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99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100.xml" ContentType="application/vnd.ms-excel.controlpropertie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trlProps/ctrlProp101.xml" ContentType="application/vnd.ms-excel.controlpropertie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trlProps/ctrlProp102.xml" ContentType="application/vnd.ms-excel.controlproperties+xml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trlProps/ctrlProp103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04.xml" ContentType="application/vnd.ms-excel.controlproperties+xml"/>
  <Override PartName="/xl/drawings/drawing9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trlProps/ctrlProp105.xml" ContentType="application/vnd.ms-excel.controlproperties+xml"/>
  <Override PartName="/xl/drawings/drawing10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10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yDocs\Кворк\Меню\"/>
    </mc:Choice>
  </mc:AlternateContent>
  <bookViews>
    <workbookView xWindow="0" yWindow="0" windowWidth="19200" windowHeight="11490" tabRatio="624" firstSheet="1" activeTab="1"/>
  </bookViews>
  <sheets>
    <sheet name="Блок ввода" sheetId="12" state="veryHidden" r:id="rId1"/>
    <sheet name="Раскладка продуктов" sheetId="11" r:id="rId2"/>
    <sheet name="Расчёт" sheetId="14" state="veryHidden" r:id="rId3"/>
    <sheet name="Пн" sheetId="15" r:id="rId4"/>
    <sheet name="Вт" sheetId="17" r:id="rId5"/>
    <sheet name="Ср" sheetId="22" r:id="rId6"/>
    <sheet name="Чт" sheetId="21" r:id="rId7"/>
    <sheet name="Пт" sheetId="20" r:id="rId8"/>
    <sheet name="Сб" sheetId="19" r:id="rId9"/>
    <sheet name="Вс" sheetId="18" r:id="rId10"/>
    <sheet name="КПВ" sheetId="28" state="hidden" r:id="rId11"/>
    <sheet name="Ведомость" sheetId="27" r:id="rId12"/>
    <sheet name="Цены" sheetId="29" r:id="rId13"/>
    <sheet name="Примеры" sheetId="24" state="veryHidden" r:id="rId14"/>
  </sheets>
  <definedNames>
    <definedName name="_xlnm._FilterDatabase" localSheetId="9" hidden="1">Вс!$E$8:$K$8</definedName>
    <definedName name="_xlnm._FilterDatabase" localSheetId="4" hidden="1">Вт!$E$8:$K$76</definedName>
    <definedName name="_xlnm._FilterDatabase" localSheetId="3" hidden="1">Пн!$E$8:$K$76</definedName>
    <definedName name="_xlnm._FilterDatabase" localSheetId="7" hidden="1">Пт!$E$8:$K$8</definedName>
    <definedName name="_xlnm._FilterDatabase" localSheetId="8" hidden="1">Сб!$E$8:$K$8</definedName>
    <definedName name="_xlnm._FilterDatabase" localSheetId="5" hidden="1">Ср!$E$8:$K$8</definedName>
    <definedName name="_xlnm._FilterDatabase" localSheetId="12" hidden="1">Цены!#REF!</definedName>
    <definedName name="_xlnm._FilterDatabase" localSheetId="6" hidden="1">Чт!$E$8:$K$8</definedName>
    <definedName name="Z_4DE99834_7080_40E5_9A2F_2BF27F7EDEBF_.wvu.PrintArea" localSheetId="9" hidden="1">Вс!$B$1:$K$100</definedName>
    <definedName name="Z_4DE99834_7080_40E5_9A2F_2BF27F7EDEBF_.wvu.PrintArea" localSheetId="4" hidden="1">Вт!$B$1:$K$100</definedName>
    <definedName name="Z_4DE99834_7080_40E5_9A2F_2BF27F7EDEBF_.wvu.PrintArea" localSheetId="3" hidden="1">Пн!$B$1:$K$100</definedName>
    <definedName name="Z_4DE99834_7080_40E5_9A2F_2BF27F7EDEBF_.wvu.PrintArea" localSheetId="7" hidden="1">Пт!$B$1:$K$100</definedName>
    <definedName name="Z_4DE99834_7080_40E5_9A2F_2BF27F7EDEBF_.wvu.PrintArea" localSheetId="1" hidden="1">'Раскладка продуктов'!$B$2:$BQ$149</definedName>
    <definedName name="Z_4DE99834_7080_40E5_9A2F_2BF27F7EDEBF_.wvu.PrintArea" localSheetId="8" hidden="1">Сб!$B$1:$K$100</definedName>
    <definedName name="Z_4DE99834_7080_40E5_9A2F_2BF27F7EDEBF_.wvu.PrintArea" localSheetId="5" hidden="1">Ср!$B$1:$K$98</definedName>
    <definedName name="Z_4DE99834_7080_40E5_9A2F_2BF27F7EDEBF_.wvu.PrintArea" localSheetId="12" hidden="1">Цены!$B$1:$D$74</definedName>
    <definedName name="Z_4DE99834_7080_40E5_9A2F_2BF27F7EDEBF_.wvu.PrintArea" localSheetId="6" hidden="1">Чт!$B$1:$K$100</definedName>
    <definedName name="исми">'Раскладка продуктов'!#REF!</definedName>
    <definedName name="_xlnm.Print_Area" localSheetId="11">Ведомость!$B$2:$AI$36</definedName>
    <definedName name="_xlnm.Print_Area" localSheetId="9">Вс!$B$1:$K$104</definedName>
    <definedName name="_xlnm.Print_Area" localSheetId="4">Вт!$B$1:$K$104</definedName>
    <definedName name="_xlnm.Print_Area" localSheetId="10">КПВ!$B$1:$Q$91</definedName>
    <definedName name="_xlnm.Print_Area" localSheetId="3">Пн!$B$1:$K$104</definedName>
    <definedName name="_xlnm.Print_Area" localSheetId="7">Пт!$B$1:$K$104</definedName>
    <definedName name="_xlnm.Print_Area" localSheetId="1">'Раскладка продуктов'!$B$2:$BQ$149</definedName>
    <definedName name="_xlnm.Print_Area" localSheetId="2">Расчёт!$A$1:$J$457</definedName>
    <definedName name="_xlnm.Print_Area" localSheetId="8">Сб!$B$1:$K$104</definedName>
    <definedName name="_xlnm.Print_Area" localSheetId="5">Ср!$B$1:$K$104</definedName>
    <definedName name="_xlnm.Print_Area" localSheetId="12">Цены!$B$1:$D$74</definedName>
    <definedName name="_xlnm.Print_Area" localSheetId="6">Чт!$B$1:$K$104</definedName>
    <definedName name="ОКГ">'Раскладка продуктов'!$CQ$25</definedName>
    <definedName name="ОКГВ">'Раскладка продуктов'!$CQ$28</definedName>
    <definedName name="ОКГЗ">'Раскладка продуктов'!$CQ$25</definedName>
    <definedName name="ОКГП">'Раскладка продуктов'!$CQ$27</definedName>
    <definedName name="ОКГУ">'Раскладка продуктов'!$CQ$29</definedName>
    <definedName name="ОКГХ">'Раскладка продуктов'!$CQ$26</definedName>
  </definedNames>
  <calcPr calcId="162913"/>
  <customWorkbookViews>
    <customWorkbookView name="ппп" guid="{4DE99834-7080-40E5-9A2F-2BF27F7EDEBF}" includeHiddenRowCol="0" maximized="1" windowWidth="796" windowHeight="452" tabRatio="887" activeSheetId="14" showObjects="placeholders"/>
  </customWorkbookViews>
</workbook>
</file>

<file path=xl/calcChain.xml><?xml version="1.0" encoding="utf-8"?>
<calcChain xmlns="http://schemas.openxmlformats.org/spreadsheetml/2006/main">
  <c r="AZ125" i="11" l="1"/>
  <c r="AZ124" i="11"/>
  <c r="AZ112" i="11"/>
  <c r="AZ111" i="11"/>
  <c r="AZ99" i="11"/>
  <c r="AZ98" i="11"/>
  <c r="AZ69" i="11"/>
  <c r="AZ68" i="11"/>
  <c r="E221" i="14"/>
  <c r="L80" i="12"/>
  <c r="AZ25" i="11"/>
  <c r="AZ34" i="11"/>
  <c r="AZ38" i="11"/>
  <c r="AZ51" i="11"/>
  <c r="AZ64" i="11"/>
  <c r="AZ94" i="11"/>
  <c r="AZ107" i="11"/>
  <c r="AZ120" i="11"/>
  <c r="L76" i="12"/>
  <c r="L120" i="12"/>
  <c r="L116" i="12"/>
  <c r="L112" i="12"/>
  <c r="L108" i="12"/>
  <c r="L104" i="12"/>
  <c r="L100" i="12"/>
  <c r="L96" i="12"/>
  <c r="L92" i="12"/>
  <c r="L88" i="12"/>
  <c r="L84" i="12"/>
  <c r="L72" i="12"/>
  <c r="L68" i="12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9" i="17"/>
  <c r="D9" i="22"/>
  <c r="D9" i="21"/>
  <c r="D9" i="20"/>
  <c r="D9" i="19"/>
  <c r="D9" i="18"/>
  <c r="D9" i="15"/>
  <c r="O66" i="29"/>
  <c r="S66" i="29"/>
  <c r="O67" i="29"/>
  <c r="S67" i="29"/>
  <c r="R1" i="29"/>
  <c r="P25" i="11"/>
  <c r="R142" i="12"/>
  <c r="P29" i="11"/>
  <c r="R143" i="12"/>
  <c r="S30" i="11" s="1"/>
  <c r="CQ28" i="11"/>
  <c r="CB32" i="11" s="1"/>
  <c r="V32" i="11" s="1"/>
  <c r="P31" i="11"/>
  <c r="P32" i="11"/>
  <c r="R147" i="12"/>
  <c r="X34" i="11" s="1"/>
  <c r="F16" i="14" s="1"/>
  <c r="I16" i="14" s="1"/>
  <c r="J22" i="15" s="1"/>
  <c r="S147" i="12"/>
  <c r="U34" i="11" s="1"/>
  <c r="F12" i="14" s="1"/>
  <c r="I12" i="14" s="1"/>
  <c r="J18" i="15" s="1"/>
  <c r="S138" i="12"/>
  <c r="Q25" i="11"/>
  <c r="D9" i="14"/>
  <c r="Q29" i="11"/>
  <c r="Q31" i="11"/>
  <c r="Q32" i="11"/>
  <c r="R25" i="11"/>
  <c r="D10" i="14" s="1"/>
  <c r="R29" i="11"/>
  <c r="R31" i="11"/>
  <c r="R32" i="11"/>
  <c r="R141" i="12"/>
  <c r="R28" i="11" s="1"/>
  <c r="S29" i="11"/>
  <c r="S31" i="11"/>
  <c r="S32" i="11"/>
  <c r="T25" i="11"/>
  <c r="D15" i="14" s="1"/>
  <c r="G15" i="14" s="1"/>
  <c r="H21" i="15" s="1"/>
  <c r="T29" i="11"/>
  <c r="AP31" i="11"/>
  <c r="AK31" i="11" s="1"/>
  <c r="T31" i="11"/>
  <c r="T32" i="11"/>
  <c r="T34" i="11"/>
  <c r="F15" i="14" s="1"/>
  <c r="I15" i="14" s="1"/>
  <c r="J21" i="15" s="1"/>
  <c r="U29" i="11"/>
  <c r="U31" i="11"/>
  <c r="U32" i="11"/>
  <c r="V25" i="11"/>
  <c r="D11" i="14" s="1"/>
  <c r="V29" i="11"/>
  <c r="V31" i="11"/>
  <c r="AP32" i="11"/>
  <c r="W31" i="11"/>
  <c r="W32" i="11"/>
  <c r="W34" i="11"/>
  <c r="R138" i="12"/>
  <c r="AP25" i="11"/>
  <c r="X31" i="11"/>
  <c r="X32" i="11"/>
  <c r="CQ25" i="11"/>
  <c r="CQ26" i="11"/>
  <c r="AP28" i="11"/>
  <c r="CQ27" i="11"/>
  <c r="AL29" i="11"/>
  <c r="AM29" i="11"/>
  <c r="AP29" i="11"/>
  <c r="AK32" i="11"/>
  <c r="CQ29" i="11"/>
  <c r="AO33" i="11"/>
  <c r="AO37" i="11" s="1"/>
  <c r="BD33" i="11"/>
  <c r="BD37" i="11" s="1"/>
  <c r="AL31" i="11"/>
  <c r="AL32" i="11"/>
  <c r="AM25" i="11"/>
  <c r="D47" i="14" s="1"/>
  <c r="AM34" i="11"/>
  <c r="F47" i="14" s="1"/>
  <c r="I47" i="14" s="1"/>
  <c r="J53" i="15" s="1"/>
  <c r="AY37" i="11"/>
  <c r="BF29" i="11"/>
  <c r="BF30" i="11"/>
  <c r="BF37" i="11" s="1"/>
  <c r="B9" i="29"/>
  <c r="O9" i="29"/>
  <c r="O71" i="29"/>
  <c r="S9" i="29"/>
  <c r="B4" i="14"/>
  <c r="B10" i="29" s="1"/>
  <c r="O10" i="29"/>
  <c r="S10" i="29"/>
  <c r="B11" i="29"/>
  <c r="S11" i="29"/>
  <c r="B12" i="29"/>
  <c r="O12" i="29"/>
  <c r="S12" i="29"/>
  <c r="B7" i="14"/>
  <c r="B13" i="15"/>
  <c r="O13" i="29"/>
  <c r="S13" i="29"/>
  <c r="B14" i="29"/>
  <c r="D8" i="14"/>
  <c r="C8" i="14"/>
  <c r="M14" i="29"/>
  <c r="O14" i="29"/>
  <c r="S14" i="29"/>
  <c r="B15" i="29"/>
  <c r="C9" i="14"/>
  <c r="G9" i="14" s="1"/>
  <c r="H15" i="15" s="1"/>
  <c r="M15" i="29"/>
  <c r="O15" i="29"/>
  <c r="S15" i="29"/>
  <c r="B16" i="29"/>
  <c r="C10" i="14"/>
  <c r="G10" i="14" s="1"/>
  <c r="H16" i="15" s="1"/>
  <c r="J16" i="29"/>
  <c r="O16" i="29"/>
  <c r="S16" i="29"/>
  <c r="B17" i="29"/>
  <c r="C11" i="14"/>
  <c r="O17" i="29"/>
  <c r="S17" i="29"/>
  <c r="B18" i="29"/>
  <c r="C12" i="14"/>
  <c r="O18" i="29"/>
  <c r="S18" i="29"/>
  <c r="B19" i="29"/>
  <c r="C13" i="14"/>
  <c r="O19" i="29"/>
  <c r="S19" i="29"/>
  <c r="B14" i="14"/>
  <c r="B20" i="29" s="1"/>
  <c r="C14" i="14"/>
  <c r="F14" i="14"/>
  <c r="O20" i="29"/>
  <c r="S20" i="29"/>
  <c r="B21" i="29"/>
  <c r="C15" i="14"/>
  <c r="O21" i="29"/>
  <c r="S21" i="29"/>
  <c r="B22" i="29"/>
  <c r="C16" i="14"/>
  <c r="O22" i="29"/>
  <c r="S22" i="29"/>
  <c r="B23" i="29"/>
  <c r="O23" i="29"/>
  <c r="S23" i="29"/>
  <c r="B24" i="29"/>
  <c r="O24" i="29"/>
  <c r="S24" i="29"/>
  <c r="B25" i="29"/>
  <c r="O25" i="29"/>
  <c r="S25" i="29"/>
  <c r="B26" i="29"/>
  <c r="O26" i="29"/>
  <c r="S26" i="29"/>
  <c r="B21" i="14"/>
  <c r="B27" i="29"/>
  <c r="O27" i="29"/>
  <c r="S27" i="29"/>
  <c r="P29" i="12"/>
  <c r="B157" i="12" s="1"/>
  <c r="B22" i="14" s="1"/>
  <c r="B28" i="29" s="1"/>
  <c r="O28" i="29"/>
  <c r="S28" i="29"/>
  <c r="B29" i="29"/>
  <c r="O29" i="29"/>
  <c r="S29" i="29"/>
  <c r="B30" i="29"/>
  <c r="O30" i="29"/>
  <c r="S30" i="29"/>
  <c r="B31" i="29"/>
  <c r="O31" i="29"/>
  <c r="S31" i="29"/>
  <c r="B32" i="29"/>
  <c r="O32" i="29"/>
  <c r="S32" i="29"/>
  <c r="B33" i="29"/>
  <c r="O33" i="29"/>
  <c r="S33" i="29"/>
  <c r="B34" i="29"/>
  <c r="O34" i="29"/>
  <c r="S34" i="29"/>
  <c r="B29" i="14"/>
  <c r="B35" i="29" s="1"/>
  <c r="O35" i="29"/>
  <c r="S35" i="29"/>
  <c r="B30" i="14"/>
  <c r="B36" i="29"/>
  <c r="O36" i="29"/>
  <c r="S36" i="29"/>
  <c r="B31" i="14"/>
  <c r="C37" i="29"/>
  <c r="O37" i="29"/>
  <c r="S37" i="29"/>
  <c r="B38" i="29"/>
  <c r="O38" i="29"/>
  <c r="S38" i="29"/>
  <c r="B39" i="29"/>
  <c r="O39" i="29"/>
  <c r="S39" i="29"/>
  <c r="B40" i="29"/>
  <c r="O40" i="29"/>
  <c r="S40" i="29"/>
  <c r="B41" i="29"/>
  <c r="O41" i="29"/>
  <c r="S41" i="29"/>
  <c r="B42" i="29"/>
  <c r="S42" i="29"/>
  <c r="B43" i="29"/>
  <c r="O43" i="29"/>
  <c r="S43" i="29"/>
  <c r="B44" i="29"/>
  <c r="O44" i="29"/>
  <c r="S44" i="29"/>
  <c r="B45" i="29"/>
  <c r="O45" i="29"/>
  <c r="S45" i="29"/>
  <c r="B40" i="14"/>
  <c r="B46" i="29"/>
  <c r="O46" i="29"/>
  <c r="S46" i="29"/>
  <c r="B41" i="14"/>
  <c r="B47" i="29" s="1"/>
  <c r="O47" i="29"/>
  <c r="S47" i="29"/>
  <c r="B48" i="29"/>
  <c r="O48" i="29"/>
  <c r="S48" i="29"/>
  <c r="B49" i="29"/>
  <c r="O49" i="29"/>
  <c r="S49" i="29"/>
  <c r="B44" i="14"/>
  <c r="B50" i="29"/>
  <c r="O50" i="29"/>
  <c r="S50" i="29"/>
  <c r="B51" i="29"/>
  <c r="C45" i="14"/>
  <c r="O51" i="29"/>
  <c r="S51" i="29"/>
  <c r="B52" i="29"/>
  <c r="C46" i="14"/>
  <c r="O52" i="29"/>
  <c r="S52" i="29"/>
  <c r="B53" i="29"/>
  <c r="C47" i="14"/>
  <c r="O53" i="29"/>
  <c r="S53" i="29"/>
  <c r="B54" i="29"/>
  <c r="C48" i="14"/>
  <c r="O54" i="29"/>
  <c r="S54" i="29"/>
  <c r="B49" i="14"/>
  <c r="B55" i="29"/>
  <c r="O55" i="29"/>
  <c r="S55" i="29"/>
  <c r="B50" i="14"/>
  <c r="B56" i="29" s="1"/>
  <c r="C50" i="14"/>
  <c r="G50" i="14" s="1"/>
  <c r="H56" i="15" s="1"/>
  <c r="O56" i="29"/>
  <c r="S56" i="29"/>
  <c r="B51" i="14"/>
  <c r="B57" i="29" s="1"/>
  <c r="E51" i="14"/>
  <c r="C51" i="14"/>
  <c r="G51" i="14" s="1"/>
  <c r="H57" i="15" s="1"/>
  <c r="O57" i="29"/>
  <c r="S57" i="29"/>
  <c r="B58" i="29"/>
  <c r="E52" i="14"/>
  <c r="H52" i="14"/>
  <c r="C52" i="14"/>
  <c r="S58" i="29"/>
  <c r="B59" i="29"/>
  <c r="O59" i="29"/>
  <c r="S59" i="29"/>
  <c r="B60" i="29"/>
  <c r="O60" i="29"/>
  <c r="S60" i="29"/>
  <c r="B55" i="14"/>
  <c r="B61" i="29"/>
  <c r="O61" i="29"/>
  <c r="S61" i="29"/>
  <c r="B56" i="14"/>
  <c r="O62" i="29"/>
  <c r="S62" i="29"/>
  <c r="B63" i="29"/>
  <c r="O63" i="29"/>
  <c r="S63" i="29"/>
  <c r="B64" i="29"/>
  <c r="O64" i="29"/>
  <c r="S64" i="29"/>
  <c r="B65" i="29"/>
  <c r="E59" i="14"/>
  <c r="C59" i="14"/>
  <c r="H59" i="14" s="1"/>
  <c r="I65" i="15" s="1"/>
  <c r="O65" i="29"/>
  <c r="S65" i="29"/>
  <c r="B68" i="29"/>
  <c r="O68" i="29"/>
  <c r="S68" i="29"/>
  <c r="B69" i="29"/>
  <c r="O69" i="29"/>
  <c r="S69" i="29"/>
  <c r="B70" i="29"/>
  <c r="O70" i="29"/>
  <c r="S70" i="29"/>
  <c r="B71" i="29"/>
  <c r="S71" i="29"/>
  <c r="D48" i="14"/>
  <c r="G48" i="14"/>
  <c r="H54" i="15" s="1"/>
  <c r="F48" i="14"/>
  <c r="I48" i="14"/>
  <c r="J54" i="15" s="1"/>
  <c r="D50" i="14"/>
  <c r="C3" i="14"/>
  <c r="H3" i="14" s="1"/>
  <c r="I9" i="15" s="1"/>
  <c r="D3" i="14"/>
  <c r="E3" i="14"/>
  <c r="F3" i="14"/>
  <c r="C4" i="14"/>
  <c r="G4" i="14" s="1"/>
  <c r="H10" i="15" s="1"/>
  <c r="D4" i="14"/>
  <c r="E4" i="14"/>
  <c r="H4" i="14"/>
  <c r="I10" i="15" s="1"/>
  <c r="L36" i="11"/>
  <c r="C6" i="14"/>
  <c r="G6" i="14" s="1"/>
  <c r="H12" i="15" s="1"/>
  <c r="D6" i="14"/>
  <c r="E6" i="14"/>
  <c r="F6" i="14"/>
  <c r="I6" i="14" s="1"/>
  <c r="J12" i="15" s="1"/>
  <c r="C7" i="14"/>
  <c r="G7" i="14" s="1"/>
  <c r="H13" i="15" s="1"/>
  <c r="D7" i="14"/>
  <c r="E7" i="14"/>
  <c r="F7" i="14"/>
  <c r="I7" i="14" s="1"/>
  <c r="J13" i="15" s="1"/>
  <c r="C17" i="14"/>
  <c r="D18" i="14"/>
  <c r="BR3" i="11"/>
  <c r="Y25" i="11"/>
  <c r="W141" i="12"/>
  <c r="W146" i="12"/>
  <c r="BR1" i="11"/>
  <c r="Y32" i="11" s="1"/>
  <c r="F17" i="14"/>
  <c r="I17" i="14"/>
  <c r="J23" i="15" s="1"/>
  <c r="C18" i="14"/>
  <c r="F18" i="14"/>
  <c r="C19" i="14"/>
  <c r="H19" i="14" s="1"/>
  <c r="I25" i="15" s="1"/>
  <c r="G19" i="14"/>
  <c r="H25" i="15" s="1"/>
  <c r="I19" i="14"/>
  <c r="J25" i="15" s="1"/>
  <c r="C20" i="14"/>
  <c r="Z31" i="11"/>
  <c r="Z32" i="11"/>
  <c r="E20" i="14"/>
  <c r="Z34" i="11"/>
  <c r="F20" i="14"/>
  <c r="I20" i="14"/>
  <c r="J26" i="15" s="1"/>
  <c r="C21" i="14"/>
  <c r="AB25" i="11"/>
  <c r="D21" i="14" s="1"/>
  <c r="AB28" i="11"/>
  <c r="E21" i="14" s="1"/>
  <c r="AB31" i="11"/>
  <c r="AB32" i="11"/>
  <c r="AC29" i="11"/>
  <c r="AC30" i="11"/>
  <c r="C22" i="14"/>
  <c r="AC25" i="11"/>
  <c r="D22" i="14"/>
  <c r="AC31" i="11"/>
  <c r="AC32" i="11"/>
  <c r="AC34" i="11"/>
  <c r="F22" i="14" s="1"/>
  <c r="C23" i="14"/>
  <c r="AF25" i="11"/>
  <c r="D23" i="14" s="1"/>
  <c r="G23" i="14" s="1"/>
  <c r="H29" i="15" s="1"/>
  <c r="AF34" i="11"/>
  <c r="C24" i="14"/>
  <c r="G24" i="14" s="1"/>
  <c r="H30" i="15" s="1"/>
  <c r="D24" i="14"/>
  <c r="F24" i="14"/>
  <c r="C25" i="14"/>
  <c r="H25" i="14" s="1"/>
  <c r="I31" i="15" s="1"/>
  <c r="D25" i="14"/>
  <c r="G25" i="14" s="1"/>
  <c r="H31" i="15" s="1"/>
  <c r="E25" i="14"/>
  <c r="F25" i="14"/>
  <c r="I25" i="14"/>
  <c r="J31" i="15"/>
  <c r="C26" i="14"/>
  <c r="AZ33" i="11"/>
  <c r="F26" i="14"/>
  <c r="I26" i="14" s="1"/>
  <c r="J32" i="15" s="1"/>
  <c r="C27" i="14"/>
  <c r="G27" i="14"/>
  <c r="H33" i="15"/>
  <c r="K33" i="15" s="1"/>
  <c r="V33" i="15" s="1"/>
  <c r="H27" i="14"/>
  <c r="I33" i="15" s="1"/>
  <c r="I27" i="14"/>
  <c r="J33" i="15" s="1"/>
  <c r="C28" i="14"/>
  <c r="I28" i="14" s="1"/>
  <c r="H28" i="14"/>
  <c r="I34" i="15" s="1"/>
  <c r="G28" i="14"/>
  <c r="H34" i="15"/>
  <c r="J34" i="15"/>
  <c r="C29" i="14"/>
  <c r="D29" i="14"/>
  <c r="E29" i="14"/>
  <c r="H29" i="14" s="1"/>
  <c r="F29" i="14"/>
  <c r="I29" i="14"/>
  <c r="J35" i="15" s="1"/>
  <c r="C30" i="14"/>
  <c r="D31" i="14"/>
  <c r="G31" i="14"/>
  <c r="H37" i="15"/>
  <c r="AX29" i="11"/>
  <c r="AX30" i="11"/>
  <c r="E31" i="14" s="1"/>
  <c r="H31" i="14" s="1"/>
  <c r="I37" i="15" s="1"/>
  <c r="T147" i="12"/>
  <c r="AX34" i="11"/>
  <c r="AX35" i="11"/>
  <c r="AX36" i="11"/>
  <c r="C32" i="14"/>
  <c r="H32" i="14" s="1"/>
  <c r="I38" i="15" s="1"/>
  <c r="T138" i="12"/>
  <c r="BE26" i="11" s="1"/>
  <c r="E32" i="14"/>
  <c r="BC36" i="11"/>
  <c r="AG36" i="11" s="1"/>
  <c r="F32" i="14" s="1"/>
  <c r="I32" i="14" s="1"/>
  <c r="J38" i="15" s="1"/>
  <c r="C33" i="14"/>
  <c r="C34" i="14"/>
  <c r="D34" i="14"/>
  <c r="F34" i="14"/>
  <c r="C35" i="14"/>
  <c r="D35" i="14"/>
  <c r="G35" i="14" s="1"/>
  <c r="H41" i="15" s="1"/>
  <c r="K41" i="15" s="1"/>
  <c r="V41" i="15" s="1"/>
  <c r="H35" i="14"/>
  <c r="I41" i="15" s="1"/>
  <c r="F35" i="14"/>
  <c r="I35" i="14"/>
  <c r="J41" i="15" s="1"/>
  <c r="C37" i="14"/>
  <c r="H37" i="14" s="1"/>
  <c r="I43" i="15" s="1"/>
  <c r="G37" i="14"/>
  <c r="H43" i="15" s="1"/>
  <c r="C38" i="14"/>
  <c r="G38" i="14" s="1"/>
  <c r="I38" i="14"/>
  <c r="J44" i="15" s="1"/>
  <c r="C39" i="14"/>
  <c r="C40" i="14"/>
  <c r="H40" i="14" s="1"/>
  <c r="I46" i="15" s="1"/>
  <c r="D40" i="14"/>
  <c r="C41" i="14"/>
  <c r="G41" i="14" s="1"/>
  <c r="H41" i="14"/>
  <c r="I47" i="15"/>
  <c r="H47" i="15"/>
  <c r="I41" i="14"/>
  <c r="J47" i="15" s="1"/>
  <c r="C42" i="14"/>
  <c r="C43" i="14"/>
  <c r="H43" i="14" s="1"/>
  <c r="I49" i="15" s="1"/>
  <c r="C44" i="14"/>
  <c r="G44" i="14" s="1"/>
  <c r="H50" i="15" s="1"/>
  <c r="BH27" i="11"/>
  <c r="D44" i="14"/>
  <c r="H44" i="14"/>
  <c r="I50" i="15" s="1"/>
  <c r="C49" i="14"/>
  <c r="H49" i="14" s="1"/>
  <c r="D49" i="14"/>
  <c r="G49" i="14" s="1"/>
  <c r="H55" i="15" s="1"/>
  <c r="E49" i="14"/>
  <c r="F49" i="14"/>
  <c r="I49" i="14" s="1"/>
  <c r="J55" i="15" s="1"/>
  <c r="C53" i="14"/>
  <c r="AI33" i="11"/>
  <c r="E53" i="14"/>
  <c r="C54" i="14"/>
  <c r="G54" i="14"/>
  <c r="H60" i="15"/>
  <c r="E55" i="14"/>
  <c r="I54" i="14"/>
  <c r="J60" i="15" s="1"/>
  <c r="C55" i="14"/>
  <c r="C56" i="14"/>
  <c r="I56" i="14" s="1"/>
  <c r="J62" i="15" s="1"/>
  <c r="BB33" i="11"/>
  <c r="E56" i="14" s="1"/>
  <c r="H56" i="14" s="1"/>
  <c r="I62" i="15" s="1"/>
  <c r="C57" i="14"/>
  <c r="H57" i="14" s="1"/>
  <c r="I63" i="15" s="1"/>
  <c r="D57" i="14"/>
  <c r="G57" i="14"/>
  <c r="H63" i="15" s="1"/>
  <c r="F57" i="14"/>
  <c r="I57" i="14" s="1"/>
  <c r="J63" i="15" s="1"/>
  <c r="C58" i="14"/>
  <c r="G58" i="14"/>
  <c r="H64" i="15"/>
  <c r="BE33" i="11"/>
  <c r="E58" i="14"/>
  <c r="H58" i="14"/>
  <c r="I64" i="15" s="1"/>
  <c r="I58" i="14"/>
  <c r="J64" i="15" s="1"/>
  <c r="C62" i="14"/>
  <c r="E62" i="14"/>
  <c r="C60" i="14"/>
  <c r="G60" i="14" s="1"/>
  <c r="H69" i="15" s="1"/>
  <c r="K69" i="15" s="1"/>
  <c r="V69" i="15" s="1"/>
  <c r="I60" i="14"/>
  <c r="J69" i="15" s="1"/>
  <c r="C63" i="14"/>
  <c r="H63" i="14" s="1"/>
  <c r="I69" i="15" s="1"/>
  <c r="E63" i="14"/>
  <c r="C61" i="14"/>
  <c r="G61" i="14"/>
  <c r="H70" i="15" s="1"/>
  <c r="C64" i="14"/>
  <c r="H64" i="14"/>
  <c r="I70" i="15" s="1"/>
  <c r="I61" i="14"/>
  <c r="J70" i="15" s="1"/>
  <c r="V66" i="15"/>
  <c r="V67" i="15"/>
  <c r="E7" i="24"/>
  <c r="B7" i="24"/>
  <c r="S72" i="29"/>
  <c r="L131" i="11"/>
  <c r="AX131" i="11"/>
  <c r="L118" i="11"/>
  <c r="AX118" i="11"/>
  <c r="L105" i="11"/>
  <c r="AX105" i="11" s="1"/>
  <c r="L75" i="11"/>
  <c r="AX75" i="11"/>
  <c r="L62" i="11"/>
  <c r="AX62" i="11"/>
  <c r="L49" i="11"/>
  <c r="L50" i="11"/>
  <c r="R112" i="12"/>
  <c r="V107" i="12"/>
  <c r="N207" i="12" s="1"/>
  <c r="R111" i="12"/>
  <c r="V94" i="12" s="1"/>
  <c r="N197" i="12" s="1"/>
  <c r="R110" i="12"/>
  <c r="V78" i="12" s="1"/>
  <c r="N187" i="12" s="1"/>
  <c r="R109" i="12"/>
  <c r="V64" i="12" s="1"/>
  <c r="N177" i="12"/>
  <c r="R108" i="12"/>
  <c r="V52" i="12"/>
  <c r="N167" i="12"/>
  <c r="R107" i="12"/>
  <c r="V37" i="12"/>
  <c r="N157" i="12"/>
  <c r="AF38" i="11"/>
  <c r="AF47" i="11"/>
  <c r="F88" i="14" s="1"/>
  <c r="I88" i="14" s="1"/>
  <c r="J29" i="17" s="1"/>
  <c r="AF51" i="11"/>
  <c r="AF60" i="11"/>
  <c r="AF54" i="11"/>
  <c r="AF64" i="11"/>
  <c r="AF73" i="11"/>
  <c r="AF94" i="11"/>
  <c r="AF103" i="11"/>
  <c r="AF97" i="11"/>
  <c r="AF107" i="11"/>
  <c r="AF120" i="11"/>
  <c r="AF129" i="11"/>
  <c r="AF123" i="11" s="1"/>
  <c r="AF116" i="11"/>
  <c r="Y34" i="11"/>
  <c r="Y47" i="11"/>
  <c r="Y60" i="11"/>
  <c r="R186" i="12"/>
  <c r="Y73" i="11"/>
  <c r="R216" i="12"/>
  <c r="Y103" i="11" s="1"/>
  <c r="R229" i="12"/>
  <c r="Y116" i="11"/>
  <c r="R242" i="12"/>
  <c r="Y129" i="11"/>
  <c r="R233" i="12"/>
  <c r="BX3" i="11"/>
  <c r="Y120" i="11"/>
  <c r="R220" i="12"/>
  <c r="BW3" i="11"/>
  <c r="Y107" i="11" s="1"/>
  <c r="R207" i="12"/>
  <c r="BV3" i="11"/>
  <c r="Y94" i="11" s="1"/>
  <c r="BU3" i="11"/>
  <c r="Y64" i="11"/>
  <c r="BT3" i="11"/>
  <c r="Y51" i="11"/>
  <c r="BS3" i="11"/>
  <c r="Y38" i="11" s="1"/>
  <c r="BX1" i="11"/>
  <c r="BW1" i="11"/>
  <c r="BV1" i="11"/>
  <c r="BU1" i="11"/>
  <c r="BT1" i="11"/>
  <c r="BS1" i="11"/>
  <c r="AE132" i="11"/>
  <c r="AE119" i="11"/>
  <c r="AE106" i="11"/>
  <c r="AE76" i="11"/>
  <c r="AE63" i="11"/>
  <c r="AE50" i="11"/>
  <c r="AE37" i="11"/>
  <c r="N130" i="11"/>
  <c r="N117" i="11"/>
  <c r="N104" i="11"/>
  <c r="N74" i="11"/>
  <c r="N61" i="11"/>
  <c r="N48" i="11"/>
  <c r="N35" i="11"/>
  <c r="C3" i="11"/>
  <c r="B3" i="17"/>
  <c r="B3" i="22"/>
  <c r="B3" i="21"/>
  <c r="B3" i="20"/>
  <c r="B3" i="19"/>
  <c r="B3" i="18"/>
  <c r="B3" i="15"/>
  <c r="U103" i="15"/>
  <c r="U102" i="15"/>
  <c r="J75" i="15"/>
  <c r="J75" i="18"/>
  <c r="J75" i="19"/>
  <c r="J75" i="20"/>
  <c r="J75" i="21"/>
  <c r="J75" i="22"/>
  <c r="J75" i="17"/>
  <c r="I74" i="17"/>
  <c r="I74" i="22"/>
  <c r="J74" i="20"/>
  <c r="J74" i="19"/>
  <c r="J74" i="18"/>
  <c r="J74" i="15"/>
  <c r="AZ46" i="11"/>
  <c r="C91" i="14"/>
  <c r="AZ47" i="11"/>
  <c r="F91" i="14"/>
  <c r="E94" i="14"/>
  <c r="H94" i="14"/>
  <c r="I35" i="17" s="1"/>
  <c r="C94" i="14"/>
  <c r="F94" i="14"/>
  <c r="I94" i="14" s="1"/>
  <c r="J35" i="17" s="1"/>
  <c r="C68" i="14"/>
  <c r="D68" i="14"/>
  <c r="G68" i="14"/>
  <c r="H9" i="17" s="1"/>
  <c r="E68" i="14"/>
  <c r="H68" i="14"/>
  <c r="I9" i="17" s="1"/>
  <c r="F68" i="14"/>
  <c r="I68" i="14"/>
  <c r="J9" i="17" s="1"/>
  <c r="C69" i="14"/>
  <c r="D69" i="14"/>
  <c r="E69" i="14"/>
  <c r="C70" i="14"/>
  <c r="H70" i="14" s="1"/>
  <c r="I11" i="17" s="1"/>
  <c r="M46" i="11"/>
  <c r="E70" i="14"/>
  <c r="C71" i="14"/>
  <c r="D71" i="14"/>
  <c r="O44" i="11"/>
  <c r="O50" i="11"/>
  <c r="O45" i="11"/>
  <c r="F71" i="14"/>
  <c r="C72" i="14"/>
  <c r="D72" i="14"/>
  <c r="E72" i="14"/>
  <c r="F72" i="14"/>
  <c r="C73" i="14"/>
  <c r="P38" i="11"/>
  <c r="D73" i="14" s="1"/>
  <c r="G73" i="14" s="1"/>
  <c r="P44" i="11"/>
  <c r="P45" i="11"/>
  <c r="CB45" i="11"/>
  <c r="V45" i="11" s="1"/>
  <c r="R155" i="12"/>
  <c r="R156" i="12"/>
  <c r="P43" i="11"/>
  <c r="R160" i="12"/>
  <c r="S160" i="12"/>
  <c r="C74" i="14"/>
  <c r="S151" i="12"/>
  <c r="Q38" i="11"/>
  <c r="D74" i="14" s="1"/>
  <c r="Q44" i="11"/>
  <c r="Q45" i="11"/>
  <c r="C75" i="14"/>
  <c r="G75" i="14" s="1"/>
  <c r="H16" i="17" s="1"/>
  <c r="R38" i="11"/>
  <c r="D75" i="14"/>
  <c r="R44" i="11"/>
  <c r="R45" i="11"/>
  <c r="C76" i="14"/>
  <c r="V44" i="11"/>
  <c r="AP45" i="11"/>
  <c r="C77" i="14"/>
  <c r="U38" i="11"/>
  <c r="U44" i="11"/>
  <c r="U45" i="11"/>
  <c r="C78" i="14"/>
  <c r="S38" i="11"/>
  <c r="S44" i="11"/>
  <c r="S45" i="11"/>
  <c r="C79" i="14"/>
  <c r="W44" i="11"/>
  <c r="E79" i="14" s="1"/>
  <c r="W45" i="11"/>
  <c r="C80" i="14"/>
  <c r="T38" i="11"/>
  <c r="D80" i="14"/>
  <c r="AP44" i="11"/>
  <c r="T45" i="11"/>
  <c r="C81" i="14"/>
  <c r="I81" i="14" s="1"/>
  <c r="J22" i="17" s="1"/>
  <c r="R151" i="12"/>
  <c r="X44" i="11"/>
  <c r="X45" i="11"/>
  <c r="X47" i="11"/>
  <c r="F81" i="14"/>
  <c r="C82" i="14"/>
  <c r="I82" i="14" s="1"/>
  <c r="J23" i="17" s="1"/>
  <c r="D83" i="14"/>
  <c r="Z38" i="11"/>
  <c r="Z50" i="11" s="1"/>
  <c r="D85" i="14"/>
  <c r="D82" i="14" s="1"/>
  <c r="W154" i="12"/>
  <c r="Y154" i="12"/>
  <c r="W159" i="12"/>
  <c r="E83" i="14" s="1"/>
  <c r="C83" i="14"/>
  <c r="C84" i="14"/>
  <c r="G84" i="14"/>
  <c r="H25" i="17" s="1"/>
  <c r="C85" i="14"/>
  <c r="G85" i="14" s="1"/>
  <c r="H26" i="17" s="1"/>
  <c r="Z44" i="11"/>
  <c r="E85" i="14" s="1"/>
  <c r="Z45" i="11"/>
  <c r="Z47" i="11"/>
  <c r="F85" i="14"/>
  <c r="I85" i="14"/>
  <c r="J26" i="17" s="1"/>
  <c r="C86" i="14"/>
  <c r="G86" i="14" s="1"/>
  <c r="H27" i="17" s="1"/>
  <c r="AB38" i="11"/>
  <c r="D86" i="14"/>
  <c r="AB41" i="11"/>
  <c r="AB44" i="11"/>
  <c r="AB45" i="11"/>
  <c r="AC42" i="11"/>
  <c r="AC43" i="11"/>
  <c r="C87" i="14"/>
  <c r="G87" i="14" s="1"/>
  <c r="H28" i="17" s="1"/>
  <c r="H87" i="14"/>
  <c r="I28" i="17" s="1"/>
  <c r="AC38" i="11"/>
  <c r="D87" i="14"/>
  <c r="E87" i="14"/>
  <c r="AC47" i="11"/>
  <c r="F87" i="14"/>
  <c r="I87" i="14" s="1"/>
  <c r="J28" i="17" s="1"/>
  <c r="C88" i="14"/>
  <c r="D88" i="14"/>
  <c r="G88" i="14"/>
  <c r="H29" i="17" s="1"/>
  <c r="C89" i="14"/>
  <c r="G89" i="14" s="1"/>
  <c r="H30" i="17" s="1"/>
  <c r="D89" i="14"/>
  <c r="E89" i="14"/>
  <c r="H89" i="14"/>
  <c r="F89" i="14"/>
  <c r="I89" i="14" s="1"/>
  <c r="J30" i="17" s="1"/>
  <c r="C90" i="14"/>
  <c r="D90" i="14"/>
  <c r="G90" i="14"/>
  <c r="H31" i="17" s="1"/>
  <c r="E90" i="14"/>
  <c r="H90" i="14"/>
  <c r="I31" i="17" s="1"/>
  <c r="F90" i="14"/>
  <c r="I90" i="14"/>
  <c r="J31" i="17" s="1"/>
  <c r="C92" i="14"/>
  <c r="G92" i="14"/>
  <c r="H33" i="17" s="1"/>
  <c r="C93" i="14"/>
  <c r="H93" i="14"/>
  <c r="I34" i="17"/>
  <c r="C95" i="14"/>
  <c r="D96" i="14"/>
  <c r="G96" i="14"/>
  <c r="H37" i="17" s="1"/>
  <c r="AX42" i="11"/>
  <c r="C96" i="14"/>
  <c r="T160" i="12"/>
  <c r="AX47" i="11"/>
  <c r="AX48" i="11"/>
  <c r="C97" i="14"/>
  <c r="H97" i="14" s="1"/>
  <c r="I38" i="17" s="1"/>
  <c r="T151" i="12"/>
  <c r="AI40" i="11" s="1"/>
  <c r="E97" i="14"/>
  <c r="BC49" i="11"/>
  <c r="C98" i="14"/>
  <c r="H98" i="14"/>
  <c r="G98" i="14"/>
  <c r="H39" i="17" s="1"/>
  <c r="I39" i="17"/>
  <c r="I98" i="14"/>
  <c r="J39" i="17" s="1"/>
  <c r="C99" i="14"/>
  <c r="H99" i="14" s="1"/>
  <c r="I40" i="17" s="1"/>
  <c r="D99" i="14"/>
  <c r="F99" i="14"/>
  <c r="I99" i="14" s="1"/>
  <c r="J40" i="17" s="1"/>
  <c r="C100" i="14"/>
  <c r="I100" i="14" s="1"/>
  <c r="F100" i="14"/>
  <c r="J41" i="17"/>
  <c r="C101" i="14"/>
  <c r="H101" i="14"/>
  <c r="I42" i="17" s="1"/>
  <c r="C102" i="14"/>
  <c r="H102" i="14"/>
  <c r="I43" i="17" s="1"/>
  <c r="C103" i="14"/>
  <c r="I103" i="14" s="1"/>
  <c r="J44" i="17" s="1"/>
  <c r="G103" i="14"/>
  <c r="H44" i="17" s="1"/>
  <c r="K44" i="17"/>
  <c r="Z44" i="17" s="1"/>
  <c r="H103" i="14"/>
  <c r="I44" i="17"/>
  <c r="C104" i="14"/>
  <c r="C105" i="14"/>
  <c r="D105" i="14"/>
  <c r="C106" i="14"/>
  <c r="G106" i="14"/>
  <c r="H47" i="17"/>
  <c r="H106" i="14"/>
  <c r="I47" i="17" s="1"/>
  <c r="I106" i="14"/>
  <c r="J47" i="17" s="1"/>
  <c r="C107" i="14"/>
  <c r="G107" i="14" s="1"/>
  <c r="H48" i="17" s="1"/>
  <c r="H107" i="14"/>
  <c r="I48" i="17" s="1"/>
  <c r="C108" i="14"/>
  <c r="I108" i="14" s="1"/>
  <c r="J49" i="17" s="1"/>
  <c r="G108" i="14"/>
  <c r="H49" i="17"/>
  <c r="C109" i="14"/>
  <c r="H109" i="14" s="1"/>
  <c r="I50" i="17" s="1"/>
  <c r="BH40" i="11"/>
  <c r="D109" i="14"/>
  <c r="G109" i="14"/>
  <c r="H50" i="17" s="1"/>
  <c r="C110" i="14"/>
  <c r="AP38" i="11"/>
  <c r="AK44" i="11"/>
  <c r="AK45" i="11"/>
  <c r="R154" i="12"/>
  <c r="AN41" i="11" s="1"/>
  <c r="R41" i="11"/>
  <c r="AL41" i="11"/>
  <c r="C111" i="14"/>
  <c r="AL38" i="11"/>
  <c r="D111" i="14"/>
  <c r="AL44" i="11"/>
  <c r="AL45" i="11"/>
  <c r="C112" i="14"/>
  <c r="F112" i="14"/>
  <c r="I112" i="14" s="1"/>
  <c r="J53" i="17" s="1"/>
  <c r="C113" i="14"/>
  <c r="G113" i="14" s="1"/>
  <c r="H54" i="17" s="1"/>
  <c r="D113" i="14"/>
  <c r="F113" i="14"/>
  <c r="C114" i="14"/>
  <c r="H114" i="14" s="1"/>
  <c r="I55" i="17" s="1"/>
  <c r="D114" i="14"/>
  <c r="AO46" i="11"/>
  <c r="E114" i="14"/>
  <c r="F114" i="14"/>
  <c r="I114" i="14" s="1"/>
  <c r="J55" i="17" s="1"/>
  <c r="C115" i="14"/>
  <c r="I115" i="14" s="1"/>
  <c r="J56" i="17" s="1"/>
  <c r="F115" i="14"/>
  <c r="C116" i="14"/>
  <c r="G116" i="14"/>
  <c r="H57" i="17" s="1"/>
  <c r="E116" i="14"/>
  <c r="C117" i="14"/>
  <c r="E117" i="14"/>
  <c r="I117" i="14"/>
  <c r="J58" i="17" s="1"/>
  <c r="C118" i="14"/>
  <c r="AI49" i="11"/>
  <c r="AI46" i="11"/>
  <c r="C119" i="14"/>
  <c r="G119" i="14"/>
  <c r="H60" i="17"/>
  <c r="E120" i="14"/>
  <c r="I119" i="14"/>
  <c r="J60" i="17" s="1"/>
  <c r="C120" i="14"/>
  <c r="H120" i="14"/>
  <c r="I61" i="17" s="1"/>
  <c r="C121" i="14"/>
  <c r="G121" i="14"/>
  <c r="H62" i="17" s="1"/>
  <c r="BB46" i="11"/>
  <c r="E121" i="14"/>
  <c r="I121" i="14"/>
  <c r="J62" i="17" s="1"/>
  <c r="C122" i="14"/>
  <c r="D122" i="14"/>
  <c r="C123" i="14"/>
  <c r="G123" i="14"/>
  <c r="H64" i="17"/>
  <c r="BE46" i="11"/>
  <c r="E123" i="14"/>
  <c r="H123" i="14" s="1"/>
  <c r="I64" i="17" s="1"/>
  <c r="C124" i="14"/>
  <c r="E124" i="14"/>
  <c r="Z66" i="17"/>
  <c r="Z67" i="17"/>
  <c r="C127" i="14"/>
  <c r="BD46" i="11"/>
  <c r="E127" i="14"/>
  <c r="C125" i="14"/>
  <c r="C128" i="14"/>
  <c r="H128" i="14" s="1"/>
  <c r="I69" i="17" s="1"/>
  <c r="E128" i="14"/>
  <c r="C126" i="14"/>
  <c r="I126" i="14"/>
  <c r="J70" i="17" s="1"/>
  <c r="G126" i="14"/>
  <c r="H70" i="17" s="1"/>
  <c r="C129" i="14"/>
  <c r="H129" i="14" s="1"/>
  <c r="I70" i="17" s="1"/>
  <c r="E129" i="14"/>
  <c r="C130" i="14"/>
  <c r="BF42" i="11"/>
  <c r="E130" i="14" s="1"/>
  <c r="H130" i="14" s="1"/>
  <c r="I71" i="17" s="1"/>
  <c r="BF43" i="11"/>
  <c r="AZ59" i="11"/>
  <c r="C156" i="14"/>
  <c r="G156" i="14"/>
  <c r="H32" i="22"/>
  <c r="AZ60" i="11"/>
  <c r="F156" i="14"/>
  <c r="I156" i="14"/>
  <c r="J32" i="22" s="1"/>
  <c r="C133" i="14"/>
  <c r="D133" i="14"/>
  <c r="G133" i="14" s="1"/>
  <c r="H9" i="22" s="1"/>
  <c r="E133" i="14"/>
  <c r="F133" i="14"/>
  <c r="C134" i="14"/>
  <c r="D134" i="14"/>
  <c r="E134" i="14"/>
  <c r="H134" i="14" s="1"/>
  <c r="I10" i="22" s="1"/>
  <c r="F134" i="14"/>
  <c r="I134" i="14"/>
  <c r="J10" i="22"/>
  <c r="C135" i="14"/>
  <c r="G135" i="14"/>
  <c r="H11" i="22"/>
  <c r="M59" i="11"/>
  <c r="E135" i="14"/>
  <c r="I135" i="14"/>
  <c r="J11" i="22"/>
  <c r="C136" i="14"/>
  <c r="H136" i="14" s="1"/>
  <c r="D136" i="14"/>
  <c r="I12" i="22"/>
  <c r="F136" i="14"/>
  <c r="C137" i="14"/>
  <c r="G137" i="14" s="1"/>
  <c r="D137" i="14"/>
  <c r="H13" i="22"/>
  <c r="E137" i="14"/>
  <c r="H137" i="14"/>
  <c r="I13" i="22" s="1"/>
  <c r="F137" i="14"/>
  <c r="C138" i="14"/>
  <c r="P51" i="11"/>
  <c r="P57" i="11"/>
  <c r="CB57" i="11"/>
  <c r="R57" i="11" s="1"/>
  <c r="P58" i="11"/>
  <c r="CB58" i="11" s="1"/>
  <c r="AL58" i="11" s="1"/>
  <c r="R169" i="12"/>
  <c r="P56" i="11"/>
  <c r="R168" i="12"/>
  <c r="R173" i="12"/>
  <c r="S173" i="12"/>
  <c r="C139" i="14"/>
  <c r="S164" i="12"/>
  <c r="Q57" i="11"/>
  <c r="Q58" i="11"/>
  <c r="Q56" i="11"/>
  <c r="Q60" i="11"/>
  <c r="F139" i="14" s="1"/>
  <c r="I139" i="14" s="1"/>
  <c r="J15" i="22" s="1"/>
  <c r="C140" i="14"/>
  <c r="AP57" i="11"/>
  <c r="R58" i="11"/>
  <c r="R56" i="11"/>
  <c r="C141" i="14"/>
  <c r="R164" i="12"/>
  <c r="AP51" i="11" s="1"/>
  <c r="V57" i="11"/>
  <c r="V58" i="11"/>
  <c r="V56" i="11"/>
  <c r="C142" i="14"/>
  <c r="U57" i="11"/>
  <c r="U58" i="11"/>
  <c r="U56" i="11"/>
  <c r="C143" i="14"/>
  <c r="S57" i="11"/>
  <c r="S58" i="11"/>
  <c r="S56" i="11"/>
  <c r="C144" i="14"/>
  <c r="W57" i="11"/>
  <c r="W58" i="11"/>
  <c r="E144" i="14"/>
  <c r="H144" i="14" s="1"/>
  <c r="I20" i="22"/>
  <c r="C145" i="14"/>
  <c r="T57" i="11"/>
  <c r="T58" i="11"/>
  <c r="T56" i="11"/>
  <c r="T60" i="11"/>
  <c r="F145" i="14" s="1"/>
  <c r="C146" i="14"/>
  <c r="X57" i="11"/>
  <c r="X58" i="11"/>
  <c r="C147" i="14"/>
  <c r="D148" i="14"/>
  <c r="Z51" i="11"/>
  <c r="D150" i="14" s="1"/>
  <c r="Y57" i="11"/>
  <c r="Y58" i="11"/>
  <c r="W167" i="12"/>
  <c r="E148" i="14" s="1"/>
  <c r="W172" i="12"/>
  <c r="F147" i="14"/>
  <c r="C148" i="14"/>
  <c r="C149" i="14"/>
  <c r="C150" i="14"/>
  <c r="Z57" i="11"/>
  <c r="E150" i="14" s="1"/>
  <c r="Z58" i="11"/>
  <c r="Z60" i="11"/>
  <c r="F150" i="14"/>
  <c r="I150" i="14" s="1"/>
  <c r="J26" i="22" s="1"/>
  <c r="C151" i="14"/>
  <c r="AB51" i="11"/>
  <c r="D151" i="14" s="1"/>
  <c r="AB54" i="11"/>
  <c r="AC56" i="11"/>
  <c r="AC55" i="11"/>
  <c r="C152" i="14"/>
  <c r="AC51" i="11"/>
  <c r="D152" i="14"/>
  <c r="C153" i="14"/>
  <c r="I153" i="14" s="1"/>
  <c r="J29" i="22" s="1"/>
  <c r="D153" i="14"/>
  <c r="E153" i="14"/>
  <c r="F153" i="14"/>
  <c r="C154" i="14"/>
  <c r="D154" i="14"/>
  <c r="E154" i="14"/>
  <c r="F154" i="14"/>
  <c r="I154" i="14"/>
  <c r="J30" i="22" s="1"/>
  <c r="C155" i="14"/>
  <c r="D155" i="14"/>
  <c r="E155" i="14"/>
  <c r="F155" i="14"/>
  <c r="I155" i="14"/>
  <c r="J31" i="22" s="1"/>
  <c r="C157" i="14"/>
  <c r="H157" i="14" s="1"/>
  <c r="I33" i="22" s="1"/>
  <c r="C158" i="14"/>
  <c r="G158" i="14" s="1"/>
  <c r="H34" i="22" s="1"/>
  <c r="H158" i="14"/>
  <c r="I34" i="22" s="1"/>
  <c r="I158" i="14"/>
  <c r="J34" i="22" s="1"/>
  <c r="C159" i="14"/>
  <c r="I159" i="14" s="1"/>
  <c r="J35" i="22" s="1"/>
  <c r="G159" i="14"/>
  <c r="H35" i="22"/>
  <c r="E159" i="14"/>
  <c r="H159" i="14"/>
  <c r="C160" i="14"/>
  <c r="H160" i="14" s="1"/>
  <c r="I36" i="22" s="1"/>
  <c r="D161" i="14"/>
  <c r="G161" i="14" s="1"/>
  <c r="H37" i="22" s="1"/>
  <c r="AX56" i="11"/>
  <c r="C161" i="14"/>
  <c r="T173" i="12"/>
  <c r="AX61" i="11"/>
  <c r="C162" i="14"/>
  <c r="H162" i="14" s="1"/>
  <c r="I38" i="22" s="1"/>
  <c r="T164" i="12"/>
  <c r="E162" i="14"/>
  <c r="C163" i="14"/>
  <c r="D163" i="14"/>
  <c r="C164" i="14"/>
  <c r="G164" i="14" s="1"/>
  <c r="H40" i="22" s="1"/>
  <c r="D164" i="14"/>
  <c r="F164" i="14"/>
  <c r="I164" i="14"/>
  <c r="J40" i="22"/>
  <c r="C165" i="14"/>
  <c r="H165" i="14" s="1"/>
  <c r="I41" i="22" s="1"/>
  <c r="C166" i="14"/>
  <c r="H166" i="14" s="1"/>
  <c r="I42" i="22" s="1"/>
  <c r="C167" i="14"/>
  <c r="D167" i="14"/>
  <c r="G167" i="14" s="1"/>
  <c r="H43" i="22" s="1"/>
  <c r="H167" i="14"/>
  <c r="I43" i="22"/>
  <c r="I167" i="14"/>
  <c r="J43" i="22"/>
  <c r="C168" i="14"/>
  <c r="D168" i="14"/>
  <c r="C169" i="14"/>
  <c r="H169" i="14" s="1"/>
  <c r="I45" i="22" s="1"/>
  <c r="D169" i="14"/>
  <c r="G169" i="14"/>
  <c r="H45" i="22"/>
  <c r="I169" i="14"/>
  <c r="J45" i="22" s="1"/>
  <c r="C170" i="14"/>
  <c r="H170" i="14" s="1"/>
  <c r="I46" i="22" s="1"/>
  <c r="D170" i="14"/>
  <c r="C171" i="14"/>
  <c r="D171" i="14"/>
  <c r="G171" i="14" s="1"/>
  <c r="H47" i="22" s="1"/>
  <c r="H171" i="14"/>
  <c r="I47" i="22"/>
  <c r="I171" i="14"/>
  <c r="J47" i="22"/>
  <c r="C172" i="14"/>
  <c r="G172" i="14"/>
  <c r="H48" i="22" s="1"/>
  <c r="K48" i="22" s="1"/>
  <c r="H172" i="14"/>
  <c r="I48" i="22"/>
  <c r="I172" i="14"/>
  <c r="J48" i="22" s="1"/>
  <c r="C173" i="14"/>
  <c r="G173" i="14"/>
  <c r="H49" i="22" s="1"/>
  <c r="H173" i="14"/>
  <c r="I49" i="22"/>
  <c r="I173" i="14"/>
  <c r="J49" i="22" s="1"/>
  <c r="C174" i="14"/>
  <c r="H174" i="14" s="1"/>
  <c r="I50" i="22" s="1"/>
  <c r="BH53" i="11"/>
  <c r="D174" i="14"/>
  <c r="BH62" i="11"/>
  <c r="F174" i="14"/>
  <c r="I174" i="14" s="1"/>
  <c r="J50" i="22" s="1"/>
  <c r="C175" i="14"/>
  <c r="AK57" i="11"/>
  <c r="AK58" i="11"/>
  <c r="AL56" i="11"/>
  <c r="AM56" i="11"/>
  <c r="AP56" i="11"/>
  <c r="R167" i="12"/>
  <c r="AM54" i="11"/>
  <c r="AL54" i="11"/>
  <c r="R54" i="11"/>
  <c r="AN54" i="11"/>
  <c r="E178" i="14"/>
  <c r="AP54" i="11"/>
  <c r="AO59" i="11"/>
  <c r="E179" i="14"/>
  <c r="BD59" i="11"/>
  <c r="E192" i="14"/>
  <c r="AP60" i="11"/>
  <c r="F180" i="14" s="1"/>
  <c r="I180" i="14" s="1"/>
  <c r="J56" i="22" s="1"/>
  <c r="C176" i="14"/>
  <c r="AL57" i="11"/>
  <c r="AP58" i="11"/>
  <c r="AL60" i="11"/>
  <c r="F176" i="14" s="1"/>
  <c r="I176" i="14" s="1"/>
  <c r="J52" i="22" s="1"/>
  <c r="C177" i="14"/>
  <c r="C178" i="14"/>
  <c r="H178" i="14" s="1"/>
  <c r="I54" i="22" s="1"/>
  <c r="D178" i="14"/>
  <c r="G178" i="14" s="1"/>
  <c r="H54" i="22" s="1"/>
  <c r="K54" i="22" s="1"/>
  <c r="Z54" i="22" s="1"/>
  <c r="F178" i="14"/>
  <c r="I178" i="14" s="1"/>
  <c r="J54" i="22" s="1"/>
  <c r="C179" i="14"/>
  <c r="H179" i="14" s="1"/>
  <c r="I55" i="22" s="1"/>
  <c r="D179" i="14"/>
  <c r="G179" i="14" s="1"/>
  <c r="F179" i="14"/>
  <c r="I179" i="14"/>
  <c r="J55" i="22"/>
  <c r="C180" i="14"/>
  <c r="D180" i="14"/>
  <c r="G180" i="14" s="1"/>
  <c r="H56" i="22" s="1"/>
  <c r="C181" i="14"/>
  <c r="E181" i="14"/>
  <c r="C182" i="14"/>
  <c r="E182" i="14"/>
  <c r="C183" i="14"/>
  <c r="G183" i="14" s="1"/>
  <c r="H59" i="22" s="1"/>
  <c r="AI59" i="11"/>
  <c r="E183" i="14" s="1"/>
  <c r="I183" i="14"/>
  <c r="J59" i="22"/>
  <c r="C184" i="14"/>
  <c r="G184" i="14"/>
  <c r="H60" i="22" s="1"/>
  <c r="E185" i="14"/>
  <c r="I184" i="14"/>
  <c r="J60" i="22" s="1"/>
  <c r="C185" i="14"/>
  <c r="C186" i="14"/>
  <c r="BB59" i="11"/>
  <c r="E186" i="14"/>
  <c r="C187" i="14"/>
  <c r="D187" i="14"/>
  <c r="C188" i="14"/>
  <c r="I188" i="14"/>
  <c r="J64" i="22" s="1"/>
  <c r="G188" i="14"/>
  <c r="H64" i="22" s="1"/>
  <c r="BE59" i="11"/>
  <c r="E188" i="14"/>
  <c r="H188" i="14"/>
  <c r="I64" i="22" s="1"/>
  <c r="C189" i="14"/>
  <c r="H189" i="14" s="1"/>
  <c r="I65" i="22" s="1"/>
  <c r="G189" i="14"/>
  <c r="H65" i="22" s="1"/>
  <c r="K65" i="22" s="1"/>
  <c r="Z65" i="22" s="1"/>
  <c r="E189" i="14"/>
  <c r="I189" i="14"/>
  <c r="J65" i="22"/>
  <c r="Z66" i="22"/>
  <c r="Z67" i="22"/>
  <c r="C192" i="14"/>
  <c r="H192" i="14" s="1"/>
  <c r="G192" i="14"/>
  <c r="H68" i="22" s="1"/>
  <c r="J68" i="22"/>
  <c r="C193" i="14"/>
  <c r="G193" i="14"/>
  <c r="H69" i="22" s="1"/>
  <c r="E193" i="14"/>
  <c r="H193" i="14"/>
  <c r="I69" i="22"/>
  <c r="C190" i="14"/>
  <c r="I190" i="14"/>
  <c r="J69" i="22" s="1"/>
  <c r="C194" i="14"/>
  <c r="G194" i="14" s="1"/>
  <c r="H70" i="22" s="1"/>
  <c r="BG51" i="11"/>
  <c r="D194" i="14"/>
  <c r="E194" i="14"/>
  <c r="H194" i="14"/>
  <c r="I70" i="22" s="1"/>
  <c r="C191" i="14"/>
  <c r="I191" i="14"/>
  <c r="J70" i="22"/>
  <c r="C195" i="14"/>
  <c r="G195" i="14"/>
  <c r="H71" i="22" s="1"/>
  <c r="BF56" i="11"/>
  <c r="BF55" i="11"/>
  <c r="E195" i="14" s="1"/>
  <c r="H195" i="14" s="1"/>
  <c r="I71" i="22"/>
  <c r="C221" i="14"/>
  <c r="H221" i="14" s="1"/>
  <c r="G221" i="14"/>
  <c r="H32" i="21" s="1"/>
  <c r="AZ73" i="11"/>
  <c r="F221" i="14"/>
  <c r="I221" i="14"/>
  <c r="J32" i="21" s="1"/>
  <c r="E224" i="14"/>
  <c r="H224" i="14" s="1"/>
  <c r="I35" i="21" s="1"/>
  <c r="C224" i="14"/>
  <c r="I224" i="14" s="1"/>
  <c r="J35" i="21" s="1"/>
  <c r="G224" i="14"/>
  <c r="H35" i="21"/>
  <c r="K35" i="21" s="1"/>
  <c r="C198" i="14"/>
  <c r="D198" i="14"/>
  <c r="G198" i="14" s="1"/>
  <c r="H9" i="21" s="1"/>
  <c r="E198" i="14"/>
  <c r="H198" i="14"/>
  <c r="I9" i="21" s="1"/>
  <c r="F198" i="14"/>
  <c r="I198" i="14" s="1"/>
  <c r="J9" i="21" s="1"/>
  <c r="C199" i="14"/>
  <c r="D199" i="14"/>
  <c r="G199" i="14"/>
  <c r="H10" i="21"/>
  <c r="E199" i="14"/>
  <c r="H199" i="14"/>
  <c r="I10" i="21" s="1"/>
  <c r="F199" i="14"/>
  <c r="I199" i="14" s="1"/>
  <c r="C200" i="14"/>
  <c r="G200" i="14" s="1"/>
  <c r="H11" i="21" s="1"/>
  <c r="I200" i="14"/>
  <c r="J11" i="21"/>
  <c r="M72" i="11"/>
  <c r="E200" i="14"/>
  <c r="H200" i="14" s="1"/>
  <c r="C201" i="14"/>
  <c r="D201" i="14"/>
  <c r="G201" i="14"/>
  <c r="H12" i="21" s="1"/>
  <c r="E201" i="14"/>
  <c r="H201" i="14" s="1"/>
  <c r="I12" i="21" s="1"/>
  <c r="F201" i="14"/>
  <c r="I201" i="14" s="1"/>
  <c r="J12" i="21" s="1"/>
  <c r="C202" i="14"/>
  <c r="D202" i="14"/>
  <c r="E202" i="14"/>
  <c r="F202" i="14"/>
  <c r="I202" i="14"/>
  <c r="J13" i="21" s="1"/>
  <c r="C203" i="14"/>
  <c r="G203" i="14" s="1"/>
  <c r="H14" i="21" s="1"/>
  <c r="P64" i="11"/>
  <c r="D203" i="14"/>
  <c r="P70" i="11"/>
  <c r="CB70" i="11" s="1"/>
  <c r="V70" i="11" s="1"/>
  <c r="P71" i="11"/>
  <c r="CB71" i="11" s="1"/>
  <c r="T71" i="11" s="1"/>
  <c r="R181" i="12"/>
  <c r="R68" i="11" s="1"/>
  <c r="P68" i="11"/>
  <c r="R182" i="12"/>
  <c r="AL69" i="11" s="1"/>
  <c r="P69" i="11"/>
  <c r="S186" i="12"/>
  <c r="C204" i="14"/>
  <c r="S177" i="12"/>
  <c r="X64" i="11" s="1"/>
  <c r="D211" i="14" s="1"/>
  <c r="Q70" i="11"/>
  <c r="Q71" i="11"/>
  <c r="Q69" i="11"/>
  <c r="C205" i="14"/>
  <c r="R70" i="11"/>
  <c r="R71" i="11"/>
  <c r="R180" i="12"/>
  <c r="R67" i="11"/>
  <c r="R69" i="11"/>
  <c r="C206" i="14"/>
  <c r="R177" i="12"/>
  <c r="AP64" i="11"/>
  <c r="AP70" i="11"/>
  <c r="V71" i="11"/>
  <c r="V69" i="11"/>
  <c r="C207" i="14"/>
  <c r="U70" i="11"/>
  <c r="U71" i="11"/>
  <c r="U68" i="11"/>
  <c r="U69" i="11"/>
  <c r="AP73" i="11"/>
  <c r="F245" i="14" s="1"/>
  <c r="C208" i="14"/>
  <c r="S70" i="11"/>
  <c r="S71" i="11"/>
  <c r="S68" i="11"/>
  <c r="S69" i="11"/>
  <c r="C209" i="14"/>
  <c r="W64" i="11"/>
  <c r="D209" i="14" s="1"/>
  <c r="W70" i="11"/>
  <c r="W71" i="11"/>
  <c r="C210" i="14"/>
  <c r="T64" i="11"/>
  <c r="D210" i="14" s="1"/>
  <c r="T70" i="11"/>
  <c r="AP71" i="11"/>
  <c r="T69" i="11"/>
  <c r="C211" i="14"/>
  <c r="X70" i="11"/>
  <c r="X71" i="11"/>
  <c r="X69" i="11"/>
  <c r="C212" i="14"/>
  <c r="D213" i="14"/>
  <c r="D212" i="14" s="1"/>
  <c r="Z64" i="11"/>
  <c r="D215" i="14" s="1"/>
  <c r="Y70" i="11"/>
  <c r="Y71" i="11"/>
  <c r="W180" i="12"/>
  <c r="E213" i="14" s="1"/>
  <c r="W185" i="12"/>
  <c r="E212" i="14"/>
  <c r="H212" i="14" s="1"/>
  <c r="I23" i="21" s="1"/>
  <c r="F212" i="14"/>
  <c r="I212" i="14"/>
  <c r="J23" i="21"/>
  <c r="C213" i="14"/>
  <c r="H213" i="14"/>
  <c r="I24" i="21" s="1"/>
  <c r="C214" i="14"/>
  <c r="I214" i="14" s="1"/>
  <c r="G214" i="14"/>
  <c r="H25" i="21"/>
  <c r="H214" i="14"/>
  <c r="I25" i="21" s="1"/>
  <c r="J25" i="21"/>
  <c r="C215" i="14"/>
  <c r="Z70" i="11"/>
  <c r="E215" i="14" s="1"/>
  <c r="Z71" i="11"/>
  <c r="Z73" i="11"/>
  <c r="F215" i="14"/>
  <c r="I215" i="14"/>
  <c r="J26" i="21" s="1"/>
  <c r="C216" i="14"/>
  <c r="G216" i="14" s="1"/>
  <c r="AB64" i="11"/>
  <c r="D216" i="14"/>
  <c r="AB67" i="11"/>
  <c r="E216" i="14"/>
  <c r="H216" i="14"/>
  <c r="I27" i="21" s="1"/>
  <c r="AC68" i="11"/>
  <c r="AC69" i="11"/>
  <c r="AB73" i="11"/>
  <c r="F216" i="14" s="1"/>
  <c r="I216" i="14" s="1"/>
  <c r="J27" i="21"/>
  <c r="C217" i="14"/>
  <c r="AC64" i="11"/>
  <c r="D217" i="14"/>
  <c r="AC73" i="11"/>
  <c r="F217" i="14" s="1"/>
  <c r="I217" i="14" s="1"/>
  <c r="J28" i="21" s="1"/>
  <c r="C218" i="14"/>
  <c r="G218" i="14"/>
  <c r="H29" i="21" s="1"/>
  <c r="D218" i="14"/>
  <c r="F218" i="14"/>
  <c r="I218" i="14"/>
  <c r="J29" i="21" s="1"/>
  <c r="C219" i="14"/>
  <c r="D219" i="14"/>
  <c r="H219" i="14"/>
  <c r="I30" i="21" s="1"/>
  <c r="F219" i="14"/>
  <c r="I219" i="14"/>
  <c r="J30" i="21"/>
  <c r="C220" i="14"/>
  <c r="H220" i="14" s="1"/>
  <c r="D220" i="14"/>
  <c r="G220" i="14"/>
  <c r="H31" i="21"/>
  <c r="E220" i="14"/>
  <c r="I31" i="21"/>
  <c r="F220" i="14"/>
  <c r="I220" i="14" s="1"/>
  <c r="J31" i="21" s="1"/>
  <c r="C222" i="14"/>
  <c r="H222" i="14" s="1"/>
  <c r="I33" i="21" s="1"/>
  <c r="G222" i="14"/>
  <c r="H33" i="21" s="1"/>
  <c r="I222" i="14"/>
  <c r="J33" i="21" s="1"/>
  <c r="C223" i="14"/>
  <c r="H223" i="14"/>
  <c r="I34" i="21"/>
  <c r="I223" i="14"/>
  <c r="J34" i="21" s="1"/>
  <c r="C225" i="14"/>
  <c r="D226" i="14"/>
  <c r="G226" i="14" s="1"/>
  <c r="H37" i="21" s="1"/>
  <c r="C226" i="14"/>
  <c r="H226" i="14"/>
  <c r="I37" i="21" s="1"/>
  <c r="F226" i="14"/>
  <c r="I226" i="14"/>
  <c r="J37" i="21"/>
  <c r="C227" i="14"/>
  <c r="T186" i="12"/>
  <c r="AG75" i="11" s="1"/>
  <c r="F227" i="14" s="1"/>
  <c r="BE74" i="11"/>
  <c r="T177" i="12"/>
  <c r="BE65" i="11" s="1"/>
  <c r="E227" i="14"/>
  <c r="C228" i="14"/>
  <c r="H228" i="14" s="1"/>
  <c r="I39" i="21" s="1"/>
  <c r="D228" i="14"/>
  <c r="I228" i="14"/>
  <c r="J39" i="21"/>
  <c r="C229" i="14"/>
  <c r="D229" i="14"/>
  <c r="F229" i="14"/>
  <c r="C230" i="14"/>
  <c r="I230" i="14" s="1"/>
  <c r="J41" i="21" s="1"/>
  <c r="C231" i="14"/>
  <c r="D231" i="14"/>
  <c r="C232" i="14"/>
  <c r="D232" i="14"/>
  <c r="G232" i="14"/>
  <c r="H43" i="21"/>
  <c r="K43" i="21" s="1"/>
  <c r="Z43" i="21" s="1"/>
  <c r="H232" i="14"/>
  <c r="I43" i="21"/>
  <c r="I232" i="14"/>
  <c r="J43" i="21" s="1"/>
  <c r="C233" i="14"/>
  <c r="D233" i="14"/>
  <c r="C234" i="14"/>
  <c r="H234" i="14" s="1"/>
  <c r="D234" i="14"/>
  <c r="G234" i="14"/>
  <c r="H45" i="21"/>
  <c r="I45" i="21"/>
  <c r="I234" i="14"/>
  <c r="J45" i="21" s="1"/>
  <c r="C235" i="14"/>
  <c r="D235" i="14"/>
  <c r="H235" i="14"/>
  <c r="I46" i="21" s="1"/>
  <c r="C236" i="14"/>
  <c r="D236" i="14"/>
  <c r="G236" i="14" s="1"/>
  <c r="H47" i="21" s="1"/>
  <c r="H236" i="14"/>
  <c r="I47" i="21"/>
  <c r="I236" i="14"/>
  <c r="J47" i="21" s="1"/>
  <c r="C237" i="14"/>
  <c r="G237" i="14"/>
  <c r="H48" i="21" s="1"/>
  <c r="H237" i="14"/>
  <c r="I48" i="21"/>
  <c r="I237" i="14"/>
  <c r="J48" i="21"/>
  <c r="C238" i="14"/>
  <c r="H238" i="14" s="1"/>
  <c r="I49" i="21" s="1"/>
  <c r="C239" i="14"/>
  <c r="BH66" i="11"/>
  <c r="D239" i="14"/>
  <c r="BH75" i="11"/>
  <c r="F239" i="14"/>
  <c r="I239" i="14" s="1"/>
  <c r="J50" i="21" s="1"/>
  <c r="C240" i="14"/>
  <c r="AK64" i="11"/>
  <c r="D240" i="14" s="1"/>
  <c r="AK70" i="11"/>
  <c r="AK71" i="11"/>
  <c r="AM68" i="11"/>
  <c r="AP68" i="11"/>
  <c r="AM69" i="11"/>
  <c r="AP69" i="11"/>
  <c r="AL67" i="11"/>
  <c r="AM67" i="11"/>
  <c r="E242" i="14" s="1"/>
  <c r="AN67" i="11"/>
  <c r="E243" i="14"/>
  <c r="AP67" i="11"/>
  <c r="E245" i="14"/>
  <c r="C241" i="14"/>
  <c r="AL64" i="11"/>
  <c r="D241" i="14" s="1"/>
  <c r="AL70" i="11"/>
  <c r="AL71" i="11"/>
  <c r="C242" i="14"/>
  <c r="AM64" i="11"/>
  <c r="D242" i="14" s="1"/>
  <c r="G242" i="14" s="1"/>
  <c r="H53" i="21" s="1"/>
  <c r="C243" i="14"/>
  <c r="D243" i="14"/>
  <c r="F243" i="14"/>
  <c r="I243" i="14" s="1"/>
  <c r="J54" i="21" s="1"/>
  <c r="C244" i="14"/>
  <c r="D244" i="14"/>
  <c r="AO72" i="11"/>
  <c r="E244" i="14" s="1"/>
  <c r="F244" i="14"/>
  <c r="C245" i="14"/>
  <c r="H245" i="14" s="1"/>
  <c r="I56" i="21" s="1"/>
  <c r="D245" i="14"/>
  <c r="C246" i="14"/>
  <c r="H246" i="14"/>
  <c r="I57" i="21" s="1"/>
  <c r="E246" i="14"/>
  <c r="C247" i="14"/>
  <c r="G247" i="14"/>
  <c r="H58" i="21" s="1"/>
  <c r="E247" i="14"/>
  <c r="I247" i="14"/>
  <c r="J58" i="21"/>
  <c r="C248" i="14"/>
  <c r="AI72" i="11"/>
  <c r="E248" i="14"/>
  <c r="E249" i="14" s="1"/>
  <c r="C249" i="14"/>
  <c r="G249" i="14" s="1"/>
  <c r="H60" i="21" s="1"/>
  <c r="E250" i="14"/>
  <c r="I249" i="14"/>
  <c r="J60" i="21" s="1"/>
  <c r="C250" i="14"/>
  <c r="C251" i="14"/>
  <c r="I251" i="14" s="1"/>
  <c r="J62" i="21" s="1"/>
  <c r="G251" i="14"/>
  <c r="H62" i="21" s="1"/>
  <c r="BB72" i="11"/>
  <c r="E251" i="14" s="1"/>
  <c r="H251" i="14" s="1"/>
  <c r="I62" i="21"/>
  <c r="C252" i="14"/>
  <c r="G252" i="14"/>
  <c r="H63" i="21" s="1"/>
  <c r="K63" i="21" s="1"/>
  <c r="Z63" i="21" s="1"/>
  <c r="D252" i="14"/>
  <c r="H252" i="14"/>
  <c r="I63" i="21" s="1"/>
  <c r="BC75" i="11"/>
  <c r="F252" i="14"/>
  <c r="I252" i="14"/>
  <c r="J63" i="21" s="1"/>
  <c r="C253" i="14"/>
  <c r="I253" i="14" s="1"/>
  <c r="J64" i="21" s="1"/>
  <c r="BE72" i="11"/>
  <c r="E253" i="14"/>
  <c r="C254" i="14"/>
  <c r="H254" i="14" s="1"/>
  <c r="I65" i="21" s="1"/>
  <c r="E254" i="14"/>
  <c r="Z66" i="21"/>
  <c r="Z67" i="21"/>
  <c r="C257" i="14"/>
  <c r="BD72" i="11"/>
  <c r="E257" i="14" s="1"/>
  <c r="C255" i="14"/>
  <c r="I255" i="14" s="1"/>
  <c r="J69" i="21" s="1"/>
  <c r="C258" i="14"/>
  <c r="E258" i="14"/>
  <c r="H258" i="14" s="1"/>
  <c r="I69" i="21" s="1"/>
  <c r="C256" i="14"/>
  <c r="G256" i="14" s="1"/>
  <c r="H70" i="21" s="1"/>
  <c r="C259" i="14"/>
  <c r="E259" i="14"/>
  <c r="H259" i="14"/>
  <c r="I70" i="21" s="1"/>
  <c r="C260" i="14"/>
  <c r="BF68" i="11"/>
  <c r="BF69" i="11"/>
  <c r="E260" i="14" s="1"/>
  <c r="H260" i="14" s="1"/>
  <c r="I71" i="21" s="1"/>
  <c r="C263" i="14"/>
  <c r="I263" i="14" s="1"/>
  <c r="J9" i="20" s="1"/>
  <c r="D263" i="14"/>
  <c r="E263" i="14"/>
  <c r="F263" i="14"/>
  <c r="C264" i="14"/>
  <c r="I264" i="14" s="1"/>
  <c r="J10" i="20" s="1"/>
  <c r="D264" i="14"/>
  <c r="G264" i="14"/>
  <c r="H10" i="20" s="1"/>
  <c r="E264" i="14"/>
  <c r="F264" i="14"/>
  <c r="C265" i="14"/>
  <c r="I265" i="14" s="1"/>
  <c r="J11" i="20" s="1"/>
  <c r="M102" i="11"/>
  <c r="E265" i="14"/>
  <c r="C266" i="14"/>
  <c r="D266" i="14"/>
  <c r="F266" i="14"/>
  <c r="C267" i="14"/>
  <c r="D267" i="14"/>
  <c r="E267" i="14"/>
  <c r="H267" i="14"/>
  <c r="I13" i="20" s="1"/>
  <c r="F267" i="14"/>
  <c r="C268" i="14"/>
  <c r="P94" i="11"/>
  <c r="D268" i="14"/>
  <c r="P101" i="11"/>
  <c r="CB101" i="11" s="1"/>
  <c r="U101" i="11" s="1"/>
  <c r="AP100" i="11"/>
  <c r="P100" i="11"/>
  <c r="CB100" i="11" s="1"/>
  <c r="X100" i="11" s="1"/>
  <c r="R211" i="12"/>
  <c r="R98" i="11" s="1"/>
  <c r="R212" i="12"/>
  <c r="S216" i="12"/>
  <c r="C269" i="14"/>
  <c r="S207" i="12"/>
  <c r="R94" i="11" s="1"/>
  <c r="D270" i="14" s="1"/>
  <c r="G270" i="14" s="1"/>
  <c r="H16" i="20" s="1"/>
  <c r="Q94" i="11"/>
  <c r="D269" i="14"/>
  <c r="Q100" i="11"/>
  <c r="Q101" i="11"/>
  <c r="Q98" i="11"/>
  <c r="C270" i="14"/>
  <c r="R100" i="11"/>
  <c r="R101" i="11"/>
  <c r="R99" i="11"/>
  <c r="C271" i="14"/>
  <c r="V94" i="11"/>
  <c r="D271" i="14" s="1"/>
  <c r="V100" i="11"/>
  <c r="V101" i="11"/>
  <c r="C272" i="14"/>
  <c r="U100" i="11"/>
  <c r="AP101" i="11"/>
  <c r="U98" i="11"/>
  <c r="U103" i="11"/>
  <c r="F272" i="14" s="1"/>
  <c r="I272" i="14" s="1"/>
  <c r="J18" i="20" s="1"/>
  <c r="C273" i="14"/>
  <c r="AP94" i="11"/>
  <c r="S100" i="11"/>
  <c r="S101" i="11"/>
  <c r="S98" i="11"/>
  <c r="C274" i="14"/>
  <c r="W94" i="11"/>
  <c r="D274" i="14"/>
  <c r="W100" i="11"/>
  <c r="E274" i="14" s="1"/>
  <c r="W101" i="11"/>
  <c r="C275" i="14"/>
  <c r="T94" i="11"/>
  <c r="D275" i="14"/>
  <c r="G275" i="14"/>
  <c r="H21" i="20" s="1"/>
  <c r="T100" i="11"/>
  <c r="T101" i="11"/>
  <c r="T98" i="11"/>
  <c r="E275" i="14"/>
  <c r="T99" i="11"/>
  <c r="C276" i="14"/>
  <c r="X94" i="11"/>
  <c r="D276" i="14"/>
  <c r="G276" i="14" s="1"/>
  <c r="X101" i="11"/>
  <c r="X99" i="11"/>
  <c r="C277" i="14"/>
  <c r="D278" i="14"/>
  <c r="Z94" i="11"/>
  <c r="D280" i="14"/>
  <c r="Y100" i="11"/>
  <c r="Y101" i="11"/>
  <c r="W210" i="12"/>
  <c r="E277" i="14" s="1"/>
  <c r="W215" i="12"/>
  <c r="F277" i="14"/>
  <c r="C278" i="14"/>
  <c r="I278" i="14" s="1"/>
  <c r="J24" i="20" s="1"/>
  <c r="G278" i="14"/>
  <c r="H24" i="20" s="1"/>
  <c r="C279" i="14"/>
  <c r="G279" i="14"/>
  <c r="H25" i="20"/>
  <c r="H279" i="14"/>
  <c r="I25" i="20"/>
  <c r="C280" i="14"/>
  <c r="Z100" i="11"/>
  <c r="Z101" i="11"/>
  <c r="E280" i="14"/>
  <c r="Z103" i="11"/>
  <c r="F280" i="14" s="1"/>
  <c r="I280" i="14" s="1"/>
  <c r="J26" i="20" s="1"/>
  <c r="C281" i="14"/>
  <c r="AB94" i="11"/>
  <c r="D281" i="14" s="1"/>
  <c r="AB97" i="11"/>
  <c r="AB103" i="11" s="1"/>
  <c r="F281" i="14" s="1"/>
  <c r="I281" i="14" s="1"/>
  <c r="J27" i="20" s="1"/>
  <c r="E281" i="14"/>
  <c r="AC98" i="11"/>
  <c r="AC99" i="11"/>
  <c r="C282" i="14"/>
  <c r="H282" i="14"/>
  <c r="I28" i="20" s="1"/>
  <c r="AC94" i="11"/>
  <c r="D282" i="14" s="1"/>
  <c r="AC103" i="11"/>
  <c r="F282" i="14"/>
  <c r="I282" i="14"/>
  <c r="J28" i="20" s="1"/>
  <c r="C283" i="14"/>
  <c r="H283" i="14" s="1"/>
  <c r="I29" i="20" s="1"/>
  <c r="D283" i="14"/>
  <c r="E283" i="14"/>
  <c r="F283" i="14"/>
  <c r="I283" i="14"/>
  <c r="J29" i="20"/>
  <c r="C284" i="14"/>
  <c r="D284" i="14"/>
  <c r="F284" i="14"/>
  <c r="I284" i="14"/>
  <c r="J30" i="20" s="1"/>
  <c r="C285" i="14"/>
  <c r="H285" i="14"/>
  <c r="I31" i="20"/>
  <c r="D285" i="14"/>
  <c r="G285" i="14"/>
  <c r="H31" i="20"/>
  <c r="E285" i="14"/>
  <c r="F285" i="14"/>
  <c r="I285" i="14" s="1"/>
  <c r="J31" i="20" s="1"/>
  <c r="C286" i="14"/>
  <c r="G286" i="14" s="1"/>
  <c r="H32" i="20" s="1"/>
  <c r="AZ102" i="11"/>
  <c r="AZ103" i="11"/>
  <c r="F286" i="14"/>
  <c r="I286" i="14" s="1"/>
  <c r="J32" i="20" s="1"/>
  <c r="C287" i="14"/>
  <c r="H287" i="14" s="1"/>
  <c r="I33" i="20" s="1"/>
  <c r="C288" i="14"/>
  <c r="G288" i="14" s="1"/>
  <c r="H34" i="20" s="1"/>
  <c r="H288" i="14"/>
  <c r="I34" i="20"/>
  <c r="C289" i="14"/>
  <c r="E289" i="14"/>
  <c r="C290" i="14"/>
  <c r="I290" i="14" s="1"/>
  <c r="J36" i="20" s="1"/>
  <c r="G290" i="14"/>
  <c r="H36" i="20" s="1"/>
  <c r="H290" i="14"/>
  <c r="I36" i="20" s="1"/>
  <c r="AX96" i="11"/>
  <c r="D291" i="14"/>
  <c r="G291" i="14"/>
  <c r="H37" i="20" s="1"/>
  <c r="H291" i="14"/>
  <c r="I37" i="20" s="1"/>
  <c r="C291" i="14"/>
  <c r="T216" i="12"/>
  <c r="AG105" i="11" s="1"/>
  <c r="F292" i="14" s="1"/>
  <c r="I292" i="14" s="1"/>
  <c r="J38" i="20" s="1"/>
  <c r="C292" i="14"/>
  <c r="T207" i="12"/>
  <c r="BE95" i="11" s="1"/>
  <c r="E292" i="14"/>
  <c r="H292" i="14"/>
  <c r="I38" i="20" s="1"/>
  <c r="C293" i="14"/>
  <c r="D293" i="14"/>
  <c r="C294" i="14"/>
  <c r="D294" i="14"/>
  <c r="F294" i="14"/>
  <c r="C295" i="14"/>
  <c r="I295" i="14" s="1"/>
  <c r="J41" i="20" s="1"/>
  <c r="G295" i="14"/>
  <c r="H41" i="20" s="1"/>
  <c r="H295" i="14"/>
  <c r="I41" i="20" s="1"/>
  <c r="C296" i="14"/>
  <c r="H296" i="14"/>
  <c r="I42" i="20" s="1"/>
  <c r="C297" i="14"/>
  <c r="G297" i="14" s="1"/>
  <c r="H43" i="20" s="1"/>
  <c r="D297" i="14"/>
  <c r="I297" i="14"/>
  <c r="J43" i="20" s="1"/>
  <c r="C298" i="14"/>
  <c r="H298" i="14" s="1"/>
  <c r="I44" i="20" s="1"/>
  <c r="D298" i="14"/>
  <c r="C299" i="14"/>
  <c r="H299" i="14" s="1"/>
  <c r="I45" i="20" s="1"/>
  <c r="G299" i="14"/>
  <c r="H45" i="20"/>
  <c r="C300" i="14"/>
  <c r="D300" i="14"/>
  <c r="G300" i="14"/>
  <c r="H46" i="20" s="1"/>
  <c r="H300" i="14"/>
  <c r="I46" i="20" s="1"/>
  <c r="I300" i="14"/>
  <c r="J46" i="20" s="1"/>
  <c r="C301" i="14"/>
  <c r="H301" i="14" s="1"/>
  <c r="I47" i="20" s="1"/>
  <c r="C302" i="14"/>
  <c r="C303" i="14"/>
  <c r="I303" i="14" s="1"/>
  <c r="J49" i="20" s="1"/>
  <c r="H303" i="14"/>
  <c r="I49" i="20" s="1"/>
  <c r="C304" i="14"/>
  <c r="BH96" i="11"/>
  <c r="D304" i="14" s="1"/>
  <c r="H304" i="14"/>
  <c r="I50" i="20"/>
  <c r="BH105" i="11"/>
  <c r="F304" i="14"/>
  <c r="I304" i="14" s="1"/>
  <c r="J50" i="20" s="1"/>
  <c r="C305" i="14"/>
  <c r="AK94" i="11"/>
  <c r="D305" i="14"/>
  <c r="G305" i="14"/>
  <c r="H51" i="20" s="1"/>
  <c r="AK100" i="11"/>
  <c r="AK101" i="11"/>
  <c r="AL98" i="11"/>
  <c r="AM98" i="11"/>
  <c r="AP98" i="11"/>
  <c r="AL99" i="11"/>
  <c r="AM99" i="11"/>
  <c r="AP99" i="11"/>
  <c r="R210" i="12"/>
  <c r="R97" i="11" s="1"/>
  <c r="AP97" i="11"/>
  <c r="E310" i="14" s="1"/>
  <c r="AO102" i="11"/>
  <c r="E309" i="14"/>
  <c r="BD102" i="11"/>
  <c r="BD106" i="11" s="1"/>
  <c r="AP103" i="11"/>
  <c r="F310" i="14" s="1"/>
  <c r="I310" i="14" s="1"/>
  <c r="J56" i="20" s="1"/>
  <c r="C306" i="14"/>
  <c r="G306" i="14" s="1"/>
  <c r="H52" i="20" s="1"/>
  <c r="AL94" i="11"/>
  <c r="D306" i="14"/>
  <c r="AL100" i="11"/>
  <c r="AL101" i="11"/>
  <c r="C307" i="14"/>
  <c r="AM94" i="11"/>
  <c r="D307" i="14"/>
  <c r="G307" i="14" s="1"/>
  <c r="H53" i="20" s="1"/>
  <c r="AM103" i="11"/>
  <c r="F307" i="14" s="1"/>
  <c r="I307" i="14" s="1"/>
  <c r="J53" i="20" s="1"/>
  <c r="C308" i="14"/>
  <c r="D308" i="14"/>
  <c r="F308" i="14"/>
  <c r="C309" i="14"/>
  <c r="H309" i="14" s="1"/>
  <c r="I55" i="20" s="1"/>
  <c r="D309" i="14"/>
  <c r="F309" i="14"/>
  <c r="I309" i="14" s="1"/>
  <c r="J55" i="20" s="1"/>
  <c r="C310" i="14"/>
  <c r="G310" i="14" s="1"/>
  <c r="H56" i="20" s="1"/>
  <c r="D310" i="14"/>
  <c r="C311" i="14"/>
  <c r="H311" i="14" s="1"/>
  <c r="I57" i="20" s="1"/>
  <c r="I311" i="14"/>
  <c r="G311" i="14"/>
  <c r="H57" i="20" s="1"/>
  <c r="E311" i="14"/>
  <c r="J57" i="20"/>
  <c r="C312" i="14"/>
  <c r="G312" i="14"/>
  <c r="H58" i="20"/>
  <c r="E312" i="14"/>
  <c r="H312" i="14"/>
  <c r="I58" i="20" s="1"/>
  <c r="I312" i="14"/>
  <c r="J58" i="20"/>
  <c r="C313" i="14"/>
  <c r="H313" i="14" s="1"/>
  <c r="I59" i="20" s="1"/>
  <c r="G313" i="14"/>
  <c r="H59" i="20"/>
  <c r="AI102" i="11"/>
  <c r="E313" i="14"/>
  <c r="I313" i="14"/>
  <c r="J59" i="20" s="1"/>
  <c r="C314" i="14"/>
  <c r="G314" i="14" s="1"/>
  <c r="H60" i="20" s="1"/>
  <c r="I314" i="14"/>
  <c r="J60" i="20" s="1"/>
  <c r="E315" i="14"/>
  <c r="C315" i="14"/>
  <c r="I315" i="14" s="1"/>
  <c r="J61" i="20" s="1"/>
  <c r="H315" i="14"/>
  <c r="I61" i="20" s="1"/>
  <c r="C316" i="14"/>
  <c r="BB102" i="11"/>
  <c r="E316" i="14" s="1"/>
  <c r="C317" i="14"/>
  <c r="G317" i="14" s="1"/>
  <c r="H63" i="20" s="1"/>
  <c r="D317" i="14"/>
  <c r="BC105" i="11"/>
  <c r="F317" i="14" s="1"/>
  <c r="I317" i="14" s="1"/>
  <c r="J63" i="20" s="1"/>
  <c r="BC104" i="11"/>
  <c r="C318" i="14"/>
  <c r="I318" i="14"/>
  <c r="J64" i="20" s="1"/>
  <c r="G318" i="14"/>
  <c r="H64" i="20" s="1"/>
  <c r="BE102" i="11"/>
  <c r="E318" i="14"/>
  <c r="H318" i="14" s="1"/>
  <c r="I64" i="20" s="1"/>
  <c r="C319" i="14"/>
  <c r="I319" i="14" s="1"/>
  <c r="J65" i="20" s="1"/>
  <c r="G319" i="14"/>
  <c r="E319" i="14"/>
  <c r="H319" i="14"/>
  <c r="I65" i="20"/>
  <c r="Z66" i="20"/>
  <c r="Z67" i="20"/>
  <c r="C322" i="14"/>
  <c r="G322" i="14" s="1"/>
  <c r="H71" i="20" s="1"/>
  <c r="C320" i="14"/>
  <c r="G320" i="14"/>
  <c r="H69" i="20"/>
  <c r="C323" i="14"/>
  <c r="H323" i="14" s="1"/>
  <c r="I69" i="20" s="1"/>
  <c r="E323" i="14"/>
  <c r="I320" i="14"/>
  <c r="J69" i="20" s="1"/>
  <c r="C321" i="14"/>
  <c r="I321" i="14" s="1"/>
  <c r="J70" i="20" s="1"/>
  <c r="G321" i="14"/>
  <c r="H70" i="20" s="1"/>
  <c r="C324" i="14"/>
  <c r="E324" i="14"/>
  <c r="C325" i="14"/>
  <c r="H325" i="14" s="1"/>
  <c r="I71" i="20" s="1"/>
  <c r="BF98" i="11"/>
  <c r="BF99" i="11"/>
  <c r="E325" i="14" s="1"/>
  <c r="C328" i="14"/>
  <c r="D328" i="14"/>
  <c r="E328" i="14"/>
  <c r="F328" i="14"/>
  <c r="C329" i="14"/>
  <c r="G329" i="14" s="1"/>
  <c r="D329" i="14"/>
  <c r="E329" i="14"/>
  <c r="F329" i="14"/>
  <c r="I329" i="14"/>
  <c r="J10" i="19" s="1"/>
  <c r="C330" i="14"/>
  <c r="H330" i="14" s="1"/>
  <c r="I11" i="19" s="1"/>
  <c r="M115" i="11"/>
  <c r="E330" i="14" s="1"/>
  <c r="C331" i="14"/>
  <c r="D331" i="14"/>
  <c r="E331" i="14"/>
  <c r="F331" i="14"/>
  <c r="I331" i="14"/>
  <c r="J12" i="19" s="1"/>
  <c r="C332" i="14"/>
  <c r="G332" i="14" s="1"/>
  <c r="H13" i="19" s="1"/>
  <c r="D332" i="14"/>
  <c r="E332" i="14"/>
  <c r="F332" i="14"/>
  <c r="I332" i="14"/>
  <c r="J13" i="19" s="1"/>
  <c r="C333" i="14"/>
  <c r="P107" i="11"/>
  <c r="D333" i="14" s="1"/>
  <c r="P113" i="11"/>
  <c r="P114" i="11"/>
  <c r="R224" i="12"/>
  <c r="P111" i="11"/>
  <c r="R225" i="12"/>
  <c r="P112" i="11"/>
  <c r="S229" i="12"/>
  <c r="C334" i="14"/>
  <c r="AP107" i="11"/>
  <c r="S220" i="12"/>
  <c r="W107" i="11" s="1"/>
  <c r="X107" i="11"/>
  <c r="D341" i="14" s="1"/>
  <c r="Q113" i="11"/>
  <c r="Q114" i="11"/>
  <c r="Q111" i="11"/>
  <c r="Q112" i="11"/>
  <c r="Q116" i="11"/>
  <c r="F334" i="14" s="1"/>
  <c r="I334" i="14" s="1"/>
  <c r="J15" i="19" s="1"/>
  <c r="C335" i="14"/>
  <c r="R113" i="11"/>
  <c r="R114" i="11"/>
  <c r="R112" i="11"/>
  <c r="R116" i="11"/>
  <c r="F335" i="14" s="1"/>
  <c r="C336" i="14"/>
  <c r="V113" i="11"/>
  <c r="V114" i="11"/>
  <c r="V111" i="11"/>
  <c r="V112" i="11"/>
  <c r="C337" i="14"/>
  <c r="AP113" i="11"/>
  <c r="U114" i="11"/>
  <c r="U111" i="11"/>
  <c r="U112" i="11"/>
  <c r="AP116" i="11"/>
  <c r="F375" i="14" s="1"/>
  <c r="I375" i="14" s="1"/>
  <c r="J56" i="19" s="1"/>
  <c r="C338" i="14"/>
  <c r="S113" i="11"/>
  <c r="S114" i="11"/>
  <c r="S111" i="11"/>
  <c r="S112" i="11"/>
  <c r="C339" i="14"/>
  <c r="W113" i="11"/>
  <c r="W114" i="11"/>
  <c r="C340" i="14"/>
  <c r="T113" i="11"/>
  <c r="AP114" i="11"/>
  <c r="T111" i="11"/>
  <c r="T112" i="11"/>
  <c r="C341" i="14"/>
  <c r="X113" i="11"/>
  <c r="X114" i="11"/>
  <c r="X112" i="11"/>
  <c r="C342" i="14"/>
  <c r="D343" i="14"/>
  <c r="D342" i="14" s="1"/>
  <c r="Z107" i="11"/>
  <c r="D345" i="14"/>
  <c r="W223" i="12"/>
  <c r="E342" i="14"/>
  <c r="W228" i="12"/>
  <c r="F342" i="14"/>
  <c r="C343" i="14"/>
  <c r="G343" i="14" s="1"/>
  <c r="H24" i="19" s="1"/>
  <c r="Y113" i="11"/>
  <c r="Y114" i="11"/>
  <c r="I343" i="14"/>
  <c r="J24" i="19" s="1"/>
  <c r="C344" i="14"/>
  <c r="H344" i="14" s="1"/>
  <c r="G344" i="14"/>
  <c r="H25" i="19" s="1"/>
  <c r="C345" i="14"/>
  <c r="Z113" i="11"/>
  <c r="E345" i="14" s="1"/>
  <c r="Z114" i="11"/>
  <c r="Z116" i="11"/>
  <c r="F345" i="14"/>
  <c r="I345" i="14"/>
  <c r="J26" i="19" s="1"/>
  <c r="C346" i="14"/>
  <c r="AB107" i="11"/>
  <c r="D346" i="14"/>
  <c r="G346" i="14"/>
  <c r="AB110" i="11"/>
  <c r="E346" i="14"/>
  <c r="H346" i="14"/>
  <c r="I27" i="19" s="1"/>
  <c r="AC111" i="11"/>
  <c r="AB116" i="11" s="1"/>
  <c r="F346" i="14" s="1"/>
  <c r="I346" i="14" s="1"/>
  <c r="J27" i="19" s="1"/>
  <c r="AC112" i="11"/>
  <c r="C347" i="14"/>
  <c r="G347" i="14" s="1"/>
  <c r="H28" i="19" s="1"/>
  <c r="AC107" i="11"/>
  <c r="D347" i="14"/>
  <c r="H347" i="14"/>
  <c r="I28" i="19" s="1"/>
  <c r="AC116" i="11"/>
  <c r="F347" i="14"/>
  <c r="I347" i="14" s="1"/>
  <c r="J28" i="19" s="1"/>
  <c r="C348" i="14"/>
  <c r="D348" i="14"/>
  <c r="E348" i="14"/>
  <c r="H348" i="14" s="1"/>
  <c r="I29" i="19"/>
  <c r="F348" i="14"/>
  <c r="I348" i="14" s="1"/>
  <c r="J29" i="19" s="1"/>
  <c r="C349" i="14"/>
  <c r="D349" i="14"/>
  <c r="G349" i="14"/>
  <c r="H30" i="19" s="1"/>
  <c r="AZ115" i="11"/>
  <c r="F349" i="14"/>
  <c r="I349" i="14" s="1"/>
  <c r="J30" i="19" s="1"/>
  <c r="C350" i="14"/>
  <c r="D350" i="14"/>
  <c r="E350" i="14"/>
  <c r="H350" i="14" s="1"/>
  <c r="I31" i="19"/>
  <c r="F350" i="14"/>
  <c r="I350" i="14" s="1"/>
  <c r="J31" i="19" s="1"/>
  <c r="C351" i="14"/>
  <c r="AZ116" i="11"/>
  <c r="F351" i="14"/>
  <c r="I351" i="14" s="1"/>
  <c r="J32" i="19"/>
  <c r="C352" i="14"/>
  <c r="I352" i="14" s="1"/>
  <c r="J33" i="19" s="1"/>
  <c r="C353" i="14"/>
  <c r="H353" i="14"/>
  <c r="I34" i="19"/>
  <c r="K34" i="19" s="1"/>
  <c r="AD16" i="27" s="1"/>
  <c r="G353" i="14"/>
  <c r="H34" i="19"/>
  <c r="I353" i="14"/>
  <c r="J34" i="19" s="1"/>
  <c r="C354" i="14"/>
  <c r="G354" i="14"/>
  <c r="H35" i="19"/>
  <c r="E354" i="14"/>
  <c r="H354" i="14"/>
  <c r="I354" i="14"/>
  <c r="J35" i="19" s="1"/>
  <c r="C355" i="14"/>
  <c r="G355" i="14"/>
  <c r="H36" i="19"/>
  <c r="D356" i="14"/>
  <c r="G356" i="14"/>
  <c r="H37" i="19" s="1"/>
  <c r="H356" i="14"/>
  <c r="I37" i="19"/>
  <c r="C356" i="14"/>
  <c r="T229" i="12"/>
  <c r="AX116" i="11"/>
  <c r="F356" i="14" s="1"/>
  <c r="I356" i="14" s="1"/>
  <c r="J37" i="19" s="1"/>
  <c r="AX117" i="11"/>
  <c r="C357" i="14"/>
  <c r="H357" i="14" s="1"/>
  <c r="I38" i="19" s="1"/>
  <c r="T220" i="12"/>
  <c r="BC108" i="11" s="1"/>
  <c r="E357" i="14"/>
  <c r="AG118" i="11"/>
  <c r="F357" i="14" s="1"/>
  <c r="I357" i="14"/>
  <c r="J38" i="19"/>
  <c r="C358" i="14"/>
  <c r="D358" i="14"/>
  <c r="G358" i="14"/>
  <c r="H358" i="14"/>
  <c r="I39" i="19" s="1"/>
  <c r="I358" i="14"/>
  <c r="J39" i="19"/>
  <c r="C359" i="14"/>
  <c r="G359" i="14"/>
  <c r="H40" i="19" s="1"/>
  <c r="D359" i="14"/>
  <c r="F359" i="14"/>
  <c r="I359" i="14" s="1"/>
  <c r="J40" i="19"/>
  <c r="C360" i="14"/>
  <c r="H360" i="14" s="1"/>
  <c r="I41" i="19" s="1"/>
  <c r="I360" i="14"/>
  <c r="J41" i="19" s="1"/>
  <c r="C361" i="14"/>
  <c r="H361" i="14"/>
  <c r="I42" i="19"/>
  <c r="C362" i="14"/>
  <c r="I362" i="14"/>
  <c r="J43" i="19" s="1"/>
  <c r="C363" i="14"/>
  <c r="G363" i="14" s="1"/>
  <c r="H44" i="19" s="1"/>
  <c r="K44" i="19" s="1"/>
  <c r="V44" i="19" s="1"/>
  <c r="H363" i="14"/>
  <c r="I44" i="19"/>
  <c r="I363" i="14"/>
  <c r="J44" i="19"/>
  <c r="C364" i="14"/>
  <c r="C365" i="14"/>
  <c r="H365" i="14" s="1"/>
  <c r="I46" i="19" s="1"/>
  <c r="D365" i="14"/>
  <c r="I365" i="14"/>
  <c r="J46" i="19" s="1"/>
  <c r="C366" i="14"/>
  <c r="C367" i="14"/>
  <c r="G367" i="14"/>
  <c r="H48" i="19"/>
  <c r="H367" i="14"/>
  <c r="I48" i="19" s="1"/>
  <c r="I367" i="14"/>
  <c r="J48" i="19" s="1"/>
  <c r="C368" i="14"/>
  <c r="H368" i="14" s="1"/>
  <c r="I49" i="19"/>
  <c r="C369" i="14"/>
  <c r="BH109" i="11"/>
  <c r="D369" i="14"/>
  <c r="G369" i="14" s="1"/>
  <c r="H50" i="19" s="1"/>
  <c r="H369" i="14"/>
  <c r="I50" i="19" s="1"/>
  <c r="C370" i="14"/>
  <c r="AK107" i="11"/>
  <c r="D370" i="14"/>
  <c r="AK113" i="11"/>
  <c r="AK114" i="11"/>
  <c r="AL111" i="11"/>
  <c r="AM111" i="11"/>
  <c r="AP111" i="11"/>
  <c r="AL112" i="11"/>
  <c r="AM112" i="11"/>
  <c r="AP112" i="11"/>
  <c r="R223" i="12"/>
  <c r="AL110" i="11"/>
  <c r="E371" i="14"/>
  <c r="AK116" i="11"/>
  <c r="C371" i="14"/>
  <c r="H371" i="14" s="1"/>
  <c r="I52" i="19" s="1"/>
  <c r="AL113" i="11"/>
  <c r="AL114" i="11"/>
  <c r="AL116" i="11"/>
  <c r="F371" i="14"/>
  <c r="I371" i="14"/>
  <c r="J52" i="19" s="1"/>
  <c r="C372" i="14"/>
  <c r="AM116" i="11"/>
  <c r="F372" i="14"/>
  <c r="C373" i="14"/>
  <c r="G373" i="14" s="1"/>
  <c r="D373" i="14"/>
  <c r="H54" i="19"/>
  <c r="F373" i="14"/>
  <c r="I373" i="14" s="1"/>
  <c r="J54" i="19" s="1"/>
  <c r="C374" i="14"/>
  <c r="D374" i="14"/>
  <c r="AO115" i="11"/>
  <c r="E374" i="14" s="1"/>
  <c r="F374" i="14"/>
  <c r="I374" i="14"/>
  <c r="J55" i="19" s="1"/>
  <c r="C375" i="14"/>
  <c r="D375" i="14"/>
  <c r="C376" i="14"/>
  <c r="G376" i="14" s="1"/>
  <c r="H57" i="19" s="1"/>
  <c r="I376" i="14"/>
  <c r="J57" i="19"/>
  <c r="C377" i="14"/>
  <c r="G377" i="14" s="1"/>
  <c r="H58" i="19" s="1"/>
  <c r="E377" i="14"/>
  <c r="H377" i="14"/>
  <c r="I58" i="19" s="1"/>
  <c r="I377" i="14"/>
  <c r="J58" i="19"/>
  <c r="C378" i="14"/>
  <c r="G378" i="14" s="1"/>
  <c r="H59" i="19" s="1"/>
  <c r="AI115" i="11"/>
  <c r="E378" i="14"/>
  <c r="E379" i="14" s="1"/>
  <c r="I378" i="14"/>
  <c r="J59" i="19" s="1"/>
  <c r="C379" i="14"/>
  <c r="E380" i="14"/>
  <c r="C380" i="14"/>
  <c r="H380" i="14" s="1"/>
  <c r="I61" i="19" s="1"/>
  <c r="G380" i="14"/>
  <c r="I380" i="14"/>
  <c r="J61" i="19"/>
  <c r="C381" i="14"/>
  <c r="BB115" i="11"/>
  <c r="E381" i="14" s="1"/>
  <c r="C382" i="14"/>
  <c r="H382" i="14" s="1"/>
  <c r="I63" i="19" s="1"/>
  <c r="D382" i="14"/>
  <c r="G382" i="14"/>
  <c r="H63" i="19"/>
  <c r="BC118" i="11"/>
  <c r="BC117" i="11"/>
  <c r="C383" i="14"/>
  <c r="BE115" i="11"/>
  <c r="E383" i="14"/>
  <c r="C384" i="14"/>
  <c r="I384" i="14" s="1"/>
  <c r="E384" i="14"/>
  <c r="H384" i="14"/>
  <c r="I65" i="19" s="1"/>
  <c r="Z66" i="19"/>
  <c r="Z67" i="19"/>
  <c r="C387" i="14"/>
  <c r="BD115" i="11"/>
  <c r="E387" i="14"/>
  <c r="C385" i="14"/>
  <c r="C388" i="14"/>
  <c r="E388" i="14"/>
  <c r="H388" i="14"/>
  <c r="I69" i="19" s="1"/>
  <c r="C386" i="14"/>
  <c r="G386" i="14"/>
  <c r="H70" i="19" s="1"/>
  <c r="C389" i="14"/>
  <c r="H389" i="14"/>
  <c r="I70" i="19"/>
  <c r="E389" i="14"/>
  <c r="I386" i="14"/>
  <c r="J70" i="19"/>
  <c r="G387" i="14"/>
  <c r="H71" i="19" s="1"/>
  <c r="C390" i="14"/>
  <c r="BF111" i="11"/>
  <c r="BF112" i="11"/>
  <c r="I387" i="14"/>
  <c r="J71" i="19" s="1"/>
  <c r="C393" i="14"/>
  <c r="H393" i="14" s="1"/>
  <c r="I9" i="18" s="1"/>
  <c r="D393" i="14"/>
  <c r="E393" i="14"/>
  <c r="F393" i="14"/>
  <c r="C394" i="14"/>
  <c r="H394" i="14" s="1"/>
  <c r="I10" i="18" s="1"/>
  <c r="D394" i="14"/>
  <c r="G394" i="14"/>
  <c r="H10" i="18" s="1"/>
  <c r="E394" i="14"/>
  <c r="F394" i="14"/>
  <c r="I394" i="14" s="1"/>
  <c r="J10" i="18" s="1"/>
  <c r="C395" i="14"/>
  <c r="M128" i="11"/>
  <c r="E395" i="14"/>
  <c r="C396" i="14"/>
  <c r="D396" i="14"/>
  <c r="E396" i="14"/>
  <c r="F396" i="14"/>
  <c r="I396" i="14"/>
  <c r="J12" i="18" s="1"/>
  <c r="C397" i="14"/>
  <c r="D397" i="14"/>
  <c r="G397" i="14"/>
  <c r="H13" i="18" s="1"/>
  <c r="E397" i="14"/>
  <c r="H397" i="14"/>
  <c r="F397" i="14"/>
  <c r="I397" i="14"/>
  <c r="J13" i="18"/>
  <c r="C398" i="14"/>
  <c r="P120" i="11"/>
  <c r="D398" i="14"/>
  <c r="G398" i="14"/>
  <c r="H14" i="18" s="1"/>
  <c r="P126" i="11"/>
  <c r="CB126" i="11"/>
  <c r="Q126" i="11"/>
  <c r="P127" i="11"/>
  <c r="R237" i="12"/>
  <c r="Q124" i="11" s="1"/>
  <c r="P124" i="11"/>
  <c r="R238" i="12"/>
  <c r="P125" i="11" s="1"/>
  <c r="S242" i="12"/>
  <c r="V129" i="11" s="1"/>
  <c r="F401" i="14" s="1"/>
  <c r="I401" i="14" s="1"/>
  <c r="J17" i="18" s="1"/>
  <c r="P129" i="11"/>
  <c r="C399" i="14"/>
  <c r="S233" i="12"/>
  <c r="U120" i="11"/>
  <c r="Q120" i="11"/>
  <c r="D399" i="14" s="1"/>
  <c r="AP126" i="11"/>
  <c r="Q127" i="11"/>
  <c r="C400" i="14"/>
  <c r="AP120" i="11"/>
  <c r="R126" i="11"/>
  <c r="R127" i="11"/>
  <c r="C401" i="14"/>
  <c r="V120" i="11"/>
  <c r="D401" i="14"/>
  <c r="G401" i="14"/>
  <c r="H17" i="18"/>
  <c r="V126" i="11"/>
  <c r="V127" i="11"/>
  <c r="V125" i="11"/>
  <c r="C402" i="14"/>
  <c r="U126" i="11"/>
  <c r="E402" i="14"/>
  <c r="H402" i="14"/>
  <c r="I18" i="18" s="1"/>
  <c r="AP127" i="11"/>
  <c r="U127" i="11"/>
  <c r="U124" i="11"/>
  <c r="U125" i="11"/>
  <c r="C403" i="14"/>
  <c r="S120" i="11"/>
  <c r="S126" i="11"/>
  <c r="S127" i="11"/>
  <c r="C404" i="14"/>
  <c r="W120" i="11"/>
  <c r="D404" i="14"/>
  <c r="W126" i="11"/>
  <c r="W127" i="11"/>
  <c r="C405" i="14"/>
  <c r="T126" i="11"/>
  <c r="T127" i="11"/>
  <c r="T125" i="11"/>
  <c r="T129" i="11"/>
  <c r="F405" i="14" s="1"/>
  <c r="I405" i="14" s="1"/>
  <c r="J21" i="18" s="1"/>
  <c r="C406" i="14"/>
  <c r="X120" i="11"/>
  <c r="D406" i="14" s="1"/>
  <c r="G406" i="14" s="1"/>
  <c r="X126" i="11"/>
  <c r="X127" i="11"/>
  <c r="BC3" i="11"/>
  <c r="AR124" i="11"/>
  <c r="X124" i="11"/>
  <c r="AQ125" i="11"/>
  <c r="X129" i="11"/>
  <c r="F406" i="14"/>
  <c r="I406" i="14" s="1"/>
  <c r="J22" i="18" s="1"/>
  <c r="C407" i="14"/>
  <c r="D408" i="14"/>
  <c r="Z120" i="11"/>
  <c r="D410" i="14" s="1"/>
  <c r="D407" i="14" s="1"/>
  <c r="W236" i="12"/>
  <c r="E408" i="14" s="1"/>
  <c r="W241" i="12"/>
  <c r="F407" i="14"/>
  <c r="I407" i="14"/>
  <c r="J23" i="18"/>
  <c r="C408" i="14"/>
  <c r="Y126" i="11"/>
  <c r="Y127" i="11"/>
  <c r="I408" i="14"/>
  <c r="J24" i="18" s="1"/>
  <c r="C409" i="14"/>
  <c r="H409" i="14" s="1"/>
  <c r="I25" i="18" s="1"/>
  <c r="G409" i="14"/>
  <c r="H25" i="18" s="1"/>
  <c r="C410" i="14"/>
  <c r="Z126" i="11"/>
  <c r="E410" i="14" s="1"/>
  <c r="Z127" i="11"/>
  <c r="Z129" i="11"/>
  <c r="F410" i="14"/>
  <c r="I410" i="14"/>
  <c r="J26" i="18" s="1"/>
  <c r="C411" i="14"/>
  <c r="AB120" i="11"/>
  <c r="D411" i="14"/>
  <c r="AB123" i="11"/>
  <c r="AB129" i="11" s="1"/>
  <c r="F411" i="14" s="1"/>
  <c r="I411" i="14" s="1"/>
  <c r="J27" i="18" s="1"/>
  <c r="AC124" i="11"/>
  <c r="AC125" i="11"/>
  <c r="C412" i="14"/>
  <c r="H412" i="14" s="1"/>
  <c r="I28" i="18" s="1"/>
  <c r="AC120" i="11"/>
  <c r="D412" i="14"/>
  <c r="C413" i="14"/>
  <c r="H413" i="14" s="1"/>
  <c r="I29" i="18" s="1"/>
  <c r="D413" i="14"/>
  <c r="E413" i="14"/>
  <c r="F413" i="14"/>
  <c r="I413" i="14" s="1"/>
  <c r="J29" i="18" s="1"/>
  <c r="C414" i="14"/>
  <c r="I414" i="14" s="1"/>
  <c r="J30" i="18" s="1"/>
  <c r="D414" i="14"/>
  <c r="F414" i="14"/>
  <c r="C415" i="14"/>
  <c r="D415" i="14"/>
  <c r="E415" i="14"/>
  <c r="F415" i="14"/>
  <c r="I415" i="14" s="1"/>
  <c r="J31" i="18" s="1"/>
  <c r="C416" i="14"/>
  <c r="AZ129" i="11"/>
  <c r="F416" i="14" s="1"/>
  <c r="C417" i="14"/>
  <c r="C418" i="14"/>
  <c r="I418" i="14" s="1"/>
  <c r="J34" i="18" s="1"/>
  <c r="H418" i="14"/>
  <c r="I34" i="18"/>
  <c r="C419" i="14"/>
  <c r="I419" i="14" s="1"/>
  <c r="J35" i="18" s="1"/>
  <c r="E419" i="14"/>
  <c r="H419" i="14"/>
  <c r="C420" i="14"/>
  <c r="AX122" i="11"/>
  <c r="D421" i="14" s="1"/>
  <c r="G421" i="14" s="1"/>
  <c r="H37" i="18" s="1"/>
  <c r="E421" i="14"/>
  <c r="H421" i="14" s="1"/>
  <c r="I37" i="18" s="1"/>
  <c r="C421" i="14"/>
  <c r="T242" i="12"/>
  <c r="AG131" i="11" s="1"/>
  <c r="F422" i="14" s="1"/>
  <c r="I422" i="14" s="1"/>
  <c r="AX129" i="11"/>
  <c r="AX130" i="11"/>
  <c r="C422" i="14"/>
  <c r="T233" i="12"/>
  <c r="BE121" i="11" s="1"/>
  <c r="AG122" i="11" s="1"/>
  <c r="D422" i="14" s="1"/>
  <c r="E422" i="14"/>
  <c r="H422" i="14"/>
  <c r="I38" i="18" s="1"/>
  <c r="J38" i="18"/>
  <c r="C423" i="14"/>
  <c r="G423" i="14" s="1"/>
  <c r="H39" i="18" s="1"/>
  <c r="H423" i="14"/>
  <c r="I39" i="18" s="1"/>
  <c r="I423" i="14"/>
  <c r="J39" i="18"/>
  <c r="C424" i="14"/>
  <c r="D424" i="14"/>
  <c r="G424" i="14"/>
  <c r="H40" i="18"/>
  <c r="H424" i="14"/>
  <c r="I40" i="18" s="1"/>
  <c r="F424" i="14"/>
  <c r="I424" i="14"/>
  <c r="C425" i="14"/>
  <c r="G425" i="14"/>
  <c r="H41" i="18"/>
  <c r="H425" i="14"/>
  <c r="I41" i="18" s="1"/>
  <c r="I425" i="14"/>
  <c r="J41" i="18"/>
  <c r="C426" i="14"/>
  <c r="H426" i="14" s="1"/>
  <c r="I42" i="18" s="1"/>
  <c r="I426" i="14"/>
  <c r="J42" i="18" s="1"/>
  <c r="C427" i="14"/>
  <c r="C428" i="14"/>
  <c r="H428" i="14" s="1"/>
  <c r="I44" i="18" s="1"/>
  <c r="G428" i="14"/>
  <c r="H44" i="18" s="1"/>
  <c r="C429" i="14"/>
  <c r="G429" i="14"/>
  <c r="H45" i="18"/>
  <c r="C430" i="14"/>
  <c r="D430" i="14"/>
  <c r="G430" i="14"/>
  <c r="H46" i="18"/>
  <c r="H430" i="14"/>
  <c r="I46" i="18" s="1"/>
  <c r="I430" i="14"/>
  <c r="J46" i="18"/>
  <c r="C431" i="14"/>
  <c r="G431" i="14" s="1"/>
  <c r="H47" i="18" s="1"/>
  <c r="H431" i="14"/>
  <c r="I47" i="18" s="1"/>
  <c r="C432" i="14"/>
  <c r="G432" i="14" s="1"/>
  <c r="H48" i="18" s="1"/>
  <c r="C433" i="14"/>
  <c r="I433" i="14" s="1"/>
  <c r="J49" i="18" s="1"/>
  <c r="H433" i="14"/>
  <c r="I49" i="18"/>
  <c r="C434" i="14"/>
  <c r="BH122" i="11"/>
  <c r="D434" i="14" s="1"/>
  <c r="BH131" i="11"/>
  <c r="F434" i="14"/>
  <c r="C435" i="14"/>
  <c r="G435" i="14" s="1"/>
  <c r="H51" i="18" s="1"/>
  <c r="AK120" i="11"/>
  <c r="D435" i="14" s="1"/>
  <c r="AK126" i="11"/>
  <c r="AK127" i="11"/>
  <c r="AL124" i="11"/>
  <c r="AM124" i="11"/>
  <c r="AP124" i="11"/>
  <c r="AL125" i="11"/>
  <c r="AM125" i="11"/>
  <c r="AP125" i="11"/>
  <c r="R236" i="12"/>
  <c r="AN123" i="11" s="1"/>
  <c r="AO128" i="11"/>
  <c r="E439" i="14"/>
  <c r="BD128" i="11"/>
  <c r="AP129" i="11"/>
  <c r="F440" i="14" s="1"/>
  <c r="I440" i="14" s="1"/>
  <c r="J56" i="18" s="1"/>
  <c r="C436" i="14"/>
  <c r="AL120" i="11"/>
  <c r="D436" i="14"/>
  <c r="G436" i="14" s="1"/>
  <c r="H52" i="18" s="1"/>
  <c r="AL126" i="11"/>
  <c r="AL127" i="11"/>
  <c r="AL129" i="11"/>
  <c r="F436" i="14" s="1"/>
  <c r="I436" i="14" s="1"/>
  <c r="J52" i="18" s="1"/>
  <c r="C437" i="14"/>
  <c r="AM120" i="11"/>
  <c r="D437" i="14"/>
  <c r="G437" i="14"/>
  <c r="H53" i="18" s="1"/>
  <c r="AM129" i="11"/>
  <c r="F437" i="14"/>
  <c r="I437" i="14"/>
  <c r="J53" i="18" s="1"/>
  <c r="C438" i="14"/>
  <c r="G438" i="14"/>
  <c r="H54" i="18"/>
  <c r="D438" i="14"/>
  <c r="F438" i="14"/>
  <c r="I438" i="14"/>
  <c r="J54" i="18"/>
  <c r="C439" i="14"/>
  <c r="H439" i="14" s="1"/>
  <c r="I55" i="18" s="1"/>
  <c r="D439" i="14"/>
  <c r="F439" i="14"/>
  <c r="I439" i="14"/>
  <c r="J55" i="18" s="1"/>
  <c r="C440" i="14"/>
  <c r="G440" i="14"/>
  <c r="H56" i="18"/>
  <c r="C441" i="14"/>
  <c r="H441" i="14" s="1"/>
  <c r="I57" i="18" s="1"/>
  <c r="E441" i="14"/>
  <c r="C442" i="14"/>
  <c r="H442" i="14" s="1"/>
  <c r="I58" i="18" s="1"/>
  <c r="G442" i="14"/>
  <c r="H58" i="18" s="1"/>
  <c r="E442" i="14"/>
  <c r="C443" i="14"/>
  <c r="AI128" i="11"/>
  <c r="E443" i="14" s="1"/>
  <c r="E444" i="14" s="1"/>
  <c r="H444" i="14" s="1"/>
  <c r="I60" i="18" s="1"/>
  <c r="C444" i="14"/>
  <c r="G444" i="14"/>
  <c r="H60" i="18"/>
  <c r="E445" i="14"/>
  <c r="I444" i="14"/>
  <c r="J60" i="18"/>
  <c r="C445" i="14"/>
  <c r="G445" i="14" s="1"/>
  <c r="H61" i="18" s="1"/>
  <c r="C446" i="14"/>
  <c r="H446" i="14" s="1"/>
  <c r="I62" i="18" s="1"/>
  <c r="G446" i="14"/>
  <c r="BB128" i="11"/>
  <c r="E446" i="14"/>
  <c r="I446" i="14"/>
  <c r="J62" i="18"/>
  <c r="C447" i="14"/>
  <c r="D447" i="14"/>
  <c r="G447" i="14"/>
  <c r="H63" i="18"/>
  <c r="H447" i="14"/>
  <c r="I63" i="18" s="1"/>
  <c r="BC131" i="11"/>
  <c r="F447" i="14"/>
  <c r="I447" i="14" s="1"/>
  <c r="J63" i="18" s="1"/>
  <c r="BC130" i="11"/>
  <c r="C448" i="14"/>
  <c r="H448" i="14" s="1"/>
  <c r="I64" i="18" s="1"/>
  <c r="BE128" i="11"/>
  <c r="E448" i="14"/>
  <c r="C449" i="14"/>
  <c r="E449" i="14"/>
  <c r="I449" i="14"/>
  <c r="Z66" i="18"/>
  <c r="Z67" i="18"/>
  <c r="C452" i="14"/>
  <c r="E452" i="14"/>
  <c r="H452" i="14"/>
  <c r="I68" i="18" s="1"/>
  <c r="C450" i="14"/>
  <c r="G450" i="14"/>
  <c r="H69" i="18"/>
  <c r="C453" i="14"/>
  <c r="H453" i="14" s="1"/>
  <c r="E453" i="14"/>
  <c r="I69" i="18"/>
  <c r="C451" i="14"/>
  <c r="I451" i="14" s="1"/>
  <c r="J70" i="18" s="1"/>
  <c r="G451" i="14"/>
  <c r="H70" i="18" s="1"/>
  <c r="C454" i="14"/>
  <c r="H454" i="14"/>
  <c r="I70" i="18"/>
  <c r="G452" i="14"/>
  <c r="H71" i="18" s="1"/>
  <c r="C455" i="14"/>
  <c r="BF124" i="11"/>
  <c r="E455" i="14" s="1"/>
  <c r="H455" i="14" s="1"/>
  <c r="I71" i="18" s="1"/>
  <c r="BF125" i="11"/>
  <c r="I452" i="14"/>
  <c r="J71" i="18" s="1"/>
  <c r="C5" i="14"/>
  <c r="I5" i="14" s="1"/>
  <c r="J11" i="15" s="1"/>
  <c r="K11" i="15" s="1"/>
  <c r="E11" i="27" s="1"/>
  <c r="G5" i="14"/>
  <c r="H11" i="15" s="1"/>
  <c r="M33" i="11"/>
  <c r="E5" i="14"/>
  <c r="H5" i="14"/>
  <c r="Z33" i="15"/>
  <c r="C31" i="14"/>
  <c r="Z41" i="15"/>
  <c r="C36" i="14"/>
  <c r="H36" i="14" s="1"/>
  <c r="G36" i="14"/>
  <c r="H42" i="15" s="1"/>
  <c r="D36" i="14"/>
  <c r="F36" i="14"/>
  <c r="I36" i="14" s="1"/>
  <c r="J42" i="15" s="1"/>
  <c r="G52" i="14"/>
  <c r="H58" i="15"/>
  <c r="I52" i="14"/>
  <c r="J58" i="15" s="1"/>
  <c r="Z66" i="15"/>
  <c r="Z67" i="15"/>
  <c r="Z69" i="15"/>
  <c r="G62" i="14"/>
  <c r="H71" i="15" s="1"/>
  <c r="C65" i="14"/>
  <c r="H65" i="14"/>
  <c r="I71" i="15"/>
  <c r="E65" i="14"/>
  <c r="I62" i="14"/>
  <c r="J71" i="15"/>
  <c r="H20" i="12"/>
  <c r="V109" i="12"/>
  <c r="V108" i="12"/>
  <c r="V106" i="12"/>
  <c r="V95" i="12"/>
  <c r="V81" i="12"/>
  <c r="V80" i="12"/>
  <c r="V79" i="12"/>
  <c r="V67" i="12"/>
  <c r="V65" i="12"/>
  <c r="V53" i="12"/>
  <c r="V51" i="12"/>
  <c r="V50" i="12"/>
  <c r="V38" i="12"/>
  <c r="R106" i="12"/>
  <c r="V23" i="12"/>
  <c r="V25" i="12"/>
  <c r="V24" i="12"/>
  <c r="N147" i="12" s="1"/>
  <c r="N131" i="11"/>
  <c r="N121" i="11"/>
  <c r="N118" i="11"/>
  <c r="N119" i="11" s="1"/>
  <c r="N108" i="11"/>
  <c r="N105" i="11"/>
  <c r="N95" i="11"/>
  <c r="N75" i="11"/>
  <c r="N65" i="11"/>
  <c r="N62" i="11"/>
  <c r="N52" i="11"/>
  <c r="N49" i="11"/>
  <c r="N39" i="11"/>
  <c r="N36" i="11"/>
  <c r="N26" i="11"/>
  <c r="N37" i="11"/>
  <c r="O94" i="12"/>
  <c r="O95" i="12"/>
  <c r="O96" i="12"/>
  <c r="O97" i="12"/>
  <c r="O98" i="12"/>
  <c r="O99" i="12"/>
  <c r="O93" i="12"/>
  <c r="P131" i="12"/>
  <c r="Q151" i="12"/>
  <c r="O90" i="12"/>
  <c r="P128" i="12"/>
  <c r="U151" i="12"/>
  <c r="O92" i="12"/>
  <c r="P130" i="12" s="1"/>
  <c r="P129" i="12"/>
  <c r="P132" i="12"/>
  <c r="AI13" i="11"/>
  <c r="BG120" i="11"/>
  <c r="BG107" i="11"/>
  <c r="BG94" i="11"/>
  <c r="BG64" i="11"/>
  <c r="AM51" i="11"/>
  <c r="BG38" i="11"/>
  <c r="AM60" i="11"/>
  <c r="AM47" i="11"/>
  <c r="N202" i="12"/>
  <c r="N192" i="12"/>
  <c r="N182" i="12"/>
  <c r="N172" i="12"/>
  <c r="N162" i="12"/>
  <c r="N152" i="12"/>
  <c r="N142" i="12"/>
  <c r="O32" i="11"/>
  <c r="CC32" i="11" s="1"/>
  <c r="O31" i="11"/>
  <c r="BG25" i="11"/>
  <c r="BG37" i="11" s="1"/>
  <c r="BP125" i="11"/>
  <c r="BP124" i="11"/>
  <c r="BP112" i="11"/>
  <c r="BP111" i="11"/>
  <c r="BP99" i="11"/>
  <c r="BP98" i="11"/>
  <c r="BP69" i="11"/>
  <c r="BP68" i="11"/>
  <c r="BP55" i="11"/>
  <c r="BP56" i="11"/>
  <c r="BP43" i="11"/>
  <c r="BP42" i="11"/>
  <c r="BP30" i="11"/>
  <c r="BP29" i="11"/>
  <c r="G141" i="12"/>
  <c r="A167" i="12"/>
  <c r="A169" i="12"/>
  <c r="A171" i="12"/>
  <c r="B170" i="12"/>
  <c r="O142" i="12"/>
  <c r="L205" i="12"/>
  <c r="L200" i="12"/>
  <c r="L195" i="12"/>
  <c r="L190" i="12"/>
  <c r="L185" i="12"/>
  <c r="L180" i="12"/>
  <c r="L175" i="12"/>
  <c r="L170" i="12"/>
  <c r="L165" i="12"/>
  <c r="L160" i="12"/>
  <c r="L155" i="12"/>
  <c r="L150" i="12"/>
  <c r="L145" i="12"/>
  <c r="L140" i="12"/>
  <c r="A178" i="12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G138" i="12"/>
  <c r="G139" i="12"/>
  <c r="G140" i="12"/>
  <c r="L138" i="12"/>
  <c r="L142" i="12" s="1"/>
  <c r="L139" i="12"/>
  <c r="F25" i="11"/>
  <c r="A93" i="12"/>
  <c r="A95" i="12"/>
  <c r="A97" i="12"/>
  <c r="A99" i="12"/>
  <c r="A101" i="12"/>
  <c r="AK1" i="27"/>
  <c r="Y1" i="15"/>
  <c r="I4" i="12"/>
  <c r="C8" i="11"/>
  <c r="AK4" i="27"/>
  <c r="W35" i="27"/>
  <c r="W36" i="27"/>
  <c r="CF120" i="11"/>
  <c r="O126" i="11"/>
  <c r="O132" i="11" s="1"/>
  <c r="O127" i="11"/>
  <c r="CC127" i="11" s="1"/>
  <c r="AQ111" i="11"/>
  <c r="AR111" i="11"/>
  <c r="AQ112" i="11"/>
  <c r="AR112" i="11"/>
  <c r="CF107" i="11"/>
  <c r="O113" i="11"/>
  <c r="O119" i="11" s="1"/>
  <c r="O114" i="11"/>
  <c r="CF94" i="11"/>
  <c r="O100" i="11"/>
  <c r="O101" i="11"/>
  <c r="CC101" i="11" s="1"/>
  <c r="CF64" i="11"/>
  <c r="O70" i="11"/>
  <c r="O71" i="11"/>
  <c r="AA29" i="27"/>
  <c r="G29" i="27"/>
  <c r="AC28" i="27"/>
  <c r="R28" i="27"/>
  <c r="AQ55" i="11"/>
  <c r="AR55" i="11"/>
  <c r="CF51" i="11"/>
  <c r="O57" i="11"/>
  <c r="O63" i="11" s="1"/>
  <c r="O58" i="11"/>
  <c r="H27" i="27"/>
  <c r="CF38" i="11"/>
  <c r="AE26" i="27"/>
  <c r="E26" i="27"/>
  <c r="AC11" i="27"/>
  <c r="CF25" i="11"/>
  <c r="AI33" i="27"/>
  <c r="AK30" i="27"/>
  <c r="H21" i="12"/>
  <c r="B88" i="22"/>
  <c r="B89" i="22"/>
  <c r="B90" i="22"/>
  <c r="B91" i="22"/>
  <c r="B92" i="22"/>
  <c r="B93" i="22"/>
  <c r="B94" i="22"/>
  <c r="B95" i="22"/>
  <c r="B96" i="22"/>
  <c r="B88" i="21"/>
  <c r="B89" i="21"/>
  <c r="B90" i="21"/>
  <c r="B91" i="21"/>
  <c r="B92" i="21"/>
  <c r="B93" i="21"/>
  <c r="B94" i="21"/>
  <c r="B95" i="21"/>
  <c r="B96" i="21"/>
  <c r="B88" i="20"/>
  <c r="B89" i="20"/>
  <c r="B90" i="20"/>
  <c r="B91" i="20"/>
  <c r="B92" i="20"/>
  <c r="B93" i="20"/>
  <c r="B94" i="20"/>
  <c r="B95" i="20"/>
  <c r="B96" i="20"/>
  <c r="B88" i="19"/>
  <c r="B89" i="19"/>
  <c r="B90" i="19"/>
  <c r="B91" i="19"/>
  <c r="B92" i="19"/>
  <c r="B93" i="19"/>
  <c r="B94" i="19"/>
  <c r="B95" i="19"/>
  <c r="B96" i="19"/>
  <c r="B88" i="18"/>
  <c r="B89" i="18"/>
  <c r="B90" i="18"/>
  <c r="B91" i="18"/>
  <c r="B92" i="18"/>
  <c r="B93" i="18"/>
  <c r="B94" i="18"/>
  <c r="B95" i="18"/>
  <c r="B96" i="18"/>
  <c r="B88" i="17"/>
  <c r="B89" i="17"/>
  <c r="B90" i="17"/>
  <c r="B91" i="17"/>
  <c r="B92" i="17"/>
  <c r="B93" i="17"/>
  <c r="B94" i="17"/>
  <c r="B95" i="17"/>
  <c r="B96" i="17"/>
  <c r="B87" i="22"/>
  <c r="B87" i="21"/>
  <c r="B87" i="20"/>
  <c r="B87" i="19"/>
  <c r="B87" i="18"/>
  <c r="B87" i="17"/>
  <c r="B87" i="15"/>
  <c r="B88" i="15"/>
  <c r="B89" i="15"/>
  <c r="B90" i="15"/>
  <c r="B91" i="15"/>
  <c r="B92" i="15"/>
  <c r="B93" i="15"/>
  <c r="B94" i="15"/>
  <c r="B95" i="15"/>
  <c r="B96" i="15"/>
  <c r="CK26" i="11"/>
  <c r="CL26" i="11"/>
  <c r="CJ26" i="11"/>
  <c r="CK27" i="11"/>
  <c r="CL27" i="11"/>
  <c r="CJ27" i="11"/>
  <c r="CK28" i="11"/>
  <c r="CJ28" i="11"/>
  <c r="CK29" i="11"/>
  <c r="CJ29" i="11"/>
  <c r="CK30" i="11"/>
  <c r="CJ30" i="11"/>
  <c r="CL30" i="11" s="1"/>
  <c r="CK31" i="11"/>
  <c r="CL31" i="11" s="1"/>
  <c r="CJ31" i="11"/>
  <c r="CK25" i="11"/>
  <c r="CL25" i="11" s="1"/>
  <c r="CJ25" i="11"/>
  <c r="B9" i="15"/>
  <c r="F9" i="24"/>
  <c r="D7" i="24"/>
  <c r="F7" i="24"/>
  <c r="D8" i="24"/>
  <c r="F8" i="24"/>
  <c r="F10" i="24"/>
  <c r="V44" i="17"/>
  <c r="V66" i="17"/>
  <c r="V67" i="17"/>
  <c r="E37" i="24"/>
  <c r="B37" i="24"/>
  <c r="D37" i="24"/>
  <c r="F37" i="24"/>
  <c r="D38" i="24"/>
  <c r="F38" i="24"/>
  <c r="F39" i="24"/>
  <c r="F40" i="24"/>
  <c r="V54" i="22"/>
  <c r="V65" i="22"/>
  <c r="V66" i="22"/>
  <c r="V67" i="22"/>
  <c r="E67" i="24"/>
  <c r="B67" i="24"/>
  <c r="D67" i="24"/>
  <c r="F67" i="24"/>
  <c r="D68" i="24"/>
  <c r="F68" i="24"/>
  <c r="F69" i="24"/>
  <c r="F70" i="24"/>
  <c r="AQ68" i="11"/>
  <c r="AR68" i="11"/>
  <c r="V43" i="21"/>
  <c r="V63" i="21"/>
  <c r="V66" i="21"/>
  <c r="V67" i="21"/>
  <c r="E97" i="24"/>
  <c r="B97" i="24"/>
  <c r="D97" i="24"/>
  <c r="F97" i="24"/>
  <c r="D98" i="24"/>
  <c r="F98" i="24"/>
  <c r="F99" i="24"/>
  <c r="F100" i="24"/>
  <c r="V66" i="20"/>
  <c r="V67" i="20"/>
  <c r="E127" i="24"/>
  <c r="B127" i="24"/>
  <c r="D127" i="24"/>
  <c r="F127" i="24"/>
  <c r="D128" i="24"/>
  <c r="F128" i="24"/>
  <c r="F129" i="24"/>
  <c r="F130" i="24"/>
  <c r="V66" i="19"/>
  <c r="V67" i="19"/>
  <c r="E157" i="24"/>
  <c r="B157" i="24"/>
  <c r="D157" i="24"/>
  <c r="F157" i="24"/>
  <c r="D158" i="24"/>
  <c r="F158" i="24"/>
  <c r="F159" i="24"/>
  <c r="F160" i="24"/>
  <c r="V66" i="18"/>
  <c r="V67" i="18"/>
  <c r="E187" i="24"/>
  <c r="B187" i="24"/>
  <c r="D187" i="24"/>
  <c r="F187" i="24"/>
  <c r="D188" i="24"/>
  <c r="F188" i="24"/>
  <c r="F189" i="24"/>
  <c r="F190" i="24"/>
  <c r="N1" i="12"/>
  <c r="B4" i="27"/>
  <c r="A3" i="11"/>
  <c r="B11" i="27"/>
  <c r="B12" i="27"/>
  <c r="B13" i="27"/>
  <c r="B14" i="27"/>
  <c r="B15" i="27"/>
  <c r="B16" i="27"/>
  <c r="B17" i="27"/>
  <c r="B26" i="27"/>
  <c r="B27" i="27"/>
  <c r="B28" i="27"/>
  <c r="B29" i="27"/>
  <c r="B30" i="27"/>
  <c r="B31" i="27"/>
  <c r="B32" i="27"/>
  <c r="AH33" i="27"/>
  <c r="H40" i="12"/>
  <c r="G42" i="12" s="1"/>
  <c r="F28" i="11"/>
  <c r="F29" i="11"/>
  <c r="F30" i="11"/>
  <c r="Y143" i="12"/>
  <c r="Y145" i="12" s="1"/>
  <c r="Y141" i="12"/>
  <c r="Y142" i="12"/>
  <c r="X141" i="12"/>
  <c r="AA141" i="12" s="1"/>
  <c r="F31" i="11"/>
  <c r="Y148" i="12"/>
  <c r="Y146" i="12"/>
  <c r="Y147" i="12"/>
  <c r="X146" i="12"/>
  <c r="AA147" i="12" s="1"/>
  <c r="AA148" i="12"/>
  <c r="F32" i="11"/>
  <c r="F33" i="11"/>
  <c r="G145" i="12"/>
  <c r="G143" i="12"/>
  <c r="G147" i="12" s="1"/>
  <c r="G144" i="12"/>
  <c r="G146" i="12"/>
  <c r="L144" i="12"/>
  <c r="L143" i="12"/>
  <c r="L147" i="12" s="1"/>
  <c r="O147" i="12"/>
  <c r="F34" i="11"/>
  <c r="G150" i="12"/>
  <c r="G151" i="12"/>
  <c r="G148" i="12"/>
  <c r="G149" i="12"/>
  <c r="B189" i="12"/>
  <c r="L149" i="12"/>
  <c r="L152" i="12" s="1"/>
  <c r="L148" i="12"/>
  <c r="O152" i="12"/>
  <c r="G44" i="12"/>
  <c r="G45" i="12"/>
  <c r="F41" i="11"/>
  <c r="F42" i="11"/>
  <c r="F43" i="11"/>
  <c r="Y156" i="12"/>
  <c r="X154" i="12"/>
  <c r="AA155" i="12" s="1"/>
  <c r="Y161" i="12"/>
  <c r="Y159" i="12"/>
  <c r="Y160" i="12"/>
  <c r="X159" i="12"/>
  <c r="J2" i="28"/>
  <c r="J3" i="28"/>
  <c r="O3" i="28"/>
  <c r="B7" i="28"/>
  <c r="B10" i="28"/>
  <c r="AA12" i="12"/>
  <c r="B12" i="28" s="1"/>
  <c r="B15" i="28"/>
  <c r="U16" i="12"/>
  <c r="K17" i="28" s="1"/>
  <c r="U19" i="12"/>
  <c r="B20" i="28"/>
  <c r="D22" i="28"/>
  <c r="D70" i="28" s="1"/>
  <c r="AB15" i="12"/>
  <c r="D23" i="28" s="1"/>
  <c r="D71" i="28" s="1"/>
  <c r="AB17" i="12"/>
  <c r="D24" i="28" s="1"/>
  <c r="D72" i="28" s="1"/>
  <c r="D25" i="28"/>
  <c r="B26" i="28"/>
  <c r="M35" i="28"/>
  <c r="M36" i="28"/>
  <c r="M37" i="28"/>
  <c r="M38" i="28"/>
  <c r="M39" i="28"/>
  <c r="M40" i="28"/>
  <c r="M41" i="28"/>
  <c r="M42" i="28"/>
  <c r="M43" i="28"/>
  <c r="B46" i="28"/>
  <c r="S5" i="12"/>
  <c r="S6" i="12"/>
  <c r="B49" i="28" s="1"/>
  <c r="S7" i="12"/>
  <c r="K59" i="28"/>
  <c r="C60" i="28"/>
  <c r="K60" i="28"/>
  <c r="C61" i="28"/>
  <c r="K61" i="28"/>
  <c r="C62" i="28"/>
  <c r="K62" i="28"/>
  <c r="C63" i="28"/>
  <c r="K63" i="28"/>
  <c r="C64" i="28"/>
  <c r="K64" i="28"/>
  <c r="B67" i="28"/>
  <c r="D73" i="28"/>
  <c r="E75" i="28"/>
  <c r="I77" i="28"/>
  <c r="J78" i="28"/>
  <c r="B80" i="28"/>
  <c r="B83" i="28"/>
  <c r="B86" i="28"/>
  <c r="C89" i="28"/>
  <c r="C90" i="28"/>
  <c r="C91" i="28"/>
  <c r="Y1" i="18"/>
  <c r="C4" i="18"/>
  <c r="E100" i="18"/>
  <c r="BD132" i="11"/>
  <c r="AY132" i="11"/>
  <c r="N132" i="11"/>
  <c r="BF132" i="11"/>
  <c r="B9" i="18"/>
  <c r="B394" i="14"/>
  <c r="B10" i="18"/>
  <c r="B11" i="18"/>
  <c r="B12" i="18"/>
  <c r="B397" i="14"/>
  <c r="B13" i="18"/>
  <c r="B14" i="18"/>
  <c r="T14" i="18"/>
  <c r="B15" i="18"/>
  <c r="T15" i="18"/>
  <c r="B16" i="18"/>
  <c r="Q16" i="18"/>
  <c r="B17" i="18"/>
  <c r="B18" i="18"/>
  <c r="B19" i="18"/>
  <c r="B404" i="14"/>
  <c r="B20" i="18"/>
  <c r="B21" i="18"/>
  <c r="B22" i="18"/>
  <c r="B23" i="18"/>
  <c r="B24" i="18"/>
  <c r="B25" i="18"/>
  <c r="B26" i="18"/>
  <c r="B411" i="14"/>
  <c r="B27" i="18"/>
  <c r="B29" i="18"/>
  <c r="B30" i="18"/>
  <c r="B31" i="18"/>
  <c r="B32" i="18"/>
  <c r="B33" i="18"/>
  <c r="B34" i="18"/>
  <c r="B419" i="14"/>
  <c r="B35" i="18"/>
  <c r="B420" i="14"/>
  <c r="B36" i="18"/>
  <c r="B421" i="14"/>
  <c r="B37" i="18" s="1"/>
  <c r="C37" i="18"/>
  <c r="B38" i="18"/>
  <c r="B39" i="18"/>
  <c r="B40" i="18"/>
  <c r="B41" i="18"/>
  <c r="B42" i="18"/>
  <c r="B43" i="18"/>
  <c r="B44" i="18"/>
  <c r="B45" i="18"/>
  <c r="B430" i="14"/>
  <c r="B46" i="18" s="1"/>
  <c r="B431" i="14"/>
  <c r="B47" i="18"/>
  <c r="B48" i="18"/>
  <c r="B49" i="18"/>
  <c r="B434" i="14"/>
  <c r="B50" i="18"/>
  <c r="B51" i="18"/>
  <c r="B52" i="18"/>
  <c r="B53" i="18"/>
  <c r="B54" i="18"/>
  <c r="B439" i="14"/>
  <c r="B55" i="18" s="1"/>
  <c r="B440" i="14"/>
  <c r="B56" i="18"/>
  <c r="B441" i="14"/>
  <c r="B57" i="18" s="1"/>
  <c r="B58" i="18"/>
  <c r="B59" i="18"/>
  <c r="B60" i="18"/>
  <c r="B445" i="14"/>
  <c r="B61" i="18" s="1"/>
  <c r="B446" i="14"/>
  <c r="B62" i="18" s="1"/>
  <c r="B63" i="18"/>
  <c r="B64" i="18"/>
  <c r="B65" i="18"/>
  <c r="B66" i="18"/>
  <c r="B67" i="18"/>
  <c r="B68" i="18"/>
  <c r="B69" i="18"/>
  <c r="B70" i="18"/>
  <c r="B71" i="18"/>
  <c r="B74" i="18"/>
  <c r="B75" i="18"/>
  <c r="B76" i="18"/>
  <c r="B80" i="18"/>
  <c r="B84" i="18"/>
  <c r="K85" i="18"/>
  <c r="K86" i="18"/>
  <c r="D97" i="18"/>
  <c r="E97" i="18"/>
  <c r="F97" i="18"/>
  <c r="U102" i="18"/>
  <c r="B103" i="18"/>
  <c r="U103" i="18"/>
  <c r="G104" i="18"/>
  <c r="Y1" i="19"/>
  <c r="C4" i="19"/>
  <c r="BD119" i="11"/>
  <c r="AY119" i="11"/>
  <c r="B9" i="19"/>
  <c r="B329" i="14"/>
  <c r="B10" i="19"/>
  <c r="B11" i="19"/>
  <c r="B14" i="19"/>
  <c r="T14" i="19"/>
  <c r="B15" i="19"/>
  <c r="T15" i="19"/>
  <c r="B16" i="19"/>
  <c r="Q16" i="19"/>
  <c r="B17" i="19"/>
  <c r="B18" i="19"/>
  <c r="B19" i="19"/>
  <c r="B339" i="14"/>
  <c r="B20" i="19" s="1"/>
  <c r="B21" i="19"/>
  <c r="B22" i="19"/>
  <c r="B23" i="19"/>
  <c r="B24" i="19"/>
  <c r="B25" i="19"/>
  <c r="B26" i="19"/>
  <c r="B346" i="14"/>
  <c r="B27" i="19" s="1"/>
  <c r="B347" i="14"/>
  <c r="B28" i="19" s="1"/>
  <c r="B29" i="19"/>
  <c r="B30" i="19"/>
  <c r="B31" i="19"/>
  <c r="B32" i="19"/>
  <c r="B33" i="19"/>
  <c r="B34" i="19"/>
  <c r="B354" i="14"/>
  <c r="B35" i="19" s="1"/>
  <c r="B355" i="14"/>
  <c r="B36" i="19"/>
  <c r="B356" i="14"/>
  <c r="B37" i="19" s="1"/>
  <c r="C37" i="19"/>
  <c r="B38" i="19"/>
  <c r="B39" i="19"/>
  <c r="B40" i="19"/>
  <c r="B41" i="19"/>
  <c r="B42" i="19"/>
  <c r="B43" i="19"/>
  <c r="B44" i="19"/>
  <c r="B45" i="19"/>
  <c r="B365" i="14"/>
  <c r="B46" i="19"/>
  <c r="B366" i="14"/>
  <c r="B47" i="19" s="1"/>
  <c r="B48" i="19"/>
  <c r="B49" i="19"/>
  <c r="B369" i="14"/>
  <c r="B50" i="19" s="1"/>
  <c r="B51" i="19"/>
  <c r="B52" i="19"/>
  <c r="B53" i="19"/>
  <c r="B54" i="19"/>
  <c r="B374" i="14"/>
  <c r="B55" i="19"/>
  <c r="B375" i="14"/>
  <c r="B56" i="19" s="1"/>
  <c r="B376" i="14"/>
  <c r="B57" i="19"/>
  <c r="B58" i="19"/>
  <c r="B59" i="19"/>
  <c r="B60" i="19"/>
  <c r="B380" i="14"/>
  <c r="B61" i="19"/>
  <c r="B381" i="14"/>
  <c r="B62" i="19" s="1"/>
  <c r="B63" i="19"/>
  <c r="B64" i="19"/>
  <c r="B65" i="19"/>
  <c r="B66" i="19"/>
  <c r="E66" i="19"/>
  <c r="B67" i="19"/>
  <c r="E67" i="19"/>
  <c r="B68" i="19"/>
  <c r="B69" i="19"/>
  <c r="B70" i="19"/>
  <c r="B71" i="19"/>
  <c r="B74" i="19"/>
  <c r="B75" i="19"/>
  <c r="B76" i="19"/>
  <c r="B80" i="19"/>
  <c r="B84" i="19"/>
  <c r="K85" i="19"/>
  <c r="K86" i="19"/>
  <c r="D97" i="19"/>
  <c r="E97" i="19"/>
  <c r="F97" i="19"/>
  <c r="E100" i="19"/>
  <c r="U102" i="19"/>
  <c r="B103" i="19"/>
  <c r="U103" i="19"/>
  <c r="G104" i="19"/>
  <c r="Y1" i="20"/>
  <c r="C4" i="20"/>
  <c r="AO106" i="11"/>
  <c r="AP106" i="11"/>
  <c r="AY106" i="11"/>
  <c r="N106" i="11"/>
  <c r="BF106" i="11"/>
  <c r="B9" i="20"/>
  <c r="B264" i="14"/>
  <c r="B10" i="20"/>
  <c r="B11" i="20"/>
  <c r="B14" i="20"/>
  <c r="T14" i="20"/>
  <c r="B15" i="20"/>
  <c r="T15" i="20"/>
  <c r="B16" i="20"/>
  <c r="Q16" i="20"/>
  <c r="B17" i="20"/>
  <c r="B18" i="20"/>
  <c r="B19" i="20"/>
  <c r="B274" i="14"/>
  <c r="B20" i="20"/>
  <c r="B21" i="20"/>
  <c r="B22" i="20"/>
  <c r="B23" i="20"/>
  <c r="B24" i="20"/>
  <c r="B25" i="20"/>
  <c r="B26" i="20"/>
  <c r="B281" i="14"/>
  <c r="B27" i="20"/>
  <c r="B29" i="20"/>
  <c r="B30" i="20"/>
  <c r="B31" i="20"/>
  <c r="B32" i="20"/>
  <c r="B33" i="20"/>
  <c r="B34" i="20"/>
  <c r="B289" i="14"/>
  <c r="B35" i="20"/>
  <c r="B290" i="14"/>
  <c r="B36" i="20" s="1"/>
  <c r="B291" i="14"/>
  <c r="B37" i="20"/>
  <c r="C37" i="20"/>
  <c r="B38" i="20"/>
  <c r="B39" i="20"/>
  <c r="B40" i="20"/>
  <c r="B41" i="20"/>
  <c r="B42" i="20"/>
  <c r="B43" i="20"/>
  <c r="B44" i="20"/>
  <c r="B45" i="20"/>
  <c r="B300" i="14"/>
  <c r="B46" i="20"/>
  <c r="B301" i="14"/>
  <c r="B47" i="20" s="1"/>
  <c r="B48" i="20"/>
  <c r="B49" i="20"/>
  <c r="B304" i="14"/>
  <c r="B50" i="20"/>
  <c r="B51" i="20"/>
  <c r="B52" i="20"/>
  <c r="B53" i="20"/>
  <c r="B54" i="20"/>
  <c r="B309" i="14"/>
  <c r="B55" i="20"/>
  <c r="B310" i="14"/>
  <c r="B56" i="20"/>
  <c r="B311" i="14"/>
  <c r="B57" i="20"/>
  <c r="B58" i="20"/>
  <c r="B59" i="20"/>
  <c r="B60" i="20"/>
  <c r="B315" i="14"/>
  <c r="B61" i="20"/>
  <c r="B316" i="14"/>
  <c r="B62" i="20" s="1"/>
  <c r="B63" i="20"/>
  <c r="B64" i="20"/>
  <c r="B65" i="20"/>
  <c r="B66" i="20"/>
  <c r="E66" i="20"/>
  <c r="B67" i="20"/>
  <c r="E67" i="20"/>
  <c r="B68" i="20"/>
  <c r="B69" i="20"/>
  <c r="B70" i="20"/>
  <c r="B71" i="20"/>
  <c r="B74" i="20"/>
  <c r="B75" i="20"/>
  <c r="B76" i="20"/>
  <c r="B80" i="20"/>
  <c r="B84" i="20"/>
  <c r="K85" i="20"/>
  <c r="K86" i="20"/>
  <c r="D97" i="20"/>
  <c r="E97" i="20"/>
  <c r="F97" i="20"/>
  <c r="E100" i="20"/>
  <c r="U102" i="20"/>
  <c r="B103" i="20"/>
  <c r="U103" i="20"/>
  <c r="G104" i="20"/>
  <c r="Y1" i="21"/>
  <c r="C4" i="21"/>
  <c r="AO76" i="11"/>
  <c r="BD76" i="11"/>
  <c r="AP76" i="11"/>
  <c r="AN76" i="11"/>
  <c r="AY76" i="11"/>
  <c r="N76" i="11"/>
  <c r="BF76" i="11"/>
  <c r="B9" i="21"/>
  <c r="B199" i="14"/>
  <c r="B10" i="21"/>
  <c r="B11" i="21"/>
  <c r="B14" i="21"/>
  <c r="T14" i="21"/>
  <c r="B15" i="21"/>
  <c r="T15" i="21"/>
  <c r="B16" i="21"/>
  <c r="Q16" i="21"/>
  <c r="B17" i="21"/>
  <c r="B18" i="21"/>
  <c r="B19" i="21"/>
  <c r="B209" i="14"/>
  <c r="B20" i="21"/>
  <c r="B21" i="21"/>
  <c r="B22" i="21"/>
  <c r="B23" i="21"/>
  <c r="B24" i="21"/>
  <c r="B25" i="21"/>
  <c r="B26" i="21"/>
  <c r="B216" i="14"/>
  <c r="B27" i="21"/>
  <c r="B29" i="21"/>
  <c r="B30" i="21"/>
  <c r="B31" i="21"/>
  <c r="B32" i="21"/>
  <c r="B33" i="21"/>
  <c r="B34" i="21"/>
  <c r="B224" i="14"/>
  <c r="B35" i="21"/>
  <c r="B225" i="14"/>
  <c r="B36" i="21" s="1"/>
  <c r="B226" i="14"/>
  <c r="B37" i="21"/>
  <c r="C37" i="21"/>
  <c r="B38" i="21"/>
  <c r="B39" i="21"/>
  <c r="B40" i="21"/>
  <c r="B41" i="21"/>
  <c r="B42" i="21"/>
  <c r="B43" i="21"/>
  <c r="B44" i="21"/>
  <c r="B45" i="21"/>
  <c r="B235" i="14"/>
  <c r="B46" i="21"/>
  <c r="B236" i="14"/>
  <c r="B47" i="21" s="1"/>
  <c r="B48" i="21"/>
  <c r="B49" i="21"/>
  <c r="B239" i="14"/>
  <c r="B50" i="21"/>
  <c r="B51" i="21"/>
  <c r="B52" i="21"/>
  <c r="B53" i="21"/>
  <c r="B54" i="21"/>
  <c r="B244" i="14"/>
  <c r="B55" i="21"/>
  <c r="B245" i="14"/>
  <c r="B56" i="21"/>
  <c r="B246" i="14"/>
  <c r="B57" i="21"/>
  <c r="B58" i="21"/>
  <c r="B59" i="21"/>
  <c r="B60" i="21"/>
  <c r="B250" i="14"/>
  <c r="B61" i="21"/>
  <c r="B251" i="14"/>
  <c r="B62" i="21" s="1"/>
  <c r="B63" i="21"/>
  <c r="B64" i="21"/>
  <c r="B65" i="21"/>
  <c r="B66" i="21"/>
  <c r="E66" i="21"/>
  <c r="B67" i="21"/>
  <c r="E67" i="21"/>
  <c r="B68" i="21"/>
  <c r="B69" i="21"/>
  <c r="B70" i="21"/>
  <c r="B71" i="21"/>
  <c r="B74" i="21"/>
  <c r="B75" i="21"/>
  <c r="B76" i="21"/>
  <c r="B80" i="21"/>
  <c r="B84" i="21"/>
  <c r="K85" i="21"/>
  <c r="K86" i="21"/>
  <c r="D97" i="21"/>
  <c r="E97" i="21"/>
  <c r="F97" i="21"/>
  <c r="E100" i="21"/>
  <c r="U102" i="21"/>
  <c r="B103" i="21"/>
  <c r="G104" i="21"/>
  <c r="Y1" i="22"/>
  <c r="C4" i="22"/>
  <c r="E100" i="22" s="1"/>
  <c r="AO63" i="11"/>
  <c r="BD63" i="11"/>
  <c r="AN63" i="11"/>
  <c r="AY63" i="11"/>
  <c r="N63" i="11"/>
  <c r="BF63" i="11"/>
  <c r="B9" i="22"/>
  <c r="B134" i="14"/>
  <c r="B10" i="22"/>
  <c r="B11" i="22"/>
  <c r="T14" i="22"/>
  <c r="B15" i="22"/>
  <c r="T15" i="22"/>
  <c r="B16" i="22"/>
  <c r="Q16" i="22"/>
  <c r="B17" i="22"/>
  <c r="B18" i="22"/>
  <c r="B19" i="22"/>
  <c r="B144" i="14"/>
  <c r="B20" i="22" s="1"/>
  <c r="B21" i="22"/>
  <c r="B22" i="22"/>
  <c r="B23" i="22"/>
  <c r="B24" i="22"/>
  <c r="B25" i="22"/>
  <c r="B26" i="22"/>
  <c r="B151" i="14"/>
  <c r="B27" i="22" s="1"/>
  <c r="B29" i="22"/>
  <c r="B30" i="22"/>
  <c r="B31" i="22"/>
  <c r="B32" i="22"/>
  <c r="B33" i="22"/>
  <c r="B34" i="22"/>
  <c r="B159" i="14"/>
  <c r="B35" i="22" s="1"/>
  <c r="B160" i="14"/>
  <c r="B36" i="22"/>
  <c r="B161" i="14"/>
  <c r="B37" i="22" s="1"/>
  <c r="C37" i="22"/>
  <c r="B38" i="22"/>
  <c r="B39" i="22"/>
  <c r="B40" i="22"/>
  <c r="B41" i="22"/>
  <c r="B42" i="22"/>
  <c r="B43" i="22"/>
  <c r="B44" i="22"/>
  <c r="B45" i="22"/>
  <c r="B170" i="14"/>
  <c r="B46" i="22" s="1"/>
  <c r="B171" i="14"/>
  <c r="B47" i="22"/>
  <c r="B48" i="22"/>
  <c r="B49" i="22"/>
  <c r="B174" i="14"/>
  <c r="B50" i="22"/>
  <c r="B51" i="22"/>
  <c r="B52" i="22"/>
  <c r="B53" i="22"/>
  <c r="B54" i="22"/>
  <c r="B179" i="14"/>
  <c r="B55" i="22" s="1"/>
  <c r="B58" i="22"/>
  <c r="B59" i="22"/>
  <c r="B60" i="22"/>
  <c r="B185" i="14"/>
  <c r="B61" i="22" s="1"/>
  <c r="B186" i="14"/>
  <c r="B62" i="22"/>
  <c r="B63" i="22"/>
  <c r="B64" i="22"/>
  <c r="B65" i="22"/>
  <c r="B66" i="22"/>
  <c r="E66" i="22"/>
  <c r="B67" i="22"/>
  <c r="E67" i="22"/>
  <c r="B68" i="22"/>
  <c r="B69" i="22"/>
  <c r="B70" i="22"/>
  <c r="B71" i="22"/>
  <c r="B74" i="22"/>
  <c r="B75" i="22"/>
  <c r="B76" i="22"/>
  <c r="B80" i="22"/>
  <c r="B84" i="22"/>
  <c r="K85" i="22"/>
  <c r="K86" i="22"/>
  <c r="D97" i="22"/>
  <c r="E97" i="22"/>
  <c r="F97" i="22"/>
  <c r="U102" i="22"/>
  <c r="B103" i="22"/>
  <c r="U103" i="22"/>
  <c r="G104" i="22"/>
  <c r="Y1" i="17"/>
  <c r="C4" i="17"/>
  <c r="BD50" i="11"/>
  <c r="AN50" i="11"/>
  <c r="AY50" i="11"/>
  <c r="B9" i="17"/>
  <c r="B69" i="14"/>
  <c r="B10" i="17"/>
  <c r="B11" i="17"/>
  <c r="B14" i="17"/>
  <c r="T14" i="17"/>
  <c r="B15" i="17"/>
  <c r="T15" i="17"/>
  <c r="B16" i="17"/>
  <c r="Q16" i="17"/>
  <c r="B17" i="17"/>
  <c r="B18" i="17"/>
  <c r="B19" i="17"/>
  <c r="B79" i="14"/>
  <c r="B20" i="17"/>
  <c r="B21" i="17"/>
  <c r="B22" i="17"/>
  <c r="B23" i="17"/>
  <c r="B24" i="17"/>
  <c r="B25" i="17"/>
  <c r="B26" i="17"/>
  <c r="B86" i="14"/>
  <c r="B27" i="17"/>
  <c r="B87" i="14"/>
  <c r="B28" i="17" s="1"/>
  <c r="B29" i="17"/>
  <c r="B30" i="17"/>
  <c r="B31" i="17"/>
  <c r="B32" i="17"/>
  <c r="B33" i="17"/>
  <c r="B34" i="17"/>
  <c r="B94" i="14"/>
  <c r="B35" i="17" s="1"/>
  <c r="B95" i="14"/>
  <c r="B36" i="17"/>
  <c r="B96" i="14"/>
  <c r="B37" i="17"/>
  <c r="C37" i="17"/>
  <c r="B38" i="17"/>
  <c r="B39" i="17"/>
  <c r="B40" i="17"/>
  <c r="B41" i="17"/>
  <c r="B42" i="17"/>
  <c r="B43" i="17"/>
  <c r="B44" i="17"/>
  <c r="B45" i="17"/>
  <c r="B105" i="14"/>
  <c r="B46" i="17"/>
  <c r="B106" i="14"/>
  <c r="B47" i="17" s="1"/>
  <c r="B48" i="17"/>
  <c r="B49" i="17"/>
  <c r="B109" i="14"/>
  <c r="B50" i="17" s="1"/>
  <c r="B51" i="17"/>
  <c r="B52" i="17"/>
  <c r="B53" i="17"/>
  <c r="B54" i="17"/>
  <c r="B114" i="14"/>
  <c r="B55" i="17"/>
  <c r="B115" i="14"/>
  <c r="B56" i="17" s="1"/>
  <c r="B116" i="14"/>
  <c r="B57" i="17"/>
  <c r="B58" i="17"/>
  <c r="B59" i="17"/>
  <c r="B60" i="17"/>
  <c r="B120" i="14"/>
  <c r="B61" i="17" s="1"/>
  <c r="B121" i="14"/>
  <c r="B62" i="17"/>
  <c r="B63" i="17"/>
  <c r="B64" i="17"/>
  <c r="B65" i="17"/>
  <c r="B66" i="17"/>
  <c r="E66" i="17"/>
  <c r="B67" i="17"/>
  <c r="E67" i="17"/>
  <c r="B68" i="17"/>
  <c r="B69" i="17"/>
  <c r="B70" i="17"/>
  <c r="B71" i="17"/>
  <c r="B74" i="17"/>
  <c r="B75" i="17"/>
  <c r="B76" i="17"/>
  <c r="B80" i="17"/>
  <c r="B84" i="17"/>
  <c r="K85" i="17"/>
  <c r="K86" i="17"/>
  <c r="D97" i="17"/>
  <c r="E97" i="17"/>
  <c r="F97" i="17"/>
  <c r="E100" i="17"/>
  <c r="U102" i="17"/>
  <c r="B103" i="17"/>
  <c r="U103" i="17"/>
  <c r="G104" i="17"/>
  <c r="C4" i="15"/>
  <c r="B76" i="15"/>
  <c r="B10" i="15"/>
  <c r="B11" i="15"/>
  <c r="B12" i="15"/>
  <c r="B14" i="15"/>
  <c r="T14" i="15"/>
  <c r="B15" i="15"/>
  <c r="T15" i="15"/>
  <c r="B16" i="15"/>
  <c r="Q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C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3" i="15"/>
  <c r="B64" i="15"/>
  <c r="B65" i="15"/>
  <c r="B66" i="15"/>
  <c r="E66" i="15"/>
  <c r="B67" i="15"/>
  <c r="E67" i="15"/>
  <c r="B68" i="15"/>
  <c r="B69" i="15"/>
  <c r="B70" i="15"/>
  <c r="B71" i="15"/>
  <c r="B74" i="15"/>
  <c r="B75" i="15"/>
  <c r="B80" i="15"/>
  <c r="B84" i="15"/>
  <c r="K85" i="15"/>
  <c r="K86" i="15"/>
  <c r="D97" i="15"/>
  <c r="E97" i="15"/>
  <c r="F97" i="15"/>
  <c r="J102" i="15"/>
  <c r="G102" i="15"/>
  <c r="B103" i="15"/>
  <c r="J103" i="15"/>
  <c r="G103" i="15"/>
  <c r="G104" i="15"/>
  <c r="J19" i="14"/>
  <c r="J25" i="14"/>
  <c r="J27" i="14"/>
  <c r="J28" i="14"/>
  <c r="J35" i="14"/>
  <c r="J41" i="14"/>
  <c r="J57" i="14"/>
  <c r="J58" i="14"/>
  <c r="H60" i="14"/>
  <c r="J60" i="14"/>
  <c r="H61" i="14"/>
  <c r="J61" i="14"/>
  <c r="G63" i="14"/>
  <c r="J63" i="14" s="1"/>
  <c r="I63" i="14"/>
  <c r="D64" i="14"/>
  <c r="G64" i="14"/>
  <c r="I64" i="14"/>
  <c r="J64" i="14" s="1"/>
  <c r="G65" i="14"/>
  <c r="J65" i="14" s="1"/>
  <c r="I65" i="14"/>
  <c r="J68" i="14"/>
  <c r="B72" i="14"/>
  <c r="J90" i="14"/>
  <c r="J98" i="14"/>
  <c r="J103" i="14"/>
  <c r="J106" i="14"/>
  <c r="H125" i="14"/>
  <c r="H126" i="14"/>
  <c r="J126" i="14" s="1"/>
  <c r="G128" i="14"/>
  <c r="I128" i="14"/>
  <c r="J128" i="14" s="1"/>
  <c r="D129" i="14"/>
  <c r="G129" i="14"/>
  <c r="I129" i="14"/>
  <c r="J129" i="14" s="1"/>
  <c r="G130" i="14"/>
  <c r="I130" i="14"/>
  <c r="B137" i="14"/>
  <c r="J158" i="14"/>
  <c r="J167" i="14"/>
  <c r="J169" i="14"/>
  <c r="J171" i="14"/>
  <c r="J172" i="14"/>
  <c r="J173" i="14"/>
  <c r="J178" i="14"/>
  <c r="B180" i="14"/>
  <c r="B181" i="14"/>
  <c r="J188" i="14"/>
  <c r="J189" i="14"/>
  <c r="G190" i="14"/>
  <c r="H190" i="14"/>
  <c r="G191" i="14"/>
  <c r="H191" i="14"/>
  <c r="I193" i="14"/>
  <c r="J193" i="14" s="1"/>
  <c r="I194" i="14"/>
  <c r="J194" i="14"/>
  <c r="I195" i="14"/>
  <c r="J195" i="14" s="1"/>
  <c r="J198" i="14"/>
  <c r="J201" i="14"/>
  <c r="B202" i="14"/>
  <c r="J214" i="14"/>
  <c r="J220" i="14"/>
  <c r="J222" i="14"/>
  <c r="J232" i="14"/>
  <c r="J234" i="14"/>
  <c r="J236" i="14"/>
  <c r="J237" i="14"/>
  <c r="J251" i="14"/>
  <c r="J252" i="14"/>
  <c r="H255" i="14"/>
  <c r="H256" i="14"/>
  <c r="G258" i="14"/>
  <c r="J258" i="14" s="1"/>
  <c r="I258" i="14"/>
  <c r="D259" i="14"/>
  <c r="G259" i="14"/>
  <c r="I259" i="14"/>
  <c r="G260" i="14"/>
  <c r="I260" i="14"/>
  <c r="J260" i="14"/>
  <c r="B267" i="14"/>
  <c r="J285" i="14"/>
  <c r="J290" i="14"/>
  <c r="J295" i="14"/>
  <c r="J300" i="14"/>
  <c r="J311" i="14"/>
  <c r="J312" i="14"/>
  <c r="J313" i="14"/>
  <c r="J318" i="14"/>
  <c r="J319" i="14"/>
  <c r="H320" i="14"/>
  <c r="J320" i="14"/>
  <c r="H321" i="14"/>
  <c r="J321" i="14"/>
  <c r="G323" i="14"/>
  <c r="J323" i="14"/>
  <c r="I323" i="14"/>
  <c r="D324" i="14"/>
  <c r="G324" i="14" s="1"/>
  <c r="I324" i="14"/>
  <c r="G325" i="14"/>
  <c r="J325" i="14" s="1"/>
  <c r="I325" i="14"/>
  <c r="B332" i="14"/>
  <c r="J347" i="14"/>
  <c r="J353" i="14"/>
  <c r="J363" i="14"/>
  <c r="J367" i="14"/>
  <c r="J377" i="14"/>
  <c r="H385" i="14"/>
  <c r="H386" i="14"/>
  <c r="J386" i="14" s="1"/>
  <c r="G388" i="14"/>
  <c r="J388" i="14"/>
  <c r="I388" i="14"/>
  <c r="D389" i="14"/>
  <c r="G389" i="14" s="1"/>
  <c r="I389" i="14"/>
  <c r="J389" i="14" s="1"/>
  <c r="G390" i="14"/>
  <c r="I390" i="14"/>
  <c r="J394" i="14"/>
  <c r="J425" i="14"/>
  <c r="J430" i="14"/>
  <c r="J444" i="14"/>
  <c r="J447" i="14"/>
  <c r="H450" i="14"/>
  <c r="H451" i="14"/>
  <c r="J451" i="14" s="1"/>
  <c r="G453" i="14"/>
  <c r="I453" i="14"/>
  <c r="D454" i="14"/>
  <c r="G454" i="14" s="1"/>
  <c r="J454" i="14" s="1"/>
  <c r="I454" i="14"/>
  <c r="G455" i="14"/>
  <c r="J455" i="14" s="1"/>
  <c r="I455" i="14"/>
  <c r="B4" i="11"/>
  <c r="C6" i="11"/>
  <c r="S6" i="11"/>
  <c r="I7" i="11"/>
  <c r="J8" i="11"/>
  <c r="L8" i="11"/>
  <c r="L9" i="11"/>
  <c r="L13" i="11"/>
  <c r="L82" i="11" s="1"/>
  <c r="N13" i="11"/>
  <c r="AH13" i="11"/>
  <c r="B37" i="12"/>
  <c r="W83" i="11" s="1"/>
  <c r="W14" i="11"/>
  <c r="AX14" i="11"/>
  <c r="BA14" i="11"/>
  <c r="BD14" i="11"/>
  <c r="BH14" i="11"/>
  <c r="BH83" i="11"/>
  <c r="AQ25" i="11"/>
  <c r="AR25" i="11"/>
  <c r="BA25" i="11"/>
  <c r="BA37" i="11" s="1"/>
  <c r="M25" i="12" s="1"/>
  <c r="BI25" i="11"/>
  <c r="BJ25" i="11"/>
  <c r="BJ37" i="11" s="1"/>
  <c r="CA25" i="11"/>
  <c r="F2" i="12"/>
  <c r="D2" i="12"/>
  <c r="D7" i="12" s="1"/>
  <c r="AC136" i="12"/>
  <c r="AC214" i="12" s="1"/>
  <c r="AC158" i="12"/>
  <c r="AF160" i="12" s="1"/>
  <c r="AG160" i="12" s="1"/>
  <c r="BQ47" i="11" s="1"/>
  <c r="AF138" i="12"/>
  <c r="AI118" i="12"/>
  <c r="AD151" i="12"/>
  <c r="AH119" i="12"/>
  <c r="AH120" i="12"/>
  <c r="AH121" i="12"/>
  <c r="AD138" i="12"/>
  <c r="AG138" i="12" s="1"/>
  <c r="BZ25" i="11"/>
  <c r="BU25" i="11"/>
  <c r="BT25" i="11"/>
  <c r="CE25" i="11"/>
  <c r="AQ26" i="11"/>
  <c r="AI27" i="11"/>
  <c r="AQ27" i="11"/>
  <c r="CC33" i="11"/>
  <c r="AQ28" i="11"/>
  <c r="AR28" i="11"/>
  <c r="AQ29" i="11"/>
  <c r="BA29" i="11"/>
  <c r="AQ30" i="11"/>
  <c r="AR30" i="11"/>
  <c r="BA30" i="11"/>
  <c r="AQ31" i="11"/>
  <c r="AR31" i="11"/>
  <c r="AF144" i="12"/>
  <c r="AH118" i="12"/>
  <c r="AE144" i="12"/>
  <c r="CA31" i="11"/>
  <c r="BZ31" i="11"/>
  <c r="AQ32" i="11"/>
  <c r="AR32" i="11"/>
  <c r="AF145" i="12"/>
  <c r="AD145" i="12"/>
  <c r="AG145" i="12" s="1"/>
  <c r="BQ32" i="11" s="1"/>
  <c r="AE145" i="12"/>
  <c r="CA32" i="11"/>
  <c r="BZ32" i="11"/>
  <c r="BU32" i="11"/>
  <c r="AQ33" i="11"/>
  <c r="BP33" i="11"/>
  <c r="AQ34" i="11"/>
  <c r="AR34" i="11"/>
  <c r="BI34" i="11"/>
  <c r="BI37" i="11" s="1"/>
  <c r="BJ34" i="11"/>
  <c r="CA34" i="11"/>
  <c r="AB136" i="12"/>
  <c r="AF147" i="12"/>
  <c r="AD147" i="12"/>
  <c r="AE147" i="12"/>
  <c r="BZ34" i="11"/>
  <c r="CF34" i="11"/>
  <c r="AQ35" i="11"/>
  <c r="AI36" i="11"/>
  <c r="AI37" i="11"/>
  <c r="AQ36" i="11"/>
  <c r="K37" i="11"/>
  <c r="L37" i="11"/>
  <c r="M37" i="11"/>
  <c r="AA37" i="11"/>
  <c r="AC37" i="11"/>
  <c r="AD37" i="11"/>
  <c r="AH37" i="11"/>
  <c r="AX37" i="11"/>
  <c r="I25" i="12" s="1"/>
  <c r="BB37" i="11"/>
  <c r="BC37" i="11"/>
  <c r="BE37" i="11"/>
  <c r="BK37" i="11"/>
  <c r="BL37" i="11"/>
  <c r="BM37" i="11"/>
  <c r="BN37" i="11"/>
  <c r="BO37" i="11"/>
  <c r="C38" i="11"/>
  <c r="AQ38" i="11"/>
  <c r="AQ50" i="11" s="1"/>
  <c r="AR38" i="11"/>
  <c r="BA38" i="11"/>
  <c r="BI38" i="11"/>
  <c r="BJ38" i="11"/>
  <c r="BJ50" i="11" s="1"/>
  <c r="AF151" i="12"/>
  <c r="AE151" i="12"/>
  <c r="BZ38" i="11"/>
  <c r="BU38" i="11"/>
  <c r="BT38" i="11"/>
  <c r="CE38" i="11"/>
  <c r="AQ39" i="11"/>
  <c r="BY39" i="11"/>
  <c r="AQ40" i="11"/>
  <c r="BY40" i="11"/>
  <c r="AQ41" i="11"/>
  <c r="AR41" i="11"/>
  <c r="AQ42" i="11"/>
  <c r="BA42" i="11"/>
  <c r="AQ43" i="11"/>
  <c r="AR43" i="11"/>
  <c r="BA43" i="11"/>
  <c r="BA50" i="11" s="1"/>
  <c r="M26" i="12" s="1"/>
  <c r="BU43" i="11"/>
  <c r="BT43" i="11"/>
  <c r="AC44" i="11"/>
  <c r="AQ44" i="11"/>
  <c r="AR44" i="11"/>
  <c r="AF157" i="12"/>
  <c r="AE157" i="12"/>
  <c r="CA44" i="11"/>
  <c r="BZ44" i="11"/>
  <c r="AC45" i="11"/>
  <c r="AQ45" i="11"/>
  <c r="AR45" i="11"/>
  <c r="AF158" i="12"/>
  <c r="AE158" i="12"/>
  <c r="CA45" i="11"/>
  <c r="BZ45" i="11"/>
  <c r="U164" i="12"/>
  <c r="F46" i="11" s="1"/>
  <c r="AQ46" i="11"/>
  <c r="BP46" i="11"/>
  <c r="G155" i="12"/>
  <c r="G153" i="12"/>
  <c r="G154" i="12"/>
  <c r="G156" i="12"/>
  <c r="G157" i="12" s="1"/>
  <c r="F47" i="11" s="1"/>
  <c r="S106" i="12"/>
  <c r="L154" i="12"/>
  <c r="L153" i="12"/>
  <c r="L157" i="12" s="1"/>
  <c r="O157" i="12"/>
  <c r="AQ47" i="11"/>
  <c r="AR47" i="11"/>
  <c r="BI47" i="11"/>
  <c r="BI50" i="11" s="1"/>
  <c r="BJ47" i="11"/>
  <c r="CA47" i="11"/>
  <c r="AI119" i="12"/>
  <c r="AD160" i="12"/>
  <c r="AE160" i="12"/>
  <c r="BZ47" i="11"/>
  <c r="CF47" i="11"/>
  <c r="AQ48" i="11"/>
  <c r="AQ49" i="11"/>
  <c r="K50" i="11"/>
  <c r="M50" i="11"/>
  <c r="AA50" i="11"/>
  <c r="AD50" i="11"/>
  <c r="AH50" i="11"/>
  <c r="BB50" i="11"/>
  <c r="BC50" i="11"/>
  <c r="BG50" i="11"/>
  <c r="BK50" i="11"/>
  <c r="BL50" i="11"/>
  <c r="BM50" i="11"/>
  <c r="BN50" i="11"/>
  <c r="BO50" i="11"/>
  <c r="G160" i="12"/>
  <c r="G161" i="12"/>
  <c r="G158" i="12"/>
  <c r="G162" i="12" s="1"/>
  <c r="F51" i="11" s="1"/>
  <c r="G159" i="12"/>
  <c r="L159" i="12"/>
  <c r="L158" i="12"/>
  <c r="L162" i="12" s="1"/>
  <c r="O162" i="12"/>
  <c r="AQ51" i="11"/>
  <c r="AR51" i="11"/>
  <c r="BA51" i="11"/>
  <c r="BI51" i="11"/>
  <c r="BJ51" i="11"/>
  <c r="BJ63" i="11" s="1"/>
  <c r="CA51" i="11"/>
  <c r="AF164" i="12"/>
  <c r="AI120" i="12"/>
  <c r="AE164" i="12"/>
  <c r="BZ51" i="11"/>
  <c r="BU51" i="11"/>
  <c r="BT51" i="11"/>
  <c r="CE51" i="11"/>
  <c r="AQ52" i="11"/>
  <c r="BY52" i="11"/>
  <c r="AI53" i="11"/>
  <c r="AQ53" i="11"/>
  <c r="BY53" i="11"/>
  <c r="G46" i="12"/>
  <c r="G47" i="12"/>
  <c r="G48" i="12"/>
  <c r="F54" i="11"/>
  <c r="AQ54" i="11"/>
  <c r="AR54" i="11"/>
  <c r="F55" i="11"/>
  <c r="BA55" i="11"/>
  <c r="F56" i="11"/>
  <c r="BA56" i="11"/>
  <c r="Y169" i="12"/>
  <c r="Y167" i="12"/>
  <c r="Y168" i="12"/>
  <c r="X167" i="12"/>
  <c r="AB57" i="11"/>
  <c r="AC57" i="11"/>
  <c r="AQ57" i="11"/>
  <c r="AR57" i="11"/>
  <c r="CA57" i="11"/>
  <c r="AF170" i="12"/>
  <c r="AJ118" i="12"/>
  <c r="AD170" i="12"/>
  <c r="AE170" i="12"/>
  <c r="AG170" i="12" s="1"/>
  <c r="BQ57" i="11" s="1"/>
  <c r="BZ57" i="11"/>
  <c r="Y174" i="12"/>
  <c r="Y176" i="12"/>
  <c r="Y172" i="12"/>
  <c r="Y173" i="12"/>
  <c r="X172" i="12"/>
  <c r="AA172" i="12" s="1"/>
  <c r="AA173" i="12"/>
  <c r="AA174" i="12"/>
  <c r="AB58" i="11"/>
  <c r="AC58" i="11"/>
  <c r="AQ58" i="11"/>
  <c r="AR58" i="11"/>
  <c r="CA58" i="11"/>
  <c r="AF171" i="12"/>
  <c r="AE171" i="12"/>
  <c r="AG171" i="12" s="1"/>
  <c r="BQ58" i="11" s="1"/>
  <c r="BZ58" i="11"/>
  <c r="U177" i="12"/>
  <c r="F59" i="11"/>
  <c r="AQ59" i="11"/>
  <c r="BP59" i="11"/>
  <c r="G165" i="12"/>
  <c r="G163" i="12"/>
  <c r="G164" i="12"/>
  <c r="G166" i="12"/>
  <c r="L164" i="12"/>
  <c r="L163" i="12"/>
  <c r="L167" i="12"/>
  <c r="O167" i="12"/>
  <c r="AQ60" i="11"/>
  <c r="AR60" i="11"/>
  <c r="BI60" i="11"/>
  <c r="BI63" i="11"/>
  <c r="BJ60" i="11"/>
  <c r="CA60" i="11"/>
  <c r="AF173" i="12"/>
  <c r="AD173" i="12"/>
  <c r="AE173" i="12"/>
  <c r="BZ60" i="11"/>
  <c r="CF60" i="11"/>
  <c r="AQ61" i="11"/>
  <c r="AI62" i="11"/>
  <c r="AQ62" i="11"/>
  <c r="K63" i="11"/>
  <c r="L63" i="11"/>
  <c r="M63" i="11"/>
  <c r="Y63" i="11"/>
  <c r="Z63" i="11"/>
  <c r="AA63" i="11"/>
  <c r="AD63" i="11"/>
  <c r="AF63" i="11"/>
  <c r="AH63" i="11"/>
  <c r="AI63" i="11"/>
  <c r="BB63" i="11"/>
  <c r="BG63" i="11"/>
  <c r="BG133" i="11" s="1"/>
  <c r="BH63" i="11"/>
  <c r="BK63" i="11"/>
  <c r="BL63" i="11"/>
  <c r="BM63" i="11"/>
  <c r="BN63" i="11"/>
  <c r="BO63" i="11"/>
  <c r="BO133" i="11" s="1"/>
  <c r="G170" i="12"/>
  <c r="G171" i="12"/>
  <c r="G168" i="12"/>
  <c r="G169" i="12"/>
  <c r="L169" i="12"/>
  <c r="L168" i="12"/>
  <c r="L172" i="12" s="1"/>
  <c r="O172" i="12"/>
  <c r="F64" i="11"/>
  <c r="AQ64" i="11"/>
  <c r="AR64" i="11"/>
  <c r="BA64" i="11"/>
  <c r="BI64" i="11"/>
  <c r="BJ64" i="11"/>
  <c r="CA64" i="11"/>
  <c r="AF177" i="12"/>
  <c r="AG177" i="12" s="1"/>
  <c r="AE177" i="12"/>
  <c r="BZ64" i="11"/>
  <c r="BU64" i="11"/>
  <c r="BT64" i="11"/>
  <c r="CE64" i="11"/>
  <c r="AQ65" i="11"/>
  <c r="BY65" i="11"/>
  <c r="AI66" i="11"/>
  <c r="AI76" i="11" s="1"/>
  <c r="AQ66" i="11"/>
  <c r="BY66" i="11"/>
  <c r="G50" i="12"/>
  <c r="G51" i="12" s="1"/>
  <c r="F67" i="11"/>
  <c r="AQ67" i="11"/>
  <c r="AQ76" i="11" s="1"/>
  <c r="AR67" i="11"/>
  <c r="F68" i="11"/>
  <c r="AX68" i="11"/>
  <c r="AX76" i="11" s="1"/>
  <c r="I28" i="12" s="1"/>
  <c r="BA68" i="11"/>
  <c r="BU68" i="11"/>
  <c r="BT68" i="11"/>
  <c r="F69" i="11"/>
  <c r="AQ69" i="11"/>
  <c r="AR69" i="11"/>
  <c r="AX69" i="11"/>
  <c r="BA69" i="11"/>
  <c r="BA76" i="11" s="1"/>
  <c r="M28" i="12" s="1"/>
  <c r="BU69" i="11"/>
  <c r="BT69" i="11"/>
  <c r="Y182" i="12"/>
  <c r="Y184" i="12"/>
  <c r="Y180" i="12"/>
  <c r="Y181" i="12"/>
  <c r="X180" i="12"/>
  <c r="AA180" i="12"/>
  <c r="AA184" i="12" s="1"/>
  <c r="AA181" i="12"/>
  <c r="AA182" i="12"/>
  <c r="F70" i="11"/>
  <c r="AB70" i="11"/>
  <c r="AC70" i="11"/>
  <c r="AQ70" i="11"/>
  <c r="AR70" i="11"/>
  <c r="AF183" i="12"/>
  <c r="AE183" i="12"/>
  <c r="CA70" i="11"/>
  <c r="BZ70" i="11"/>
  <c r="Y187" i="12"/>
  <c r="Y185" i="12"/>
  <c r="Y186" i="12"/>
  <c r="Y189" i="12" s="1"/>
  <c r="X185" i="12"/>
  <c r="AA187" i="12" s="1"/>
  <c r="AA185" i="12"/>
  <c r="AA189" i="12" s="1"/>
  <c r="AA186" i="12"/>
  <c r="F71" i="11"/>
  <c r="AB71" i="11"/>
  <c r="AC71" i="11"/>
  <c r="AC76" i="11" s="1"/>
  <c r="AQ71" i="11"/>
  <c r="AR71" i="11"/>
  <c r="AF184" i="12"/>
  <c r="AE184" i="12"/>
  <c r="CA71" i="11"/>
  <c r="BZ71" i="11"/>
  <c r="U190" i="12"/>
  <c r="F72" i="11"/>
  <c r="AQ72" i="11"/>
  <c r="AZ72" i="11"/>
  <c r="BP72" i="11"/>
  <c r="G175" i="12"/>
  <c r="G173" i="12"/>
  <c r="G174" i="12"/>
  <c r="G176" i="12"/>
  <c r="L174" i="12"/>
  <c r="L173" i="12"/>
  <c r="L177" i="12" s="1"/>
  <c r="O177" i="12"/>
  <c r="F73" i="11"/>
  <c r="AQ73" i="11"/>
  <c r="AR73" i="11"/>
  <c r="BI73" i="11"/>
  <c r="BJ73" i="11"/>
  <c r="BJ76" i="11" s="1"/>
  <c r="CA73" i="11"/>
  <c r="AD186" i="12"/>
  <c r="AE186" i="12"/>
  <c r="BZ73" i="11"/>
  <c r="CF73" i="11"/>
  <c r="AQ74" i="11"/>
  <c r="AI75" i="11"/>
  <c r="AQ75" i="11"/>
  <c r="K76" i="11"/>
  <c r="L76" i="11"/>
  <c r="M76" i="11"/>
  <c r="Y76" i="11"/>
  <c r="Z76" i="11"/>
  <c r="AA76" i="11"/>
  <c r="AD76" i="11"/>
  <c r="AH76" i="11"/>
  <c r="BB76" i="11"/>
  <c r="BC76" i="11"/>
  <c r="BE76" i="11"/>
  <c r="BG76" i="11"/>
  <c r="BH76" i="11"/>
  <c r="BI76" i="11"/>
  <c r="BK76" i="11"/>
  <c r="BL76" i="11"/>
  <c r="BM76" i="11"/>
  <c r="BN76" i="11"/>
  <c r="BO76" i="11"/>
  <c r="N82" i="11"/>
  <c r="AH82" i="11"/>
  <c r="AI82" i="11"/>
  <c r="BA83" i="11"/>
  <c r="BI83" i="11"/>
  <c r="BJ83" i="11"/>
  <c r="BK88" i="11"/>
  <c r="G180" i="12"/>
  <c r="G181" i="12"/>
  <c r="G178" i="12"/>
  <c r="G182" i="12" s="1"/>
  <c r="G179" i="12"/>
  <c r="L179" i="12"/>
  <c r="L178" i="12"/>
  <c r="L182" i="12"/>
  <c r="O182" i="12"/>
  <c r="F94" i="11"/>
  <c r="AQ94" i="11"/>
  <c r="AR94" i="11"/>
  <c r="AR106" i="11" s="1"/>
  <c r="BA94" i="11"/>
  <c r="BI94" i="11"/>
  <c r="BJ94" i="11"/>
  <c r="CA94" i="11"/>
  <c r="AF207" i="12"/>
  <c r="AD207" i="12"/>
  <c r="AE207" i="12"/>
  <c r="AG207" i="12" s="1"/>
  <c r="BQ94" i="11" s="1"/>
  <c r="BZ94" i="11"/>
  <c r="BU94" i="11"/>
  <c r="BT94" i="11"/>
  <c r="CE94" i="11"/>
  <c r="AQ95" i="11"/>
  <c r="BY95" i="11"/>
  <c r="AI96" i="11"/>
  <c r="AI106" i="11"/>
  <c r="AQ96" i="11"/>
  <c r="BY96" i="11"/>
  <c r="G52" i="12"/>
  <c r="G54" i="12"/>
  <c r="F97" i="11"/>
  <c r="AQ97" i="11"/>
  <c r="AR97" i="11"/>
  <c r="F98" i="11"/>
  <c r="AQ98" i="11"/>
  <c r="AR98" i="11"/>
  <c r="AX98" i="11"/>
  <c r="BA98" i="11"/>
  <c r="BU98" i="11"/>
  <c r="BT98" i="11"/>
  <c r="F99" i="11"/>
  <c r="AQ99" i="11"/>
  <c r="AR99" i="11"/>
  <c r="AX99" i="11"/>
  <c r="BA99" i="11"/>
  <c r="BA106" i="11" s="1"/>
  <c r="M29" i="12" s="1"/>
  <c r="BU99" i="11"/>
  <c r="BT99" i="11"/>
  <c r="Y212" i="12"/>
  <c r="Y210" i="12"/>
  <c r="Y214" i="12" s="1"/>
  <c r="Y211" i="12"/>
  <c r="X210" i="12"/>
  <c r="AA211" i="12"/>
  <c r="AA210" i="12"/>
  <c r="F100" i="11"/>
  <c r="AB100" i="11"/>
  <c r="AC100" i="11"/>
  <c r="AC106" i="11" s="1"/>
  <c r="AQ100" i="11"/>
  <c r="AR100" i="11"/>
  <c r="AF213" i="12"/>
  <c r="AD213" i="12"/>
  <c r="AE213" i="12"/>
  <c r="CA100" i="11"/>
  <c r="BZ100" i="11"/>
  <c r="Y217" i="12"/>
  <c r="Y215" i="12"/>
  <c r="Y216" i="12"/>
  <c r="X215" i="12"/>
  <c r="AA216" i="12"/>
  <c r="AA215" i="12"/>
  <c r="F101" i="11"/>
  <c r="AB101" i="11"/>
  <c r="AC101" i="11"/>
  <c r="AQ101" i="11"/>
  <c r="AR101" i="11"/>
  <c r="AF214" i="12"/>
  <c r="AD214" i="12"/>
  <c r="AE214" i="12"/>
  <c r="CA101" i="11"/>
  <c r="BZ101" i="11"/>
  <c r="U220" i="12"/>
  <c r="F102" i="11"/>
  <c r="AQ102" i="11"/>
  <c r="BP102" i="11"/>
  <c r="G185" i="12"/>
  <c r="G183" i="12"/>
  <c r="G184" i="12"/>
  <c r="G186" i="12"/>
  <c r="L184" i="12"/>
  <c r="L187" i="12" s="1"/>
  <c r="L183" i="12"/>
  <c r="O187" i="12"/>
  <c r="F103" i="11"/>
  <c r="AQ103" i="11"/>
  <c r="AR103" i="11"/>
  <c r="BI103" i="11"/>
  <c r="BJ103" i="11"/>
  <c r="BJ106" i="11" s="1"/>
  <c r="CA103" i="11"/>
  <c r="AD216" i="12"/>
  <c r="AE216" i="12"/>
  <c r="BZ103" i="11"/>
  <c r="CF103" i="11"/>
  <c r="AQ104" i="11"/>
  <c r="AX104" i="11"/>
  <c r="AI105" i="11"/>
  <c r="AQ105" i="11"/>
  <c r="K106" i="11"/>
  <c r="L106" i="11"/>
  <c r="M106" i="11"/>
  <c r="Y106" i="11"/>
  <c r="Z106" i="11"/>
  <c r="AA106" i="11"/>
  <c r="AD106" i="11"/>
  <c r="AF106" i="11"/>
  <c r="AH106" i="11"/>
  <c r="BB106" i="11"/>
  <c r="BC106" i="11"/>
  <c r="BE106" i="11"/>
  <c r="BG106" i="11"/>
  <c r="BH106" i="11"/>
  <c r="BI106" i="11"/>
  <c r="BK106" i="11"/>
  <c r="BL106" i="11"/>
  <c r="BM106" i="11"/>
  <c r="BN106" i="11"/>
  <c r="BO106" i="11"/>
  <c r="G190" i="12"/>
  <c r="G191" i="12"/>
  <c r="G188" i="12"/>
  <c r="G189" i="12"/>
  <c r="L189" i="12"/>
  <c r="L188" i="12"/>
  <c r="O192" i="12"/>
  <c r="AQ107" i="11"/>
  <c r="AR107" i="11"/>
  <c r="BA107" i="11"/>
  <c r="BI107" i="11"/>
  <c r="BJ107" i="11"/>
  <c r="BJ119" i="11"/>
  <c r="CA107" i="11"/>
  <c r="AF220" i="12"/>
  <c r="AD220" i="12"/>
  <c r="AE220" i="12"/>
  <c r="BZ107" i="11"/>
  <c r="BU107" i="11"/>
  <c r="BT107" i="11"/>
  <c r="CE107" i="11"/>
  <c r="AQ108" i="11"/>
  <c r="BY108" i="11"/>
  <c r="AI109" i="11"/>
  <c r="AI119" i="11" s="1"/>
  <c r="AQ109" i="11"/>
  <c r="AX109" i="11"/>
  <c r="BY109" i="11"/>
  <c r="H55" i="12"/>
  <c r="G57" i="12"/>
  <c r="F110" i="11" s="1"/>
  <c r="AQ110" i="11"/>
  <c r="AR110" i="11"/>
  <c r="F111" i="11"/>
  <c r="AX111" i="11"/>
  <c r="AX119" i="11" s="1"/>
  <c r="I30" i="12" s="1"/>
  <c r="BA111" i="11"/>
  <c r="BU111" i="11"/>
  <c r="BT111" i="11"/>
  <c r="F112" i="11"/>
  <c r="AX112" i="11"/>
  <c r="BA112" i="11"/>
  <c r="BU112" i="11"/>
  <c r="BT112" i="11"/>
  <c r="Y225" i="12"/>
  <c r="Y227" i="12" s="1"/>
  <c r="Y223" i="12"/>
  <c r="Y224" i="12"/>
  <c r="X223" i="12"/>
  <c r="AB113" i="11"/>
  <c r="AC113" i="11"/>
  <c r="AQ113" i="11"/>
  <c r="AR113" i="11"/>
  <c r="CA113" i="11"/>
  <c r="AF226" i="12"/>
  <c r="AD226" i="12"/>
  <c r="AE226" i="12"/>
  <c r="BZ113" i="11"/>
  <c r="Y230" i="12"/>
  <c r="Y228" i="12"/>
  <c r="Y229" i="12"/>
  <c r="X228" i="12"/>
  <c r="AB114" i="11"/>
  <c r="AC114" i="11"/>
  <c r="AQ114" i="11"/>
  <c r="AR114" i="11"/>
  <c r="AF227" i="12"/>
  <c r="AD227" i="12"/>
  <c r="AE227" i="12"/>
  <c r="CA114" i="11"/>
  <c r="BZ114" i="11"/>
  <c r="U233" i="12"/>
  <c r="F115" i="11"/>
  <c r="AQ115" i="11"/>
  <c r="BP115" i="11"/>
  <c r="G195" i="12"/>
  <c r="G193" i="12"/>
  <c r="G194" i="12"/>
  <c r="G196" i="12"/>
  <c r="L194" i="12"/>
  <c r="L193" i="12"/>
  <c r="L197" i="12"/>
  <c r="O197" i="12"/>
  <c r="AQ116" i="11"/>
  <c r="AR116" i="11"/>
  <c r="BI116" i="11"/>
  <c r="BI119" i="11" s="1"/>
  <c r="BJ116" i="11"/>
  <c r="CA116" i="11"/>
  <c r="AF229" i="12"/>
  <c r="AD229" i="12"/>
  <c r="AE229" i="12"/>
  <c r="BZ116" i="11"/>
  <c r="CF116" i="11"/>
  <c r="AQ117" i="11"/>
  <c r="AI118" i="11"/>
  <c r="AQ118" i="11"/>
  <c r="K119" i="11"/>
  <c r="K133" i="11" s="1"/>
  <c r="K134" i="11" s="1"/>
  <c r="L119" i="11"/>
  <c r="M119" i="11"/>
  <c r="Y119" i="11"/>
  <c r="Z119" i="11"/>
  <c r="AA119" i="11"/>
  <c r="AC119" i="11"/>
  <c r="AD119" i="11"/>
  <c r="AH119" i="11"/>
  <c r="BB119" i="11"/>
  <c r="BC119" i="11"/>
  <c r="BE119" i="11"/>
  <c r="BG119" i="11"/>
  <c r="BK119" i="11"/>
  <c r="BL119" i="11"/>
  <c r="BM119" i="11"/>
  <c r="BN119" i="11"/>
  <c r="BN133" i="11" s="1"/>
  <c r="BO119" i="11"/>
  <c r="G200" i="12"/>
  <c r="G201" i="12"/>
  <c r="G198" i="12"/>
  <c r="G199" i="12"/>
  <c r="L199" i="12"/>
  <c r="L202" i="12" s="1"/>
  <c r="L198" i="12"/>
  <c r="O202" i="12"/>
  <c r="AQ120" i="11"/>
  <c r="AR120" i="11"/>
  <c r="BA120" i="11"/>
  <c r="BI120" i="11"/>
  <c r="BI132" i="11" s="1"/>
  <c r="BJ120" i="11"/>
  <c r="BJ132" i="11" s="1"/>
  <c r="CA120" i="11"/>
  <c r="AF233" i="12"/>
  <c r="AE233" i="12"/>
  <c r="BZ120" i="11"/>
  <c r="BU120" i="11"/>
  <c r="BT120" i="11"/>
  <c r="CE120" i="11"/>
  <c r="AQ121" i="11"/>
  <c r="BY121" i="11"/>
  <c r="AI122" i="11"/>
  <c r="AQ122" i="11"/>
  <c r="BY122" i="11"/>
  <c r="CC126" i="11"/>
  <c r="G59" i="12"/>
  <c r="G60" i="12" s="1"/>
  <c r="F123" i="11" s="1"/>
  <c r="AQ123" i="11"/>
  <c r="AR123" i="11"/>
  <c r="F124" i="11"/>
  <c r="AX124" i="11"/>
  <c r="BA124" i="11"/>
  <c r="BA132" i="11" s="1"/>
  <c r="BU124" i="11"/>
  <c r="BT124" i="11"/>
  <c r="F125" i="11"/>
  <c r="AX125" i="11"/>
  <c r="BA125" i="11"/>
  <c r="BU125" i="11"/>
  <c r="BT125" i="11"/>
  <c r="Y238" i="12"/>
  <c r="Y236" i="12"/>
  <c r="Y237" i="12"/>
  <c r="X236" i="12"/>
  <c r="AA237" i="12" s="1"/>
  <c r="AB126" i="11"/>
  <c r="AB132" i="11"/>
  <c r="AC126" i="11"/>
  <c r="AQ126" i="11"/>
  <c r="AR126" i="11"/>
  <c r="AF239" i="12"/>
  <c r="AD239" i="12"/>
  <c r="AE239" i="12"/>
  <c r="CA126" i="11"/>
  <c r="BZ126" i="11"/>
  <c r="Y243" i="12"/>
  <c r="Y241" i="12"/>
  <c r="Y242" i="12"/>
  <c r="X241" i="12"/>
  <c r="AA242" i="12" s="1"/>
  <c r="AB127" i="11"/>
  <c r="AC127" i="11"/>
  <c r="AQ127" i="11"/>
  <c r="AR127" i="11"/>
  <c r="AF240" i="12"/>
  <c r="AD240" i="12"/>
  <c r="AE240" i="12"/>
  <c r="CA127" i="11"/>
  <c r="BZ127" i="11"/>
  <c r="U246" i="12"/>
  <c r="F128" i="11" s="1"/>
  <c r="AQ128" i="11"/>
  <c r="AZ128" i="11"/>
  <c r="BP128" i="11"/>
  <c r="G205" i="12"/>
  <c r="G203" i="12"/>
  <c r="G207" i="12" s="1"/>
  <c r="F129" i="11" s="1"/>
  <c r="G204" i="12"/>
  <c r="G206" i="12"/>
  <c r="L204" i="12"/>
  <c r="L203" i="12"/>
  <c r="L207" i="12"/>
  <c r="O207" i="12"/>
  <c r="AQ129" i="11"/>
  <c r="AR129" i="11"/>
  <c r="BI129" i="11"/>
  <c r="BJ129" i="11"/>
  <c r="CA129" i="11"/>
  <c r="AD242" i="12"/>
  <c r="AE242" i="12"/>
  <c r="BZ129" i="11"/>
  <c r="CF129" i="11"/>
  <c r="AQ130" i="11"/>
  <c r="AI131" i="11"/>
  <c r="AI132" i="11" s="1"/>
  <c r="AQ131" i="11"/>
  <c r="K132" i="11"/>
  <c r="L132" i="11"/>
  <c r="Y132" i="11"/>
  <c r="Z132" i="11"/>
  <c r="AA132" i="11"/>
  <c r="AD132" i="11"/>
  <c r="AD133" i="11" s="1"/>
  <c r="AF132" i="11"/>
  <c r="AG132" i="11"/>
  <c r="AH132" i="11"/>
  <c r="AX132" i="11"/>
  <c r="BB132" i="11"/>
  <c r="BB133" i="11" s="1"/>
  <c r="BC132" i="11"/>
  <c r="BE132" i="11"/>
  <c r="BG132" i="11"/>
  <c r="BH132" i="11"/>
  <c r="BK132" i="11"/>
  <c r="BK133" i="11" s="1"/>
  <c r="BL132" i="11"/>
  <c r="BL133" i="11" s="1"/>
  <c r="BM132" i="11"/>
  <c r="BM133" i="11" s="1"/>
  <c r="BN132" i="11"/>
  <c r="BO132" i="11"/>
  <c r="AE133" i="11"/>
  <c r="F36" i="12" s="1"/>
  <c r="AJ133" i="11"/>
  <c r="AJ134" i="11"/>
  <c r="AS133" i="11"/>
  <c r="AS134" i="11" s="1"/>
  <c r="AT133" i="11"/>
  <c r="AU133" i="11"/>
  <c r="AV133" i="11"/>
  <c r="AV134" i="11"/>
  <c r="AW133" i="11"/>
  <c r="AY133" i="11"/>
  <c r="AT134" i="11"/>
  <c r="AU134" i="11"/>
  <c r="AW134" i="11"/>
  <c r="AY134" i="11"/>
  <c r="C138" i="11"/>
  <c r="W140" i="11"/>
  <c r="AI140" i="11"/>
  <c r="C143" i="11"/>
  <c r="AN143" i="11"/>
  <c r="C145" i="11"/>
  <c r="L145" i="11"/>
  <c r="AP146" i="11"/>
  <c r="BA146" i="11"/>
  <c r="I6" i="12"/>
  <c r="O1" i="12" s="1"/>
  <c r="Z1" i="12"/>
  <c r="O2" i="12"/>
  <c r="I5" i="12"/>
  <c r="L7" i="12"/>
  <c r="M7" i="12"/>
  <c r="N7" i="12"/>
  <c r="Z12" i="12"/>
  <c r="C17" i="12"/>
  <c r="B17" i="12" s="1"/>
  <c r="B23" i="12"/>
  <c r="D23" i="12"/>
  <c r="L23" i="12" s="1"/>
  <c r="H27" i="12"/>
  <c r="G40" i="12"/>
  <c r="A41" i="12"/>
  <c r="A42" i="12" s="1"/>
  <c r="G41" i="12"/>
  <c r="AJ41" i="12"/>
  <c r="AK41" i="12"/>
  <c r="AL41" i="12"/>
  <c r="AL48" i="12" s="1"/>
  <c r="AM41" i="12"/>
  <c r="AM48" i="12" s="1"/>
  <c r="AN41" i="12"/>
  <c r="AO41" i="12"/>
  <c r="AP41" i="12"/>
  <c r="AQ41" i="12"/>
  <c r="AR41" i="12"/>
  <c r="AS41" i="12"/>
  <c r="AT41" i="12"/>
  <c r="AT48" i="12" s="1"/>
  <c r="AU41" i="12"/>
  <c r="AU48" i="12" s="1"/>
  <c r="AV41" i="12"/>
  <c r="AW41" i="12"/>
  <c r="AX41" i="12"/>
  <c r="AY41" i="12"/>
  <c r="AZ41" i="12"/>
  <c r="BA41" i="12"/>
  <c r="BB41" i="12"/>
  <c r="BB48" i="12" s="1"/>
  <c r="BC41" i="12"/>
  <c r="BD41" i="12"/>
  <c r="BE41" i="12"/>
  <c r="BF41" i="12"/>
  <c r="BG41" i="12"/>
  <c r="BH41" i="12"/>
  <c r="AJ42" i="12"/>
  <c r="AK42" i="12"/>
  <c r="AK48" i="12" s="1"/>
  <c r="AL42" i="12"/>
  <c r="AM42" i="12"/>
  <c r="AN42" i="12"/>
  <c r="AN48" i="12" s="1"/>
  <c r="AO42" i="12"/>
  <c r="AP42" i="12"/>
  <c r="AQ42" i="12"/>
  <c r="AR42" i="12"/>
  <c r="AS42" i="12"/>
  <c r="AS48" i="12" s="1"/>
  <c r="AT42" i="12"/>
  <c r="AU42" i="12"/>
  <c r="AV42" i="12"/>
  <c r="AW42" i="12"/>
  <c r="AX42" i="12"/>
  <c r="AY42" i="12"/>
  <c r="AZ42" i="12"/>
  <c r="BA42" i="12"/>
  <c r="BA48" i="12" s="1"/>
  <c r="BB42" i="12"/>
  <c r="BC42" i="12"/>
  <c r="BD42" i="12"/>
  <c r="BE42" i="12"/>
  <c r="BF42" i="12"/>
  <c r="BG42" i="12"/>
  <c r="BH42" i="12"/>
  <c r="A43" i="12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G43" i="12"/>
  <c r="H43" i="12"/>
  <c r="AJ43" i="12"/>
  <c r="AK43" i="12"/>
  <c r="AL43" i="12"/>
  <c r="AM43" i="12"/>
  <c r="AN43" i="12"/>
  <c r="AO43" i="12"/>
  <c r="AO48" i="12" s="1"/>
  <c r="AP43" i="12"/>
  <c r="AQ43" i="12"/>
  <c r="AR43" i="12"/>
  <c r="AS43" i="12"/>
  <c r="AT43" i="12"/>
  <c r="AU43" i="12"/>
  <c r="AV43" i="12"/>
  <c r="AV48" i="12" s="1"/>
  <c r="AW43" i="12"/>
  <c r="AW48" i="12" s="1"/>
  <c r="AX43" i="12"/>
  <c r="AY43" i="12"/>
  <c r="AZ43" i="12"/>
  <c r="BA43" i="12"/>
  <c r="BB43" i="12"/>
  <c r="BC43" i="12"/>
  <c r="BD43" i="12"/>
  <c r="BD48" i="12" s="1"/>
  <c r="BE43" i="12"/>
  <c r="BE48" i="12" s="1"/>
  <c r="BF43" i="12"/>
  <c r="BG43" i="12"/>
  <c r="BH43" i="12"/>
  <c r="AJ44" i="12"/>
  <c r="AK44" i="12"/>
  <c r="AL44" i="12"/>
  <c r="AM44" i="12"/>
  <c r="AN44" i="12"/>
  <c r="AO44" i="12"/>
  <c r="AP44" i="12"/>
  <c r="AP48" i="12" s="1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BC44" i="12"/>
  <c r="BD44" i="12"/>
  <c r="BE44" i="12"/>
  <c r="BF44" i="12"/>
  <c r="BG44" i="12"/>
  <c r="BH44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AZ48" i="12" s="1"/>
  <c r="BA45" i="12"/>
  <c r="BB45" i="12"/>
  <c r="BC45" i="12"/>
  <c r="BD45" i="12"/>
  <c r="BE45" i="12"/>
  <c r="BF45" i="12"/>
  <c r="BG45" i="12"/>
  <c r="BH45" i="12"/>
  <c r="H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X48" i="12"/>
  <c r="AY46" i="12"/>
  <c r="AY48" i="12" s="1"/>
  <c r="AZ46" i="12"/>
  <c r="BA46" i="12"/>
  <c r="BB46" i="12"/>
  <c r="BC46" i="12"/>
  <c r="BD46" i="12"/>
  <c r="BE46" i="12"/>
  <c r="BF46" i="12"/>
  <c r="BF48" i="12"/>
  <c r="BG46" i="12"/>
  <c r="BH46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BC47" i="12"/>
  <c r="BD47" i="12"/>
  <c r="BE47" i="12"/>
  <c r="BF47" i="12"/>
  <c r="BG47" i="12"/>
  <c r="BG48" i="12" s="1"/>
  <c r="BH47" i="12"/>
  <c r="G49" i="12"/>
  <c r="H49" i="12"/>
  <c r="H52" i="12"/>
  <c r="G53" i="12"/>
  <c r="G55" i="12"/>
  <c r="G56" i="12"/>
  <c r="G58" i="12"/>
  <c r="H58" i="12"/>
  <c r="AJ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AY68" i="12"/>
  <c r="AZ68" i="12"/>
  <c r="BA68" i="12"/>
  <c r="BB68" i="12"/>
  <c r="BC68" i="12"/>
  <c r="BD68" i="12"/>
  <c r="BE68" i="12"/>
  <c r="BF68" i="12"/>
  <c r="BG68" i="12"/>
  <c r="BH68" i="12"/>
  <c r="A69" i="12"/>
  <c r="A70" i="12" s="1"/>
  <c r="A71" i="12" s="1"/>
  <c r="A72" i="12" s="1"/>
  <c r="A73" i="12" s="1"/>
  <c r="A74" i="12" s="1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BC69" i="12"/>
  <c r="BD69" i="12"/>
  <c r="BE69" i="12"/>
  <c r="BF69" i="12"/>
  <c r="BG69" i="12"/>
  <c r="BH69" i="12"/>
  <c r="A75" i="12"/>
  <c r="A76" i="12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J70" i="12"/>
  <c r="AK70" i="12"/>
  <c r="AL70" i="12"/>
  <c r="AM70" i="12"/>
  <c r="AN70" i="12"/>
  <c r="AO70" i="12"/>
  <c r="AP70" i="12"/>
  <c r="AQ70" i="12"/>
  <c r="AR70" i="12"/>
  <c r="AS70" i="12"/>
  <c r="AT70" i="12"/>
  <c r="AU70" i="12"/>
  <c r="AV70" i="12"/>
  <c r="AW70" i="12"/>
  <c r="AX70" i="12"/>
  <c r="AY70" i="12"/>
  <c r="AZ70" i="12"/>
  <c r="BA70" i="12"/>
  <c r="BB70" i="12"/>
  <c r="BC70" i="12"/>
  <c r="BD70" i="12"/>
  <c r="BE70" i="12"/>
  <c r="BF70" i="12"/>
  <c r="BG70" i="12"/>
  <c r="BH70" i="12"/>
  <c r="AJ71" i="12"/>
  <c r="AK71" i="12"/>
  <c r="AL71" i="12"/>
  <c r="AM71" i="12"/>
  <c r="AN71" i="12"/>
  <c r="AO71" i="12"/>
  <c r="AP71" i="12"/>
  <c r="AQ71" i="12"/>
  <c r="AR71" i="12"/>
  <c r="AS71" i="12"/>
  <c r="AT71" i="12"/>
  <c r="AU71" i="12"/>
  <c r="AV71" i="12"/>
  <c r="AW71" i="12"/>
  <c r="AX71" i="12"/>
  <c r="AY71" i="12"/>
  <c r="AZ71" i="12"/>
  <c r="BA71" i="12"/>
  <c r="BB71" i="12"/>
  <c r="BB82" i="12"/>
  <c r="BC71" i="12"/>
  <c r="BD71" i="12"/>
  <c r="BE71" i="12"/>
  <c r="BF71" i="12"/>
  <c r="BG71" i="12"/>
  <c r="BH71" i="12"/>
  <c r="AJ72" i="12"/>
  <c r="AK72" i="12"/>
  <c r="AL72" i="12"/>
  <c r="AM72" i="12"/>
  <c r="AN72" i="12"/>
  <c r="AO72" i="12"/>
  <c r="AP72" i="12"/>
  <c r="AQ72" i="12"/>
  <c r="AR72" i="12"/>
  <c r="AS72" i="12"/>
  <c r="AT72" i="12"/>
  <c r="AU72" i="12"/>
  <c r="AV72" i="12"/>
  <c r="AW72" i="12"/>
  <c r="AX72" i="12"/>
  <c r="AY72" i="12"/>
  <c r="AZ72" i="12"/>
  <c r="BA72" i="12"/>
  <c r="BB72" i="12"/>
  <c r="BC72" i="12"/>
  <c r="BD72" i="12"/>
  <c r="BE72" i="12"/>
  <c r="BF72" i="12"/>
  <c r="BG72" i="12"/>
  <c r="BH72" i="12"/>
  <c r="AJ73" i="12"/>
  <c r="AK73" i="12"/>
  <c r="AL73" i="12"/>
  <c r="AM73" i="12"/>
  <c r="AN73" i="12"/>
  <c r="AO73" i="12"/>
  <c r="AP73" i="12"/>
  <c r="AQ73" i="12"/>
  <c r="AR73" i="12"/>
  <c r="AS73" i="12"/>
  <c r="AT73" i="12"/>
  <c r="AU73" i="12"/>
  <c r="AV73" i="12"/>
  <c r="AW73" i="12"/>
  <c r="AX73" i="12"/>
  <c r="AY73" i="12"/>
  <c r="AZ73" i="12"/>
  <c r="BA73" i="12"/>
  <c r="BB73" i="12"/>
  <c r="BC73" i="12"/>
  <c r="BD73" i="12"/>
  <c r="BE73" i="12"/>
  <c r="BF73" i="12"/>
  <c r="BG73" i="12"/>
  <c r="BH73" i="12"/>
  <c r="AJ74" i="12"/>
  <c r="AK74" i="12"/>
  <c r="AL74" i="12"/>
  <c r="AL82" i="12" s="1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BC74" i="12"/>
  <c r="BD74" i="12"/>
  <c r="BE74" i="12"/>
  <c r="BF74" i="12"/>
  <c r="BG74" i="12"/>
  <c r="BH74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V82" i="12" s="1"/>
  <c r="AW75" i="12"/>
  <c r="AX75" i="12"/>
  <c r="AY75" i="12"/>
  <c r="AZ75" i="12"/>
  <c r="BA75" i="12"/>
  <c r="BB75" i="12"/>
  <c r="BC75" i="12"/>
  <c r="BD75" i="12"/>
  <c r="BE75" i="12"/>
  <c r="BF75" i="12"/>
  <c r="BG75" i="12"/>
  <c r="BH75" i="12"/>
  <c r="AJ76" i="12"/>
  <c r="AK76" i="12"/>
  <c r="AL76" i="12"/>
  <c r="AM76" i="12"/>
  <c r="AM82" i="12" s="1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BC76" i="12"/>
  <c r="BC82" i="12" s="1"/>
  <c r="BD76" i="12"/>
  <c r="BE76" i="12"/>
  <c r="BF76" i="12"/>
  <c r="BG76" i="12"/>
  <c r="BH76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BC77" i="12"/>
  <c r="BD77" i="12"/>
  <c r="BE77" i="12"/>
  <c r="BF77" i="12"/>
  <c r="BG77" i="12"/>
  <c r="BH77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BC78" i="12"/>
  <c r="BD78" i="12"/>
  <c r="BE78" i="12"/>
  <c r="BF78" i="12"/>
  <c r="BG78" i="12"/>
  <c r="BH78" i="12"/>
  <c r="AJ79" i="12"/>
  <c r="AK79" i="12"/>
  <c r="AL79" i="12"/>
  <c r="AM79" i="12"/>
  <c r="AN79" i="12"/>
  <c r="AO79" i="12"/>
  <c r="AP79" i="12"/>
  <c r="AQ79" i="12"/>
  <c r="AR79" i="12"/>
  <c r="AR82" i="12" s="1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BC80" i="12"/>
  <c r="BD80" i="12"/>
  <c r="BE80" i="12"/>
  <c r="BF80" i="12"/>
  <c r="BG80" i="12"/>
  <c r="BH80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BC81" i="12"/>
  <c r="BD81" i="12"/>
  <c r="BE81" i="12"/>
  <c r="BF81" i="12"/>
  <c r="BG81" i="12"/>
  <c r="BH81" i="12"/>
  <c r="R90" i="12"/>
  <c r="P96" i="12"/>
  <c r="AK118" i="12"/>
  <c r="AL118" i="12"/>
  <c r="AM118" i="12"/>
  <c r="AN118" i="12"/>
  <c r="AJ119" i="12"/>
  <c r="AK119" i="12"/>
  <c r="AL119" i="12"/>
  <c r="AM119" i="12"/>
  <c r="AN119" i="12"/>
  <c r="AJ120" i="12"/>
  <c r="AK120" i="12"/>
  <c r="AL120" i="12"/>
  <c r="AM120" i="12"/>
  <c r="AN120" i="12"/>
  <c r="AI121" i="12"/>
  <c r="AD157" i="12" s="1"/>
  <c r="AG157" i="12" s="1"/>
  <c r="BQ44" i="11" s="1"/>
  <c r="AJ121" i="12"/>
  <c r="AK121" i="12"/>
  <c r="AL121" i="12"/>
  <c r="AM121" i="12"/>
  <c r="AN121" i="12"/>
  <c r="AH122" i="12"/>
  <c r="AI122" i="12"/>
  <c r="AJ122" i="12"/>
  <c r="AK122" i="12"/>
  <c r="AL122" i="12"/>
  <c r="AM122" i="12"/>
  <c r="AN122" i="12"/>
  <c r="AH123" i="12"/>
  <c r="AI123" i="12"/>
  <c r="AJ123" i="12"/>
  <c r="AK123" i="12"/>
  <c r="AL123" i="12"/>
  <c r="AM123" i="12"/>
  <c r="AN123" i="12"/>
  <c r="AH124" i="12"/>
  <c r="AI124" i="12"/>
  <c r="AJ124" i="12"/>
  <c r="AK124" i="12"/>
  <c r="AL124" i="12"/>
  <c r="AM124" i="12"/>
  <c r="AN124" i="12"/>
  <c r="AG127" i="12"/>
  <c r="S134" i="12"/>
  <c r="AJ138" i="12"/>
  <c r="AK138" i="12"/>
  <c r="AL138" i="12"/>
  <c r="AM138" i="12"/>
  <c r="AN138" i="12"/>
  <c r="AO138" i="12"/>
  <c r="AP138" i="12"/>
  <c r="AQ138" i="12"/>
  <c r="AR138" i="12"/>
  <c r="AS138" i="12"/>
  <c r="AT138" i="12"/>
  <c r="AU138" i="12"/>
  <c r="AV138" i="12"/>
  <c r="AW138" i="12"/>
  <c r="AX138" i="12"/>
  <c r="AY138" i="12"/>
  <c r="AZ138" i="12"/>
  <c r="BA138" i="12"/>
  <c r="BB138" i="12"/>
  <c r="BC138" i="12"/>
  <c r="BD138" i="12"/>
  <c r="BE138" i="12"/>
  <c r="BF138" i="12"/>
  <c r="BG138" i="12"/>
  <c r="BH138" i="12"/>
  <c r="BI138" i="12"/>
  <c r="BJ138" i="12"/>
  <c r="BK138" i="12"/>
  <c r="BL138" i="12"/>
  <c r="A139" i="12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R139" i="12"/>
  <c r="AJ139" i="12"/>
  <c r="AK139" i="12"/>
  <c r="AL139" i="12"/>
  <c r="AM139" i="12"/>
  <c r="AN139" i="12"/>
  <c r="AO139" i="12"/>
  <c r="AP139" i="12"/>
  <c r="AQ139" i="12"/>
  <c r="AR139" i="12"/>
  <c r="AS139" i="12"/>
  <c r="AT139" i="12"/>
  <c r="AU139" i="12"/>
  <c r="AV139" i="12"/>
  <c r="AW139" i="12"/>
  <c r="AX139" i="12"/>
  <c r="AY139" i="12"/>
  <c r="AZ139" i="12"/>
  <c r="BA139" i="12"/>
  <c r="BB139" i="12"/>
  <c r="BC139" i="12"/>
  <c r="BD139" i="12"/>
  <c r="BE139" i="12"/>
  <c r="BF139" i="12"/>
  <c r="BG139" i="12"/>
  <c r="BH139" i="12"/>
  <c r="BI139" i="12"/>
  <c r="BJ139" i="12"/>
  <c r="BK139" i="12"/>
  <c r="BL139" i="12"/>
  <c r="R140" i="12"/>
  <c r="AJ140" i="12"/>
  <c r="AK140" i="12"/>
  <c r="AL140" i="12"/>
  <c r="AM140" i="12"/>
  <c r="AN140" i="12"/>
  <c r="AO140" i="12"/>
  <c r="AP140" i="12"/>
  <c r="AQ140" i="12"/>
  <c r="AR140" i="12"/>
  <c r="AS140" i="12"/>
  <c r="AT140" i="12"/>
  <c r="AU140" i="12"/>
  <c r="AV140" i="12"/>
  <c r="AW140" i="12"/>
  <c r="AX140" i="12"/>
  <c r="AY140" i="12"/>
  <c r="AZ140" i="12"/>
  <c r="BA140" i="12"/>
  <c r="BB140" i="12"/>
  <c r="BC140" i="12"/>
  <c r="BD140" i="12"/>
  <c r="BE140" i="12"/>
  <c r="BF140" i="12"/>
  <c r="BG140" i="12"/>
  <c r="BH140" i="12"/>
  <c r="BI140" i="12"/>
  <c r="BJ140" i="12"/>
  <c r="BK140" i="12"/>
  <c r="BL140" i="12"/>
  <c r="Z141" i="12"/>
  <c r="AJ141" i="12"/>
  <c r="AK141" i="12"/>
  <c r="AL141" i="12"/>
  <c r="AM141" i="12"/>
  <c r="AN141" i="12"/>
  <c r="AO141" i="12"/>
  <c r="AP141" i="12"/>
  <c r="AQ141" i="12"/>
  <c r="AR141" i="12"/>
  <c r="AS141" i="12"/>
  <c r="AT141" i="12"/>
  <c r="AU141" i="12"/>
  <c r="AV141" i="12"/>
  <c r="AW141" i="12"/>
  <c r="AX141" i="12"/>
  <c r="AY141" i="12"/>
  <c r="AZ141" i="12"/>
  <c r="BA141" i="12"/>
  <c r="BB141" i="12"/>
  <c r="BC141" i="12"/>
  <c r="BD141" i="12"/>
  <c r="BE141" i="12"/>
  <c r="BF141" i="12"/>
  <c r="BG141" i="12"/>
  <c r="BH141" i="12"/>
  <c r="BI141" i="12"/>
  <c r="BJ141" i="12"/>
  <c r="BK141" i="12"/>
  <c r="BL141" i="12"/>
  <c r="AJ142" i="12"/>
  <c r="AK142" i="12"/>
  <c r="AL142" i="12"/>
  <c r="AM142" i="12"/>
  <c r="AN142" i="12"/>
  <c r="AO142" i="12"/>
  <c r="AP142" i="12"/>
  <c r="AQ142" i="12"/>
  <c r="AR142" i="12"/>
  <c r="AS142" i="12"/>
  <c r="AT142" i="12"/>
  <c r="AU142" i="12"/>
  <c r="AV142" i="12"/>
  <c r="AW142" i="12"/>
  <c r="AX142" i="12"/>
  <c r="AY142" i="12"/>
  <c r="AZ142" i="12"/>
  <c r="BA142" i="12"/>
  <c r="BB142" i="12"/>
  <c r="BC142" i="12"/>
  <c r="BD142" i="12"/>
  <c r="BE142" i="12"/>
  <c r="BF142" i="12"/>
  <c r="BG142" i="12"/>
  <c r="BH142" i="12"/>
  <c r="BI142" i="12"/>
  <c r="BJ142" i="12"/>
  <c r="BK142" i="12"/>
  <c r="BL142" i="12"/>
  <c r="AJ143" i="12"/>
  <c r="AK143" i="12"/>
  <c r="AL143" i="12"/>
  <c r="AM143" i="12"/>
  <c r="AN143" i="12"/>
  <c r="AO143" i="12"/>
  <c r="AP143" i="12"/>
  <c r="AQ143" i="12"/>
  <c r="AR143" i="12"/>
  <c r="AS143" i="12"/>
  <c r="AT143" i="12"/>
  <c r="AU143" i="12"/>
  <c r="AV143" i="12"/>
  <c r="AW143" i="12"/>
  <c r="AX143" i="12"/>
  <c r="AY143" i="12"/>
  <c r="AZ143" i="12"/>
  <c r="BA143" i="12"/>
  <c r="BB143" i="12"/>
  <c r="BC143" i="12"/>
  <c r="BD143" i="12"/>
  <c r="BE143" i="12"/>
  <c r="BF143" i="12"/>
  <c r="BG143" i="12"/>
  <c r="BH143" i="12"/>
  <c r="BI143" i="12"/>
  <c r="BJ143" i="12"/>
  <c r="BK143" i="12"/>
  <c r="BL143" i="12"/>
  <c r="AJ144" i="12"/>
  <c r="AK144" i="12"/>
  <c r="AL144" i="12"/>
  <c r="AM144" i="12"/>
  <c r="AN144" i="12"/>
  <c r="AO144" i="12"/>
  <c r="AP144" i="12"/>
  <c r="AQ144" i="12"/>
  <c r="AR144" i="12"/>
  <c r="AS144" i="12"/>
  <c r="AT144" i="12"/>
  <c r="AU144" i="12"/>
  <c r="AV144" i="12"/>
  <c r="AW144" i="12"/>
  <c r="AX144" i="12"/>
  <c r="AY144" i="12"/>
  <c r="AZ144" i="12"/>
  <c r="BA144" i="12"/>
  <c r="BB144" i="12"/>
  <c r="BC144" i="12"/>
  <c r="BD144" i="12"/>
  <c r="BE144" i="12"/>
  <c r="BF144" i="12"/>
  <c r="BG144" i="12"/>
  <c r="BH144" i="12"/>
  <c r="BI144" i="12"/>
  <c r="BJ144" i="12"/>
  <c r="BK144" i="12"/>
  <c r="BL144" i="12"/>
  <c r="AJ145" i="12"/>
  <c r="AK145" i="12"/>
  <c r="AL145" i="12"/>
  <c r="AM145" i="12"/>
  <c r="AN145" i="12"/>
  <c r="AO145" i="12"/>
  <c r="AP145" i="12"/>
  <c r="AQ145" i="12"/>
  <c r="AR145" i="12"/>
  <c r="AS145" i="12"/>
  <c r="AT145" i="12"/>
  <c r="AU145" i="12"/>
  <c r="AV145" i="12"/>
  <c r="AW145" i="12"/>
  <c r="AX145" i="12"/>
  <c r="AY145" i="12"/>
  <c r="AZ145" i="12"/>
  <c r="BA145" i="12"/>
  <c r="BB145" i="12"/>
  <c r="BC145" i="12"/>
  <c r="BD145" i="12"/>
  <c r="BE145" i="12"/>
  <c r="BF145" i="12"/>
  <c r="BG145" i="12"/>
  <c r="BH145" i="12"/>
  <c r="BI145" i="12"/>
  <c r="BJ145" i="12"/>
  <c r="BK145" i="12"/>
  <c r="BL145" i="12"/>
  <c r="Z146" i="12"/>
  <c r="AJ146" i="12"/>
  <c r="AK146" i="12"/>
  <c r="AL146" i="12"/>
  <c r="AM146" i="12"/>
  <c r="AN146" i="12"/>
  <c r="AO146" i="12"/>
  <c r="AP146" i="12"/>
  <c r="AQ146" i="12"/>
  <c r="AR146" i="12"/>
  <c r="AS146" i="12"/>
  <c r="AT146" i="12"/>
  <c r="AU146" i="12"/>
  <c r="AV146" i="12"/>
  <c r="AW146" i="12"/>
  <c r="AX146" i="12"/>
  <c r="AY146" i="12"/>
  <c r="AZ146" i="12"/>
  <c r="BA146" i="12"/>
  <c r="BB146" i="12"/>
  <c r="BC146" i="12"/>
  <c r="BD146" i="12"/>
  <c r="BE146" i="12"/>
  <c r="BF146" i="12"/>
  <c r="BG146" i="12"/>
  <c r="BH146" i="12"/>
  <c r="BI146" i="12"/>
  <c r="BJ146" i="12"/>
  <c r="BK146" i="12"/>
  <c r="BL146" i="12"/>
  <c r="AJ147" i="12"/>
  <c r="AJ166" i="12" s="1"/>
  <c r="AK147" i="12"/>
  <c r="AL147" i="12"/>
  <c r="AM147" i="12"/>
  <c r="AN147" i="12"/>
  <c r="AO147" i="12"/>
  <c r="AP147" i="12"/>
  <c r="AQ147" i="12"/>
  <c r="AR147" i="12"/>
  <c r="AS147" i="12"/>
  <c r="AT147" i="12"/>
  <c r="AU147" i="12"/>
  <c r="AV147" i="12"/>
  <c r="AW147" i="12"/>
  <c r="AX147" i="12"/>
  <c r="AY147" i="12"/>
  <c r="AZ147" i="12"/>
  <c r="BA147" i="12"/>
  <c r="BB147" i="12"/>
  <c r="BC147" i="12"/>
  <c r="BD147" i="12"/>
  <c r="BE147" i="12"/>
  <c r="BF147" i="12"/>
  <c r="BG147" i="12"/>
  <c r="BH147" i="12"/>
  <c r="BI147" i="12"/>
  <c r="BJ147" i="12"/>
  <c r="BK147" i="12"/>
  <c r="BL147" i="12"/>
  <c r="R148" i="12"/>
  <c r="AJ148" i="12"/>
  <c r="AK148" i="12"/>
  <c r="AL148" i="12"/>
  <c r="AM148" i="12"/>
  <c r="AN148" i="12"/>
  <c r="AO148" i="12"/>
  <c r="AP148" i="12"/>
  <c r="AQ148" i="12"/>
  <c r="AR148" i="12"/>
  <c r="AS148" i="12"/>
  <c r="AT148" i="12"/>
  <c r="AU148" i="12"/>
  <c r="AV148" i="12"/>
  <c r="AW148" i="12"/>
  <c r="AX148" i="12"/>
  <c r="AY148" i="12"/>
  <c r="AZ148" i="12"/>
  <c r="BA148" i="12"/>
  <c r="BB148" i="12"/>
  <c r="BC148" i="12"/>
  <c r="BD148" i="12"/>
  <c r="BE148" i="12"/>
  <c r="BF148" i="12"/>
  <c r="BG148" i="12"/>
  <c r="BH148" i="12"/>
  <c r="BI148" i="12"/>
  <c r="BI166" i="12" s="1"/>
  <c r="BJ148" i="12"/>
  <c r="BK148" i="12"/>
  <c r="BL148" i="12"/>
  <c r="AJ149" i="12"/>
  <c r="AK149" i="12"/>
  <c r="AL149" i="12"/>
  <c r="AM149" i="12"/>
  <c r="AN149" i="12"/>
  <c r="AO149" i="12"/>
  <c r="AP149" i="12"/>
  <c r="AQ149" i="12"/>
  <c r="AR149" i="12"/>
  <c r="AS149" i="12"/>
  <c r="AT149" i="12"/>
  <c r="AU149" i="12"/>
  <c r="AV149" i="12"/>
  <c r="AW149" i="12"/>
  <c r="AX149" i="12"/>
  <c r="AY149" i="12"/>
  <c r="AZ149" i="12"/>
  <c r="BA149" i="12"/>
  <c r="BB149" i="12"/>
  <c r="BC149" i="12"/>
  <c r="BD149" i="12"/>
  <c r="BE149" i="12"/>
  <c r="BF149" i="12"/>
  <c r="BG149" i="12"/>
  <c r="BH149" i="12"/>
  <c r="BI149" i="12"/>
  <c r="BJ149" i="12"/>
  <c r="BK149" i="12"/>
  <c r="BL149" i="12"/>
  <c r="AJ150" i="12"/>
  <c r="AK150" i="12"/>
  <c r="AL150" i="12"/>
  <c r="AM150" i="12"/>
  <c r="AN150" i="12"/>
  <c r="AO150" i="12"/>
  <c r="AP150" i="12"/>
  <c r="AQ150" i="12"/>
  <c r="AR150" i="12"/>
  <c r="AS150" i="12"/>
  <c r="AT150" i="12"/>
  <c r="AU150" i="12"/>
  <c r="AV150" i="12"/>
  <c r="AW150" i="12"/>
  <c r="AX150" i="12"/>
  <c r="AY150" i="12"/>
  <c r="AZ150" i="12"/>
  <c r="BA150" i="12"/>
  <c r="BB150" i="12"/>
  <c r="BC150" i="12"/>
  <c r="BD150" i="12"/>
  <c r="BE150" i="12"/>
  <c r="BF150" i="12"/>
  <c r="BG150" i="12"/>
  <c r="BH150" i="12"/>
  <c r="BI150" i="12"/>
  <c r="BJ150" i="12"/>
  <c r="BK150" i="12"/>
  <c r="BL150" i="12"/>
  <c r="AJ151" i="12"/>
  <c r="AK151" i="12"/>
  <c r="AL151" i="12"/>
  <c r="AM151" i="12"/>
  <c r="AN151" i="12"/>
  <c r="AO151" i="12"/>
  <c r="AP151" i="12"/>
  <c r="AQ151" i="12"/>
  <c r="AR151" i="12"/>
  <c r="AS151" i="12"/>
  <c r="AT151" i="12"/>
  <c r="AU151" i="12"/>
  <c r="AV151" i="12"/>
  <c r="AW151" i="12"/>
  <c r="AX151" i="12"/>
  <c r="AY151" i="12"/>
  <c r="AZ151" i="12"/>
  <c r="BA151" i="12"/>
  <c r="BB151" i="12"/>
  <c r="BC151" i="12"/>
  <c r="BD151" i="12"/>
  <c r="BE151" i="12"/>
  <c r="BF151" i="12"/>
  <c r="BG151" i="12"/>
  <c r="BH151" i="12"/>
  <c r="BI151" i="12"/>
  <c r="BJ151" i="12"/>
  <c r="BK151" i="12"/>
  <c r="BL151" i="12"/>
  <c r="AJ152" i="12"/>
  <c r="AK152" i="12"/>
  <c r="AL152" i="12"/>
  <c r="AM152" i="12"/>
  <c r="AN152" i="12"/>
  <c r="AO152" i="12"/>
  <c r="AP152" i="12"/>
  <c r="AQ152" i="12"/>
  <c r="AR152" i="12"/>
  <c r="AS152" i="12"/>
  <c r="AT152" i="12"/>
  <c r="AU152" i="12"/>
  <c r="AV152" i="12"/>
  <c r="AW152" i="12"/>
  <c r="AX152" i="12"/>
  <c r="AY152" i="12"/>
  <c r="AZ152" i="12"/>
  <c r="BA152" i="12"/>
  <c r="BB152" i="12"/>
  <c r="BC152" i="12"/>
  <c r="BD152" i="12"/>
  <c r="BE152" i="12"/>
  <c r="BF152" i="12"/>
  <c r="BG152" i="12"/>
  <c r="BH152" i="12"/>
  <c r="BI152" i="12"/>
  <c r="BJ152" i="12"/>
  <c r="BK152" i="12"/>
  <c r="BL152" i="12"/>
  <c r="AJ153" i="12"/>
  <c r="AK153" i="12"/>
  <c r="AL153" i="12"/>
  <c r="AM153" i="12"/>
  <c r="AN153" i="12"/>
  <c r="AO153" i="12"/>
  <c r="AP153" i="12"/>
  <c r="AQ153" i="12"/>
  <c r="AR153" i="12"/>
  <c r="AS153" i="12"/>
  <c r="AT153" i="12"/>
  <c r="AU153" i="12"/>
  <c r="AV153" i="12"/>
  <c r="AW153" i="12"/>
  <c r="AX153" i="12"/>
  <c r="AY153" i="12"/>
  <c r="AZ153" i="12"/>
  <c r="BA153" i="12"/>
  <c r="BB153" i="12"/>
  <c r="BC153" i="12"/>
  <c r="BD153" i="12"/>
  <c r="BE153" i="12"/>
  <c r="BF153" i="12"/>
  <c r="BG153" i="12"/>
  <c r="BH153" i="12"/>
  <c r="BI153" i="12"/>
  <c r="BJ153" i="12"/>
  <c r="BK153" i="12"/>
  <c r="BL153" i="12"/>
  <c r="Z154" i="12"/>
  <c r="AJ154" i="12"/>
  <c r="AK154" i="12"/>
  <c r="AL154" i="12"/>
  <c r="AM154" i="12"/>
  <c r="AN154" i="12"/>
  <c r="AO154" i="12"/>
  <c r="AP154" i="12"/>
  <c r="AQ154" i="12"/>
  <c r="AR154" i="12"/>
  <c r="AS154" i="12"/>
  <c r="AT154" i="12"/>
  <c r="AU154" i="12"/>
  <c r="AV154" i="12"/>
  <c r="AW154" i="12"/>
  <c r="AX154" i="12"/>
  <c r="AY154" i="12"/>
  <c r="AZ154" i="12"/>
  <c r="BA154" i="12"/>
  <c r="BB154" i="12"/>
  <c r="BC154" i="12"/>
  <c r="BD154" i="12"/>
  <c r="BE154" i="12"/>
  <c r="BF154" i="12"/>
  <c r="BG154" i="12"/>
  <c r="BH154" i="12"/>
  <c r="BI154" i="12"/>
  <c r="BJ154" i="12"/>
  <c r="BK154" i="12"/>
  <c r="BL154" i="12"/>
  <c r="AJ155" i="12"/>
  <c r="AK155" i="12"/>
  <c r="AL155" i="12"/>
  <c r="AM155" i="12"/>
  <c r="AN155" i="12"/>
  <c r="AO155" i="12"/>
  <c r="AP155" i="12"/>
  <c r="AQ155" i="12"/>
  <c r="AR155" i="12"/>
  <c r="AS155" i="12"/>
  <c r="AT155" i="12"/>
  <c r="AU155" i="12"/>
  <c r="AV155" i="12"/>
  <c r="AW155" i="12"/>
  <c r="AX155" i="12"/>
  <c r="AY155" i="12"/>
  <c r="AZ155" i="12"/>
  <c r="BA155" i="12"/>
  <c r="BB155" i="12"/>
  <c r="BC155" i="12"/>
  <c r="BD155" i="12"/>
  <c r="BE155" i="12"/>
  <c r="BF155" i="12"/>
  <c r="BG155" i="12"/>
  <c r="BH155" i="12"/>
  <c r="BI155" i="12"/>
  <c r="BJ155" i="12"/>
  <c r="BK155" i="12"/>
  <c r="BL155" i="12"/>
  <c r="AJ156" i="12"/>
  <c r="AK156" i="12"/>
  <c r="AL156" i="12"/>
  <c r="AM156" i="12"/>
  <c r="AN156" i="12"/>
  <c r="AO156" i="12"/>
  <c r="AP156" i="12"/>
  <c r="AQ156" i="12"/>
  <c r="AR156" i="12"/>
  <c r="AS156" i="12"/>
  <c r="AT156" i="12"/>
  <c r="AU156" i="12"/>
  <c r="AV156" i="12"/>
  <c r="AW156" i="12"/>
  <c r="AX156" i="12"/>
  <c r="AY156" i="12"/>
  <c r="AZ156" i="12"/>
  <c r="BA156" i="12"/>
  <c r="BB156" i="12"/>
  <c r="BC156" i="12"/>
  <c r="BD156" i="12"/>
  <c r="BE156" i="12"/>
  <c r="BF156" i="12"/>
  <c r="BG156" i="12"/>
  <c r="BH156" i="12"/>
  <c r="BI156" i="12"/>
  <c r="BJ156" i="12"/>
  <c r="BK156" i="12"/>
  <c r="BL156" i="12"/>
  <c r="AJ157" i="12"/>
  <c r="AK157" i="12"/>
  <c r="AL157" i="12"/>
  <c r="AM157" i="12"/>
  <c r="AN157" i="12"/>
  <c r="AO157" i="12"/>
  <c r="AP157" i="12"/>
  <c r="AQ157" i="12"/>
  <c r="AR157" i="12"/>
  <c r="AS157" i="12"/>
  <c r="AT157" i="12"/>
  <c r="AU157" i="12"/>
  <c r="AV157" i="12"/>
  <c r="AW157" i="12"/>
  <c r="AX157" i="12"/>
  <c r="AY157" i="12"/>
  <c r="AZ157" i="12"/>
  <c r="BA157" i="12"/>
  <c r="BB157" i="12"/>
  <c r="BC157" i="12"/>
  <c r="BD157" i="12"/>
  <c r="BE157" i="12"/>
  <c r="BF157" i="12"/>
  <c r="BG157" i="12"/>
  <c r="BH157" i="12"/>
  <c r="BI157" i="12"/>
  <c r="BJ157" i="12"/>
  <c r="BK157" i="12"/>
  <c r="BL157" i="12"/>
  <c r="AJ158" i="12"/>
  <c r="AK158" i="12"/>
  <c r="AL158" i="12"/>
  <c r="AM158" i="12"/>
  <c r="AN158" i="12"/>
  <c r="AO158" i="12"/>
  <c r="AP158" i="12"/>
  <c r="AQ158" i="12"/>
  <c r="AQ166" i="12" s="1"/>
  <c r="AR158" i="12"/>
  <c r="AS158" i="12"/>
  <c r="AT158" i="12"/>
  <c r="AU158" i="12"/>
  <c r="AV158" i="12"/>
  <c r="AW158" i="12"/>
  <c r="AX158" i="12"/>
  <c r="AY158" i="12"/>
  <c r="AZ158" i="12"/>
  <c r="BA158" i="12"/>
  <c r="BB158" i="12"/>
  <c r="BC158" i="12"/>
  <c r="BD158" i="12"/>
  <c r="BE158" i="12"/>
  <c r="BF158" i="12"/>
  <c r="BG158" i="12"/>
  <c r="BG166" i="12" s="1"/>
  <c r="BH158" i="12"/>
  <c r="BI158" i="12"/>
  <c r="BJ158" i="12"/>
  <c r="BK158" i="12"/>
  <c r="BL158" i="12"/>
  <c r="Z159" i="12"/>
  <c r="AJ159" i="12"/>
  <c r="AK159" i="12"/>
  <c r="AL159" i="12"/>
  <c r="AM159" i="12"/>
  <c r="AN159" i="12"/>
  <c r="AO159" i="12"/>
  <c r="AP159" i="12"/>
  <c r="AQ159" i="12"/>
  <c r="AR159" i="12"/>
  <c r="AS159" i="12"/>
  <c r="AT159" i="12"/>
  <c r="AU159" i="12"/>
  <c r="AV159" i="12"/>
  <c r="AW159" i="12"/>
  <c r="AX159" i="12"/>
  <c r="AY159" i="12"/>
  <c r="AZ159" i="12"/>
  <c r="BA159" i="12"/>
  <c r="BB159" i="12"/>
  <c r="BC159" i="12"/>
  <c r="BD159" i="12"/>
  <c r="BE159" i="12"/>
  <c r="BF159" i="12"/>
  <c r="BG159" i="12"/>
  <c r="BH159" i="12"/>
  <c r="BI159" i="12"/>
  <c r="BJ159" i="12"/>
  <c r="BK159" i="12"/>
  <c r="BL159" i="12"/>
  <c r="AJ160" i="12"/>
  <c r="AK160" i="12"/>
  <c r="AL160" i="12"/>
  <c r="AM160" i="12"/>
  <c r="AN160" i="12"/>
  <c r="AO160" i="12"/>
  <c r="AP160" i="12"/>
  <c r="AQ160" i="12"/>
  <c r="AR160" i="12"/>
  <c r="AS160" i="12"/>
  <c r="AT160" i="12"/>
  <c r="AU160" i="12"/>
  <c r="AV160" i="12"/>
  <c r="AW160" i="12"/>
  <c r="AX160" i="12"/>
  <c r="AY160" i="12"/>
  <c r="AZ160" i="12"/>
  <c r="BA160" i="12"/>
  <c r="BB160" i="12"/>
  <c r="BC160" i="12"/>
  <c r="BD160" i="12"/>
  <c r="BE160" i="12"/>
  <c r="BF160" i="12"/>
  <c r="BG160" i="12"/>
  <c r="BH160" i="12"/>
  <c r="BI160" i="12"/>
  <c r="BJ160" i="12"/>
  <c r="BK160" i="12"/>
  <c r="BL160" i="12"/>
  <c r="AJ161" i="12"/>
  <c r="AK161" i="12"/>
  <c r="AL161" i="12"/>
  <c r="AM161" i="12"/>
  <c r="AN161" i="12"/>
  <c r="AO161" i="12"/>
  <c r="AP161" i="12"/>
  <c r="AQ161" i="12"/>
  <c r="AR161" i="12"/>
  <c r="AS161" i="12"/>
  <c r="AT161" i="12"/>
  <c r="AU161" i="12"/>
  <c r="AV161" i="12"/>
  <c r="AW161" i="12"/>
  <c r="AX161" i="12"/>
  <c r="AY161" i="12"/>
  <c r="AZ161" i="12"/>
  <c r="BA161" i="12"/>
  <c r="BB161" i="12"/>
  <c r="BC161" i="12"/>
  <c r="BD161" i="12"/>
  <c r="BE161" i="12"/>
  <c r="BF161" i="12"/>
  <c r="BG161" i="12"/>
  <c r="BH161" i="12"/>
  <c r="BI161" i="12"/>
  <c r="BJ161" i="12"/>
  <c r="BK161" i="12"/>
  <c r="BL161" i="12"/>
  <c r="AJ162" i="12"/>
  <c r="AK162" i="12"/>
  <c r="AL162" i="12"/>
  <c r="AM162" i="12"/>
  <c r="AN162" i="12"/>
  <c r="AO162" i="12"/>
  <c r="AP162" i="12"/>
  <c r="AQ162" i="12"/>
  <c r="AR162" i="12"/>
  <c r="AS162" i="12"/>
  <c r="AT162" i="12"/>
  <c r="AU162" i="12"/>
  <c r="AV162" i="12"/>
  <c r="AW162" i="12"/>
  <c r="AX162" i="12"/>
  <c r="AY162" i="12"/>
  <c r="AZ162" i="12"/>
  <c r="BA162" i="12"/>
  <c r="BB162" i="12"/>
  <c r="BC162" i="12"/>
  <c r="BD162" i="12"/>
  <c r="BE162" i="12"/>
  <c r="BF162" i="12"/>
  <c r="BG162" i="12"/>
  <c r="BH162" i="12"/>
  <c r="BI162" i="12"/>
  <c r="BJ162" i="12"/>
  <c r="BK162" i="12"/>
  <c r="BL162" i="12"/>
  <c r="AJ163" i="12"/>
  <c r="AK163" i="12"/>
  <c r="AL163" i="12"/>
  <c r="AM163" i="12"/>
  <c r="AN163" i="12"/>
  <c r="AO163" i="12"/>
  <c r="AP163" i="12"/>
  <c r="AQ163" i="12"/>
  <c r="AR163" i="12"/>
  <c r="AS163" i="12"/>
  <c r="AT163" i="12"/>
  <c r="AU163" i="12"/>
  <c r="AV163" i="12"/>
  <c r="AW163" i="12"/>
  <c r="AX163" i="12"/>
  <c r="AY163" i="12"/>
  <c r="AZ163" i="12"/>
  <c r="BA163" i="12"/>
  <c r="BB163" i="12"/>
  <c r="BC163" i="12"/>
  <c r="BD163" i="12"/>
  <c r="BE163" i="12"/>
  <c r="BF163" i="12"/>
  <c r="BG163" i="12"/>
  <c r="BH163" i="12"/>
  <c r="BI163" i="12"/>
  <c r="BJ163" i="12"/>
  <c r="BK163" i="12"/>
  <c r="BL163" i="12"/>
  <c r="Q164" i="12"/>
  <c r="AJ164" i="12"/>
  <c r="AK164" i="12"/>
  <c r="AL164" i="12"/>
  <c r="AM164" i="12"/>
  <c r="AN164" i="12"/>
  <c r="AO164" i="12"/>
  <c r="AP164" i="12"/>
  <c r="AQ164" i="12"/>
  <c r="AR164" i="12"/>
  <c r="AS164" i="12"/>
  <c r="AT164" i="12"/>
  <c r="AU164" i="12"/>
  <c r="AV164" i="12"/>
  <c r="AW164" i="12"/>
  <c r="AX164" i="12"/>
  <c r="AY164" i="12"/>
  <c r="AZ164" i="12"/>
  <c r="BA164" i="12"/>
  <c r="BB164" i="12"/>
  <c r="BC164" i="12"/>
  <c r="BD164" i="12"/>
  <c r="BE164" i="12"/>
  <c r="BF164" i="12"/>
  <c r="BG164" i="12"/>
  <c r="BH164" i="12"/>
  <c r="BI164" i="12"/>
  <c r="BJ164" i="12"/>
  <c r="BK164" i="12"/>
  <c r="BL164" i="12"/>
  <c r="AJ165" i="12"/>
  <c r="AK165" i="12"/>
  <c r="AL165" i="12"/>
  <c r="AM165" i="12"/>
  <c r="AN165" i="12"/>
  <c r="AO165" i="12"/>
  <c r="AP165" i="12"/>
  <c r="AQ165" i="12"/>
  <c r="AR165" i="12"/>
  <c r="AS165" i="12"/>
  <c r="AT165" i="12"/>
  <c r="AU165" i="12"/>
  <c r="AV165" i="12"/>
  <c r="AW165" i="12"/>
  <c r="AX165" i="12"/>
  <c r="AY165" i="12"/>
  <c r="AZ165" i="12"/>
  <c r="BA165" i="12"/>
  <c r="BB165" i="12"/>
  <c r="BC165" i="12"/>
  <c r="BD165" i="12"/>
  <c r="BE165" i="12"/>
  <c r="BF165" i="12"/>
  <c r="BG165" i="12"/>
  <c r="BH165" i="12"/>
  <c r="BI165" i="12"/>
  <c r="BJ165" i="12"/>
  <c r="BK165" i="12"/>
  <c r="BL165" i="12"/>
  <c r="Z167" i="12"/>
  <c r="AC171" i="12"/>
  <c r="Z172" i="12"/>
  <c r="R176" i="12"/>
  <c r="Q177" i="12"/>
  <c r="Z180" i="12"/>
  <c r="Z185" i="12"/>
  <c r="Q190" i="12"/>
  <c r="Z210" i="12"/>
  <c r="Z215" i="12"/>
  <c r="Q220" i="12"/>
  <c r="AG221" i="12"/>
  <c r="AG222" i="12"/>
  <c r="Z223" i="12"/>
  <c r="AG223" i="12"/>
  <c r="AG224" i="12"/>
  <c r="AG225" i="12"/>
  <c r="AC231" i="12"/>
  <c r="AC227" i="12" s="1"/>
  <c r="Z228" i="12"/>
  <c r="Q233" i="12"/>
  <c r="Z236" i="12"/>
  <c r="Z241" i="12"/>
  <c r="Q246" i="12"/>
  <c r="B274" i="12"/>
  <c r="C277" i="12"/>
  <c r="CB44" i="11"/>
  <c r="T44" i="11"/>
  <c r="CC44" i="11" s="1"/>
  <c r="Y155" i="12"/>
  <c r="Y158" i="12" s="1"/>
  <c r="AE138" i="12"/>
  <c r="G142" i="12"/>
  <c r="CB25" i="11"/>
  <c r="BA166" i="12"/>
  <c r="Z25" i="11"/>
  <c r="G11" i="14"/>
  <c r="V92" i="12"/>
  <c r="J356" i="14"/>
  <c r="V93" i="12"/>
  <c r="BH118" i="11"/>
  <c r="J10" i="21"/>
  <c r="J199" i="14"/>
  <c r="V66" i="12"/>
  <c r="K37" i="21"/>
  <c r="J226" i="14"/>
  <c r="V36" i="12"/>
  <c r="N50" i="11"/>
  <c r="V39" i="12"/>
  <c r="AF242" i="12"/>
  <c r="AG213" i="12"/>
  <c r="BQ100" i="11" s="1"/>
  <c r="AD177" i="12"/>
  <c r="AD171" i="12"/>
  <c r="AD183" i="12"/>
  <c r="AG183" i="12" s="1"/>
  <c r="BQ70" i="11" s="1"/>
  <c r="AD164" i="12"/>
  <c r="AG164" i="12" s="1"/>
  <c r="BQ51" i="11" s="1"/>
  <c r="AD158" i="12"/>
  <c r="AD233" i="12"/>
  <c r="AG233" i="12" s="1"/>
  <c r="BQ120" i="11" s="1"/>
  <c r="AG229" i="12"/>
  <c r="BQ116" i="11" s="1"/>
  <c r="AG226" i="12"/>
  <c r="BQ113" i="11"/>
  <c r="AD184" i="12"/>
  <c r="AG227" i="12"/>
  <c r="BQ114" i="11" s="1"/>
  <c r="AD144" i="12"/>
  <c r="AG144" i="12"/>
  <c r="BQ31" i="11" s="1"/>
  <c r="G192" i="12"/>
  <c r="G187" i="12"/>
  <c r="B152" i="14"/>
  <c r="B28" i="22"/>
  <c r="B282" i="14"/>
  <c r="B28" i="20" s="1"/>
  <c r="B412" i="14"/>
  <c r="B28" i="18"/>
  <c r="G172" i="12"/>
  <c r="B217" i="14"/>
  <c r="B28" i="21"/>
  <c r="G152" i="12"/>
  <c r="F38" i="11" s="1"/>
  <c r="Z48" i="22"/>
  <c r="V48" i="22"/>
  <c r="L28" i="27"/>
  <c r="K48" i="21"/>
  <c r="I30" i="17"/>
  <c r="K30" i="17" s="1"/>
  <c r="Z12" i="27" s="1"/>
  <c r="J89" i="14"/>
  <c r="I35" i="22"/>
  <c r="K35" i="22"/>
  <c r="J159" i="14"/>
  <c r="BA63" i="11"/>
  <c r="M27" i="12"/>
  <c r="J224" i="14"/>
  <c r="AF186" i="12"/>
  <c r="AG186" i="12"/>
  <c r="BQ73" i="11" s="1"/>
  <c r="AC175" i="12"/>
  <c r="AG173" i="12"/>
  <c r="BQ60" i="11" s="1"/>
  <c r="AC162" i="12"/>
  <c r="AC240" i="12"/>
  <c r="AC205" i="12"/>
  <c r="AG220" i="12"/>
  <c r="BQ107" i="11" s="1"/>
  <c r="AG158" i="12"/>
  <c r="BQ45" i="11"/>
  <c r="H27" i="21"/>
  <c r="K27" i="21" s="1"/>
  <c r="J216" i="14"/>
  <c r="H27" i="19"/>
  <c r="K27" i="19"/>
  <c r="J346" i="14"/>
  <c r="AB76" i="11"/>
  <c r="AB119" i="11"/>
  <c r="M132" i="11"/>
  <c r="M133" i="11" s="1"/>
  <c r="I11" i="21"/>
  <c r="K11" i="21"/>
  <c r="J200" i="14"/>
  <c r="I11" i="15"/>
  <c r="J5" i="14"/>
  <c r="B13" i="29"/>
  <c r="G439" i="14"/>
  <c r="J439" i="14" s="1"/>
  <c r="H55" i="18"/>
  <c r="K55" i="18" s="1"/>
  <c r="AK112" i="11"/>
  <c r="CB112" i="11"/>
  <c r="H55" i="22"/>
  <c r="K55" i="22" s="1"/>
  <c r="J179" i="14"/>
  <c r="CC57" i="11"/>
  <c r="CC58" i="11"/>
  <c r="I55" i="15"/>
  <c r="J49" i="14"/>
  <c r="BD133" i="11"/>
  <c r="J452" i="14"/>
  <c r="AQ119" i="11"/>
  <c r="AO132" i="11"/>
  <c r="I68" i="22"/>
  <c r="K68" i="22" s="1"/>
  <c r="Z55" i="22"/>
  <c r="E322" i="14"/>
  <c r="H322" i="14"/>
  <c r="AO119" i="11"/>
  <c r="H127" i="14"/>
  <c r="I68" i="17" s="1"/>
  <c r="H387" i="14"/>
  <c r="AQ37" i="11"/>
  <c r="AO50" i="11"/>
  <c r="CB129" i="11"/>
  <c r="CC100" i="11"/>
  <c r="CC70" i="11"/>
  <c r="E404" i="14"/>
  <c r="H404" i="14" s="1"/>
  <c r="I20" i="18" s="1"/>
  <c r="CB113" i="11"/>
  <c r="U113" i="11" s="1"/>
  <c r="E337" i="14" s="1"/>
  <c r="H337" i="14" s="1"/>
  <c r="I18" i="19" s="1"/>
  <c r="E336" i="14"/>
  <c r="H336" i="14" s="1"/>
  <c r="I17" i="19"/>
  <c r="E334" i="14"/>
  <c r="H334" i="14" s="1"/>
  <c r="I15" i="19" s="1"/>
  <c r="E207" i="14"/>
  <c r="H207" i="14" s="1"/>
  <c r="CB127" i="11"/>
  <c r="E203" i="14"/>
  <c r="H203" i="14"/>
  <c r="I14" i="21"/>
  <c r="E13" i="14"/>
  <c r="H13" i="14" s="1"/>
  <c r="I19" i="15" s="1"/>
  <c r="E398" i="14"/>
  <c r="H398" i="14" s="1"/>
  <c r="I14" i="18" s="1"/>
  <c r="E209" i="14"/>
  <c r="H209" i="14"/>
  <c r="I20" i="21" s="1"/>
  <c r="E208" i="14"/>
  <c r="H208" i="14"/>
  <c r="I19" i="21"/>
  <c r="I58" i="15"/>
  <c r="K58" i="15"/>
  <c r="V26" i="27" s="1"/>
  <c r="J52" i="14"/>
  <c r="H22" i="18"/>
  <c r="H22" i="20"/>
  <c r="G404" i="14"/>
  <c r="H20" i="18" s="1"/>
  <c r="CB38" i="11"/>
  <c r="G333" i="14"/>
  <c r="H14" i="19" s="1"/>
  <c r="CB64" i="11"/>
  <c r="CB107" i="11"/>
  <c r="CC107" i="11"/>
  <c r="D402" i="14"/>
  <c r="G402" i="14" s="1"/>
  <c r="H18" i="18" s="1"/>
  <c r="G209" i="14"/>
  <c r="H20" i="21"/>
  <c r="G47" i="14"/>
  <c r="H53" i="15"/>
  <c r="G8" i="14"/>
  <c r="H14" i="15"/>
  <c r="N133" i="11"/>
  <c r="N134" i="11" s="1"/>
  <c r="AF41" i="11"/>
  <c r="S43" i="11"/>
  <c r="BF50" i="11"/>
  <c r="AP43" i="11"/>
  <c r="U43" i="11"/>
  <c r="R43" i="11"/>
  <c r="J87" i="14"/>
  <c r="H289" i="14"/>
  <c r="AM43" i="11"/>
  <c r="AC50" i="11"/>
  <c r="J130" i="14"/>
  <c r="AL43" i="11"/>
  <c r="AX43" i="11"/>
  <c r="E96" i="14" s="1"/>
  <c r="H96" i="14" s="1"/>
  <c r="I37" i="17" s="1"/>
  <c r="AB47" i="11"/>
  <c r="X43" i="11"/>
  <c r="T43" i="11"/>
  <c r="V43" i="11"/>
  <c r="Q43" i="11"/>
  <c r="L67" i="12"/>
  <c r="I7" i="12"/>
  <c r="BY116" i="11"/>
  <c r="BY100" i="11"/>
  <c r="BY71" i="11"/>
  <c r="AN82" i="12"/>
  <c r="AA223" i="12"/>
  <c r="AA225" i="12"/>
  <c r="AA224" i="12"/>
  <c r="AG242" i="12"/>
  <c r="BQ129" i="11" s="1"/>
  <c r="Y245" i="12"/>
  <c r="AA228" i="12"/>
  <c r="Y219" i="12"/>
  <c r="AB106" i="11"/>
  <c r="BQ64" i="11"/>
  <c r="AA167" i="12"/>
  <c r="AA169" i="12"/>
  <c r="AA168" i="12"/>
  <c r="AG151" i="12"/>
  <c r="BQ38" i="11" s="1"/>
  <c r="D8" i="12"/>
  <c r="BY26" i="11" s="1"/>
  <c r="BQ25" i="11"/>
  <c r="AZ166" i="12"/>
  <c r="BD82" i="12"/>
  <c r="AU82" i="12"/>
  <c r="BF166" i="12"/>
  <c r="AX166" i="12"/>
  <c r="BA82" i="12"/>
  <c r="AO82" i="12"/>
  <c r="AK82" i="12"/>
  <c r="I31" i="12"/>
  <c r="AG239" i="12"/>
  <c r="BQ126" i="11"/>
  <c r="AG214" i="12"/>
  <c r="BQ101" i="11"/>
  <c r="D4" i="12"/>
  <c r="D5" i="12"/>
  <c r="D9" i="12"/>
  <c r="BY27" i="11" s="1"/>
  <c r="D10" i="12"/>
  <c r="BJ166" i="12"/>
  <c r="BK166" i="12"/>
  <c r="BC48" i="12"/>
  <c r="AQ48" i="12"/>
  <c r="AG240" i="12"/>
  <c r="BQ127" i="11" s="1"/>
  <c r="Y232" i="12"/>
  <c r="AA214" i="12"/>
  <c r="AR76" i="11"/>
  <c r="Y171" i="12"/>
  <c r="AG147" i="12"/>
  <c r="BQ34" i="11"/>
  <c r="J259" i="14"/>
  <c r="AA243" i="12"/>
  <c r="AA238" i="12"/>
  <c r="AA217" i="12"/>
  <c r="AA219" i="12"/>
  <c r="AA212" i="12"/>
  <c r="J423" i="14"/>
  <c r="O64" i="28"/>
  <c r="M64" i="28"/>
  <c r="O62" i="28"/>
  <c r="M62" i="28"/>
  <c r="O60" i="28"/>
  <c r="M60" i="28"/>
  <c r="Y163" i="12"/>
  <c r="K41" i="18"/>
  <c r="H411" i="14"/>
  <c r="I27" i="18" s="1"/>
  <c r="G411" i="14"/>
  <c r="Z34" i="19"/>
  <c r="V34" i="19"/>
  <c r="K69" i="18"/>
  <c r="G434" i="14"/>
  <c r="H434" i="14"/>
  <c r="I50" i="18"/>
  <c r="P55" i="11"/>
  <c r="R55" i="11"/>
  <c r="X55" i="11"/>
  <c r="AX55" i="11"/>
  <c r="V55" i="11"/>
  <c r="E141" i="14"/>
  <c r="H141" i="14" s="1"/>
  <c r="I17" i="22" s="1"/>
  <c r="S55" i="11"/>
  <c r="U55" i="11"/>
  <c r="AL55" i="11"/>
  <c r="E176" i="14" s="1"/>
  <c r="Q55" i="11"/>
  <c r="AP55" i="11"/>
  <c r="AP63" i="11"/>
  <c r="T55" i="11"/>
  <c r="AM55" i="11"/>
  <c r="AM63" i="11" s="1"/>
  <c r="Z11" i="15"/>
  <c r="E100" i="15"/>
  <c r="O63" i="28"/>
  <c r="M63" i="28"/>
  <c r="O61" i="28"/>
  <c r="M61" i="28"/>
  <c r="O59" i="28"/>
  <c r="M59" i="28"/>
  <c r="AA159" i="12"/>
  <c r="AA161" i="12"/>
  <c r="AA160" i="12"/>
  <c r="CL28" i="11"/>
  <c r="E438" i="14"/>
  <c r="H438" i="14"/>
  <c r="AN132" i="11"/>
  <c r="G416" i="14"/>
  <c r="H68" i="20"/>
  <c r="H65" i="20"/>
  <c r="K65" i="20"/>
  <c r="G308" i="14"/>
  <c r="I308" i="14"/>
  <c r="J54" i="20"/>
  <c r="Z58" i="15"/>
  <c r="F370" i="14"/>
  <c r="I370" i="14" s="1"/>
  <c r="J51" i="19"/>
  <c r="G91" i="14"/>
  <c r="I91" i="14"/>
  <c r="J32" i="17"/>
  <c r="I416" i="14"/>
  <c r="J32" i="18"/>
  <c r="AA156" i="12"/>
  <c r="K71" i="15"/>
  <c r="AG26" i="27" s="1"/>
  <c r="I441" i="14"/>
  <c r="J57" i="18"/>
  <c r="G441" i="14"/>
  <c r="I434" i="14"/>
  <c r="J50" i="18"/>
  <c r="H417" i="14"/>
  <c r="I33" i="18"/>
  <c r="G417" i="14"/>
  <c r="I417" i="14"/>
  <c r="J33" i="18" s="1"/>
  <c r="F398" i="14"/>
  <c r="I398" i="14" s="1"/>
  <c r="AK129" i="11"/>
  <c r="F435" i="14"/>
  <c r="I435" i="14" s="1"/>
  <c r="J51" i="18" s="1"/>
  <c r="I395" i="14"/>
  <c r="J11" i="18" s="1"/>
  <c r="G395" i="14"/>
  <c r="H395" i="14"/>
  <c r="I11" i="18"/>
  <c r="G393" i="14"/>
  <c r="I393" i="14"/>
  <c r="J9" i="18" s="1"/>
  <c r="I372" i="14"/>
  <c r="J53" i="19" s="1"/>
  <c r="K28" i="19"/>
  <c r="D339" i="14"/>
  <c r="O106" i="11"/>
  <c r="K71" i="18"/>
  <c r="K70" i="18"/>
  <c r="K63" i="18"/>
  <c r="G415" i="14"/>
  <c r="H415" i="14"/>
  <c r="I31" i="18" s="1"/>
  <c r="H410" i="14"/>
  <c r="I26" i="18"/>
  <c r="G410" i="14"/>
  <c r="P132" i="11"/>
  <c r="E333" i="14"/>
  <c r="H333" i="14" s="1"/>
  <c r="I14" i="19" s="1"/>
  <c r="J68" i="18"/>
  <c r="J65" i="18"/>
  <c r="I443" i="14"/>
  <c r="J59" i="18"/>
  <c r="G443" i="14"/>
  <c r="H443" i="14"/>
  <c r="I59" i="18" s="1"/>
  <c r="AL123" i="11"/>
  <c r="AM123" i="11"/>
  <c r="AM132" i="11" s="1"/>
  <c r="R123" i="11"/>
  <c r="AP123" i="11"/>
  <c r="K46" i="18"/>
  <c r="H427" i="14"/>
  <c r="I43" i="18" s="1"/>
  <c r="K43" i="18" s="1"/>
  <c r="G427" i="14"/>
  <c r="I427" i="14"/>
  <c r="J43" i="18"/>
  <c r="H420" i="14"/>
  <c r="I36" i="18" s="1"/>
  <c r="G420" i="14"/>
  <c r="I420" i="14"/>
  <c r="J36" i="18" s="1"/>
  <c r="D403" i="14"/>
  <c r="G403" i="14"/>
  <c r="G399" i="14"/>
  <c r="H364" i="14"/>
  <c r="I45" i="19"/>
  <c r="G364" i="14"/>
  <c r="J364" i="14" s="1"/>
  <c r="I364" i="14"/>
  <c r="J45" i="19" s="1"/>
  <c r="Z44" i="19"/>
  <c r="H31" i="27"/>
  <c r="I450" i="14"/>
  <c r="J450" i="14" s="1"/>
  <c r="J69" i="18"/>
  <c r="H445" i="14"/>
  <c r="H432" i="14"/>
  <c r="I48" i="18" s="1"/>
  <c r="H429" i="14"/>
  <c r="I412" i="14"/>
  <c r="J28" i="18" s="1"/>
  <c r="G412" i="14"/>
  <c r="E407" i="14"/>
  <c r="H407" i="14"/>
  <c r="I23" i="18" s="1"/>
  <c r="K23" i="18" s="1"/>
  <c r="S124" i="11"/>
  <c r="V124" i="11"/>
  <c r="CB120" i="11"/>
  <c r="R120" i="11" s="1"/>
  <c r="G383" i="14"/>
  <c r="H383" i="14"/>
  <c r="I64" i="19"/>
  <c r="I383" i="14"/>
  <c r="J64" i="19" s="1"/>
  <c r="F382" i="14"/>
  <c r="I382" i="14" s="1"/>
  <c r="G381" i="14"/>
  <c r="H381" i="14"/>
  <c r="I62" i="19"/>
  <c r="I381" i="14"/>
  <c r="J62" i="19"/>
  <c r="G379" i="14"/>
  <c r="H379" i="14"/>
  <c r="I60" i="19" s="1"/>
  <c r="I379" i="14"/>
  <c r="J60" i="19"/>
  <c r="K58" i="19"/>
  <c r="Z58" i="19" s="1"/>
  <c r="G351" i="14"/>
  <c r="G348" i="14"/>
  <c r="G342" i="14"/>
  <c r="K69" i="20"/>
  <c r="I316" i="14"/>
  <c r="J62" i="20"/>
  <c r="G316" i="14"/>
  <c r="H316" i="14"/>
  <c r="I62" i="20" s="1"/>
  <c r="K57" i="20"/>
  <c r="G281" i="14"/>
  <c r="H281" i="14"/>
  <c r="I27" i="20"/>
  <c r="G233" i="14"/>
  <c r="I233" i="14"/>
  <c r="J44" i="21" s="1"/>
  <c r="K44" i="21" s="1"/>
  <c r="H233" i="14"/>
  <c r="I44" i="21"/>
  <c r="I445" i="14"/>
  <c r="J61" i="18"/>
  <c r="I432" i="14"/>
  <c r="J48" i="18" s="1"/>
  <c r="I429" i="14"/>
  <c r="J45" i="18"/>
  <c r="D426" i="14"/>
  <c r="G426" i="14" s="1"/>
  <c r="J426" i="14" s="1"/>
  <c r="G407" i="14"/>
  <c r="AR29" i="11"/>
  <c r="AR42" i="11"/>
  <c r="X42" i="11" s="1"/>
  <c r="AQ56" i="11"/>
  <c r="AQ63" i="11"/>
  <c r="AR56" i="11"/>
  <c r="AR63" i="11" s="1"/>
  <c r="AQ124" i="11"/>
  <c r="AQ132" i="11"/>
  <c r="AR125" i="11"/>
  <c r="T120" i="11"/>
  <c r="R124" i="11"/>
  <c r="Q129" i="11"/>
  <c r="F399" i="14"/>
  <c r="I399" i="14" s="1"/>
  <c r="R129" i="11"/>
  <c r="F400" i="14" s="1"/>
  <c r="I400" i="14"/>
  <c r="J16" i="18"/>
  <c r="S129" i="11"/>
  <c r="F403" i="14"/>
  <c r="I403" i="14"/>
  <c r="J19" i="18" s="1"/>
  <c r="W129" i="11"/>
  <c r="Q125" i="11"/>
  <c r="E399" i="14"/>
  <c r="H399" i="14"/>
  <c r="I15" i="18" s="1"/>
  <c r="R125" i="11"/>
  <c r="S125" i="11"/>
  <c r="G385" i="14"/>
  <c r="I385" i="14"/>
  <c r="J69" i="19"/>
  <c r="G375" i="14"/>
  <c r="AN110" i="11"/>
  <c r="R110" i="11"/>
  <c r="E375" i="14"/>
  <c r="H375" i="14" s="1"/>
  <c r="I56" i="19" s="1"/>
  <c r="K48" i="19"/>
  <c r="H352" i="14"/>
  <c r="I33" i="19" s="1"/>
  <c r="G352" i="14"/>
  <c r="H342" i="14"/>
  <c r="I23" i="19" s="1"/>
  <c r="H331" i="14"/>
  <c r="I12" i="19"/>
  <c r="G331" i="14"/>
  <c r="J68" i="20"/>
  <c r="H227" i="14"/>
  <c r="I38" i="21" s="1"/>
  <c r="K12" i="21"/>
  <c r="Z12" i="21" s="1"/>
  <c r="K37" i="19"/>
  <c r="I335" i="14"/>
  <c r="J16" i="19"/>
  <c r="K64" i="20"/>
  <c r="K59" i="20"/>
  <c r="K58" i="20"/>
  <c r="AM107" i="11"/>
  <c r="AL107" i="11"/>
  <c r="G368" i="14"/>
  <c r="I368" i="14"/>
  <c r="J49" i="19" s="1"/>
  <c r="K49" i="19" s="1"/>
  <c r="H359" i="14"/>
  <c r="U107" i="11"/>
  <c r="R107" i="11"/>
  <c r="D335" i="14" s="1"/>
  <c r="G335" i="14" s="1"/>
  <c r="H16" i="19" s="1"/>
  <c r="G309" i="14"/>
  <c r="AL97" i="11"/>
  <c r="AM97" i="11"/>
  <c r="G304" i="14"/>
  <c r="G301" i="14"/>
  <c r="I301" i="14"/>
  <c r="J47" i="20"/>
  <c r="G294" i="14"/>
  <c r="K36" i="20"/>
  <c r="G274" i="14"/>
  <c r="H274" i="14"/>
  <c r="I20" i="20"/>
  <c r="G267" i="14"/>
  <c r="I267" i="14"/>
  <c r="J13" i="20" s="1"/>
  <c r="K13" i="20" s="1"/>
  <c r="K62" i="21"/>
  <c r="K47" i="21"/>
  <c r="K33" i="21"/>
  <c r="G350" i="14"/>
  <c r="E343" i="14"/>
  <c r="H343" i="14"/>
  <c r="I24" i="19" s="1"/>
  <c r="E339" i="14"/>
  <c r="H339" i="14"/>
  <c r="I20" i="19"/>
  <c r="G339" i="14"/>
  <c r="E338" i="14"/>
  <c r="H338" i="14"/>
  <c r="I19" i="19"/>
  <c r="R111" i="11"/>
  <c r="AK111" i="11"/>
  <c r="X111" i="11"/>
  <c r="H324" i="14"/>
  <c r="I70" i="20"/>
  <c r="K70" i="20" s="1"/>
  <c r="E314" i="14"/>
  <c r="H314" i="14"/>
  <c r="G298" i="14"/>
  <c r="I298" i="14"/>
  <c r="J44" i="20" s="1"/>
  <c r="G289" i="14"/>
  <c r="I289" i="14"/>
  <c r="J35" i="20"/>
  <c r="I277" i="14"/>
  <c r="J23" i="20"/>
  <c r="E270" i="14"/>
  <c r="H270" i="14"/>
  <c r="I257" i="14"/>
  <c r="J71" i="21"/>
  <c r="H257" i="14"/>
  <c r="I68" i="21" s="1"/>
  <c r="G257" i="14"/>
  <c r="I248" i="14"/>
  <c r="J59" i="21" s="1"/>
  <c r="G248" i="14"/>
  <c r="H59" i="21" s="1"/>
  <c r="H248" i="14"/>
  <c r="I59" i="21"/>
  <c r="G246" i="14"/>
  <c r="J246" i="14" s="1"/>
  <c r="I246" i="14"/>
  <c r="J57" i="21" s="1"/>
  <c r="I227" i="14"/>
  <c r="J38" i="21"/>
  <c r="K31" i="21"/>
  <c r="G370" i="14"/>
  <c r="I361" i="14"/>
  <c r="J42" i="19" s="1"/>
  <c r="I342" i="14"/>
  <c r="J23" i="19"/>
  <c r="G341" i="14"/>
  <c r="Q107" i="11"/>
  <c r="V107" i="11"/>
  <c r="S107" i="11"/>
  <c r="CB114" i="11"/>
  <c r="T114" i="11" s="1"/>
  <c r="H332" i="14"/>
  <c r="I296" i="14"/>
  <c r="J42" i="20" s="1"/>
  <c r="K41" i="20"/>
  <c r="K31" i="20"/>
  <c r="H230" i="14"/>
  <c r="I41" i="21"/>
  <c r="G230" i="14"/>
  <c r="J230" i="14" s="1"/>
  <c r="AK69" i="11"/>
  <c r="CB69" i="11" s="1"/>
  <c r="G187" i="14"/>
  <c r="H63" i="22" s="1"/>
  <c r="H187" i="14"/>
  <c r="I63" i="22" s="1"/>
  <c r="I182" i="14"/>
  <c r="J58" i="22"/>
  <c r="G182" i="14"/>
  <c r="H182" i="14"/>
  <c r="I58" i="22" s="1"/>
  <c r="P99" i="11"/>
  <c r="Q99" i="11"/>
  <c r="V99" i="11"/>
  <c r="U99" i="11"/>
  <c r="S99" i="11"/>
  <c r="E273" i="14"/>
  <c r="H273" i="14" s="1"/>
  <c r="I19" i="20" s="1"/>
  <c r="CB94" i="11"/>
  <c r="S94" i="11"/>
  <c r="G266" i="14"/>
  <c r="G265" i="14"/>
  <c r="H265" i="14"/>
  <c r="I11" i="20"/>
  <c r="H263" i="14"/>
  <c r="I9" i="20"/>
  <c r="G250" i="14"/>
  <c r="I250" i="14"/>
  <c r="G231" i="14"/>
  <c r="I231" i="14"/>
  <c r="J42" i="21"/>
  <c r="G229" i="14"/>
  <c r="G219" i="14"/>
  <c r="H215" i="14"/>
  <c r="K25" i="21"/>
  <c r="K9" i="21"/>
  <c r="K70" i="22"/>
  <c r="H183" i="14"/>
  <c r="E184" i="14"/>
  <c r="H184" i="14" s="1"/>
  <c r="H176" i="14"/>
  <c r="AK54" i="11"/>
  <c r="G174" i="14"/>
  <c r="K49" i="22"/>
  <c r="BE61" i="11"/>
  <c r="BC62" i="11"/>
  <c r="F166" i="14" s="1"/>
  <c r="AX60" i="11"/>
  <c r="F161" i="14"/>
  <c r="I161" i="14"/>
  <c r="J37" i="22" s="1"/>
  <c r="I302" i="14"/>
  <c r="I299" i="14"/>
  <c r="I279" i="14"/>
  <c r="H275" i="14"/>
  <c r="V98" i="11"/>
  <c r="P98" i="11"/>
  <c r="G268" i="14"/>
  <c r="H266" i="14"/>
  <c r="I12" i="20" s="1"/>
  <c r="G254" i="14"/>
  <c r="H242" i="14"/>
  <c r="G240" i="14"/>
  <c r="H231" i="14"/>
  <c r="I42" i="21"/>
  <c r="H229" i="14"/>
  <c r="I40" i="21" s="1"/>
  <c r="G223" i="14"/>
  <c r="G212" i="14"/>
  <c r="G211" i="14"/>
  <c r="G210" i="14"/>
  <c r="H21" i="21" s="1"/>
  <c r="I18" i="21"/>
  <c r="AK67" i="11"/>
  <c r="AK73" i="11"/>
  <c r="AL73" i="11"/>
  <c r="F241" i="14"/>
  <c r="I241" i="14" s="1"/>
  <c r="J52" i="21" s="1"/>
  <c r="V73" i="11"/>
  <c r="F206" i="14"/>
  <c r="I206" i="14" s="1"/>
  <c r="J17" i="21" s="1"/>
  <c r="X73" i="11"/>
  <c r="F211" i="14"/>
  <c r="I211" i="14" s="1"/>
  <c r="P73" i="11"/>
  <c r="S73" i="11"/>
  <c r="F208" i="14" s="1"/>
  <c r="I208" i="14" s="1"/>
  <c r="J19" i="21" s="1"/>
  <c r="W73" i="11"/>
  <c r="T73" i="11"/>
  <c r="K10" i="21"/>
  <c r="H185" i="14"/>
  <c r="I61" i="22" s="1"/>
  <c r="K61" i="22" s="1"/>
  <c r="G185" i="14"/>
  <c r="I185" i="14"/>
  <c r="J61" i="22"/>
  <c r="I177" i="14"/>
  <c r="J53" i="22" s="1"/>
  <c r="G177" i="14"/>
  <c r="E180" i="14"/>
  <c r="H180" i="14" s="1"/>
  <c r="J180" i="14" s="1"/>
  <c r="K47" i="22"/>
  <c r="I266" i="14"/>
  <c r="J12" i="20"/>
  <c r="H264" i="14"/>
  <c r="G263" i="14"/>
  <c r="G253" i="14"/>
  <c r="H253" i="14"/>
  <c r="I64" i="21" s="1"/>
  <c r="H250" i="14"/>
  <c r="I61" i="21"/>
  <c r="I245" i="14"/>
  <c r="G238" i="14"/>
  <c r="I238" i="14"/>
  <c r="J49" i="21"/>
  <c r="G235" i="14"/>
  <c r="I235" i="14"/>
  <c r="J46" i="21"/>
  <c r="I229" i="14"/>
  <c r="J229" i="14" s="1"/>
  <c r="J40" i="21"/>
  <c r="I213" i="14"/>
  <c r="J24" i="21" s="1"/>
  <c r="G213" i="14"/>
  <c r="V64" i="11"/>
  <c r="V76" i="11" s="1"/>
  <c r="U64" i="11"/>
  <c r="S64" i="11"/>
  <c r="R64" i="11"/>
  <c r="Q64" i="11"/>
  <c r="G168" i="14"/>
  <c r="I168" i="14"/>
  <c r="J44" i="22"/>
  <c r="H168" i="14"/>
  <c r="I44" i="22" s="1"/>
  <c r="K43" i="22"/>
  <c r="G28" i="27" s="1"/>
  <c r="H155" i="14"/>
  <c r="I31" i="22" s="1"/>
  <c r="G155" i="14"/>
  <c r="G170" i="14"/>
  <c r="I170" i="14"/>
  <c r="J46" i="22"/>
  <c r="G165" i="14"/>
  <c r="I165" i="14"/>
  <c r="J41" i="22"/>
  <c r="H154" i="14"/>
  <c r="I30" i="22"/>
  <c r="G154" i="14"/>
  <c r="AB60" i="11"/>
  <c r="D147" i="14"/>
  <c r="G147" i="14" s="1"/>
  <c r="G148" i="14"/>
  <c r="K70" i="17"/>
  <c r="H104" i="14"/>
  <c r="I45" i="17"/>
  <c r="K45" i="17" s="1"/>
  <c r="G104" i="14"/>
  <c r="H45" i="17" s="1"/>
  <c r="I104" i="14"/>
  <c r="J45" i="17"/>
  <c r="G83" i="14"/>
  <c r="I83" i="14"/>
  <c r="J24" i="17"/>
  <c r="H83" i="14"/>
  <c r="I24" i="17"/>
  <c r="Q68" i="11"/>
  <c r="G163" i="14"/>
  <c r="I163" i="14"/>
  <c r="J39" i="22" s="1"/>
  <c r="G160" i="14"/>
  <c r="I160" i="14"/>
  <c r="J36" i="22" s="1"/>
  <c r="G157" i="14"/>
  <c r="J157" i="14" s="1"/>
  <c r="I157" i="14"/>
  <c r="J33" i="22" s="1"/>
  <c r="G152" i="14"/>
  <c r="G150" i="14"/>
  <c r="H150" i="14"/>
  <c r="I26" i="22" s="1"/>
  <c r="E147" i="14"/>
  <c r="H147" i="14"/>
  <c r="I23" i="22"/>
  <c r="D138" i="14"/>
  <c r="G138" i="14" s="1"/>
  <c r="H14" i="22" s="1"/>
  <c r="CB51" i="11"/>
  <c r="V51" i="11"/>
  <c r="H122" i="14"/>
  <c r="I63" i="17" s="1"/>
  <c r="I118" i="14"/>
  <c r="J59" i="17"/>
  <c r="G118" i="14"/>
  <c r="F101" i="14"/>
  <c r="I101" i="14"/>
  <c r="F122" i="14"/>
  <c r="I122" i="14"/>
  <c r="J63" i="17" s="1"/>
  <c r="K28" i="17"/>
  <c r="AL68" i="11"/>
  <c r="E241" i="14" s="1"/>
  <c r="H241" i="14" s="1"/>
  <c r="X68" i="11"/>
  <c r="V68" i="11"/>
  <c r="E206" i="14"/>
  <c r="H206" i="14"/>
  <c r="I17" i="21"/>
  <c r="H186" i="14"/>
  <c r="H163" i="14"/>
  <c r="H153" i="14"/>
  <c r="I29" i="22"/>
  <c r="G153" i="14"/>
  <c r="H152" i="14"/>
  <c r="I28" i="22" s="1"/>
  <c r="E151" i="14"/>
  <c r="H151" i="14" s="1"/>
  <c r="G151" i="14"/>
  <c r="I145" i="14"/>
  <c r="J21" i="22" s="1"/>
  <c r="G136" i="14"/>
  <c r="I136" i="14"/>
  <c r="J12" i="22"/>
  <c r="AK38" i="11"/>
  <c r="D115" i="14"/>
  <c r="H79" i="14"/>
  <c r="I20" i="17" s="1"/>
  <c r="R47" i="11"/>
  <c r="F75" i="14"/>
  <c r="I75" i="14"/>
  <c r="J16" i="17"/>
  <c r="W47" i="11"/>
  <c r="Q47" i="11"/>
  <c r="F74" i="14" s="1"/>
  <c r="I74" i="14"/>
  <c r="J15" i="17" s="1"/>
  <c r="U47" i="11"/>
  <c r="F77" i="14"/>
  <c r="I77" i="14"/>
  <c r="J18" i="17"/>
  <c r="T47" i="11"/>
  <c r="F80" i="14" s="1"/>
  <c r="I80" i="14"/>
  <c r="J21" i="17"/>
  <c r="S47" i="11"/>
  <c r="F78" i="14" s="1"/>
  <c r="I78" i="14" s="1"/>
  <c r="J19" i="17" s="1"/>
  <c r="AK47" i="11"/>
  <c r="P42" i="11"/>
  <c r="S42" i="11"/>
  <c r="T42" i="11"/>
  <c r="V42" i="11"/>
  <c r="AL42" i="11"/>
  <c r="U42" i="11"/>
  <c r="U50" i="11" s="1"/>
  <c r="Q42" i="11"/>
  <c r="AK42" i="11" s="1"/>
  <c r="AM42" i="11"/>
  <c r="AP42" i="11"/>
  <c r="R42" i="11"/>
  <c r="K9" i="17"/>
  <c r="AC60" i="11"/>
  <c r="F152" i="14"/>
  <c r="I152" i="14"/>
  <c r="J28" i="22"/>
  <c r="G134" i="14"/>
  <c r="AZ43" i="11"/>
  <c r="I124" i="14"/>
  <c r="J68" i="17" s="1"/>
  <c r="I116" i="14"/>
  <c r="J57" i="17" s="1"/>
  <c r="K57" i="17" s="1"/>
  <c r="H116" i="14"/>
  <c r="G114" i="14"/>
  <c r="J114" i="14" s="1"/>
  <c r="G100" i="14"/>
  <c r="I93" i="14"/>
  <c r="J34" i="17"/>
  <c r="E86" i="14"/>
  <c r="H86" i="14" s="1"/>
  <c r="P47" i="11"/>
  <c r="AP47" i="11"/>
  <c r="AL47" i="11"/>
  <c r="F111" i="14" s="1"/>
  <c r="I111" i="14" s="1"/>
  <c r="J52" i="17" s="1"/>
  <c r="H30" i="14"/>
  <c r="G30" i="14"/>
  <c r="I30" i="14"/>
  <c r="J36" i="15"/>
  <c r="I27" i="22"/>
  <c r="H135" i="14"/>
  <c r="I123" i="14"/>
  <c r="J64" i="17" s="1"/>
  <c r="K64" i="17" s="1"/>
  <c r="AI50" i="11"/>
  <c r="E118" i="14" s="1"/>
  <c r="H108" i="14"/>
  <c r="G93" i="14"/>
  <c r="K31" i="17"/>
  <c r="G80" i="14"/>
  <c r="G71" i="14"/>
  <c r="I71" i="14"/>
  <c r="J12" i="17" s="1"/>
  <c r="AX49" i="11"/>
  <c r="F96" i="14" s="1"/>
  <c r="I96" i="14" s="1"/>
  <c r="J37" i="17" s="1"/>
  <c r="F69" i="14"/>
  <c r="I69" i="14" s="1"/>
  <c r="J10" i="17" s="1"/>
  <c r="BH49" i="11"/>
  <c r="BH50" i="11" s="1"/>
  <c r="K70" i="15"/>
  <c r="G55" i="14"/>
  <c r="I55" i="14"/>
  <c r="J61" i="15"/>
  <c r="H55" i="14"/>
  <c r="I61" i="15" s="1"/>
  <c r="F4" i="14"/>
  <c r="I4" i="14" s="1"/>
  <c r="BH36" i="11"/>
  <c r="G127" i="14"/>
  <c r="I127" i="14"/>
  <c r="J71" i="17"/>
  <c r="G120" i="14"/>
  <c r="H61" i="17" s="1"/>
  <c r="K61" i="17" s="1"/>
  <c r="I120" i="14"/>
  <c r="J61" i="17" s="1"/>
  <c r="G105" i="14"/>
  <c r="I105" i="14"/>
  <c r="J46" i="17"/>
  <c r="H105" i="14"/>
  <c r="I46" i="17"/>
  <c r="G95" i="14"/>
  <c r="H36" i="17" s="1"/>
  <c r="K36" i="17" s="1"/>
  <c r="I95" i="14"/>
  <c r="J36" i="17"/>
  <c r="H95" i="14"/>
  <c r="I36" i="17"/>
  <c r="H72" i="14"/>
  <c r="I13" i="17"/>
  <c r="G72" i="14"/>
  <c r="H13" i="17" s="1"/>
  <c r="K13" i="17" s="1"/>
  <c r="I72" i="14"/>
  <c r="J13" i="17" s="1"/>
  <c r="Y44" i="11"/>
  <c r="Y50" i="11"/>
  <c r="Y45" i="11"/>
  <c r="G115" i="14"/>
  <c r="G102" i="14"/>
  <c r="I102" i="14"/>
  <c r="J43" i="17"/>
  <c r="AG49" i="11"/>
  <c r="F97" i="14"/>
  <c r="I97" i="14"/>
  <c r="J38" i="17" s="1"/>
  <c r="H85" i="14"/>
  <c r="I26" i="17" s="1"/>
  <c r="K26" i="17" s="1"/>
  <c r="AF110" i="11"/>
  <c r="AF119" i="11" s="1"/>
  <c r="H39" i="14"/>
  <c r="I45" i="15" s="1"/>
  <c r="G39" i="14"/>
  <c r="I39" i="14"/>
  <c r="J45" i="15"/>
  <c r="G22" i="14"/>
  <c r="I22" i="14"/>
  <c r="J28" i="15" s="1"/>
  <c r="E71" i="14"/>
  <c r="H71" i="14" s="1"/>
  <c r="I12" i="17" s="1"/>
  <c r="G69" i="14"/>
  <c r="H62" i="14"/>
  <c r="I68" i="15" s="1"/>
  <c r="H21" i="14"/>
  <c r="I27" i="15" s="1"/>
  <c r="G21" i="14"/>
  <c r="G70" i="14"/>
  <c r="H11" i="17" s="1"/>
  <c r="K11" i="17" s="1"/>
  <c r="I70" i="14"/>
  <c r="J11" i="17" s="1"/>
  <c r="H69" i="14"/>
  <c r="I10" i="17"/>
  <c r="AF67" i="11"/>
  <c r="K55" i="15"/>
  <c r="H42" i="14"/>
  <c r="I48" i="15"/>
  <c r="G42" i="14"/>
  <c r="H48" i="15" s="1"/>
  <c r="K48" i="15" s="1"/>
  <c r="I42" i="14"/>
  <c r="J48" i="15"/>
  <c r="G34" i="14"/>
  <c r="I34" i="14"/>
  <c r="J40" i="15" s="1"/>
  <c r="H34" i="14"/>
  <c r="I40" i="15"/>
  <c r="K40" i="15" s="1"/>
  <c r="AG27" i="11"/>
  <c r="AG37" i="11" s="1"/>
  <c r="AG37" i="12" s="1"/>
  <c r="K34" i="15"/>
  <c r="H20" i="14"/>
  <c r="I26" i="15"/>
  <c r="E54" i="14"/>
  <c r="H54" i="14" s="1"/>
  <c r="J54" i="14" s="1"/>
  <c r="F31" i="14"/>
  <c r="I31" i="14" s="1"/>
  <c r="J31" i="14" s="1"/>
  <c r="G29" i="14"/>
  <c r="G18" i="14"/>
  <c r="H24" i="15" s="1"/>
  <c r="I3" i="14"/>
  <c r="J9" i="15"/>
  <c r="K31" i="15"/>
  <c r="AK28" i="27" s="1"/>
  <c r="E22" i="14"/>
  <c r="H22" i="14" s="1"/>
  <c r="I28" i="15"/>
  <c r="D26" i="14"/>
  <c r="G26" i="14"/>
  <c r="H32" i="15" s="1"/>
  <c r="I18" i="14"/>
  <c r="J24" i="15" s="1"/>
  <c r="H6" i="14"/>
  <c r="G3" i="14"/>
  <c r="H51" i="14"/>
  <c r="I51" i="14"/>
  <c r="J57" i="15" s="1"/>
  <c r="K57" i="15" s="1"/>
  <c r="P30" i="11"/>
  <c r="AP30" i="11"/>
  <c r="E50" i="14" s="1"/>
  <c r="H50" i="14" s="1"/>
  <c r="I56" i="15" s="1"/>
  <c r="I40" i="14"/>
  <c r="H7" i="14"/>
  <c r="J7" i="14" s="1"/>
  <c r="AM30" i="11"/>
  <c r="X30" i="11"/>
  <c r="Q30" i="11"/>
  <c r="E9" i="14" s="1"/>
  <c r="H9" i="14" s="1"/>
  <c r="P34" i="11"/>
  <c r="CB31" i="11"/>
  <c r="I43" i="14"/>
  <c r="J49" i="15" s="1"/>
  <c r="I24" i="14"/>
  <c r="AF28" i="11"/>
  <c r="F23" i="14"/>
  <c r="I23" i="14" s="1"/>
  <c r="J29" i="15" s="1"/>
  <c r="AB34" i="11"/>
  <c r="F21" i="14" s="1"/>
  <c r="I21" i="14" s="1"/>
  <c r="I59" i="14"/>
  <c r="I14" i="14"/>
  <c r="J20" i="15" s="1"/>
  <c r="AL25" i="11"/>
  <c r="AL30" i="11"/>
  <c r="AK25" i="11"/>
  <c r="X25" i="11"/>
  <c r="E14" i="14"/>
  <c r="H14" i="14" s="1"/>
  <c r="I20" i="15"/>
  <c r="U30" i="11"/>
  <c r="U37" i="11" s="1"/>
  <c r="AN28" i="11"/>
  <c r="AL28" i="11"/>
  <c r="R30" i="11"/>
  <c r="E10" i="14" s="1"/>
  <c r="H10" i="14" s="1"/>
  <c r="W25" i="11"/>
  <c r="U25" i="11"/>
  <c r="D12" i="14" s="1"/>
  <c r="G12" i="14" s="1"/>
  <c r="S25" i="11"/>
  <c r="E82" i="14"/>
  <c r="H82" i="14" s="1"/>
  <c r="D20" i="14"/>
  <c r="Z37" i="11"/>
  <c r="Z133" i="11"/>
  <c r="Z134" i="11"/>
  <c r="F369" i="14"/>
  <c r="I369" i="14"/>
  <c r="BH119" i="11"/>
  <c r="Z37" i="21"/>
  <c r="AH14" i="27"/>
  <c r="V37" i="21"/>
  <c r="Z48" i="21"/>
  <c r="L29" i="27"/>
  <c r="V48" i="21"/>
  <c r="Z30" i="17"/>
  <c r="V30" i="17"/>
  <c r="Z27" i="21"/>
  <c r="V14" i="27"/>
  <c r="V27" i="21"/>
  <c r="Z11" i="21"/>
  <c r="E14" i="27"/>
  <c r="AO133" i="11"/>
  <c r="AO134" i="11" s="1"/>
  <c r="I68" i="20"/>
  <c r="K68" i="20"/>
  <c r="J387" i="14"/>
  <c r="I68" i="19"/>
  <c r="Q132" i="11"/>
  <c r="CC113" i="11"/>
  <c r="E88" i="14"/>
  <c r="H88" i="14"/>
  <c r="AF50" i="11"/>
  <c r="AX50" i="11"/>
  <c r="I26" i="12" s="1"/>
  <c r="H35" i="15"/>
  <c r="J42" i="14"/>
  <c r="H56" i="17"/>
  <c r="F109" i="14"/>
  <c r="I109" i="14" s="1"/>
  <c r="I57" i="17"/>
  <c r="J116" i="14"/>
  <c r="H33" i="22"/>
  <c r="H39" i="22"/>
  <c r="J104" i="14"/>
  <c r="Z43" i="22"/>
  <c r="V43" i="22"/>
  <c r="I52" i="22"/>
  <c r="H40" i="21"/>
  <c r="K40" i="21" s="1"/>
  <c r="K59" i="21"/>
  <c r="J248" i="14"/>
  <c r="E307" i="14"/>
  <c r="H307" i="14" s="1"/>
  <c r="AM106" i="11"/>
  <c r="H49" i="19"/>
  <c r="J368" i="14"/>
  <c r="Z64" i="20"/>
  <c r="AB30" i="27"/>
  <c r="V64" i="20"/>
  <c r="F14" i="27"/>
  <c r="V12" i="21"/>
  <c r="H44" i="21"/>
  <c r="D400" i="14"/>
  <c r="G400" i="14" s="1"/>
  <c r="R132" i="11"/>
  <c r="E436" i="14"/>
  <c r="H436" i="14"/>
  <c r="AL132" i="11"/>
  <c r="Z71" i="15"/>
  <c r="AE32" i="27"/>
  <c r="V69" i="18"/>
  <c r="Z69" i="18"/>
  <c r="J65" i="15"/>
  <c r="J68" i="15"/>
  <c r="J30" i="15"/>
  <c r="I57" i="15"/>
  <c r="J51" i="14"/>
  <c r="D32" i="14"/>
  <c r="G32" i="14"/>
  <c r="V55" i="15"/>
  <c r="Z55" i="15"/>
  <c r="S26" i="27"/>
  <c r="H27" i="15"/>
  <c r="V70" i="15"/>
  <c r="AF26" i="27"/>
  <c r="Z70" i="15"/>
  <c r="J96" i="14"/>
  <c r="J123" i="14"/>
  <c r="H36" i="15"/>
  <c r="F73" i="14"/>
  <c r="I73" i="14"/>
  <c r="J14" i="17" s="1"/>
  <c r="CB47" i="11"/>
  <c r="V47" i="11"/>
  <c r="F76" i="14" s="1"/>
  <c r="I76" i="14" s="1"/>
  <c r="J17" i="17" s="1"/>
  <c r="H55" i="17"/>
  <c r="K55" i="17"/>
  <c r="E74" i="14"/>
  <c r="H74" i="14" s="1"/>
  <c r="I15" i="17" s="1"/>
  <c r="Q50" i="11"/>
  <c r="E211" i="14"/>
  <c r="H211" i="14"/>
  <c r="I22" i="21" s="1"/>
  <c r="X76" i="11"/>
  <c r="J42" i="17"/>
  <c r="Z70" i="17"/>
  <c r="AF27" i="27"/>
  <c r="V70" i="17"/>
  <c r="H44" i="22"/>
  <c r="J168" i="14"/>
  <c r="D207" i="14"/>
  <c r="G207" i="14" s="1"/>
  <c r="I56" i="22"/>
  <c r="K56" i="22" s="1"/>
  <c r="Z10" i="21"/>
  <c r="D14" i="27"/>
  <c r="V10" i="21"/>
  <c r="J103" i="21"/>
  <c r="G103" i="21"/>
  <c r="F203" i="14"/>
  <c r="I203" i="14" s="1"/>
  <c r="CB73" i="11"/>
  <c r="U73" i="11"/>
  <c r="F207" i="14" s="1"/>
  <c r="I207" i="14" s="1"/>
  <c r="J18" i="21" s="1"/>
  <c r="P76" i="11"/>
  <c r="H34" i="21"/>
  <c r="K34" i="21"/>
  <c r="J223" i="14"/>
  <c r="I21" i="20"/>
  <c r="J48" i="20"/>
  <c r="CB54" i="11"/>
  <c r="BP54" i="11"/>
  <c r="I59" i="22"/>
  <c r="K59" i="22" s="1"/>
  <c r="J183" i="14"/>
  <c r="H30" i="21"/>
  <c r="K30" i="21"/>
  <c r="J219" i="14"/>
  <c r="H11" i="20"/>
  <c r="K11" i="20"/>
  <c r="J265" i="14"/>
  <c r="E272" i="14"/>
  <c r="H272" i="14"/>
  <c r="I18" i="20"/>
  <c r="Z31" i="20"/>
  <c r="AA15" i="27"/>
  <c r="V31" i="20"/>
  <c r="D336" i="14"/>
  <c r="G336" i="14"/>
  <c r="I60" i="20"/>
  <c r="K60" i="20"/>
  <c r="J314" i="14"/>
  <c r="H13" i="20"/>
  <c r="J267" i="14"/>
  <c r="H20" i="20"/>
  <c r="H50" i="20"/>
  <c r="K50" i="20"/>
  <c r="J304" i="14"/>
  <c r="R119" i="11"/>
  <c r="Z59" i="20"/>
  <c r="W30" i="27"/>
  <c r="V59" i="20"/>
  <c r="H69" i="19"/>
  <c r="K69" i="19"/>
  <c r="J385" i="14"/>
  <c r="F404" i="14"/>
  <c r="I404" i="14"/>
  <c r="W132" i="11"/>
  <c r="E400" i="14"/>
  <c r="H400" i="14" s="1"/>
  <c r="I16" i="18" s="1"/>
  <c r="X29" i="11"/>
  <c r="X37" i="11" s="1"/>
  <c r="AR37" i="11"/>
  <c r="H27" i="20"/>
  <c r="K27" i="20" s="1"/>
  <c r="J281" i="14"/>
  <c r="H23" i="19"/>
  <c r="K23" i="19"/>
  <c r="J342" i="14"/>
  <c r="V31" i="27"/>
  <c r="K48" i="18"/>
  <c r="J432" i="14"/>
  <c r="J32" i="27"/>
  <c r="Z46" i="18"/>
  <c r="V46" i="18"/>
  <c r="E437" i="14"/>
  <c r="H437" i="14" s="1"/>
  <c r="J437" i="14" s="1"/>
  <c r="H26" i="18"/>
  <c r="K26" i="18" s="1"/>
  <c r="J410" i="14"/>
  <c r="Z63" i="18"/>
  <c r="AA32" i="27"/>
  <c r="V63" i="18"/>
  <c r="H32" i="17"/>
  <c r="H32" i="18"/>
  <c r="E139" i="14"/>
  <c r="H139" i="14" s="1"/>
  <c r="E138" i="14"/>
  <c r="H138" i="14"/>
  <c r="I14" i="22" s="1"/>
  <c r="AK55" i="11"/>
  <c r="E32" i="27"/>
  <c r="Z41" i="18"/>
  <c r="V41" i="18"/>
  <c r="J324" i="14"/>
  <c r="AC63" i="11"/>
  <c r="AC133" i="11" s="1"/>
  <c r="AC134" i="11" s="1"/>
  <c r="BX45" i="11"/>
  <c r="BP45" i="11" s="1"/>
  <c r="AA171" i="12"/>
  <c r="BX70" i="11"/>
  <c r="BY58" i="11"/>
  <c r="BY45" i="11"/>
  <c r="BY120" i="11"/>
  <c r="BY94" i="11"/>
  <c r="BY126" i="11"/>
  <c r="BY31" i="11"/>
  <c r="BY38" i="11"/>
  <c r="J27" i="15"/>
  <c r="AB37" i="11"/>
  <c r="E218" i="14"/>
  <c r="H218" i="14"/>
  <c r="AF76" i="11"/>
  <c r="J85" i="14"/>
  <c r="E81" i="14"/>
  <c r="H81" i="14" s="1"/>
  <c r="E78" i="14"/>
  <c r="H78" i="14"/>
  <c r="I19" i="17" s="1"/>
  <c r="AL76" i="11"/>
  <c r="D206" i="14"/>
  <c r="G206" i="14" s="1"/>
  <c r="H49" i="21"/>
  <c r="J238" i="14"/>
  <c r="I16" i="20"/>
  <c r="Z35" i="22"/>
  <c r="AE13" i="27"/>
  <c r="V35" i="22"/>
  <c r="H53" i="22"/>
  <c r="H61" i="22"/>
  <c r="J185" i="14"/>
  <c r="F210" i="14"/>
  <c r="I210" i="14" s="1"/>
  <c r="J21" i="21" s="1"/>
  <c r="I53" i="21"/>
  <c r="H14" i="20"/>
  <c r="J25" i="20"/>
  <c r="K25" i="20" s="1"/>
  <c r="J279" i="14"/>
  <c r="Z9" i="21"/>
  <c r="C14" i="27"/>
  <c r="J102" i="21"/>
  <c r="G102" i="21"/>
  <c r="V9" i="21"/>
  <c r="H61" i="21"/>
  <c r="H12" i="20"/>
  <c r="K12" i="20"/>
  <c r="J266" i="14"/>
  <c r="I13" i="19"/>
  <c r="K13" i="19"/>
  <c r="J332" i="14"/>
  <c r="D334" i="14"/>
  <c r="G334" i="14"/>
  <c r="Q119" i="11"/>
  <c r="H35" i="20"/>
  <c r="H40" i="20"/>
  <c r="D337" i="14"/>
  <c r="G337" i="14"/>
  <c r="Z27" i="19"/>
  <c r="V27" i="19"/>
  <c r="V16" i="27"/>
  <c r="H56" i="19"/>
  <c r="K56" i="19" s="1"/>
  <c r="H23" i="18"/>
  <c r="J407" i="14"/>
  <c r="H29" i="19"/>
  <c r="K29" i="19"/>
  <c r="J348" i="14"/>
  <c r="I61" i="18"/>
  <c r="K61" i="18" s="1"/>
  <c r="J445" i="14"/>
  <c r="CD120" i="11"/>
  <c r="D120" i="11"/>
  <c r="D16" i="14"/>
  <c r="G16" i="14" s="1"/>
  <c r="H22" i="15" s="1"/>
  <c r="I13" i="15"/>
  <c r="K13" i="15" s="1"/>
  <c r="H9" i="15"/>
  <c r="K9" i="15" s="1"/>
  <c r="J3" i="14"/>
  <c r="V31" i="15"/>
  <c r="Z31" i="15"/>
  <c r="AA11" i="27"/>
  <c r="J37" i="15"/>
  <c r="K37" i="15" s="1"/>
  <c r="J62" i="14"/>
  <c r="J72" i="14"/>
  <c r="F44" i="14"/>
  <c r="I44" i="14"/>
  <c r="BH37" i="11"/>
  <c r="Z31" i="17"/>
  <c r="AA12" i="27"/>
  <c r="V31" i="17"/>
  <c r="I49" i="17"/>
  <c r="K49" i="17" s="1"/>
  <c r="J108" i="14"/>
  <c r="I23" i="17"/>
  <c r="H41" i="17"/>
  <c r="E111" i="14"/>
  <c r="H111" i="14"/>
  <c r="E73" i="14"/>
  <c r="H73" i="14" s="1"/>
  <c r="P50" i="11"/>
  <c r="H29" i="22"/>
  <c r="K29" i="22" s="1"/>
  <c r="Y13" i="27" s="1"/>
  <c r="J153" i="14"/>
  <c r="I62" i="22"/>
  <c r="Z28" i="17"/>
  <c r="W12" i="27"/>
  <c r="X12" i="27"/>
  <c r="V28" i="17"/>
  <c r="D141" i="14"/>
  <c r="G141" i="14" s="1"/>
  <c r="H26" i="22"/>
  <c r="K26" i="22"/>
  <c r="J150" i="14"/>
  <c r="E204" i="14"/>
  <c r="H204" i="14"/>
  <c r="I15" i="21"/>
  <c r="H30" i="22"/>
  <c r="K30" i="22"/>
  <c r="J154" i="14"/>
  <c r="D205" i="14"/>
  <c r="G205" i="14"/>
  <c r="H24" i="21"/>
  <c r="K24" i="21" s="1"/>
  <c r="J213" i="14"/>
  <c r="J56" i="21"/>
  <c r="H9" i="20"/>
  <c r="K9" i="20"/>
  <c r="J102" i="20" s="1"/>
  <c r="J263" i="14"/>
  <c r="Z47" i="22"/>
  <c r="V47" i="22"/>
  <c r="K28" i="27"/>
  <c r="F209" i="14"/>
  <c r="I209" i="14" s="1"/>
  <c r="W76" i="11"/>
  <c r="CB67" i="11"/>
  <c r="BP67" i="11"/>
  <c r="H22" i="21"/>
  <c r="H65" i="21"/>
  <c r="H68" i="21"/>
  <c r="E268" i="14"/>
  <c r="H268" i="14" s="1"/>
  <c r="I14" i="20" s="1"/>
  <c r="F187" i="14"/>
  <c r="I187" i="14"/>
  <c r="J63" i="22"/>
  <c r="K63" i="22" s="1"/>
  <c r="I166" i="14"/>
  <c r="J42" i="22" s="1"/>
  <c r="BC63" i="11"/>
  <c r="BC133" i="11"/>
  <c r="Z68" i="22"/>
  <c r="AD28" i="27"/>
  <c r="V68" i="22"/>
  <c r="Z25" i="21"/>
  <c r="D273" i="14"/>
  <c r="G273" i="14" s="1"/>
  <c r="H41" i="21"/>
  <c r="K41" i="21"/>
  <c r="CC114" i="11"/>
  <c r="E340" i="14"/>
  <c r="H340" i="14" s="1"/>
  <c r="I21" i="19"/>
  <c r="Z31" i="21"/>
  <c r="V31" i="21"/>
  <c r="AA14" i="27"/>
  <c r="E341" i="14"/>
  <c r="H341" i="14"/>
  <c r="I22" i="19"/>
  <c r="K24" i="19"/>
  <c r="J343" i="14"/>
  <c r="Z33" i="21"/>
  <c r="AC14" i="27"/>
  <c r="V33" i="21"/>
  <c r="Z62" i="21"/>
  <c r="Z29" i="27"/>
  <c r="V62" i="21"/>
  <c r="E306" i="14"/>
  <c r="H306" i="14"/>
  <c r="D371" i="14"/>
  <c r="G371" i="14" s="1"/>
  <c r="AL119" i="11"/>
  <c r="Z37" i="19"/>
  <c r="AH16" i="27"/>
  <c r="V37" i="19"/>
  <c r="Z48" i="19"/>
  <c r="L31" i="27"/>
  <c r="V48" i="19"/>
  <c r="E373" i="14"/>
  <c r="H373" i="14"/>
  <c r="AP110" i="11"/>
  <c r="AN119" i="11"/>
  <c r="D405" i="14"/>
  <c r="G405" i="14" s="1"/>
  <c r="X56" i="11"/>
  <c r="E146" i="14" s="1"/>
  <c r="H42" i="18"/>
  <c r="K42" i="18"/>
  <c r="Z57" i="20"/>
  <c r="V57" i="20"/>
  <c r="U30" i="27"/>
  <c r="H62" i="19"/>
  <c r="K62" i="19"/>
  <c r="J381" i="14"/>
  <c r="H64" i="19"/>
  <c r="K64" i="19"/>
  <c r="J383" i="14"/>
  <c r="E401" i="14"/>
  <c r="H401" i="14" s="1"/>
  <c r="V132" i="11"/>
  <c r="H45" i="19"/>
  <c r="K45" i="19"/>
  <c r="H36" i="18"/>
  <c r="K36" i="18"/>
  <c r="J420" i="14"/>
  <c r="H43" i="18"/>
  <c r="J427" i="14"/>
  <c r="E440" i="14"/>
  <c r="H440" i="14" s="1"/>
  <c r="AP132" i="11"/>
  <c r="Z70" i="18"/>
  <c r="AF32" i="27"/>
  <c r="V70" i="18"/>
  <c r="Z28" i="19"/>
  <c r="W16" i="27"/>
  <c r="X16" i="27"/>
  <c r="V28" i="19"/>
  <c r="H33" i="18"/>
  <c r="K33" i="18" s="1"/>
  <c r="J417" i="14"/>
  <c r="H54" i="20"/>
  <c r="E145" i="14"/>
  <c r="H145" i="14" s="1"/>
  <c r="I21" i="22" s="1"/>
  <c r="E142" i="14"/>
  <c r="H142" i="14"/>
  <c r="H146" i="14"/>
  <c r="F57" i="11"/>
  <c r="BX129" i="11"/>
  <c r="BY101" i="11"/>
  <c r="BY60" i="11"/>
  <c r="BY113" i="11"/>
  <c r="BY32" i="11"/>
  <c r="BY47" i="11"/>
  <c r="BY103" i="11"/>
  <c r="BY25" i="11"/>
  <c r="D46" i="14"/>
  <c r="G46" i="14" s="1"/>
  <c r="H52" i="15" s="1"/>
  <c r="I60" i="15"/>
  <c r="K60" i="15" s="1"/>
  <c r="X26" i="27" s="1"/>
  <c r="H45" i="15"/>
  <c r="K45" i="15"/>
  <c r="J39" i="14"/>
  <c r="H46" i="17"/>
  <c r="K46" i="17"/>
  <c r="Z46" i="17" s="1"/>
  <c r="J105" i="14"/>
  <c r="I11" i="22"/>
  <c r="K11" i="22"/>
  <c r="J135" i="14"/>
  <c r="H10" i="22"/>
  <c r="K10" i="22"/>
  <c r="Z10" i="22" s="1"/>
  <c r="J134" i="14"/>
  <c r="E77" i="14"/>
  <c r="H77" i="14"/>
  <c r="F79" i="14"/>
  <c r="I79" i="14"/>
  <c r="J20" i="17" s="1"/>
  <c r="F151" i="14"/>
  <c r="I151" i="14" s="1"/>
  <c r="AB63" i="11"/>
  <c r="H41" i="22"/>
  <c r="K41" i="22" s="1"/>
  <c r="J165" i="14"/>
  <c r="D204" i="14"/>
  <c r="G204" i="14"/>
  <c r="F240" i="14"/>
  <c r="I240" i="14" s="1"/>
  <c r="J51" i="21" s="1"/>
  <c r="BX73" i="11"/>
  <c r="H62" i="20"/>
  <c r="K62" i="20"/>
  <c r="J316" i="14"/>
  <c r="H28" i="18"/>
  <c r="K28" i="18" s="1"/>
  <c r="J412" i="14"/>
  <c r="H9" i="18"/>
  <c r="K9" i="18"/>
  <c r="J393" i="14"/>
  <c r="Z65" i="20"/>
  <c r="AC30" i="27"/>
  <c r="V65" i="20"/>
  <c r="E161" i="14"/>
  <c r="H161" i="14"/>
  <c r="AX63" i="11"/>
  <c r="W37" i="11"/>
  <c r="D14" i="14"/>
  <c r="G14" i="14"/>
  <c r="E48" i="14"/>
  <c r="H48" i="14" s="1"/>
  <c r="J48" i="14" s="1"/>
  <c r="AM28" i="11"/>
  <c r="AN37" i="11"/>
  <c r="D45" i="14"/>
  <c r="G45" i="14"/>
  <c r="BX25" i="11"/>
  <c r="BP25" i="11" s="1"/>
  <c r="E23" i="14"/>
  <c r="H23" i="14"/>
  <c r="I29" i="15" s="1"/>
  <c r="AF37" i="11"/>
  <c r="F8" i="14"/>
  <c r="I8" i="14"/>
  <c r="J14" i="15"/>
  <c r="J46" i="15"/>
  <c r="I12" i="15"/>
  <c r="K12" i="15" s="1"/>
  <c r="J6" i="14"/>
  <c r="P37" i="11"/>
  <c r="E8" i="14"/>
  <c r="H8" i="14" s="1"/>
  <c r="V34" i="15"/>
  <c r="AD11" i="27"/>
  <c r="Z34" i="15"/>
  <c r="AK31" i="27"/>
  <c r="H40" i="15"/>
  <c r="J34" i="14"/>
  <c r="H10" i="17"/>
  <c r="K10" i="17" s="1"/>
  <c r="J69" i="14"/>
  <c r="H28" i="15"/>
  <c r="K28" i="15"/>
  <c r="J22" i="14"/>
  <c r="H71" i="17"/>
  <c r="K71" i="17" s="1"/>
  <c r="Z71" i="17" s="1"/>
  <c r="J127" i="14"/>
  <c r="J10" i="15"/>
  <c r="K10" i="15" s="1"/>
  <c r="J4" i="14"/>
  <c r="H61" i="15"/>
  <c r="K61" i="15"/>
  <c r="J55" i="14"/>
  <c r="H12" i="17"/>
  <c r="K12" i="17"/>
  <c r="J71" i="14"/>
  <c r="I27" i="17"/>
  <c r="J65" i="17"/>
  <c r="Z9" i="17"/>
  <c r="C12" i="27"/>
  <c r="V9" i="17"/>
  <c r="J102" i="17"/>
  <c r="G102" i="17"/>
  <c r="E76" i="14"/>
  <c r="H76" i="14" s="1"/>
  <c r="I17" i="17"/>
  <c r="F110" i="14"/>
  <c r="I110" i="14"/>
  <c r="J51" i="17" s="1"/>
  <c r="BX47" i="11"/>
  <c r="H12" i="22"/>
  <c r="K12" i="22" s="1"/>
  <c r="V12" i="22" s="1"/>
  <c r="J136" i="14"/>
  <c r="H27" i="22"/>
  <c r="H28" i="22"/>
  <c r="K28" i="22" s="1"/>
  <c r="W13" i="27" s="1"/>
  <c r="J152" i="14"/>
  <c r="H36" i="22"/>
  <c r="K36" i="22" s="1"/>
  <c r="J160" i="14"/>
  <c r="H24" i="17"/>
  <c r="K24" i="17"/>
  <c r="J83" i="14"/>
  <c r="H24" i="22"/>
  <c r="H46" i="22"/>
  <c r="K46" i="22" s="1"/>
  <c r="J170" i="14"/>
  <c r="H31" i="22"/>
  <c r="K31" i="22"/>
  <c r="J155" i="14"/>
  <c r="D208" i="14"/>
  <c r="G208" i="14"/>
  <c r="S76" i="11"/>
  <c r="H46" i="21"/>
  <c r="K46" i="21" s="1"/>
  <c r="J235" i="14"/>
  <c r="I10" i="20"/>
  <c r="K10" i="20" s="1"/>
  <c r="J264" i="14"/>
  <c r="E177" i="14"/>
  <c r="H177" i="14"/>
  <c r="I53" i="22"/>
  <c r="H23" i="21"/>
  <c r="K23" i="21"/>
  <c r="V23" i="21" s="1"/>
  <c r="J212" i="14"/>
  <c r="H51" i="21"/>
  <c r="E271" i="14"/>
  <c r="H271" i="14"/>
  <c r="J45" i="20"/>
  <c r="K45" i="20"/>
  <c r="J299" i="14"/>
  <c r="AG62" i="11"/>
  <c r="F162" i="14" s="1"/>
  <c r="I162" i="14" s="1"/>
  <c r="J38" i="22" s="1"/>
  <c r="H50" i="22"/>
  <c r="K50" i="22" s="1"/>
  <c r="J174" i="14"/>
  <c r="Z70" i="22"/>
  <c r="AF28" i="27"/>
  <c r="V70" i="22"/>
  <c r="I26" i="21"/>
  <c r="H42" i="21"/>
  <c r="K42" i="21"/>
  <c r="J231" i="14"/>
  <c r="AK99" i="11"/>
  <c r="H58" i="22"/>
  <c r="K58" i="22"/>
  <c r="J182" i="14"/>
  <c r="Z41" i="20"/>
  <c r="V41" i="20"/>
  <c r="E30" i="27"/>
  <c r="D338" i="14"/>
  <c r="G338" i="14" s="1"/>
  <c r="H19" i="19" s="1"/>
  <c r="H22" i="19"/>
  <c r="H51" i="19"/>
  <c r="H57" i="21"/>
  <c r="K57" i="21"/>
  <c r="H71" i="21"/>
  <c r="K71" i="21" s="1"/>
  <c r="AG29" i="27" s="1"/>
  <c r="J257" i="14"/>
  <c r="H44" i="20"/>
  <c r="K44" i="20" s="1"/>
  <c r="J298" i="14"/>
  <c r="E335" i="14"/>
  <c r="H335" i="14"/>
  <c r="I16" i="19" s="1"/>
  <c r="CB111" i="11"/>
  <c r="H20" i="19"/>
  <c r="H31" i="19"/>
  <c r="K31" i="19" s="1"/>
  <c r="J350" i="14"/>
  <c r="Z47" i="21"/>
  <c r="K29" i="27"/>
  <c r="V47" i="21"/>
  <c r="Z36" i="20"/>
  <c r="AG15" i="27"/>
  <c r="V36" i="20"/>
  <c r="AF15" i="27"/>
  <c r="H47" i="20"/>
  <c r="K47" i="20" s="1"/>
  <c r="J301" i="14"/>
  <c r="H55" i="20"/>
  <c r="K55" i="20" s="1"/>
  <c r="J309" i="14"/>
  <c r="I40" i="19"/>
  <c r="K40" i="19"/>
  <c r="J359" i="14"/>
  <c r="D372" i="14"/>
  <c r="G372" i="14"/>
  <c r="Z58" i="20"/>
  <c r="V30" i="27"/>
  <c r="H12" i="19"/>
  <c r="K12" i="19"/>
  <c r="J331" i="14"/>
  <c r="H33" i="19"/>
  <c r="K33" i="19"/>
  <c r="Z33" i="19" s="1"/>
  <c r="J352" i="14"/>
  <c r="Z69" i="20"/>
  <c r="AE30" i="27"/>
  <c r="V69" i="20"/>
  <c r="H32" i="19"/>
  <c r="H60" i="19"/>
  <c r="K60" i="19" s="1"/>
  <c r="J379" i="14"/>
  <c r="I45" i="18"/>
  <c r="J429" i="14"/>
  <c r="H15" i="18"/>
  <c r="H19" i="18"/>
  <c r="AK123" i="11"/>
  <c r="CB123" i="11"/>
  <c r="H59" i="18"/>
  <c r="K59" i="18"/>
  <c r="J443" i="14"/>
  <c r="CD64" i="11"/>
  <c r="D64" i="11" s="1"/>
  <c r="H31" i="18"/>
  <c r="K31" i="18"/>
  <c r="J415" i="14"/>
  <c r="Z71" i="18"/>
  <c r="AG32" i="27"/>
  <c r="H11" i="18"/>
  <c r="K11" i="18"/>
  <c r="J395" i="14"/>
  <c r="J14" i="18"/>
  <c r="K14" i="18"/>
  <c r="J398" i="14"/>
  <c r="H57" i="18"/>
  <c r="K57" i="18" s="1"/>
  <c r="U32" i="27" s="1"/>
  <c r="J441" i="14"/>
  <c r="E143" i="14"/>
  <c r="H143" i="14"/>
  <c r="I19" i="22" s="1"/>
  <c r="E140" i="14"/>
  <c r="H140" i="14"/>
  <c r="H50" i="18"/>
  <c r="K50" i="18" s="1"/>
  <c r="J434" i="14"/>
  <c r="H27" i="18"/>
  <c r="K27" i="18"/>
  <c r="V17" i="27" s="1"/>
  <c r="J411" i="14"/>
  <c r="BX94" i="11"/>
  <c r="BX100" i="11"/>
  <c r="BP100" i="11"/>
  <c r="BX101" i="11"/>
  <c r="BP101" i="11" s="1"/>
  <c r="BX107" i="11"/>
  <c r="BX120" i="11"/>
  <c r="BP120" i="11" s="1"/>
  <c r="BX126" i="11"/>
  <c r="BP126" i="11" s="1"/>
  <c r="BX127" i="11"/>
  <c r="BP127" i="11"/>
  <c r="BX58" i="11"/>
  <c r="BP58" i="11"/>
  <c r="BX114" i="11"/>
  <c r="BX116" i="11"/>
  <c r="BX44" i="11"/>
  <c r="BP44" i="11"/>
  <c r="BX113" i="11"/>
  <c r="BP113" i="11" s="1"/>
  <c r="BX32" i="11"/>
  <c r="BP32" i="11" s="1"/>
  <c r="AA227" i="12"/>
  <c r="F113" i="11"/>
  <c r="BY57" i="11"/>
  <c r="BY70" i="11"/>
  <c r="BY51" i="11"/>
  <c r="BY107" i="11"/>
  <c r="BY127" i="11"/>
  <c r="BY44" i="11"/>
  <c r="D17" i="14"/>
  <c r="G17" i="14"/>
  <c r="G20" i="14"/>
  <c r="J50" i="19"/>
  <c r="K50" i="19"/>
  <c r="J369" i="14"/>
  <c r="AF133" i="11"/>
  <c r="F35" i="12" s="1"/>
  <c r="I29" i="17"/>
  <c r="K29" i="17"/>
  <c r="Z29" i="17" s="1"/>
  <c r="J88" i="14"/>
  <c r="Z59" i="18"/>
  <c r="V59" i="18"/>
  <c r="W32" i="27"/>
  <c r="Z12" i="19"/>
  <c r="F16" i="27"/>
  <c r="V12" i="19"/>
  <c r="Z57" i="21"/>
  <c r="U29" i="27"/>
  <c r="V57" i="21"/>
  <c r="V12" i="15"/>
  <c r="Z12" i="15"/>
  <c r="F11" i="27"/>
  <c r="K29" i="15"/>
  <c r="J23" i="14"/>
  <c r="I18" i="22"/>
  <c r="Z42" i="18"/>
  <c r="F32" i="27"/>
  <c r="Z9" i="20"/>
  <c r="C15" i="27"/>
  <c r="G102" i="20"/>
  <c r="V9" i="20"/>
  <c r="Z24" i="21"/>
  <c r="S14" i="27"/>
  <c r="V24" i="21"/>
  <c r="Z29" i="22"/>
  <c r="V29" i="22"/>
  <c r="I14" i="17"/>
  <c r="Z12" i="20"/>
  <c r="F15" i="27"/>
  <c r="V12" i="20"/>
  <c r="K53" i="22"/>
  <c r="Z53" i="22" s="1"/>
  <c r="Z26" i="18"/>
  <c r="U17" i="27"/>
  <c r="V26" i="18"/>
  <c r="Z48" i="18"/>
  <c r="L32" i="27"/>
  <c r="V48" i="18"/>
  <c r="Z50" i="20"/>
  <c r="N30" i="27"/>
  <c r="V50" i="20"/>
  <c r="H17" i="19"/>
  <c r="Z59" i="22"/>
  <c r="W28" i="27"/>
  <c r="V59" i="22"/>
  <c r="J14" i="21"/>
  <c r="K14" i="21"/>
  <c r="J203" i="14"/>
  <c r="Z49" i="19"/>
  <c r="M31" i="27"/>
  <c r="V49" i="19"/>
  <c r="Z45" i="17"/>
  <c r="I27" i="27"/>
  <c r="V45" i="17"/>
  <c r="Z57" i="17"/>
  <c r="V57" i="17"/>
  <c r="U27" i="27"/>
  <c r="J50" i="17"/>
  <c r="K50" i="17"/>
  <c r="J109" i="14"/>
  <c r="V48" i="15"/>
  <c r="L26" i="27"/>
  <c r="Z48" i="15"/>
  <c r="Z27" i="18"/>
  <c r="V27" i="18"/>
  <c r="I16" i="22"/>
  <c r="Z11" i="18"/>
  <c r="E17" i="27"/>
  <c r="Z31" i="18"/>
  <c r="AA17" i="27"/>
  <c r="V31" i="18"/>
  <c r="H53" i="19"/>
  <c r="I17" i="20"/>
  <c r="Z23" i="21"/>
  <c r="R14" i="27"/>
  <c r="Q14" i="27"/>
  <c r="Z46" i="22"/>
  <c r="J28" i="27"/>
  <c r="V46" i="22"/>
  <c r="S12" i="27"/>
  <c r="Z28" i="22"/>
  <c r="V28" i="15"/>
  <c r="Z28" i="15"/>
  <c r="W11" i="27"/>
  <c r="AK25" i="27"/>
  <c r="X11" i="27"/>
  <c r="D26" i="27"/>
  <c r="E47" i="14"/>
  <c r="H47" i="14"/>
  <c r="AK28" i="11"/>
  <c r="AM37" i="11"/>
  <c r="Z62" i="20"/>
  <c r="Z30" i="27"/>
  <c r="V62" i="20"/>
  <c r="H15" i="21"/>
  <c r="I18" i="17"/>
  <c r="Z11" i="22"/>
  <c r="E13" i="27"/>
  <c r="V46" i="17"/>
  <c r="V60" i="15"/>
  <c r="Z60" i="15"/>
  <c r="Z45" i="19"/>
  <c r="I31" i="27"/>
  <c r="V45" i="19"/>
  <c r="Z64" i="19"/>
  <c r="AB31" i="27"/>
  <c r="V64" i="19"/>
  <c r="AK56" i="11"/>
  <c r="CB56" i="11"/>
  <c r="E376" i="14"/>
  <c r="H376" i="14"/>
  <c r="AP119" i="11"/>
  <c r="CB42" i="11"/>
  <c r="Z61" i="18"/>
  <c r="Y32" i="27"/>
  <c r="V61" i="18"/>
  <c r="H18" i="19"/>
  <c r="H15" i="19"/>
  <c r="K15" i="19"/>
  <c r="J334" i="14"/>
  <c r="H17" i="21"/>
  <c r="K17" i="21" s="1"/>
  <c r="J206" i="14"/>
  <c r="Z26" i="17"/>
  <c r="U12" i="27"/>
  <c r="V26" i="17"/>
  <c r="I53" i="18"/>
  <c r="K53" i="18" s="1"/>
  <c r="Z27" i="20"/>
  <c r="V27" i="20"/>
  <c r="V15" i="27"/>
  <c r="Z69" i="19"/>
  <c r="AE31" i="27"/>
  <c r="V69" i="19"/>
  <c r="Z60" i="20"/>
  <c r="X30" i="27"/>
  <c r="V60" i="20"/>
  <c r="Z11" i="20"/>
  <c r="E15" i="27"/>
  <c r="Z64" i="17"/>
  <c r="AB27" i="27"/>
  <c r="V64" i="17"/>
  <c r="Z11" i="17"/>
  <c r="E12" i="27"/>
  <c r="H16" i="18"/>
  <c r="K16" i="18"/>
  <c r="J400" i="14"/>
  <c r="Z59" i="21"/>
  <c r="W29" i="27"/>
  <c r="V59" i="21"/>
  <c r="BP123" i="11"/>
  <c r="V33" i="19"/>
  <c r="H30" i="27"/>
  <c r="Z44" i="20"/>
  <c r="V44" i="20"/>
  <c r="Z50" i="22"/>
  <c r="N28" i="27"/>
  <c r="V50" i="22"/>
  <c r="H19" i="21"/>
  <c r="K19" i="21"/>
  <c r="M14" i="27" s="1"/>
  <c r="J208" i="14"/>
  <c r="Z12" i="17"/>
  <c r="F12" i="27"/>
  <c r="V12" i="17"/>
  <c r="H51" i="15"/>
  <c r="I54" i="15"/>
  <c r="K54" i="15" s="1"/>
  <c r="Z54" i="15" s="1"/>
  <c r="I27" i="12"/>
  <c r="I22" i="22"/>
  <c r="I54" i="19"/>
  <c r="K54" i="19"/>
  <c r="J373" i="14"/>
  <c r="Z41" i="21"/>
  <c r="E29" i="27"/>
  <c r="V41" i="21"/>
  <c r="H16" i="21"/>
  <c r="Z30" i="22"/>
  <c r="V30" i="22"/>
  <c r="Z13" i="27"/>
  <c r="Z26" i="22"/>
  <c r="U13" i="27"/>
  <c r="V26" i="22"/>
  <c r="I52" i="17"/>
  <c r="Z49" i="17"/>
  <c r="V49" i="17"/>
  <c r="M27" i="27"/>
  <c r="Z25" i="20"/>
  <c r="V25" i="20"/>
  <c r="T15" i="27"/>
  <c r="Z61" i="22"/>
  <c r="Y28" i="27"/>
  <c r="V61" i="22"/>
  <c r="CB55" i="11"/>
  <c r="AM110" i="11"/>
  <c r="K16" i="19"/>
  <c r="J335" i="14"/>
  <c r="Z34" i="21"/>
  <c r="AD14" i="27"/>
  <c r="V34" i="21"/>
  <c r="Z56" i="22"/>
  <c r="T28" i="27"/>
  <c r="V56" i="22"/>
  <c r="U76" i="11"/>
  <c r="BP47" i="11"/>
  <c r="J21" i="14"/>
  <c r="H38" i="15"/>
  <c r="K38" i="15" s="1"/>
  <c r="J32" i="14"/>
  <c r="V57" i="15"/>
  <c r="Z57" i="15"/>
  <c r="U26" i="27"/>
  <c r="H18" i="15"/>
  <c r="I53" i="20"/>
  <c r="K53" i="20"/>
  <c r="J307" i="14"/>
  <c r="Z36" i="17"/>
  <c r="AG12" i="27"/>
  <c r="V36" i="17"/>
  <c r="AF12" i="27"/>
  <c r="Z14" i="18"/>
  <c r="H17" i="27"/>
  <c r="V14" i="18"/>
  <c r="Z40" i="19"/>
  <c r="D31" i="27"/>
  <c r="V40" i="19"/>
  <c r="Z47" i="20"/>
  <c r="K30" i="27"/>
  <c r="V47" i="20"/>
  <c r="Z58" i="22"/>
  <c r="V28" i="27"/>
  <c r="Z36" i="22"/>
  <c r="Z10" i="17"/>
  <c r="D12" i="27"/>
  <c r="V10" i="17"/>
  <c r="J103" i="17"/>
  <c r="G103" i="17" s="1"/>
  <c r="H20" i="15"/>
  <c r="K20" i="15" s="1"/>
  <c r="J14" i="14"/>
  <c r="Z9" i="18"/>
  <c r="C17" i="27"/>
  <c r="V9" i="18"/>
  <c r="J102" i="18"/>
  <c r="G102" i="18" s="1"/>
  <c r="W17" i="27"/>
  <c r="V28" i="18"/>
  <c r="Z28" i="18"/>
  <c r="X17" i="27"/>
  <c r="V41" i="22"/>
  <c r="V10" i="22"/>
  <c r="J103" i="22"/>
  <c r="G103" i="22"/>
  <c r="Z61" i="17"/>
  <c r="V61" i="17"/>
  <c r="Y27" i="27"/>
  <c r="V45" i="15"/>
  <c r="Z45" i="15"/>
  <c r="I26" i="27"/>
  <c r="Z68" i="20"/>
  <c r="AD30" i="27"/>
  <c r="V68" i="20"/>
  <c r="AC17" i="27"/>
  <c r="I56" i="18"/>
  <c r="K56" i="18"/>
  <c r="J440" i="14"/>
  <c r="AG17" i="27"/>
  <c r="AF17" i="27"/>
  <c r="V36" i="18"/>
  <c r="Z36" i="18"/>
  <c r="I17" i="18"/>
  <c r="K17" i="18" s="1"/>
  <c r="Z17" i="18" s="1"/>
  <c r="J401" i="14"/>
  <c r="Z62" i="19"/>
  <c r="Z31" i="27"/>
  <c r="V62" i="19"/>
  <c r="H52" i="19"/>
  <c r="K52" i="19"/>
  <c r="J371" i="14"/>
  <c r="I52" i="20"/>
  <c r="J187" i="14"/>
  <c r="J20" i="21"/>
  <c r="K20" i="21"/>
  <c r="Z20" i="21" s="1"/>
  <c r="J209" i="14"/>
  <c r="J50" i="15"/>
  <c r="K50" i="15"/>
  <c r="J44" i="14"/>
  <c r="Z29" i="19"/>
  <c r="Y16" i="27"/>
  <c r="V29" i="19"/>
  <c r="T31" i="27"/>
  <c r="Z56" i="19"/>
  <c r="V56" i="19"/>
  <c r="Z13" i="19"/>
  <c r="V13" i="19"/>
  <c r="G16" i="27"/>
  <c r="J177" i="14"/>
  <c r="I52" i="21"/>
  <c r="I22" i="17"/>
  <c r="I29" i="21"/>
  <c r="K29" i="21" s="1"/>
  <c r="J218" i="14"/>
  <c r="I15" i="22"/>
  <c r="Z23" i="19"/>
  <c r="Q16" i="27"/>
  <c r="R16" i="27"/>
  <c r="V23" i="19"/>
  <c r="E16" i="14"/>
  <c r="H16" i="14" s="1"/>
  <c r="AK29" i="11"/>
  <c r="CB29" i="11"/>
  <c r="J20" i="18"/>
  <c r="K20" i="18"/>
  <c r="J404" i="14"/>
  <c r="Z13" i="20"/>
  <c r="V13" i="20"/>
  <c r="G15" i="27"/>
  <c r="Z30" i="21"/>
  <c r="Z14" i="27"/>
  <c r="V30" i="21"/>
  <c r="H18" i="21"/>
  <c r="K18" i="21" s="1"/>
  <c r="J207" i="14"/>
  <c r="CD47" i="11"/>
  <c r="D47" i="11"/>
  <c r="K27" i="15"/>
  <c r="I16" i="15"/>
  <c r="I52" i="18"/>
  <c r="K52" i="18"/>
  <c r="J436" i="14"/>
  <c r="Z44" i="21"/>
  <c r="V44" i="21"/>
  <c r="H29" i="27"/>
  <c r="Z40" i="21"/>
  <c r="D29" i="27"/>
  <c r="V40" i="21"/>
  <c r="BH133" i="11"/>
  <c r="H26" i="15"/>
  <c r="K26" i="15" s="1"/>
  <c r="V26" i="15" s="1"/>
  <c r="J20" i="14"/>
  <c r="H23" i="15"/>
  <c r="V50" i="19"/>
  <c r="Z50" i="19"/>
  <c r="N31" i="27"/>
  <c r="Y12" i="27"/>
  <c r="Z52" i="18"/>
  <c r="P32" i="27"/>
  <c r="V52" i="18"/>
  <c r="Z16" i="19"/>
  <c r="J16" i="27"/>
  <c r="V16" i="19"/>
  <c r="V54" i="15"/>
  <c r="R26" i="27"/>
  <c r="Q32" i="27"/>
  <c r="Z53" i="18"/>
  <c r="V53" i="18"/>
  <c r="Z50" i="17"/>
  <c r="N27" i="27"/>
  <c r="V50" i="17"/>
  <c r="E175" i="14"/>
  <c r="H175" i="14" s="1"/>
  <c r="I51" i="22" s="1"/>
  <c r="V29" i="15"/>
  <c r="Z29" i="15"/>
  <c r="Y11" i="27"/>
  <c r="AK26" i="27"/>
  <c r="N14" i="27"/>
  <c r="V20" i="21"/>
  <c r="E372" i="14"/>
  <c r="H372" i="14" s="1"/>
  <c r="AK110" i="11"/>
  <c r="AK119" i="11" s="1"/>
  <c r="AM119" i="11"/>
  <c r="CD57" i="11"/>
  <c r="D54" i="11"/>
  <c r="BP28" i="11"/>
  <c r="CB28" i="11"/>
  <c r="K17" i="27"/>
  <c r="V17" i="18"/>
  <c r="Z52" i="19"/>
  <c r="P31" i="27"/>
  <c r="V52" i="19"/>
  <c r="I53" i="15"/>
  <c r="K53" i="15"/>
  <c r="J47" i="14"/>
  <c r="Q28" i="27"/>
  <c r="V53" i="22"/>
  <c r="N17" i="27"/>
  <c r="Z20" i="18"/>
  <c r="V20" i="18"/>
  <c r="V50" i="15"/>
  <c r="Z56" i="18"/>
  <c r="T32" i="27"/>
  <c r="V56" i="18"/>
  <c r="Z54" i="19"/>
  <c r="R31" i="27"/>
  <c r="V54" i="19"/>
  <c r="Z19" i="21"/>
  <c r="V19" i="21"/>
  <c r="Z15" i="19"/>
  <c r="I16" i="27"/>
  <c r="V15" i="19"/>
  <c r="Z14" i="21"/>
  <c r="H14" i="27"/>
  <c r="V14" i="21"/>
  <c r="U11" i="27"/>
  <c r="AK23" i="27"/>
  <c r="Z26" i="15"/>
  <c r="E370" i="14"/>
  <c r="H370" i="14" s="1"/>
  <c r="CB110" i="11"/>
  <c r="CD113" i="11" s="1"/>
  <c r="D110" i="11" s="1"/>
  <c r="BS119" i="11"/>
  <c r="I32" i="21"/>
  <c r="K32" i="21" s="1"/>
  <c r="J221" i="14"/>
  <c r="AZ76" i="11"/>
  <c r="L28" i="12" s="1"/>
  <c r="BA119" i="11"/>
  <c r="M30" i="12"/>
  <c r="AZ119" i="11"/>
  <c r="L30" i="12"/>
  <c r="D77" i="14"/>
  <c r="G77" i="14"/>
  <c r="J77" i="14" s="1"/>
  <c r="I35" i="15"/>
  <c r="K35" i="15"/>
  <c r="Z35" i="15" s="1"/>
  <c r="J29" i="14"/>
  <c r="E416" i="14"/>
  <c r="H416" i="14"/>
  <c r="AZ132" i="11"/>
  <c r="D110" i="14"/>
  <c r="G110" i="14"/>
  <c r="J354" i="14"/>
  <c r="I35" i="19"/>
  <c r="K35" i="19" s="1"/>
  <c r="M31" i="12"/>
  <c r="D78" i="14"/>
  <c r="G78" i="14" s="1"/>
  <c r="H19" i="17" s="1"/>
  <c r="K19" i="17" s="1"/>
  <c r="Z19" i="17" s="1"/>
  <c r="S50" i="11"/>
  <c r="H18" i="17"/>
  <c r="K18" i="17"/>
  <c r="BU55" i="11"/>
  <c r="BT55" i="11" s="1"/>
  <c r="D94" i="14"/>
  <c r="G94" i="14" s="1"/>
  <c r="J94" i="14" s="1"/>
  <c r="AZ42" i="11"/>
  <c r="E91" i="14" s="1"/>
  <c r="H91" i="14" s="1"/>
  <c r="BU29" i="11"/>
  <c r="BT29" i="11" s="1"/>
  <c r="AZ56" i="11"/>
  <c r="BU42" i="11"/>
  <c r="BT42" i="11" s="1"/>
  <c r="AZ30" i="11"/>
  <c r="BU30" i="11"/>
  <c r="BT30" i="11"/>
  <c r="BU56" i="11"/>
  <c r="BT56" i="11" s="1"/>
  <c r="AZ29" i="11"/>
  <c r="AZ55" i="11"/>
  <c r="AZ63" i="11" s="1"/>
  <c r="L27" i="12" s="1"/>
  <c r="H21" i="17"/>
  <c r="V35" i="21"/>
  <c r="AE14" i="27"/>
  <c r="H14" i="17"/>
  <c r="K14" i="17"/>
  <c r="Z14" i="17" s="1"/>
  <c r="J73" i="14"/>
  <c r="Z35" i="21"/>
  <c r="I35" i="20"/>
  <c r="K35" i="20"/>
  <c r="J289" i="14"/>
  <c r="I35" i="18"/>
  <c r="E286" i="14"/>
  <c r="H286" i="14" s="1"/>
  <c r="AZ106" i="11"/>
  <c r="L29" i="12"/>
  <c r="BS42" i="11"/>
  <c r="V38" i="11"/>
  <c r="BP38" i="11" s="1"/>
  <c r="W38" i="11"/>
  <c r="W50" i="11" s="1"/>
  <c r="X38" i="11"/>
  <c r="X50" i="11" s="1"/>
  <c r="AM38" i="11"/>
  <c r="CA38" i="11"/>
  <c r="BX38" i="11"/>
  <c r="BA133" i="11"/>
  <c r="AZ50" i="11"/>
  <c r="L26" i="12" s="1"/>
  <c r="J78" i="14"/>
  <c r="L31" i="12"/>
  <c r="D76" i="14"/>
  <c r="G76" i="14"/>
  <c r="J76" i="14" s="1"/>
  <c r="E26" i="14"/>
  <c r="H26" i="14"/>
  <c r="D81" i="14"/>
  <c r="G81" i="14"/>
  <c r="V14" i="17"/>
  <c r="H12" i="27"/>
  <c r="AZ37" i="11"/>
  <c r="L25" i="12" s="1"/>
  <c r="D112" i="14"/>
  <c r="G112" i="14" s="1"/>
  <c r="H53" i="17" s="1"/>
  <c r="H35" i="17"/>
  <c r="K35" i="17" s="1"/>
  <c r="H51" i="17"/>
  <c r="AK32" i="27"/>
  <c r="AE11" i="27"/>
  <c r="AZ133" i="11"/>
  <c r="J81" i="14"/>
  <c r="H22" i="17"/>
  <c r="K22" i="17" s="1"/>
  <c r="H17" i="17"/>
  <c r="K17" i="17" s="1"/>
  <c r="Z35" i="17"/>
  <c r="V19" i="17"/>
  <c r="V22" i="17"/>
  <c r="L32" i="12" l="1"/>
  <c r="AZ136" i="11"/>
  <c r="AZ134" i="11"/>
  <c r="V35" i="20"/>
  <c r="AE15" i="27"/>
  <c r="Z35" i="20"/>
  <c r="V18" i="21"/>
  <c r="L14" i="27"/>
  <c r="Z38" i="15"/>
  <c r="V38" i="15"/>
  <c r="AI11" i="27"/>
  <c r="I57" i="19"/>
  <c r="K57" i="19" s="1"/>
  <c r="J376" i="14"/>
  <c r="G12" i="27"/>
  <c r="Z13" i="17"/>
  <c r="V13" i="17"/>
  <c r="H34" i="17"/>
  <c r="K34" i="17" s="1"/>
  <c r="J93" i="14"/>
  <c r="H59" i="17"/>
  <c r="M12" i="27"/>
  <c r="Z22" i="17"/>
  <c r="P12" i="27"/>
  <c r="I51" i="19"/>
  <c r="K51" i="19" s="1"/>
  <c r="J370" i="14"/>
  <c r="V53" i="15"/>
  <c r="Z53" i="15"/>
  <c r="Q26" i="27"/>
  <c r="Z53" i="20"/>
  <c r="Q30" i="27"/>
  <c r="V53" i="20"/>
  <c r="Z24" i="19"/>
  <c r="S16" i="27"/>
  <c r="V24" i="19"/>
  <c r="Z35" i="19"/>
  <c r="V35" i="19"/>
  <c r="Z20" i="15"/>
  <c r="N11" i="27"/>
  <c r="AK17" i="27"/>
  <c r="Z46" i="21"/>
  <c r="V46" i="21"/>
  <c r="J29" i="27"/>
  <c r="H21" i="18"/>
  <c r="J91" i="14"/>
  <c r="I32" i="17"/>
  <c r="K32" i="17" s="1"/>
  <c r="AE16" i="27"/>
  <c r="M32" i="12"/>
  <c r="BA134" i="11"/>
  <c r="Z18" i="21"/>
  <c r="I32" i="18"/>
  <c r="K32" i="18" s="1"/>
  <c r="J416" i="14"/>
  <c r="V20" i="15"/>
  <c r="J16" i="14"/>
  <c r="I22" i="15"/>
  <c r="K22" i="15" s="1"/>
  <c r="Z29" i="21"/>
  <c r="Y14" i="27"/>
  <c r="V29" i="21"/>
  <c r="Z50" i="15"/>
  <c r="N26" i="27"/>
  <c r="Z37" i="15"/>
  <c r="V37" i="15"/>
  <c r="AH11" i="27"/>
  <c r="V17" i="17"/>
  <c r="K12" i="27"/>
  <c r="Z17" i="17"/>
  <c r="I14" i="15"/>
  <c r="K14" i="15" s="1"/>
  <c r="J8" i="14"/>
  <c r="AE12" i="27"/>
  <c r="V35" i="17"/>
  <c r="J286" i="14"/>
  <c r="I32" i="20"/>
  <c r="K32" i="20" s="1"/>
  <c r="Z18" i="17"/>
  <c r="V18" i="17"/>
  <c r="L12" i="27"/>
  <c r="V32" i="21"/>
  <c r="AB14" i="27"/>
  <c r="Z32" i="21"/>
  <c r="J372" i="14"/>
  <c r="I53" i="19"/>
  <c r="K53" i="19" s="1"/>
  <c r="J17" i="27"/>
  <c r="Z16" i="18"/>
  <c r="V16" i="18"/>
  <c r="V27" i="15"/>
  <c r="Z27" i="15"/>
  <c r="AK24" i="27"/>
  <c r="V11" i="27"/>
  <c r="I32" i="15"/>
  <c r="K32" i="15" s="1"/>
  <c r="J26" i="14"/>
  <c r="K14" i="27"/>
  <c r="Z17" i="21"/>
  <c r="V17" i="21"/>
  <c r="E28" i="27"/>
  <c r="Z41" i="22"/>
  <c r="CD1" i="11"/>
  <c r="E156" i="14"/>
  <c r="H156" i="14" s="1"/>
  <c r="D79" i="14"/>
  <c r="G79" i="14" s="1"/>
  <c r="AA16" i="27"/>
  <c r="V31" i="19"/>
  <c r="Z45" i="20"/>
  <c r="V45" i="20"/>
  <c r="I30" i="27"/>
  <c r="V10" i="15"/>
  <c r="Z10" i="15"/>
  <c r="D11" i="27"/>
  <c r="V40" i="15"/>
  <c r="Z40" i="15"/>
  <c r="V35" i="15"/>
  <c r="V29" i="17"/>
  <c r="J151" i="14"/>
  <c r="J27" i="22"/>
  <c r="K27" i="22" s="1"/>
  <c r="J438" i="14"/>
  <c r="I54" i="18"/>
  <c r="K54" i="18" s="1"/>
  <c r="CD38" i="11"/>
  <c r="D38" i="11" s="1"/>
  <c r="Z31" i="19"/>
  <c r="V60" i="19"/>
  <c r="Z60" i="19"/>
  <c r="X31" i="27"/>
  <c r="Z24" i="17"/>
  <c r="V24" i="17"/>
  <c r="V50" i="11"/>
  <c r="Z12" i="22"/>
  <c r="F13" i="27"/>
  <c r="J63" i="19"/>
  <c r="K63" i="19" s="1"/>
  <c r="J382" i="14"/>
  <c r="R17" i="27"/>
  <c r="Q17" i="27"/>
  <c r="Z23" i="18"/>
  <c r="V23" i="18"/>
  <c r="G32" i="27"/>
  <c r="Z43" i="18"/>
  <c r="V43" i="18"/>
  <c r="N32" i="27"/>
  <c r="Z50" i="18"/>
  <c r="V50" i="18"/>
  <c r="Z31" i="22"/>
  <c r="AA13" i="27"/>
  <c r="AA18" i="27" s="1"/>
  <c r="V31" i="22"/>
  <c r="V9" i="15"/>
  <c r="Z9" i="15"/>
  <c r="C11" i="27"/>
  <c r="Z55" i="17"/>
  <c r="V55" i="17"/>
  <c r="S27" i="27"/>
  <c r="K15" i="18"/>
  <c r="BP110" i="11"/>
  <c r="Z71" i="21"/>
  <c r="Z55" i="20"/>
  <c r="S30" i="27"/>
  <c r="V55" i="20"/>
  <c r="Z10" i="20"/>
  <c r="D15" i="27"/>
  <c r="V10" i="20"/>
  <c r="J103" i="20"/>
  <c r="G103" i="20" s="1"/>
  <c r="AG13" i="27"/>
  <c r="V36" i="22"/>
  <c r="AF13" i="27"/>
  <c r="V61" i="15"/>
  <c r="Z61" i="15"/>
  <c r="Y26" i="27"/>
  <c r="I37" i="22"/>
  <c r="K37" i="22" s="1"/>
  <c r="J161" i="14"/>
  <c r="H19" i="20"/>
  <c r="Z63" i="22"/>
  <c r="AA28" i="27"/>
  <c r="V63" i="22"/>
  <c r="V13" i="15"/>
  <c r="Z13" i="15"/>
  <c r="G11" i="27"/>
  <c r="Z42" i="21"/>
  <c r="F29" i="27"/>
  <c r="Z33" i="18"/>
  <c r="V33" i="18"/>
  <c r="H17" i="22"/>
  <c r="J22" i="21"/>
  <c r="K22" i="21" s="1"/>
  <c r="J211" i="14"/>
  <c r="Z49" i="22"/>
  <c r="M28" i="27"/>
  <c r="V49" i="22"/>
  <c r="V25" i="21"/>
  <c r="T14" i="27"/>
  <c r="J253" i="14"/>
  <c r="H64" i="21"/>
  <c r="K64" i="21" s="1"/>
  <c r="S132" i="11"/>
  <c r="E403" i="14"/>
  <c r="H403" i="14" s="1"/>
  <c r="AI133" i="11"/>
  <c r="AI134" i="11" s="1"/>
  <c r="H44" i="15"/>
  <c r="B62" i="29"/>
  <c r="B62" i="15"/>
  <c r="B37" i="29"/>
  <c r="B37" i="15"/>
  <c r="J70" i="14"/>
  <c r="J61" i="21"/>
  <c r="K61" i="21" s="1"/>
  <c r="J250" i="14"/>
  <c r="AF30" i="27"/>
  <c r="Z70" i="20"/>
  <c r="V70" i="20"/>
  <c r="S32" i="27"/>
  <c r="Z55" i="18"/>
  <c r="V55" i="18"/>
  <c r="AD134" i="11"/>
  <c r="F34" i="12"/>
  <c r="AC16" i="27"/>
  <c r="J27" i="27"/>
  <c r="AG27" i="27"/>
  <c r="K33" i="22"/>
  <c r="J102" i="14"/>
  <c r="H43" i="17"/>
  <c r="K43" i="17" s="1"/>
  <c r="I36" i="15"/>
  <c r="K36" i="15" s="1"/>
  <c r="J30" i="14"/>
  <c r="H23" i="22"/>
  <c r="K23" i="22" s="1"/>
  <c r="K44" i="22"/>
  <c r="E119" i="14"/>
  <c r="H119" i="14" s="1"/>
  <c r="H118" i="14"/>
  <c r="I59" i="17" s="1"/>
  <c r="J375" i="14"/>
  <c r="J15" i="18"/>
  <c r="J399" i="14"/>
  <c r="BP70" i="11"/>
  <c r="D13" i="27"/>
  <c r="V28" i="22"/>
  <c r="V57" i="18"/>
  <c r="AF134" i="11"/>
  <c r="J120" i="14"/>
  <c r="K49" i="21"/>
  <c r="T50" i="11"/>
  <c r="E80" i="14"/>
  <c r="H80" i="14" s="1"/>
  <c r="I39" i="22"/>
  <c r="K39" i="22" s="1"/>
  <c r="J163" i="14"/>
  <c r="X13" i="27"/>
  <c r="Z57" i="18"/>
  <c r="K45" i="18"/>
  <c r="I15" i="15"/>
  <c r="R50" i="11"/>
  <c r="E75" i="14"/>
  <c r="H75" i="14" s="1"/>
  <c r="I60" i="22"/>
  <c r="K60" i="22" s="1"/>
  <c r="J184" i="14"/>
  <c r="K37" i="17"/>
  <c r="S37" i="11"/>
  <c r="D13" i="14"/>
  <c r="G13" i="14" s="1"/>
  <c r="CD25" i="11"/>
  <c r="D25" i="11" s="1"/>
  <c r="CB99" i="11"/>
  <c r="E269" i="14"/>
  <c r="H269" i="14" s="1"/>
  <c r="I15" i="20" s="1"/>
  <c r="BX64" i="11"/>
  <c r="BP64" i="11" s="1"/>
  <c r="BX31" i="11"/>
  <c r="BP31" i="11" s="1"/>
  <c r="BX57" i="11"/>
  <c r="F86" i="14"/>
  <c r="I86" i="14" s="1"/>
  <c r="AB50" i="11"/>
  <c r="AB133" i="11" s="1"/>
  <c r="AB134" i="11" s="1"/>
  <c r="AL166" i="12"/>
  <c r="AY166" i="12"/>
  <c r="AX82" i="12"/>
  <c r="AP82" i="12"/>
  <c r="AJ48" i="12"/>
  <c r="AA133" i="11"/>
  <c r="AA134" i="11" s="1"/>
  <c r="AQ106" i="11"/>
  <c r="AQ133" i="11" s="1"/>
  <c r="AQ134" i="11" s="1"/>
  <c r="J190" i="14"/>
  <c r="O76" i="11"/>
  <c r="O133" i="11" s="1"/>
  <c r="O134" i="11" s="1"/>
  <c r="CC71" i="11"/>
  <c r="E12" i="14"/>
  <c r="H12" i="14" s="1"/>
  <c r="BX71" i="11"/>
  <c r="AU166" i="12"/>
  <c r="AM166" i="12"/>
  <c r="BH166" i="12"/>
  <c r="AR166" i="12"/>
  <c r="BL166" i="12"/>
  <c r="BD166" i="12"/>
  <c r="AV166" i="12"/>
  <c r="AN166" i="12"/>
  <c r="AT166" i="12"/>
  <c r="BH48" i="12"/>
  <c r="AR48" i="12"/>
  <c r="I42" i="15"/>
  <c r="K42" i="15" s="1"/>
  <c r="J36" i="14"/>
  <c r="H61" i="19"/>
  <c r="K61" i="19" s="1"/>
  <c r="J380" i="14"/>
  <c r="H39" i="19"/>
  <c r="K39" i="19" s="1"/>
  <c r="J358" i="14"/>
  <c r="AG184" i="12"/>
  <c r="BQ71" i="11" s="1"/>
  <c r="AS166" i="12"/>
  <c r="BJ133" i="11"/>
  <c r="AA230" i="12"/>
  <c r="AA229" i="12"/>
  <c r="AA232" i="12" s="1"/>
  <c r="F114" i="11" s="1"/>
  <c r="BP57" i="11"/>
  <c r="AR132" i="11"/>
  <c r="S28" i="27"/>
  <c r="V55" i="22"/>
  <c r="BB166" i="12"/>
  <c r="AT82" i="12"/>
  <c r="BI133" i="11"/>
  <c r="G202" i="12"/>
  <c r="F120" i="11" s="1"/>
  <c r="G197" i="12"/>
  <c r="F116" i="11" s="1"/>
  <c r="AR119" i="11"/>
  <c r="G167" i="12"/>
  <c r="F60" i="11" s="1"/>
  <c r="AR50" i="11"/>
  <c r="AA163" i="12"/>
  <c r="F45" i="11" s="1"/>
  <c r="AK43" i="11"/>
  <c r="CB43" i="11" s="1"/>
  <c r="BC166" i="12"/>
  <c r="AK166" i="12"/>
  <c r="BE82" i="12"/>
  <c r="AW82" i="12"/>
  <c r="AH133" i="11"/>
  <c r="AH134" i="11" s="1"/>
  <c r="AA176" i="12"/>
  <c r="F58" i="11" s="1"/>
  <c r="E46" i="14"/>
  <c r="H46" i="14" s="1"/>
  <c r="I52" i="15" s="1"/>
  <c r="AL50" i="11"/>
  <c r="J233" i="14"/>
  <c r="AP166" i="12"/>
  <c r="BG82" i="12"/>
  <c r="AY82" i="12"/>
  <c r="AQ82" i="12"/>
  <c r="AS82" i="12"/>
  <c r="Y240" i="12"/>
  <c r="G177" i="12"/>
  <c r="AF216" i="12"/>
  <c r="AG216" i="12" s="1"/>
  <c r="BQ103" i="11" s="1"/>
  <c r="AC218" i="12"/>
  <c r="J95" i="14"/>
  <c r="BE166" i="12"/>
  <c r="AW166" i="12"/>
  <c r="AO166" i="12"/>
  <c r="BF82" i="12"/>
  <c r="BH82" i="12"/>
  <c r="AZ82" i="12"/>
  <c r="AJ82" i="12"/>
  <c r="L192" i="12"/>
  <c r="F107" i="11" s="1"/>
  <c r="BY34" i="11"/>
  <c r="BY129" i="11"/>
  <c r="BY64" i="11"/>
  <c r="BY73" i="11"/>
  <c r="BY114" i="11"/>
  <c r="BP114" i="11" s="1"/>
  <c r="H449" i="14"/>
  <c r="I65" i="18" s="1"/>
  <c r="H62" i="18"/>
  <c r="K62" i="18" s="1"/>
  <c r="J446" i="14"/>
  <c r="AA241" i="12"/>
  <c r="AA245" i="12" s="1"/>
  <c r="F127" i="11" s="1"/>
  <c r="AA236" i="12"/>
  <c r="AA240" i="12" s="1"/>
  <c r="J453" i="14"/>
  <c r="Y150" i="12"/>
  <c r="J68" i="19"/>
  <c r="J65" i="19"/>
  <c r="H17" i="15"/>
  <c r="L133" i="11"/>
  <c r="L134" i="11" s="1"/>
  <c r="I13" i="18"/>
  <c r="J397" i="14"/>
  <c r="K10" i="18"/>
  <c r="BF119" i="11"/>
  <c r="BF133" i="11" s="1"/>
  <c r="E390" i="14"/>
  <c r="G302" i="14"/>
  <c r="H302" i="14"/>
  <c r="I48" i="20" s="1"/>
  <c r="G293" i="14"/>
  <c r="H293" i="14"/>
  <c r="I39" i="20" s="1"/>
  <c r="I293" i="14"/>
  <c r="J39" i="20" s="1"/>
  <c r="C25" i="11"/>
  <c r="C51" i="11"/>
  <c r="C64" i="11" s="1"/>
  <c r="C94" i="11" s="1"/>
  <c r="C107" i="11" s="1"/>
  <c r="C120" i="11" s="1"/>
  <c r="AL8" i="11" s="1"/>
  <c r="CC31" i="11"/>
  <c r="O37" i="11"/>
  <c r="J40" i="18"/>
  <c r="K40" i="18" s="1"/>
  <c r="J424" i="14"/>
  <c r="G422" i="14"/>
  <c r="G396" i="14"/>
  <c r="H396" i="14"/>
  <c r="I12" i="18" s="1"/>
  <c r="I25" i="19"/>
  <c r="K25" i="19" s="1"/>
  <c r="CL29" i="11"/>
  <c r="G414" i="14"/>
  <c r="H414" i="14"/>
  <c r="I30" i="18" s="1"/>
  <c r="K13" i="18"/>
  <c r="H390" i="14"/>
  <c r="I71" i="19" s="1"/>
  <c r="K71" i="19" s="1"/>
  <c r="K70" i="19"/>
  <c r="AE134" i="11"/>
  <c r="J191" i="14"/>
  <c r="C59" i="28"/>
  <c r="K39" i="18"/>
  <c r="F421" i="14"/>
  <c r="I421" i="14" s="1"/>
  <c r="H374" i="14"/>
  <c r="I55" i="19" s="1"/>
  <c r="I366" i="14"/>
  <c r="J47" i="19" s="1"/>
  <c r="H366" i="14"/>
  <c r="I47" i="19" s="1"/>
  <c r="G366" i="14"/>
  <c r="AC184" i="12"/>
  <c r="K60" i="18"/>
  <c r="H408" i="14"/>
  <c r="I24" i="18" s="1"/>
  <c r="G328" i="14"/>
  <c r="H328" i="14"/>
  <c r="I9" i="19" s="1"/>
  <c r="G271" i="14"/>
  <c r="AA154" i="12"/>
  <c r="AA158" i="12" s="1"/>
  <c r="F44" i="11" s="1"/>
  <c r="AA146" i="12"/>
  <c r="AA150" i="12" s="1"/>
  <c r="AA143" i="12"/>
  <c r="G449" i="14"/>
  <c r="I431" i="14"/>
  <c r="G413" i="14"/>
  <c r="G408" i="14"/>
  <c r="X125" i="11"/>
  <c r="T124" i="11"/>
  <c r="U129" i="11"/>
  <c r="G384" i="14"/>
  <c r="H378" i="14"/>
  <c r="G374" i="14"/>
  <c r="AG109" i="11"/>
  <c r="T116" i="11"/>
  <c r="F340" i="14" s="1"/>
  <c r="I340" i="14" s="1"/>
  <c r="J21" i="19" s="1"/>
  <c r="X116" i="11"/>
  <c r="P116" i="11"/>
  <c r="S116" i="11"/>
  <c r="W116" i="11"/>
  <c r="V116" i="11"/>
  <c r="G282" i="14"/>
  <c r="AA142" i="12"/>
  <c r="AA145" i="12" s="1"/>
  <c r="G448" i="14"/>
  <c r="I442" i="14"/>
  <c r="G433" i="14"/>
  <c r="G419" i="14"/>
  <c r="G418" i="14"/>
  <c r="I428" i="14"/>
  <c r="J44" i="18" s="1"/>
  <c r="K44" i="18" s="1"/>
  <c r="I409" i="14"/>
  <c r="H10" i="19"/>
  <c r="K46" i="20"/>
  <c r="I448" i="14"/>
  <c r="J64" i="18" s="1"/>
  <c r="G360" i="14"/>
  <c r="I355" i="14"/>
  <c r="J36" i="19" s="1"/>
  <c r="H355" i="14"/>
  <c r="G345" i="14"/>
  <c r="H345" i="14"/>
  <c r="I26" i="19" s="1"/>
  <c r="I328" i="14"/>
  <c r="J9" i="19" s="1"/>
  <c r="G280" i="14"/>
  <c r="H280" i="14"/>
  <c r="I26" i="20" s="1"/>
  <c r="D277" i="14"/>
  <c r="G277" i="14" s="1"/>
  <c r="G269" i="14"/>
  <c r="G362" i="14"/>
  <c r="H362" i="14"/>
  <c r="I43" i="19" s="1"/>
  <c r="H294" i="14"/>
  <c r="I294" i="14"/>
  <c r="J40" i="20" s="1"/>
  <c r="G284" i="14"/>
  <c r="H284" i="14"/>
  <c r="I30" i="20" s="1"/>
  <c r="H277" i="14"/>
  <c r="I23" i="20" s="1"/>
  <c r="P103" i="11"/>
  <c r="P106" i="11" s="1"/>
  <c r="S103" i="11"/>
  <c r="X103" i="11"/>
  <c r="F276" i="14" s="1"/>
  <c r="I276" i="14" s="1"/>
  <c r="J22" i="20" s="1"/>
  <c r="R103" i="11"/>
  <c r="W103" i="11"/>
  <c r="Q103" i="11"/>
  <c r="F269" i="14" s="1"/>
  <c r="I269" i="14" s="1"/>
  <c r="J15" i="20" s="1"/>
  <c r="V103" i="11"/>
  <c r="T103" i="11"/>
  <c r="AL103" i="11"/>
  <c r="G365" i="14"/>
  <c r="D361" i="14"/>
  <c r="G361" i="14" s="1"/>
  <c r="H225" i="14"/>
  <c r="I36" i="21" s="1"/>
  <c r="I225" i="14"/>
  <c r="J36" i="21" s="1"/>
  <c r="G225" i="14"/>
  <c r="H329" i="14"/>
  <c r="I10" i="19" s="1"/>
  <c r="H310" i="14"/>
  <c r="D296" i="14"/>
  <c r="G296" i="14" s="1"/>
  <c r="AG96" i="11"/>
  <c r="G255" i="14"/>
  <c r="I254" i="14"/>
  <c r="H243" i="14"/>
  <c r="I54" i="21" s="1"/>
  <c r="G243" i="14"/>
  <c r="G241" i="14"/>
  <c r="K45" i="21"/>
  <c r="G181" i="14"/>
  <c r="H181" i="14"/>
  <c r="I57" i="22" s="1"/>
  <c r="I181" i="14"/>
  <c r="J57" i="22" s="1"/>
  <c r="K34" i="22"/>
  <c r="G330" i="14"/>
  <c r="I322" i="14"/>
  <c r="G315" i="14"/>
  <c r="G303" i="14"/>
  <c r="H297" i="14"/>
  <c r="AX103" i="11"/>
  <c r="G287" i="14"/>
  <c r="G283" i="14"/>
  <c r="E278" i="14"/>
  <c r="H278" i="14" s="1"/>
  <c r="X98" i="11"/>
  <c r="BE52" i="11"/>
  <c r="D166" i="14"/>
  <c r="G166" i="14" s="1"/>
  <c r="E205" i="14"/>
  <c r="H205" i="14" s="1"/>
  <c r="K45" i="22"/>
  <c r="K39" i="17"/>
  <c r="I344" i="14"/>
  <c r="J25" i="19" s="1"/>
  <c r="I330" i="14"/>
  <c r="J11" i="19" s="1"/>
  <c r="AN97" i="11"/>
  <c r="I287" i="14"/>
  <c r="J33" i="20" s="1"/>
  <c r="H249" i="14"/>
  <c r="G244" i="14"/>
  <c r="H244" i="14"/>
  <c r="I55" i="21" s="1"/>
  <c r="G239" i="14"/>
  <c r="H239" i="14"/>
  <c r="I50" i="21" s="1"/>
  <c r="G202" i="14"/>
  <c r="H202" i="14"/>
  <c r="I13" i="21" s="1"/>
  <c r="G186" i="14"/>
  <c r="I186" i="14"/>
  <c r="J62" i="22" s="1"/>
  <c r="Q51" i="11"/>
  <c r="AK51" i="11"/>
  <c r="AL51" i="11"/>
  <c r="U51" i="11"/>
  <c r="S51" i="11"/>
  <c r="W51" i="11"/>
  <c r="X51" i="11"/>
  <c r="T51" i="11"/>
  <c r="G124" i="14"/>
  <c r="H124" i="14"/>
  <c r="I65" i="17" s="1"/>
  <c r="T107" i="11"/>
  <c r="H317" i="14"/>
  <c r="I288" i="14"/>
  <c r="U94" i="11"/>
  <c r="BP94" i="11" s="1"/>
  <c r="G245" i="14"/>
  <c r="K64" i="22"/>
  <c r="G125" i="14"/>
  <c r="I125" i="14"/>
  <c r="J69" i="17" s="1"/>
  <c r="AM73" i="11"/>
  <c r="R73" i="11"/>
  <c r="Q73" i="11"/>
  <c r="K69" i="22"/>
  <c r="H149" i="14"/>
  <c r="I25" i="22" s="1"/>
  <c r="G149" i="14"/>
  <c r="I149" i="14"/>
  <c r="J25" i="22" s="1"/>
  <c r="R51" i="11"/>
  <c r="I256" i="14"/>
  <c r="H247" i="14"/>
  <c r="I244" i="14"/>
  <c r="J55" i="21" s="1"/>
  <c r="G217" i="14"/>
  <c r="H217" i="14"/>
  <c r="I28" i="21" s="1"/>
  <c r="G215" i="14"/>
  <c r="K47" i="17"/>
  <c r="AG66" i="11"/>
  <c r="T68" i="11"/>
  <c r="H148" i="14"/>
  <c r="I148" i="14"/>
  <c r="J24" i="22" s="1"/>
  <c r="H133" i="14"/>
  <c r="I133" i="14"/>
  <c r="J9" i="22" s="1"/>
  <c r="H84" i="14"/>
  <c r="I84" i="14"/>
  <c r="J25" i="17" s="1"/>
  <c r="G82" i="14"/>
  <c r="G74" i="14"/>
  <c r="CC45" i="11"/>
  <c r="H53" i="14"/>
  <c r="I59" i="15" s="1"/>
  <c r="I50" i="14"/>
  <c r="G228" i="14"/>
  <c r="U60" i="11"/>
  <c r="F142" i="14" s="1"/>
  <c r="I142" i="14" s="1"/>
  <c r="J18" i="22" s="1"/>
  <c r="W60" i="11"/>
  <c r="F144" i="14" s="1"/>
  <c r="I144" i="14" s="1"/>
  <c r="J20" i="22" s="1"/>
  <c r="X60" i="11"/>
  <c r="F146" i="14" s="1"/>
  <c r="I146" i="14" s="1"/>
  <c r="J22" i="22" s="1"/>
  <c r="P60" i="11"/>
  <c r="R60" i="11"/>
  <c r="F140" i="14" s="1"/>
  <c r="I140" i="14" s="1"/>
  <c r="J16" i="22" s="1"/>
  <c r="V60" i="11"/>
  <c r="H117" i="14"/>
  <c r="I58" i="17" s="1"/>
  <c r="G117" i="14"/>
  <c r="H164" i="14"/>
  <c r="I147" i="14"/>
  <c r="J23" i="22" s="1"/>
  <c r="G111" i="14"/>
  <c r="K63" i="15"/>
  <c r="K25" i="15"/>
  <c r="E18" i="14"/>
  <c r="H18" i="14" s="1"/>
  <c r="E351" i="14"/>
  <c r="H351" i="14" s="1"/>
  <c r="I137" i="14"/>
  <c r="H121" i="14"/>
  <c r="H33" i="14"/>
  <c r="I39" i="15" s="1"/>
  <c r="G33" i="14"/>
  <c r="I33" i="14"/>
  <c r="J39" i="15" s="1"/>
  <c r="I192" i="14"/>
  <c r="S60" i="11"/>
  <c r="F143" i="14" s="1"/>
  <c r="I143" i="14" s="1"/>
  <c r="J19" i="22" s="1"/>
  <c r="G122" i="14"/>
  <c r="I113" i="14"/>
  <c r="J54" i="17" s="1"/>
  <c r="AP41" i="11"/>
  <c r="E113" i="14"/>
  <c r="H113" i="14" s="1"/>
  <c r="H92" i="14"/>
  <c r="I92" i="14"/>
  <c r="J33" i="17" s="1"/>
  <c r="K64" i="15"/>
  <c r="K47" i="15"/>
  <c r="I107" i="14"/>
  <c r="H100" i="14"/>
  <c r="G99" i="14"/>
  <c r="BE39" i="11"/>
  <c r="G43" i="14"/>
  <c r="G40" i="14"/>
  <c r="H38" i="14"/>
  <c r="I44" i="15" s="1"/>
  <c r="H24" i="14"/>
  <c r="G59" i="14"/>
  <c r="AP34" i="11"/>
  <c r="AP37" i="11" s="1"/>
  <c r="V30" i="11"/>
  <c r="V34" i="11"/>
  <c r="F11" i="14" s="1"/>
  <c r="I11" i="14" s="1"/>
  <c r="J17" i="15" s="1"/>
  <c r="T30" i="11"/>
  <c r="AK30" i="11" s="1"/>
  <c r="R34" i="11"/>
  <c r="D101" i="14"/>
  <c r="G101" i="14" s="1"/>
  <c r="G53" i="14"/>
  <c r="Y31" i="11"/>
  <c r="E17" i="14" s="1"/>
  <c r="H17" i="14" s="1"/>
  <c r="S34" i="11"/>
  <c r="F13" i="14" s="1"/>
  <c r="I13" i="14" s="1"/>
  <c r="J19" i="15" s="1"/>
  <c r="Q34" i="11"/>
  <c r="G56" i="14"/>
  <c r="I53" i="14"/>
  <c r="J59" i="15" s="1"/>
  <c r="I37" i="14"/>
  <c r="AL34" i="11"/>
  <c r="AF11" i="27" l="1"/>
  <c r="AK33" i="27"/>
  <c r="V36" i="15"/>
  <c r="Z36" i="15"/>
  <c r="AG11" i="27"/>
  <c r="Z22" i="21"/>
  <c r="P14" i="27"/>
  <c r="V22" i="21"/>
  <c r="I24" i="20"/>
  <c r="K24" i="20" s="1"/>
  <c r="J278" i="14"/>
  <c r="E45" i="14"/>
  <c r="H45" i="14" s="1"/>
  <c r="Z25" i="19"/>
  <c r="T16" i="27"/>
  <c r="V25" i="19"/>
  <c r="I23" i="15"/>
  <c r="K23" i="15" s="1"/>
  <c r="J17" i="14"/>
  <c r="J48" i="17"/>
  <c r="K48" i="17" s="1"/>
  <c r="J107" i="14"/>
  <c r="V44" i="18"/>
  <c r="H32" i="27"/>
  <c r="Z44" i="18"/>
  <c r="Z15" i="18"/>
  <c r="I17" i="27"/>
  <c r="V15" i="18"/>
  <c r="V47" i="15"/>
  <c r="Z47" i="15"/>
  <c r="K26" i="27"/>
  <c r="D142" i="14"/>
  <c r="G142" i="14" s="1"/>
  <c r="U63" i="11"/>
  <c r="H36" i="21"/>
  <c r="K36" i="21" s="1"/>
  <c r="J225" i="14"/>
  <c r="F271" i="14"/>
  <c r="I271" i="14" s="1"/>
  <c r="J17" i="20" s="1"/>
  <c r="V106" i="11"/>
  <c r="H41" i="19"/>
  <c r="K41" i="19" s="1"/>
  <c r="J360" i="14"/>
  <c r="D357" i="14"/>
  <c r="G357" i="14" s="1"/>
  <c r="AG119" i="11"/>
  <c r="H29" i="18"/>
  <c r="K29" i="18" s="1"/>
  <c r="J413" i="14"/>
  <c r="H9" i="19"/>
  <c r="K9" i="19" s="1"/>
  <c r="J328" i="14"/>
  <c r="AF31" i="27"/>
  <c r="Z70" i="19"/>
  <c r="V70" i="19"/>
  <c r="M5" i="27"/>
  <c r="R5" i="27" s="1"/>
  <c r="Z8" i="11"/>
  <c r="V4" i="12"/>
  <c r="V5" i="12" s="1"/>
  <c r="V6" i="12" s="1"/>
  <c r="V7" i="12" s="1"/>
  <c r="V8" i="12" s="1"/>
  <c r="V9" i="12" s="1"/>
  <c r="V10" i="12" s="1"/>
  <c r="V10" i="18"/>
  <c r="J103" i="18"/>
  <c r="G103" i="18" s="1"/>
  <c r="D17" i="27"/>
  <c r="Z10" i="18"/>
  <c r="F126" i="11"/>
  <c r="I18" i="15"/>
  <c r="K18" i="15" s="1"/>
  <c r="J12" i="14"/>
  <c r="Z37" i="17"/>
  <c r="AH12" i="27"/>
  <c r="V37" i="17"/>
  <c r="I21" i="17"/>
  <c r="K21" i="17" s="1"/>
  <c r="J80" i="14"/>
  <c r="CB30" i="11"/>
  <c r="CD31" i="11" s="1"/>
  <c r="D28" i="11" s="1"/>
  <c r="I19" i="18"/>
  <c r="K19" i="18" s="1"/>
  <c r="J403" i="14"/>
  <c r="Z27" i="22"/>
  <c r="V27" i="22"/>
  <c r="V13" i="27"/>
  <c r="H65" i="15"/>
  <c r="K65" i="15" s="1"/>
  <c r="H68" i="15"/>
  <c r="K68" i="15" s="1"/>
  <c r="J59" i="14"/>
  <c r="F205" i="14"/>
  <c r="I205" i="14" s="1"/>
  <c r="J16" i="21" s="1"/>
  <c r="R76" i="11"/>
  <c r="X106" i="11"/>
  <c r="E276" i="14"/>
  <c r="H276" i="14" s="1"/>
  <c r="AK98" i="11"/>
  <c r="Z53" i="19"/>
  <c r="Q31" i="27"/>
  <c r="V53" i="19"/>
  <c r="H59" i="15"/>
  <c r="K59" i="15" s="1"/>
  <c r="J53" i="14"/>
  <c r="I30" i="15"/>
  <c r="K30" i="15" s="1"/>
  <c r="J24" i="14"/>
  <c r="D140" i="14"/>
  <c r="G140" i="14" s="1"/>
  <c r="R63" i="11"/>
  <c r="D340" i="14"/>
  <c r="G340" i="14" s="1"/>
  <c r="T119" i="11"/>
  <c r="BP107" i="11"/>
  <c r="CD107" i="11"/>
  <c r="D107" i="11" s="1"/>
  <c r="H11" i="19"/>
  <c r="K11" i="19" s="1"/>
  <c r="J330" i="14"/>
  <c r="V64" i="15"/>
  <c r="AB26" i="27"/>
  <c r="Z64" i="15"/>
  <c r="J71" i="22"/>
  <c r="K71" i="22" s="1"/>
  <c r="J192" i="14"/>
  <c r="J351" i="14"/>
  <c r="I32" i="19"/>
  <c r="K32" i="19" s="1"/>
  <c r="I40" i="22"/>
  <c r="K40" i="22" s="1"/>
  <c r="J164" i="14"/>
  <c r="I25" i="17"/>
  <c r="K25" i="17" s="1"/>
  <c r="J84" i="14"/>
  <c r="H349" i="14"/>
  <c r="D176" i="14"/>
  <c r="G176" i="14" s="1"/>
  <c r="AL63" i="11"/>
  <c r="H50" i="21"/>
  <c r="K50" i="21" s="1"/>
  <c r="J239" i="14"/>
  <c r="Z39" i="17"/>
  <c r="V39" i="17"/>
  <c r="C27" i="27"/>
  <c r="H29" i="20"/>
  <c r="K29" i="20" s="1"/>
  <c r="J283" i="14"/>
  <c r="Z34" i="22"/>
  <c r="V34" i="22"/>
  <c r="AD13" i="27"/>
  <c r="J68" i="21"/>
  <c r="K68" i="21" s="1"/>
  <c r="J65" i="21"/>
  <c r="K65" i="21" s="1"/>
  <c r="J254" i="14"/>
  <c r="H30" i="20"/>
  <c r="K30" i="20" s="1"/>
  <c r="J284" i="14"/>
  <c r="H26" i="20"/>
  <c r="K26" i="20" s="1"/>
  <c r="J280" i="14"/>
  <c r="H28" i="20"/>
  <c r="K28" i="20" s="1"/>
  <c r="J282" i="14"/>
  <c r="H55" i="19"/>
  <c r="K55" i="19" s="1"/>
  <c r="J374" i="14"/>
  <c r="J47" i="18"/>
  <c r="K47" i="18" s="1"/>
  <c r="J431" i="14"/>
  <c r="AG31" i="27"/>
  <c r="Z71" i="19"/>
  <c r="H12" i="18"/>
  <c r="K12" i="18" s="1"/>
  <c r="J396" i="14"/>
  <c r="V61" i="19"/>
  <c r="Y31" i="27"/>
  <c r="Z61" i="19"/>
  <c r="J119" i="14"/>
  <c r="I60" i="17"/>
  <c r="K60" i="17" s="1"/>
  <c r="J13" i="22"/>
  <c r="K13" i="22" s="1"/>
  <c r="J137" i="14"/>
  <c r="Z47" i="17"/>
  <c r="K27" i="27"/>
  <c r="V47" i="17"/>
  <c r="F242" i="14"/>
  <c r="I242" i="14" s="1"/>
  <c r="AM76" i="11"/>
  <c r="F46" i="14"/>
  <c r="I46" i="14" s="1"/>
  <c r="J52" i="15" s="1"/>
  <c r="K52" i="15" s="1"/>
  <c r="AL37" i="11"/>
  <c r="J43" i="15"/>
  <c r="K43" i="15" s="1"/>
  <c r="J37" i="14"/>
  <c r="H46" i="15"/>
  <c r="K46" i="15" s="1"/>
  <c r="J40" i="14"/>
  <c r="D175" i="14"/>
  <c r="G175" i="14" s="1"/>
  <c r="BX51" i="11"/>
  <c r="H69" i="21"/>
  <c r="K69" i="21" s="1"/>
  <c r="J255" i="14"/>
  <c r="F274" i="14"/>
  <c r="I274" i="14" s="1"/>
  <c r="W106" i="11"/>
  <c r="F336" i="14"/>
  <c r="I336" i="14" s="1"/>
  <c r="V119" i="11"/>
  <c r="V133" i="11" s="1"/>
  <c r="V134" i="11" s="1"/>
  <c r="I59" i="19"/>
  <c r="K59" i="19" s="1"/>
  <c r="J378" i="14"/>
  <c r="H68" i="18"/>
  <c r="K68" i="18" s="1"/>
  <c r="J449" i="14"/>
  <c r="H65" i="18"/>
  <c r="K65" i="18" s="1"/>
  <c r="J37" i="18"/>
  <c r="K37" i="18" s="1"/>
  <c r="J421" i="14"/>
  <c r="G17" i="27"/>
  <c r="Z13" i="18"/>
  <c r="V13" i="18"/>
  <c r="H38" i="18"/>
  <c r="K38" i="18" s="1"/>
  <c r="J422" i="14"/>
  <c r="Q106" i="11"/>
  <c r="I32" i="27"/>
  <c r="Z45" i="18"/>
  <c r="V45" i="18"/>
  <c r="M29" i="27"/>
  <c r="Z49" i="21"/>
  <c r="V49" i="21"/>
  <c r="Z44" i="22"/>
  <c r="H28" i="27"/>
  <c r="V44" i="22"/>
  <c r="G27" i="27"/>
  <c r="V43" i="17"/>
  <c r="Z43" i="17"/>
  <c r="V22" i="15"/>
  <c r="AK19" i="27"/>
  <c r="P11" i="27"/>
  <c r="Z22" i="15"/>
  <c r="J118" i="14"/>
  <c r="U31" i="27"/>
  <c r="Z57" i="19"/>
  <c r="V57" i="19"/>
  <c r="I62" i="17"/>
  <c r="K62" i="17" s="1"/>
  <c r="J121" i="14"/>
  <c r="H23" i="17"/>
  <c r="K23" i="17" s="1"/>
  <c r="J82" i="14"/>
  <c r="I63" i="20"/>
  <c r="K63" i="20" s="1"/>
  <c r="J317" i="14"/>
  <c r="H54" i="21"/>
  <c r="K54" i="21" s="1"/>
  <c r="J243" i="14"/>
  <c r="H24" i="18"/>
  <c r="K24" i="18" s="1"/>
  <c r="J408" i="14"/>
  <c r="H42" i="17"/>
  <c r="K42" i="17" s="1"/>
  <c r="J101" i="14"/>
  <c r="F10" i="14"/>
  <c r="I10" i="14" s="1"/>
  <c r="R37" i="11"/>
  <c r="H58" i="17"/>
  <c r="K58" i="17" s="1"/>
  <c r="J117" i="14"/>
  <c r="H39" i="21"/>
  <c r="K39" i="21" s="1"/>
  <c r="J228" i="14"/>
  <c r="H26" i="21"/>
  <c r="K26" i="21" s="1"/>
  <c r="J215" i="14"/>
  <c r="H25" i="22"/>
  <c r="K25" i="22" s="1"/>
  <c r="J149" i="14"/>
  <c r="H69" i="17"/>
  <c r="K69" i="17" s="1"/>
  <c r="J125" i="14"/>
  <c r="H33" i="20"/>
  <c r="K33" i="20" s="1"/>
  <c r="J287" i="14"/>
  <c r="E15" i="14"/>
  <c r="H15" i="14" s="1"/>
  <c r="T37" i="11"/>
  <c r="H49" i="15"/>
  <c r="K49" i="15" s="1"/>
  <c r="J43" i="14"/>
  <c r="I33" i="17"/>
  <c r="K33" i="17" s="1"/>
  <c r="J92" i="14"/>
  <c r="Y37" i="11"/>
  <c r="Y133" i="11" s="1"/>
  <c r="Y134" i="11" s="1"/>
  <c r="J56" i="15"/>
  <c r="K56" i="15" s="1"/>
  <c r="J50" i="14"/>
  <c r="I9" i="22"/>
  <c r="K9" i="22" s="1"/>
  <c r="J133" i="14"/>
  <c r="V64" i="22"/>
  <c r="Z64" i="22"/>
  <c r="AB28" i="27"/>
  <c r="H65" i="17"/>
  <c r="K65" i="17" s="1"/>
  <c r="H68" i="17"/>
  <c r="K68" i="17" s="1"/>
  <c r="J124" i="14"/>
  <c r="D139" i="14"/>
  <c r="G139" i="14" s="1"/>
  <c r="Q63" i="11"/>
  <c r="BP51" i="11"/>
  <c r="CD51" i="11"/>
  <c r="D51" i="11" s="1"/>
  <c r="H55" i="21"/>
  <c r="K55" i="21" s="1"/>
  <c r="J244" i="14"/>
  <c r="Z45" i="22"/>
  <c r="I28" i="27"/>
  <c r="V45" i="22"/>
  <c r="F291" i="14"/>
  <c r="I291" i="14" s="1"/>
  <c r="AX106" i="11"/>
  <c r="F270" i="14"/>
  <c r="I270" i="14" s="1"/>
  <c r="R106" i="11"/>
  <c r="I40" i="20"/>
  <c r="K40" i="20" s="1"/>
  <c r="J294" i="14"/>
  <c r="Z46" i="20"/>
  <c r="J30" i="27"/>
  <c r="V46" i="20"/>
  <c r="H34" i="18"/>
  <c r="K34" i="18" s="1"/>
  <c r="J418" i="14"/>
  <c r="F339" i="14"/>
  <c r="I339" i="14" s="1"/>
  <c r="W119" i="11"/>
  <c r="J384" i="14"/>
  <c r="H65" i="19"/>
  <c r="K65" i="19" s="1"/>
  <c r="H68" i="19"/>
  <c r="K68" i="19" s="1"/>
  <c r="V60" i="18"/>
  <c r="Z60" i="18"/>
  <c r="X32" i="27"/>
  <c r="Z39" i="18"/>
  <c r="V39" i="18"/>
  <c r="C32" i="27"/>
  <c r="H39" i="20"/>
  <c r="K39" i="20" s="1"/>
  <c r="J293" i="14"/>
  <c r="Z42" i="15"/>
  <c r="F26" i="27"/>
  <c r="CB98" i="11"/>
  <c r="V60" i="22"/>
  <c r="Z60" i="22"/>
  <c r="X28" i="27"/>
  <c r="J46" i="14"/>
  <c r="CD94" i="11"/>
  <c r="D94" i="11" s="1"/>
  <c r="Z64" i="21"/>
  <c r="AB29" i="27"/>
  <c r="V64" i="21"/>
  <c r="K59" i="17"/>
  <c r="D227" i="14"/>
  <c r="G227" i="14" s="1"/>
  <c r="AG76" i="11"/>
  <c r="AG76" i="12" s="1"/>
  <c r="Z39" i="19"/>
  <c r="C31" i="27"/>
  <c r="V39" i="19"/>
  <c r="H62" i="15"/>
  <c r="K62" i="15" s="1"/>
  <c r="J56" i="14"/>
  <c r="BE50" i="11"/>
  <c r="AG40" i="11"/>
  <c r="F141" i="14"/>
  <c r="I141" i="14" s="1"/>
  <c r="V63" i="11"/>
  <c r="D292" i="14"/>
  <c r="G292" i="14" s="1"/>
  <c r="AG106" i="11"/>
  <c r="AG106" i="12" s="1"/>
  <c r="H30" i="18"/>
  <c r="K30" i="18" s="1"/>
  <c r="J414" i="14"/>
  <c r="D32" i="27"/>
  <c r="V40" i="18"/>
  <c r="Z40" i="18"/>
  <c r="BP71" i="11"/>
  <c r="J27" i="17"/>
  <c r="K27" i="17" s="1"/>
  <c r="J86" i="14"/>
  <c r="J75" i="14"/>
  <c r="I16" i="17"/>
  <c r="K16" i="17" s="1"/>
  <c r="J38" i="14"/>
  <c r="H20" i="17"/>
  <c r="K20" i="17" s="1"/>
  <c r="J79" i="14"/>
  <c r="AB12" i="27"/>
  <c r="V32" i="17"/>
  <c r="Z32" i="17"/>
  <c r="Z51" i="19"/>
  <c r="V51" i="19"/>
  <c r="O31" i="27"/>
  <c r="H52" i="17"/>
  <c r="K52" i="17" s="1"/>
  <c r="J111" i="14"/>
  <c r="H23" i="20"/>
  <c r="K23" i="20" s="1"/>
  <c r="J277" i="14"/>
  <c r="Z39" i="22"/>
  <c r="C28" i="27"/>
  <c r="V39" i="22"/>
  <c r="AB15" i="27"/>
  <c r="Z32" i="20"/>
  <c r="V32" i="20"/>
  <c r="I54" i="17"/>
  <c r="K54" i="17" s="1"/>
  <c r="J113" i="14"/>
  <c r="D145" i="14"/>
  <c r="G145" i="14" s="1"/>
  <c r="T63" i="11"/>
  <c r="I60" i="21"/>
  <c r="K60" i="21" s="1"/>
  <c r="J249" i="14"/>
  <c r="I43" i="20"/>
  <c r="K43" i="20" s="1"/>
  <c r="J297" i="14"/>
  <c r="H57" i="22"/>
  <c r="K57" i="22" s="1"/>
  <c r="J181" i="14"/>
  <c r="J361" i="14"/>
  <c r="H42" i="19"/>
  <c r="K42" i="19" s="1"/>
  <c r="K10" i="19"/>
  <c r="H35" i="18"/>
  <c r="K35" i="18" s="1"/>
  <c r="J419" i="14"/>
  <c r="F402" i="14"/>
  <c r="I402" i="14" s="1"/>
  <c r="U132" i="11"/>
  <c r="BP129" i="11"/>
  <c r="CD129" i="11"/>
  <c r="D129" i="11" s="1"/>
  <c r="F9" i="14"/>
  <c r="I9" i="14" s="1"/>
  <c r="Q37" i="11"/>
  <c r="E11" i="14"/>
  <c r="H11" i="14" s="1"/>
  <c r="V37" i="11"/>
  <c r="H40" i="17"/>
  <c r="K40" i="17" s="1"/>
  <c r="J99" i="14"/>
  <c r="H39" i="15"/>
  <c r="K39" i="15" s="1"/>
  <c r="J33" i="14"/>
  <c r="V25" i="15"/>
  <c r="Z25" i="15"/>
  <c r="T11" i="27"/>
  <c r="AK22" i="27"/>
  <c r="I24" i="22"/>
  <c r="K24" i="22" s="1"/>
  <c r="J148" i="14"/>
  <c r="Z69" i="22"/>
  <c r="V69" i="22"/>
  <c r="AE28" i="27"/>
  <c r="D272" i="14"/>
  <c r="G272" i="14" s="1"/>
  <c r="U106" i="11"/>
  <c r="D146" i="14"/>
  <c r="G146" i="14" s="1"/>
  <c r="X63" i="11"/>
  <c r="H62" i="22"/>
  <c r="K62" i="22" s="1"/>
  <c r="J186" i="14"/>
  <c r="H42" i="22"/>
  <c r="K42" i="22" s="1"/>
  <c r="J166" i="14"/>
  <c r="H49" i="20"/>
  <c r="K49" i="20" s="1"/>
  <c r="J303" i="14"/>
  <c r="V45" i="21"/>
  <c r="I29" i="27"/>
  <c r="Z45" i="21"/>
  <c r="H42" i="20"/>
  <c r="K42" i="20" s="1"/>
  <c r="J296" i="14"/>
  <c r="H46" i="19"/>
  <c r="K46" i="19" s="1"/>
  <c r="J365" i="14"/>
  <c r="F273" i="14"/>
  <c r="I273" i="14" s="1"/>
  <c r="S106" i="11"/>
  <c r="H43" i="19"/>
  <c r="K43" i="19" s="1"/>
  <c r="J362" i="14"/>
  <c r="H26" i="19"/>
  <c r="K26" i="19" s="1"/>
  <c r="J345" i="14"/>
  <c r="J329" i="14"/>
  <c r="H49" i="18"/>
  <c r="K49" i="18" s="1"/>
  <c r="J433" i="14"/>
  <c r="P119" i="11"/>
  <c r="CB116" i="11"/>
  <c r="U116" i="11" s="1"/>
  <c r="F333" i="14"/>
  <c r="I333" i="14" s="1"/>
  <c r="E405" i="14"/>
  <c r="H405" i="14" s="1"/>
  <c r="T132" i="11"/>
  <c r="AK124" i="11"/>
  <c r="CB124" i="11"/>
  <c r="H48" i="20"/>
  <c r="K48" i="20" s="1"/>
  <c r="J302" i="14"/>
  <c r="Z62" i="18"/>
  <c r="Z32" i="27"/>
  <c r="V62" i="18"/>
  <c r="BR50" i="11"/>
  <c r="J390" i="14"/>
  <c r="Z33" i="22"/>
  <c r="AC13" i="27"/>
  <c r="V33" i="22"/>
  <c r="K44" i="15"/>
  <c r="J156" i="14"/>
  <c r="I32" i="22"/>
  <c r="K32" i="22" s="1"/>
  <c r="V14" i="15"/>
  <c r="H11" i="27"/>
  <c r="Z14" i="15"/>
  <c r="AK11" i="27"/>
  <c r="Z34" i="17"/>
  <c r="AD12" i="27"/>
  <c r="V34" i="17"/>
  <c r="H63" i="17"/>
  <c r="K63" i="17" s="1"/>
  <c r="J122" i="14"/>
  <c r="J70" i="21"/>
  <c r="K70" i="21" s="1"/>
  <c r="J256" i="14"/>
  <c r="D143" i="14"/>
  <c r="G143" i="14" s="1"/>
  <c r="S63" i="11"/>
  <c r="H13" i="21"/>
  <c r="K13" i="21" s="1"/>
  <c r="J202" i="14"/>
  <c r="J71" i="20"/>
  <c r="K71" i="20" s="1"/>
  <c r="J322" i="14"/>
  <c r="F275" i="14"/>
  <c r="I275" i="14" s="1"/>
  <c r="T106" i="11"/>
  <c r="H64" i="18"/>
  <c r="K64" i="18" s="1"/>
  <c r="J448" i="14"/>
  <c r="Z23" i="22"/>
  <c r="Q13" i="27"/>
  <c r="R13" i="27"/>
  <c r="V23" i="22"/>
  <c r="I24" i="15"/>
  <c r="K24" i="15" s="1"/>
  <c r="J18" i="14"/>
  <c r="H28" i="21"/>
  <c r="K28" i="21" s="1"/>
  <c r="J217" i="14"/>
  <c r="H56" i="21"/>
  <c r="K56" i="21" s="1"/>
  <c r="J245" i="14"/>
  <c r="I16" i="21"/>
  <c r="K16" i="21" s="1"/>
  <c r="J205" i="14"/>
  <c r="F338" i="14"/>
  <c r="I338" i="14" s="1"/>
  <c r="S119" i="11"/>
  <c r="S133" i="11" s="1"/>
  <c r="S134" i="11" s="1"/>
  <c r="E115" i="14"/>
  <c r="H115" i="14" s="1"/>
  <c r="AM41" i="11"/>
  <c r="AP50" i="11"/>
  <c r="AP133" i="11" s="1"/>
  <c r="AP134" i="11" s="1"/>
  <c r="AK34" i="11"/>
  <c r="CB34" i="11"/>
  <c r="I41" i="17"/>
  <c r="K41" i="17" s="1"/>
  <c r="J100" i="14"/>
  <c r="V63" i="15"/>
  <c r="AA26" i="27"/>
  <c r="Z63" i="15"/>
  <c r="CB60" i="11"/>
  <c r="F138" i="14"/>
  <c r="I138" i="14" s="1"/>
  <c r="AK60" i="11"/>
  <c r="P63" i="11"/>
  <c r="BR63" i="11" s="1"/>
  <c r="H15" i="17"/>
  <c r="K15" i="17" s="1"/>
  <c r="J74" i="14"/>
  <c r="E210" i="14"/>
  <c r="H210" i="14" s="1"/>
  <c r="AK68" i="11"/>
  <c r="T76" i="11"/>
  <c r="CB68" i="11"/>
  <c r="CD70" i="11" s="1"/>
  <c r="D67" i="11" s="1"/>
  <c r="I58" i="21"/>
  <c r="K58" i="21" s="1"/>
  <c r="J247" i="14"/>
  <c r="F204" i="14"/>
  <c r="I204" i="14" s="1"/>
  <c r="BP73" i="11"/>
  <c r="Q76" i="11"/>
  <c r="CD73" i="11"/>
  <c r="D73" i="11" s="1"/>
  <c r="J34" i="20"/>
  <c r="K34" i="20" s="1"/>
  <c r="J288" i="14"/>
  <c r="D144" i="14"/>
  <c r="G144" i="14" s="1"/>
  <c r="W63" i="11"/>
  <c r="E308" i="14"/>
  <c r="H308" i="14" s="1"/>
  <c r="AN106" i="11"/>
  <c r="AN133" i="11" s="1"/>
  <c r="AN134" i="11" s="1"/>
  <c r="AK97" i="11"/>
  <c r="AG53" i="11"/>
  <c r="BE63" i="11"/>
  <c r="BE133" i="11" s="1"/>
  <c r="BE134" i="11" s="1"/>
  <c r="H61" i="20"/>
  <c r="K61" i="20" s="1"/>
  <c r="J315" i="14"/>
  <c r="H52" i="21"/>
  <c r="K52" i="21" s="1"/>
  <c r="J241" i="14"/>
  <c r="J310" i="14"/>
  <c r="I56" i="20"/>
  <c r="K56" i="20" s="1"/>
  <c r="F306" i="14"/>
  <c r="I306" i="14" s="1"/>
  <c r="AL106" i="11"/>
  <c r="AL133" i="11" s="1"/>
  <c r="AL134" i="11" s="1"/>
  <c r="F268" i="14"/>
  <c r="I268" i="14" s="1"/>
  <c r="CB103" i="11"/>
  <c r="AK103" i="11"/>
  <c r="H15" i="20"/>
  <c r="K15" i="20" s="1"/>
  <c r="J269" i="14"/>
  <c r="I36" i="19"/>
  <c r="K36" i="19" s="1"/>
  <c r="J355" i="14"/>
  <c r="J25" i="18"/>
  <c r="K25" i="18" s="1"/>
  <c r="J409" i="14"/>
  <c r="J58" i="18"/>
  <c r="K58" i="18" s="1"/>
  <c r="J442" i="14"/>
  <c r="F341" i="14"/>
  <c r="I341" i="14" s="1"/>
  <c r="X119" i="11"/>
  <c r="E406" i="14"/>
  <c r="H406" i="14" s="1"/>
  <c r="X132" i="11"/>
  <c r="AK125" i="11"/>
  <c r="CB125" i="11" s="1"/>
  <c r="H17" i="20"/>
  <c r="K17" i="20" s="1"/>
  <c r="J271" i="14"/>
  <c r="H47" i="19"/>
  <c r="K47" i="19" s="1"/>
  <c r="J366" i="14"/>
  <c r="J428" i="14"/>
  <c r="J344" i="14"/>
  <c r="AR133" i="11"/>
  <c r="AR134" i="11" s="1"/>
  <c r="J13" i="14"/>
  <c r="H19" i="15"/>
  <c r="K19" i="15" s="1"/>
  <c r="J147" i="14"/>
  <c r="Z61" i="21"/>
  <c r="Y29" i="27"/>
  <c r="V61" i="21"/>
  <c r="Z37" i="22"/>
  <c r="V37" i="22"/>
  <c r="AH13" i="27"/>
  <c r="Z63" i="19"/>
  <c r="AA31" i="27"/>
  <c r="V63" i="19"/>
  <c r="R32" i="27"/>
  <c r="Z54" i="18"/>
  <c r="V54" i="18"/>
  <c r="AB11" i="27"/>
  <c r="V32" i="15"/>
  <c r="Z32" i="15"/>
  <c r="AK29" i="27"/>
  <c r="AB17" i="27"/>
  <c r="V32" i="18"/>
  <c r="Z32" i="18"/>
  <c r="V52" i="15" l="1"/>
  <c r="P26" i="27"/>
  <c r="Z52" i="15"/>
  <c r="J14" i="20"/>
  <c r="K14" i="20" s="1"/>
  <c r="J268" i="14"/>
  <c r="H38" i="21"/>
  <c r="K38" i="21" s="1"/>
  <c r="J227" i="14"/>
  <c r="Z42" i="17"/>
  <c r="F27" i="27"/>
  <c r="F175" i="14"/>
  <c r="I175" i="14" s="1"/>
  <c r="J51" i="22" s="1"/>
  <c r="BX60" i="11"/>
  <c r="BP60" i="11" s="1"/>
  <c r="Z16" i="21"/>
  <c r="J14" i="27"/>
  <c r="V16" i="21"/>
  <c r="Z71" i="20"/>
  <c r="AG30" i="27"/>
  <c r="Z63" i="17"/>
  <c r="AA27" i="27"/>
  <c r="V63" i="17"/>
  <c r="CD126" i="11"/>
  <c r="D123" i="11" s="1"/>
  <c r="P133" i="11"/>
  <c r="BR119" i="11"/>
  <c r="H22" i="22"/>
  <c r="K22" i="22" s="1"/>
  <c r="J146" i="14"/>
  <c r="V57" i="22"/>
  <c r="U28" i="27"/>
  <c r="U33" i="27" s="1"/>
  <c r="Z57" i="22"/>
  <c r="V54" i="17"/>
  <c r="Z54" i="17"/>
  <c r="R27" i="27"/>
  <c r="Q15" i="27"/>
  <c r="Z23" i="20"/>
  <c r="R15" i="27"/>
  <c r="V23" i="20"/>
  <c r="V16" i="17"/>
  <c r="Z16" i="17"/>
  <c r="J12" i="27"/>
  <c r="Z68" i="17"/>
  <c r="AD27" i="27"/>
  <c r="V68" i="17"/>
  <c r="V56" i="15"/>
  <c r="T26" i="27"/>
  <c r="Z56" i="15"/>
  <c r="Q12" i="27"/>
  <c r="R12" i="27"/>
  <c r="V23" i="17"/>
  <c r="Z23" i="17"/>
  <c r="J17" i="19"/>
  <c r="K17" i="19" s="1"/>
  <c r="J336" i="14"/>
  <c r="H52" i="22"/>
  <c r="K52" i="22" s="1"/>
  <c r="J176" i="14"/>
  <c r="V59" i="15"/>
  <c r="Z59" i="15"/>
  <c r="W26" i="27"/>
  <c r="F337" i="14"/>
  <c r="I337" i="14" s="1"/>
  <c r="U119" i="11"/>
  <c r="U133" i="11" s="1"/>
  <c r="U134" i="11" s="1"/>
  <c r="Z24" i="22"/>
  <c r="S13" i="27"/>
  <c r="V24" i="22"/>
  <c r="X133" i="11"/>
  <c r="X134" i="11" s="1"/>
  <c r="AD15" i="27"/>
  <c r="V34" i="20"/>
  <c r="Z34" i="20"/>
  <c r="AF16" i="27"/>
  <c r="V36" i="19"/>
  <c r="Z36" i="19"/>
  <c r="AG16" i="27"/>
  <c r="E240" i="14"/>
  <c r="H240" i="14" s="1"/>
  <c r="AK76" i="11"/>
  <c r="BS76" i="11" s="1"/>
  <c r="J14" i="22"/>
  <c r="K14" i="22" s="1"/>
  <c r="J138" i="14"/>
  <c r="F45" i="14"/>
  <c r="I45" i="14" s="1"/>
  <c r="J51" i="15" s="1"/>
  <c r="BX34" i="11"/>
  <c r="BP34" i="11" s="1"/>
  <c r="V32" i="22"/>
  <c r="Z32" i="22"/>
  <c r="AB13" i="27"/>
  <c r="AB18" i="27" s="1"/>
  <c r="E435" i="14"/>
  <c r="H435" i="14" s="1"/>
  <c r="AK132" i="11"/>
  <c r="J19" i="20"/>
  <c r="K19" i="20" s="1"/>
  <c r="J273" i="14"/>
  <c r="I17" i="15"/>
  <c r="K17" i="15" s="1"/>
  <c r="J11" i="14"/>
  <c r="J18" i="18"/>
  <c r="K18" i="18" s="1"/>
  <c r="J402" i="14"/>
  <c r="Z59" i="17"/>
  <c r="W27" i="27"/>
  <c r="V59" i="17"/>
  <c r="W133" i="11"/>
  <c r="W134" i="11" s="1"/>
  <c r="V40" i="20"/>
  <c r="D30" i="27"/>
  <c r="Z40" i="20"/>
  <c r="Z65" i="17"/>
  <c r="AC27" i="27"/>
  <c r="V65" i="17"/>
  <c r="Z33" i="20"/>
  <c r="AC15" i="27"/>
  <c r="V33" i="20"/>
  <c r="Z39" i="21"/>
  <c r="C29" i="27"/>
  <c r="V39" i="21"/>
  <c r="AH17" i="27"/>
  <c r="Z37" i="18"/>
  <c r="V37" i="18"/>
  <c r="J26" i="27"/>
  <c r="Z46" i="15"/>
  <c r="V46" i="15"/>
  <c r="V47" i="18"/>
  <c r="Z47" i="18"/>
  <c r="K32" i="27"/>
  <c r="Z30" i="20"/>
  <c r="V30" i="20"/>
  <c r="Z15" i="27"/>
  <c r="Z29" i="20"/>
  <c r="V29" i="20"/>
  <c r="Y15" i="27"/>
  <c r="I30" i="19"/>
  <c r="K30" i="19" s="1"/>
  <c r="J349" i="14"/>
  <c r="Z71" i="22"/>
  <c r="AG28" i="27"/>
  <c r="AG33" i="27" s="1"/>
  <c r="J102" i="19"/>
  <c r="G102" i="19" s="1"/>
  <c r="C16" i="27"/>
  <c r="V9" i="19"/>
  <c r="Z9" i="19"/>
  <c r="V48" i="17"/>
  <c r="L27" i="27"/>
  <c r="Z48" i="17"/>
  <c r="Z39" i="20"/>
  <c r="V39" i="20"/>
  <c r="C30" i="27"/>
  <c r="I22" i="18"/>
  <c r="K22" i="18" s="1"/>
  <c r="J406" i="14"/>
  <c r="J52" i="20"/>
  <c r="K52" i="20" s="1"/>
  <c r="J306" i="14"/>
  <c r="D162" i="14"/>
  <c r="G162" i="14" s="1"/>
  <c r="AG63" i="11"/>
  <c r="AG63" i="12" s="1"/>
  <c r="Z56" i="20"/>
  <c r="T30" i="27"/>
  <c r="V56" i="20"/>
  <c r="BP97" i="11"/>
  <c r="E305" i="14"/>
  <c r="H305" i="14" s="1"/>
  <c r="AK106" i="11"/>
  <c r="BS106" i="11" s="1"/>
  <c r="CB97" i="11"/>
  <c r="BR76" i="11"/>
  <c r="I21" i="21"/>
  <c r="K21" i="21" s="1"/>
  <c r="J210" i="14"/>
  <c r="Z56" i="21"/>
  <c r="T29" i="27"/>
  <c r="V56" i="21"/>
  <c r="Z13" i="21"/>
  <c r="G14" i="27"/>
  <c r="V13" i="21"/>
  <c r="T133" i="11"/>
  <c r="T134" i="11" s="1"/>
  <c r="M32" i="27"/>
  <c r="Z49" i="18"/>
  <c r="V49" i="18"/>
  <c r="M30" i="27"/>
  <c r="V49" i="20"/>
  <c r="Z49" i="20"/>
  <c r="H18" i="20"/>
  <c r="K18" i="20" s="1"/>
  <c r="J272" i="14"/>
  <c r="G30" i="27"/>
  <c r="V43" i="20"/>
  <c r="Z43" i="20"/>
  <c r="Z52" i="17"/>
  <c r="V52" i="17"/>
  <c r="P27" i="27"/>
  <c r="Z20" i="17"/>
  <c r="V20" i="17"/>
  <c r="N12" i="27"/>
  <c r="Z30" i="18"/>
  <c r="V30" i="18"/>
  <c r="Z17" i="27"/>
  <c r="V62" i="15"/>
  <c r="Z62" i="15"/>
  <c r="Z26" i="27"/>
  <c r="Z33" i="27" s="1"/>
  <c r="J20" i="19"/>
  <c r="K20" i="19" s="1"/>
  <c r="J339" i="14"/>
  <c r="R133" i="11"/>
  <c r="R134" i="11" s="1"/>
  <c r="S29" i="27"/>
  <c r="V55" i="21"/>
  <c r="Z55" i="21"/>
  <c r="S17" i="27"/>
  <c r="V24" i="18"/>
  <c r="Z24" i="18"/>
  <c r="Z62" i="17"/>
  <c r="Z27" i="27"/>
  <c r="V62" i="17"/>
  <c r="Q133" i="11"/>
  <c r="Q134" i="11" s="1"/>
  <c r="AC32" i="27"/>
  <c r="Z65" i="18"/>
  <c r="V65" i="18"/>
  <c r="J274" i="14"/>
  <c r="J20" i="20"/>
  <c r="K20" i="20" s="1"/>
  <c r="H21" i="19"/>
  <c r="K21" i="19" s="1"/>
  <c r="J340" i="14"/>
  <c r="AD26" i="27"/>
  <c r="V68" i="15"/>
  <c r="Z68" i="15"/>
  <c r="Z61" i="20"/>
  <c r="Y30" i="27"/>
  <c r="V61" i="20"/>
  <c r="Z48" i="20"/>
  <c r="L30" i="27"/>
  <c r="V48" i="20"/>
  <c r="AK41" i="11"/>
  <c r="E112" i="14"/>
  <c r="H112" i="14" s="1"/>
  <c r="AM50" i="11"/>
  <c r="AM133" i="11" s="1"/>
  <c r="AM134" i="11" s="1"/>
  <c r="I21" i="18"/>
  <c r="K21" i="18" s="1"/>
  <c r="J405" i="14"/>
  <c r="Z46" i="19"/>
  <c r="V46" i="19"/>
  <c r="J31" i="27"/>
  <c r="BR37" i="11"/>
  <c r="Z35" i="18"/>
  <c r="AE17" i="27"/>
  <c r="AE18" i="27" s="1"/>
  <c r="V35" i="18"/>
  <c r="V27" i="17"/>
  <c r="Z27" i="17"/>
  <c r="V12" i="27"/>
  <c r="V18" i="27" s="1"/>
  <c r="CD100" i="11"/>
  <c r="D97" i="11" s="1"/>
  <c r="J16" i="20"/>
  <c r="K16" i="20" s="1"/>
  <c r="J270" i="14"/>
  <c r="Z33" i="17"/>
  <c r="AC12" i="27"/>
  <c r="V33" i="17"/>
  <c r="Z69" i="17"/>
  <c r="AE27" i="27"/>
  <c r="V69" i="17"/>
  <c r="Z58" i="17"/>
  <c r="V27" i="27"/>
  <c r="V43" i="15"/>
  <c r="Z43" i="15"/>
  <c r="G26" i="27"/>
  <c r="G33" i="27" s="1"/>
  <c r="V55" i="19"/>
  <c r="S31" i="27"/>
  <c r="Z55" i="19"/>
  <c r="Z65" i="21"/>
  <c r="AC29" i="27"/>
  <c r="V65" i="21"/>
  <c r="V25" i="17"/>
  <c r="T12" i="27"/>
  <c r="T18" i="27" s="1"/>
  <c r="Z25" i="17"/>
  <c r="Z65" i="15"/>
  <c r="AC26" i="27"/>
  <c r="AC33" i="27" s="1"/>
  <c r="V65" i="15"/>
  <c r="M17" i="27"/>
  <c r="Z19" i="18"/>
  <c r="V19" i="18"/>
  <c r="Z29" i="18"/>
  <c r="V29" i="18"/>
  <c r="Y17" i="27"/>
  <c r="Z36" i="21"/>
  <c r="AG14" i="27"/>
  <c r="AF14" i="27"/>
  <c r="AF18" i="27" s="1"/>
  <c r="V36" i="21"/>
  <c r="BR106" i="11"/>
  <c r="AK37" i="11"/>
  <c r="BS37" i="11" s="1"/>
  <c r="AG18" i="27"/>
  <c r="Z41" i="17"/>
  <c r="V41" i="17"/>
  <c r="E27" i="27"/>
  <c r="D27" i="27"/>
  <c r="V40" i="17"/>
  <c r="Z40" i="17"/>
  <c r="AC31" i="27"/>
  <c r="V65" i="19"/>
  <c r="Z65" i="19"/>
  <c r="Z26" i="21"/>
  <c r="U14" i="27"/>
  <c r="U18" i="27" s="1"/>
  <c r="V26" i="21"/>
  <c r="H51" i="22"/>
  <c r="K51" i="22" s="1"/>
  <c r="J175" i="14"/>
  <c r="J22" i="19"/>
  <c r="K22" i="19" s="1"/>
  <c r="J341" i="14"/>
  <c r="Z15" i="17"/>
  <c r="V15" i="17"/>
  <c r="I12" i="27"/>
  <c r="V64" i="18"/>
  <c r="AB32" i="27"/>
  <c r="AB33" i="27" s="1"/>
  <c r="Z64" i="18"/>
  <c r="F28" i="27"/>
  <c r="Z42" i="22"/>
  <c r="CD34" i="11"/>
  <c r="D34" i="11" s="1"/>
  <c r="Z10" i="19"/>
  <c r="V10" i="19"/>
  <c r="J103" i="19"/>
  <c r="G103" i="19" s="1"/>
  <c r="D16" i="27"/>
  <c r="D18" i="27" s="1"/>
  <c r="Z60" i="21"/>
  <c r="V60" i="21"/>
  <c r="X29" i="27"/>
  <c r="H38" i="20"/>
  <c r="K38" i="20" s="1"/>
  <c r="J292" i="14"/>
  <c r="F33" i="27"/>
  <c r="AD17" i="27"/>
  <c r="AD18" i="27" s="1"/>
  <c r="Z34" i="18"/>
  <c r="V34" i="18"/>
  <c r="I29" i="12"/>
  <c r="I32" i="12" s="1"/>
  <c r="AX133" i="11"/>
  <c r="Z54" i="21"/>
  <c r="R29" i="27"/>
  <c r="V54" i="21"/>
  <c r="AI17" i="27"/>
  <c r="Z38" i="18"/>
  <c r="V38" i="18"/>
  <c r="Z68" i="18"/>
  <c r="AD32" i="27"/>
  <c r="V68" i="18"/>
  <c r="Z69" i="21"/>
  <c r="V69" i="21"/>
  <c r="AE29" i="27"/>
  <c r="Z13" i="22"/>
  <c r="G13" i="27"/>
  <c r="G18" i="27" s="1"/>
  <c r="V13" i="22"/>
  <c r="Z68" i="21"/>
  <c r="AD29" i="27"/>
  <c r="V68" i="21"/>
  <c r="H16" i="22"/>
  <c r="K16" i="22" s="1"/>
  <c r="J140" i="14"/>
  <c r="L11" i="27"/>
  <c r="V18" i="15"/>
  <c r="Z18" i="15"/>
  <c r="AK15" i="27"/>
  <c r="AG126" i="12"/>
  <c r="I51" i="15"/>
  <c r="K51" i="15" s="1"/>
  <c r="J45" i="14"/>
  <c r="V43" i="19"/>
  <c r="G31" i="27"/>
  <c r="Z43" i="19"/>
  <c r="D97" i="14"/>
  <c r="G97" i="14" s="1"/>
  <c r="AG50" i="11"/>
  <c r="AG50" i="12" s="1"/>
  <c r="I33" i="27"/>
  <c r="V15" i="20"/>
  <c r="I15" i="27"/>
  <c r="Z15" i="20"/>
  <c r="V47" i="19"/>
  <c r="K31" i="27"/>
  <c r="Z47" i="19"/>
  <c r="I54" i="20"/>
  <c r="K54" i="20" s="1"/>
  <c r="J308" i="14"/>
  <c r="J15" i="21"/>
  <c r="K15" i="21" s="1"/>
  <c r="J204" i="14"/>
  <c r="X14" i="27"/>
  <c r="W14" i="27"/>
  <c r="Z28" i="21"/>
  <c r="V28" i="21"/>
  <c r="BP116" i="11"/>
  <c r="Z58" i="18"/>
  <c r="V32" i="27"/>
  <c r="V52" i="21"/>
  <c r="Z52" i="21"/>
  <c r="P29" i="27"/>
  <c r="V44" i="15"/>
  <c r="H26" i="27"/>
  <c r="H33" i="27" s="1"/>
  <c r="Z44" i="15"/>
  <c r="CD116" i="11"/>
  <c r="D116" i="11" s="1"/>
  <c r="Z26" i="19"/>
  <c r="U16" i="27"/>
  <c r="V26" i="19"/>
  <c r="Z42" i="20"/>
  <c r="F30" i="27"/>
  <c r="Z39" i="15"/>
  <c r="C26" i="27"/>
  <c r="V39" i="15"/>
  <c r="J15" i="15"/>
  <c r="K15" i="15" s="1"/>
  <c r="J9" i="14"/>
  <c r="Z42" i="19"/>
  <c r="F31" i="27"/>
  <c r="J37" i="20"/>
  <c r="K37" i="20" s="1"/>
  <c r="J291" i="14"/>
  <c r="Z49" i="15"/>
  <c r="M26" i="27"/>
  <c r="M33" i="27" s="1"/>
  <c r="V49" i="15"/>
  <c r="Z25" i="22"/>
  <c r="V25" i="22"/>
  <c r="T13" i="27"/>
  <c r="J16" i="15"/>
  <c r="K16" i="15" s="1"/>
  <c r="J10" i="14"/>
  <c r="BR132" i="11"/>
  <c r="AK63" i="11"/>
  <c r="BS63" i="11" s="1"/>
  <c r="BR62" i="11" s="1"/>
  <c r="Z12" i="18"/>
  <c r="F17" i="27"/>
  <c r="F18" i="27" s="1"/>
  <c r="V12" i="18"/>
  <c r="Z28" i="20"/>
  <c r="X15" i="27"/>
  <c r="W15" i="27"/>
  <c r="V28" i="20"/>
  <c r="Z40" i="22"/>
  <c r="D28" i="27"/>
  <c r="V40" i="22"/>
  <c r="I22" i="20"/>
  <c r="K22" i="20" s="1"/>
  <c r="J276" i="14"/>
  <c r="H38" i="19"/>
  <c r="K38" i="19" s="1"/>
  <c r="J357" i="14"/>
  <c r="H18" i="22"/>
  <c r="K18" i="22" s="1"/>
  <c r="J142" i="14"/>
  <c r="Z25" i="18"/>
  <c r="V25" i="18"/>
  <c r="T17" i="27"/>
  <c r="I21" i="15"/>
  <c r="K21" i="15" s="1"/>
  <c r="J15" i="14"/>
  <c r="F305" i="14"/>
  <c r="I305" i="14" s="1"/>
  <c r="J51" i="20" s="1"/>
  <c r="BX103" i="11"/>
  <c r="BP103" i="11" s="1"/>
  <c r="J115" i="14"/>
  <c r="I56" i="17"/>
  <c r="K56" i="17" s="1"/>
  <c r="H19" i="22"/>
  <c r="K19" i="22" s="1"/>
  <c r="J143" i="14"/>
  <c r="V19" i="15"/>
  <c r="Z19" i="15"/>
  <c r="AK16" i="27"/>
  <c r="M11" i="27"/>
  <c r="V17" i="20"/>
  <c r="Z17" i="20"/>
  <c r="K15" i="27"/>
  <c r="CD103" i="11"/>
  <c r="D103" i="11" s="1"/>
  <c r="H20" i="22"/>
  <c r="K20" i="22" s="1"/>
  <c r="J144" i="14"/>
  <c r="Z58" i="21"/>
  <c r="V29" i="27"/>
  <c r="CD60" i="11"/>
  <c r="D60" i="11" s="1"/>
  <c r="J19" i="19"/>
  <c r="K19" i="19" s="1"/>
  <c r="J338" i="14"/>
  <c r="V24" i="15"/>
  <c r="Z24" i="15"/>
  <c r="S11" i="27"/>
  <c r="S18" i="27" s="1"/>
  <c r="AK21" i="27"/>
  <c r="J21" i="20"/>
  <c r="K21" i="20" s="1"/>
  <c r="J275" i="14"/>
  <c r="V70" i="21"/>
  <c r="Z70" i="21"/>
  <c r="AF29" i="27"/>
  <c r="AF33" i="27" s="1"/>
  <c r="J14" i="19"/>
  <c r="K14" i="19" s="1"/>
  <c r="J333" i="14"/>
  <c r="Z62" i="22"/>
  <c r="Z28" i="27"/>
  <c r="V62" i="22"/>
  <c r="H21" i="22"/>
  <c r="K21" i="22" s="1"/>
  <c r="J145" i="14"/>
  <c r="J17" i="22"/>
  <c r="K17" i="22" s="1"/>
  <c r="J141" i="14"/>
  <c r="V68" i="19"/>
  <c r="Z68" i="19"/>
  <c r="AD31" i="27"/>
  <c r="H15" i="22"/>
  <c r="K15" i="22" s="1"/>
  <c r="J139" i="14"/>
  <c r="Z9" i="22"/>
  <c r="J102" i="22"/>
  <c r="G102" i="22" s="1"/>
  <c r="C13" i="27"/>
  <c r="C18" i="27" s="1"/>
  <c r="V9" i="22"/>
  <c r="Z63" i="20"/>
  <c r="AA30" i="27"/>
  <c r="AA33" i="27" s="1"/>
  <c r="V63" i="20"/>
  <c r="W31" i="27"/>
  <c r="Z59" i="19"/>
  <c r="V59" i="19"/>
  <c r="V60" i="17"/>
  <c r="Z60" i="17"/>
  <c r="X27" i="27"/>
  <c r="X33" i="27" s="1"/>
  <c r="Z50" i="21"/>
  <c r="N29" i="27"/>
  <c r="N33" i="27" s="1"/>
  <c r="V50" i="21"/>
  <c r="AB16" i="27"/>
  <c r="V32" i="19"/>
  <c r="Z32" i="19"/>
  <c r="Z11" i="19"/>
  <c r="E16" i="27"/>
  <c r="E18" i="27" s="1"/>
  <c r="V30" i="15"/>
  <c r="Z11" i="27"/>
  <c r="Z30" i="15"/>
  <c r="AK27" i="27"/>
  <c r="K33" i="27"/>
  <c r="Y33" i="27"/>
  <c r="J33" i="27"/>
  <c r="R11" i="27"/>
  <c r="AK20" i="27"/>
  <c r="Q11" i="27"/>
  <c r="Q18" i="27" s="1"/>
  <c r="Z23" i="15"/>
  <c r="V23" i="15"/>
  <c r="V24" i="20"/>
  <c r="Z24" i="20"/>
  <c r="S15" i="27"/>
  <c r="J53" i="21"/>
  <c r="K53" i="21" s="1"/>
  <c r="J242" i="14"/>
  <c r="Z26" i="20"/>
  <c r="V26" i="20"/>
  <c r="U15" i="27"/>
  <c r="V21" i="17"/>
  <c r="O12" i="27"/>
  <c r="Z21" i="17"/>
  <c r="V41" i="19"/>
  <c r="Z41" i="19"/>
  <c r="E31" i="27"/>
  <c r="I51" i="21" l="1"/>
  <c r="K51" i="21" s="1"/>
  <c r="J240" i="14"/>
  <c r="Z18" i="20"/>
  <c r="V18" i="20"/>
  <c r="L15" i="27"/>
  <c r="V22" i="18"/>
  <c r="Z22" i="18"/>
  <c r="P17" i="27"/>
  <c r="Z18" i="18"/>
  <c r="L17" i="27"/>
  <c r="V18" i="18"/>
  <c r="BS117" i="11"/>
  <c r="BR118" i="11"/>
  <c r="V38" i="21"/>
  <c r="Z38" i="21"/>
  <c r="AI14" i="27"/>
  <c r="Z14" i="19"/>
  <c r="H16" i="27"/>
  <c r="V14" i="19"/>
  <c r="Z20" i="22"/>
  <c r="N13" i="27"/>
  <c r="V20" i="22"/>
  <c r="Z18" i="22"/>
  <c r="L13" i="27"/>
  <c r="V18" i="22"/>
  <c r="C33" i="27"/>
  <c r="AG133" i="11"/>
  <c r="E33" i="27"/>
  <c r="V33" i="27"/>
  <c r="I53" i="17"/>
  <c r="K53" i="17" s="1"/>
  <c r="J112" i="14"/>
  <c r="P134" i="11"/>
  <c r="CC134" i="11" s="1"/>
  <c r="BR133" i="11"/>
  <c r="Z21" i="15"/>
  <c r="AK18" i="27"/>
  <c r="V21" i="15"/>
  <c r="O11" i="27"/>
  <c r="R30" i="27"/>
  <c r="V54" i="20"/>
  <c r="Z54" i="20"/>
  <c r="AI15" i="27"/>
  <c r="V38" i="20"/>
  <c r="Z38" i="20"/>
  <c r="Z16" i="20"/>
  <c r="J15" i="27"/>
  <c r="V16" i="20"/>
  <c r="BR36" i="11"/>
  <c r="BS35" i="11"/>
  <c r="E110" i="14"/>
  <c r="H110" i="14" s="1"/>
  <c r="BP41" i="11"/>
  <c r="CB41" i="11"/>
  <c r="CD44" i="11" s="1"/>
  <c r="D41" i="11" s="1"/>
  <c r="AK50" i="11"/>
  <c r="BS50" i="11" s="1"/>
  <c r="Z21" i="21"/>
  <c r="O14" i="27"/>
  <c r="V21" i="21"/>
  <c r="K11" i="27"/>
  <c r="AK14" i="27"/>
  <c r="Z17" i="15"/>
  <c r="V17" i="15"/>
  <c r="Z52" i="22"/>
  <c r="P28" i="27"/>
  <c r="V52" i="22"/>
  <c r="Z14" i="20"/>
  <c r="H15" i="27"/>
  <c r="V14" i="20"/>
  <c r="AK13" i="27"/>
  <c r="Z16" i="15"/>
  <c r="J11" i="27"/>
  <c r="V16" i="15"/>
  <c r="AD33" i="27"/>
  <c r="BS74" i="11"/>
  <c r="BR75" i="11"/>
  <c r="Z51" i="15"/>
  <c r="V51" i="15"/>
  <c r="O26" i="27"/>
  <c r="BS61" i="11"/>
  <c r="O13" i="27"/>
  <c r="V21" i="22"/>
  <c r="Z21" i="22"/>
  <c r="M16" i="27"/>
  <c r="Z19" i="19"/>
  <c r="V19" i="19"/>
  <c r="M13" i="27"/>
  <c r="Z19" i="22"/>
  <c r="V19" i="22"/>
  <c r="W18" i="27"/>
  <c r="P16" i="27"/>
  <c r="Z22" i="19"/>
  <c r="V22" i="19"/>
  <c r="AE33" i="27"/>
  <c r="S33" i="27"/>
  <c r="H38" i="22"/>
  <c r="K38" i="22" s="1"/>
  <c r="J162" i="14"/>
  <c r="Z17" i="19"/>
  <c r="K16" i="27"/>
  <c r="V17" i="19"/>
  <c r="K13" i="27"/>
  <c r="Z17" i="22"/>
  <c r="V17" i="22"/>
  <c r="V38" i="19"/>
  <c r="Z38" i="19"/>
  <c r="AI16" i="27"/>
  <c r="Z37" i="20"/>
  <c r="AH15" i="27"/>
  <c r="AH18" i="27" s="1"/>
  <c r="V37" i="20"/>
  <c r="H38" i="17"/>
  <c r="K38" i="17" s="1"/>
  <c r="J97" i="14"/>
  <c r="Z18" i="27"/>
  <c r="Z53" i="21"/>
  <c r="Q29" i="27"/>
  <c r="V53" i="21"/>
  <c r="R18" i="27"/>
  <c r="Z15" i="22"/>
  <c r="I13" i="27"/>
  <c r="V15" i="22"/>
  <c r="T27" i="27"/>
  <c r="T33" i="27" s="1"/>
  <c r="V56" i="17"/>
  <c r="Z56" i="17"/>
  <c r="Z22" i="20"/>
  <c r="P15" i="27"/>
  <c r="V22" i="20"/>
  <c r="X18" i="27"/>
  <c r="V21" i="19"/>
  <c r="Z21" i="19"/>
  <c r="O16" i="27"/>
  <c r="L33" i="27"/>
  <c r="M15" i="27"/>
  <c r="Z19" i="20"/>
  <c r="V19" i="20"/>
  <c r="J18" i="19"/>
  <c r="K18" i="19" s="1"/>
  <c r="J337" i="14"/>
  <c r="Z15" i="21"/>
  <c r="V15" i="21"/>
  <c r="I14" i="27"/>
  <c r="M18" i="27"/>
  <c r="Z51" i="22"/>
  <c r="O28" i="27"/>
  <c r="V51" i="22"/>
  <c r="BS104" i="11"/>
  <c r="BR105" i="11"/>
  <c r="Z20" i="20"/>
  <c r="N15" i="27"/>
  <c r="V20" i="20"/>
  <c r="J305" i="14"/>
  <c r="I51" i="20"/>
  <c r="K51" i="20" s="1"/>
  <c r="Z52" i="20"/>
  <c r="P30" i="27"/>
  <c r="V52" i="20"/>
  <c r="BS132" i="11"/>
  <c r="CB134" i="11" s="1"/>
  <c r="CB135" i="11" s="1"/>
  <c r="AK133" i="11"/>
  <c r="V14" i="22"/>
  <c r="Z14" i="22"/>
  <c r="H13" i="27"/>
  <c r="H18" i="27" s="1"/>
  <c r="W33" i="27"/>
  <c r="P33" i="27"/>
  <c r="Z16" i="22"/>
  <c r="J13" i="27"/>
  <c r="V16" i="22"/>
  <c r="V21" i="20"/>
  <c r="O15" i="27"/>
  <c r="Z21" i="20"/>
  <c r="V15" i="15"/>
  <c r="V71" i="15" s="1"/>
  <c r="D72" i="15" s="1"/>
  <c r="A1" i="24" s="1"/>
  <c r="Z15" i="15"/>
  <c r="Z72" i="15" s="1"/>
  <c r="J72" i="15" s="1"/>
  <c r="I11" i="27"/>
  <c r="I18" i="27" s="1"/>
  <c r="AK12" i="27"/>
  <c r="D33" i="27"/>
  <c r="AC18" i="27"/>
  <c r="O17" i="27"/>
  <c r="V21" i="18"/>
  <c r="Z21" i="18"/>
  <c r="Z20" i="19"/>
  <c r="V20" i="19"/>
  <c r="N16" i="27"/>
  <c r="N18" i="27" s="1"/>
  <c r="Z16" i="27"/>
  <c r="V30" i="19"/>
  <c r="Z30" i="19"/>
  <c r="I51" i="18"/>
  <c r="K51" i="18" s="1"/>
  <c r="J435" i="14"/>
  <c r="R33" i="27"/>
  <c r="V22" i="22"/>
  <c r="Z22" i="22"/>
  <c r="P13" i="27"/>
  <c r="P18" i="27" s="1"/>
  <c r="BT104" i="11" l="1"/>
  <c r="A106" i="11"/>
  <c r="V71" i="20"/>
  <c r="D72" i="20" s="1"/>
  <c r="A121" i="24" s="1"/>
  <c r="J110" i="14"/>
  <c r="I51" i="17"/>
  <c r="K51" i="17" s="1"/>
  <c r="AG134" i="11"/>
  <c r="B36" i="12"/>
  <c r="A76" i="11"/>
  <c r="BT74" i="11"/>
  <c r="Y18" i="27"/>
  <c r="J18" i="27"/>
  <c r="K18" i="27"/>
  <c r="BT35" i="11"/>
  <c r="A37" i="11"/>
  <c r="A119" i="11"/>
  <c r="BT117" i="11"/>
  <c r="Z38" i="22"/>
  <c r="Z72" i="22" s="1"/>
  <c r="J72" i="22" s="1"/>
  <c r="AI13" i="27"/>
  <c r="V38" i="22"/>
  <c r="V71" i="22" s="1"/>
  <c r="D72" i="22" s="1"/>
  <c r="A61" i="24" s="1"/>
  <c r="A63" i="11"/>
  <c r="BT61" i="11"/>
  <c r="Z72" i="20"/>
  <c r="J72" i="20" s="1"/>
  <c r="BS130" i="11"/>
  <c r="AI12" i="27"/>
  <c r="AI18" i="27" s="1"/>
  <c r="Z38" i="17"/>
  <c r="V38" i="17"/>
  <c r="BR131" i="11"/>
  <c r="Z51" i="20"/>
  <c r="O30" i="27"/>
  <c r="V51" i="20"/>
  <c r="AK134" i="11"/>
  <c r="BS133" i="11"/>
  <c r="Q27" i="27"/>
  <c r="Q33" i="27" s="1"/>
  <c r="V53" i="17"/>
  <c r="Z53" i="17"/>
  <c r="C20" i="24"/>
  <c r="D20" i="24" s="1"/>
  <c r="E20" i="24" s="1"/>
  <c r="C19" i="24"/>
  <c r="C23" i="24"/>
  <c r="D23" i="24" s="1"/>
  <c r="E23" i="24" s="1"/>
  <c r="C27" i="24"/>
  <c r="D27" i="24" s="1"/>
  <c r="E27" i="24" s="1"/>
  <c r="F27" i="24" s="1"/>
  <c r="G27" i="24" s="1"/>
  <c r="C22" i="24"/>
  <c r="C25" i="24"/>
  <c r="D25" i="24" s="1"/>
  <c r="E25" i="24" s="1"/>
  <c r="C26" i="24"/>
  <c r="C17" i="24"/>
  <c r="D17" i="24" s="1"/>
  <c r="E17" i="24" s="1"/>
  <c r="C18" i="24"/>
  <c r="D18" i="24" s="1"/>
  <c r="E18" i="24" s="1"/>
  <c r="C28" i="24"/>
  <c r="C30" i="24"/>
  <c r="D30" i="24" s="1"/>
  <c r="E30" i="24" s="1"/>
  <c r="F30" i="24" s="1"/>
  <c r="G30" i="24" s="1"/>
  <c r="C24" i="24"/>
  <c r="D24" i="24" s="1"/>
  <c r="E24" i="24" s="1"/>
  <c r="C29" i="24"/>
  <c r="D29" i="24" s="1"/>
  <c r="E29" i="24" s="1"/>
  <c r="C21" i="24"/>
  <c r="D21" i="24" s="1"/>
  <c r="E21" i="24" s="1"/>
  <c r="F21" i="24" s="1"/>
  <c r="G21" i="24" s="1"/>
  <c r="BS48" i="11"/>
  <c r="BR49" i="11"/>
  <c r="O18" i="27"/>
  <c r="O29" i="27"/>
  <c r="V51" i="21"/>
  <c r="V71" i="21" s="1"/>
  <c r="D72" i="21" s="1"/>
  <c r="A91" i="24" s="1"/>
  <c r="Z51" i="21"/>
  <c r="Z72" i="21" s="1"/>
  <c r="J72" i="21" s="1"/>
  <c r="V51" i="18"/>
  <c r="V71" i="18" s="1"/>
  <c r="D72" i="18" s="1"/>
  <c r="A181" i="24" s="1"/>
  <c r="Z51" i="18"/>
  <c r="Z72" i="18" s="1"/>
  <c r="J72" i="18" s="1"/>
  <c r="O32" i="27"/>
  <c r="L16" i="27"/>
  <c r="L18" i="27" s="1"/>
  <c r="Z18" i="19"/>
  <c r="Z72" i="19" s="1"/>
  <c r="J72" i="19" s="1"/>
  <c r="V18" i="19"/>
  <c r="V71" i="19" s="1"/>
  <c r="D72" i="19" s="1"/>
  <c r="A151" i="24" s="1"/>
  <c r="C199" i="24" l="1"/>
  <c r="C208" i="24"/>
  <c r="C198" i="24"/>
  <c r="C209" i="24"/>
  <c r="D209" i="24" s="1"/>
  <c r="E209" i="24" s="1"/>
  <c r="C205" i="24"/>
  <c r="C207" i="24"/>
  <c r="D207" i="24" s="1"/>
  <c r="E207" i="24" s="1"/>
  <c r="F207" i="24" s="1"/>
  <c r="G207" i="24" s="1"/>
  <c r="C197" i="24"/>
  <c r="D197" i="24" s="1"/>
  <c r="E197" i="24" s="1"/>
  <c r="C204" i="24"/>
  <c r="D204" i="24" s="1"/>
  <c r="E204" i="24" s="1"/>
  <c r="C202" i="24"/>
  <c r="C200" i="24"/>
  <c r="D200" i="24" s="1"/>
  <c r="E200" i="24" s="1"/>
  <c r="C206" i="24"/>
  <c r="D206" i="24" s="1"/>
  <c r="E206" i="24" s="1"/>
  <c r="C210" i="24"/>
  <c r="D210" i="24" s="1"/>
  <c r="E210" i="24" s="1"/>
  <c r="F210" i="24" s="1"/>
  <c r="G210" i="24" s="1"/>
  <c r="C203" i="24"/>
  <c r="D203" i="24" s="1"/>
  <c r="E203" i="24" s="1"/>
  <c r="C201" i="24"/>
  <c r="D201" i="24" s="1"/>
  <c r="E201" i="24" s="1"/>
  <c r="F201" i="24" s="1"/>
  <c r="G201" i="24" s="1"/>
  <c r="C109" i="24"/>
  <c r="C113" i="24"/>
  <c r="D113" i="24" s="1"/>
  <c r="E113" i="24" s="1"/>
  <c r="C116" i="24"/>
  <c r="C112" i="24"/>
  <c r="C111" i="24"/>
  <c r="C110" i="24"/>
  <c r="D110" i="24" s="1"/>
  <c r="E110" i="24" s="1"/>
  <c r="C114" i="24"/>
  <c r="C120" i="24"/>
  <c r="D120" i="24" s="1"/>
  <c r="E120" i="24" s="1"/>
  <c r="F120" i="24" s="1"/>
  <c r="G120" i="24" s="1"/>
  <c r="C107" i="24"/>
  <c r="D107" i="24" s="1"/>
  <c r="E107" i="24" s="1"/>
  <c r="C118" i="24"/>
  <c r="D118" i="24" s="1"/>
  <c r="E118" i="24" s="1"/>
  <c r="C117" i="24"/>
  <c r="D117" i="24" s="1"/>
  <c r="E117" i="24" s="1"/>
  <c r="F117" i="24" s="1"/>
  <c r="G117" i="24" s="1"/>
  <c r="C119" i="24"/>
  <c r="C108" i="24"/>
  <c r="C115" i="24"/>
  <c r="D115" i="24" s="1"/>
  <c r="E115" i="24" s="1"/>
  <c r="C177" i="24"/>
  <c r="C173" i="24"/>
  <c r="D173" i="24" s="1"/>
  <c r="E173" i="24" s="1"/>
  <c r="C168" i="24"/>
  <c r="C170" i="24"/>
  <c r="D170" i="24" s="1"/>
  <c r="E170" i="24" s="1"/>
  <c r="C179" i="24"/>
  <c r="C174" i="24"/>
  <c r="C180" i="24"/>
  <c r="D180" i="24" s="1"/>
  <c r="E180" i="24" s="1"/>
  <c r="F180" i="24" s="1"/>
  <c r="G180" i="24" s="1"/>
  <c r="C178" i="24"/>
  <c r="D178" i="24" s="1"/>
  <c r="E178" i="24" s="1"/>
  <c r="C169" i="24"/>
  <c r="C167" i="24"/>
  <c r="D167" i="24" s="1"/>
  <c r="E167" i="24" s="1"/>
  <c r="C175" i="24"/>
  <c r="D175" i="24" s="1"/>
  <c r="E175" i="24" s="1"/>
  <c r="C171" i="24"/>
  <c r="D171" i="24" s="1"/>
  <c r="E171" i="24" s="1"/>
  <c r="F171" i="24" s="1"/>
  <c r="G171" i="24" s="1"/>
  <c r="C172" i="24"/>
  <c r="C176" i="24"/>
  <c r="C77" i="24"/>
  <c r="D77" i="24" s="1"/>
  <c r="E77" i="24" s="1"/>
  <c r="C83" i="24"/>
  <c r="C86" i="24"/>
  <c r="D86" i="24" s="1"/>
  <c r="E86" i="24" s="1"/>
  <c r="C80" i="24"/>
  <c r="D80" i="24" s="1"/>
  <c r="E80" i="24" s="1"/>
  <c r="C87" i="24"/>
  <c r="D87" i="24" s="1"/>
  <c r="E87" i="24" s="1"/>
  <c r="F87" i="24" s="1"/>
  <c r="G87" i="24" s="1"/>
  <c r="C81" i="24"/>
  <c r="C85" i="24"/>
  <c r="C78" i="24"/>
  <c r="C84" i="24"/>
  <c r="D84" i="24" s="1"/>
  <c r="E84" i="24" s="1"/>
  <c r="C82" i="24"/>
  <c r="C79" i="24"/>
  <c r="C88" i="24"/>
  <c r="D88" i="24" s="1"/>
  <c r="E88" i="24" s="1"/>
  <c r="C90" i="24"/>
  <c r="D90" i="24" s="1"/>
  <c r="E90" i="24" s="1"/>
  <c r="F90" i="24" s="1"/>
  <c r="G90" i="24" s="1"/>
  <c r="C89" i="24"/>
  <c r="F23" i="24"/>
  <c r="G23" i="24" s="1"/>
  <c r="C28" i="12"/>
  <c r="U6" i="21"/>
  <c r="J87" i="21"/>
  <c r="D28" i="24"/>
  <c r="E28" i="24" s="1"/>
  <c r="H28" i="24" s="1"/>
  <c r="D19" i="24"/>
  <c r="E19" i="24" s="1"/>
  <c r="BT130" i="11"/>
  <c r="A132" i="11"/>
  <c r="CD134" i="11"/>
  <c r="U6" i="19"/>
  <c r="J87" i="19"/>
  <c r="C30" i="12"/>
  <c r="F19" i="24"/>
  <c r="F20" i="24"/>
  <c r="G20" i="24" s="1"/>
  <c r="J87" i="15"/>
  <c r="Q15" i="17"/>
  <c r="Q15" i="20"/>
  <c r="Q15" i="21"/>
  <c r="N6" i="29"/>
  <c r="U6" i="15"/>
  <c r="J15" i="29"/>
  <c r="Q15" i="15"/>
  <c r="Q15" i="18"/>
  <c r="C25" i="12"/>
  <c r="Q15" i="19"/>
  <c r="Q15" i="22"/>
  <c r="H22" i="24"/>
  <c r="F24" i="24"/>
  <c r="G24" i="24" s="1"/>
  <c r="V51" i="17"/>
  <c r="O27" i="27"/>
  <c r="O33" i="27" s="1"/>
  <c r="Z51" i="17"/>
  <c r="Z72" i="17" s="1"/>
  <c r="J72" i="17" s="1"/>
  <c r="BT48" i="11"/>
  <c r="A50" i="11"/>
  <c r="D26" i="24"/>
  <c r="E26" i="24" s="1"/>
  <c r="H25" i="24" s="1"/>
  <c r="C27" i="12"/>
  <c r="J87" i="22"/>
  <c r="U6" i="22"/>
  <c r="C148" i="24"/>
  <c r="C143" i="24"/>
  <c r="C147" i="24"/>
  <c r="C137" i="24"/>
  <c r="D137" i="24" s="1"/>
  <c r="E137" i="24" s="1"/>
  <c r="C150" i="24"/>
  <c r="D150" i="24" s="1"/>
  <c r="E150" i="24" s="1"/>
  <c r="F150" i="24" s="1"/>
  <c r="G150" i="24" s="1"/>
  <c r="C145" i="24"/>
  <c r="D145" i="24" s="1"/>
  <c r="E145" i="24" s="1"/>
  <c r="C139" i="24"/>
  <c r="D139" i="24" s="1"/>
  <c r="E139" i="24" s="1"/>
  <c r="C149" i="24"/>
  <c r="D149" i="24" s="1"/>
  <c r="E149" i="24" s="1"/>
  <c r="C138" i="24"/>
  <c r="D138" i="24" s="1"/>
  <c r="E138" i="24" s="1"/>
  <c r="C141" i="24"/>
  <c r="C146" i="24"/>
  <c r="C144" i="24"/>
  <c r="C142" i="24"/>
  <c r="D142" i="24" s="1"/>
  <c r="E142" i="24" s="1"/>
  <c r="C140" i="24"/>
  <c r="D140" i="24" s="1"/>
  <c r="E140" i="24" s="1"/>
  <c r="F28" i="24"/>
  <c r="G28" i="24" s="1"/>
  <c r="F29" i="24"/>
  <c r="G29" i="24" s="1"/>
  <c r="D22" i="24"/>
  <c r="E22" i="24" s="1"/>
  <c r="F22" i="24" s="1"/>
  <c r="G22" i="24" s="1"/>
  <c r="V71" i="17"/>
  <c r="D72" i="17" s="1"/>
  <c r="A31" i="24" s="1"/>
  <c r="U6" i="20"/>
  <c r="J87" i="20"/>
  <c r="C29" i="12"/>
  <c r="D89" i="24" l="1"/>
  <c r="E89" i="24" s="1"/>
  <c r="D81" i="24"/>
  <c r="E81" i="24" s="1"/>
  <c r="F81" i="24" s="1"/>
  <c r="G81" i="24" s="1"/>
  <c r="F170" i="24"/>
  <c r="G170" i="24" s="1"/>
  <c r="F113" i="24"/>
  <c r="G113" i="24" s="1"/>
  <c r="F204" i="24"/>
  <c r="G204" i="24" s="1"/>
  <c r="D168" i="24"/>
  <c r="E168" i="24" s="1"/>
  <c r="F25" i="24"/>
  <c r="G25" i="24" s="1"/>
  <c r="F26" i="24"/>
  <c r="G26" i="24" s="1"/>
  <c r="A18" i="24" s="1"/>
  <c r="A6" i="24" s="1"/>
  <c r="E72" i="15" s="1"/>
  <c r="H88" i="24"/>
  <c r="F80" i="24"/>
  <c r="G80" i="24" s="1"/>
  <c r="F173" i="24"/>
  <c r="G173" i="24" s="1"/>
  <c r="D144" i="24"/>
  <c r="E144" i="24" s="1"/>
  <c r="C26" i="12"/>
  <c r="J87" i="17"/>
  <c r="U6" i="17"/>
  <c r="F86" i="24"/>
  <c r="G86" i="24" s="1"/>
  <c r="D177" i="24"/>
  <c r="E177" i="24" s="1"/>
  <c r="F177" i="24" s="1"/>
  <c r="G177" i="24" s="1"/>
  <c r="D114" i="24"/>
  <c r="E114" i="24" s="1"/>
  <c r="F203" i="24"/>
  <c r="G203" i="24" s="1"/>
  <c r="D205" i="24"/>
  <c r="E205" i="24" s="1"/>
  <c r="H205" i="24" s="1"/>
  <c r="F140" i="24"/>
  <c r="G140" i="24" s="1"/>
  <c r="F139" i="24"/>
  <c r="G139" i="24" s="1"/>
  <c r="D146" i="24"/>
  <c r="E146" i="24" s="1"/>
  <c r="H145" i="24" s="1"/>
  <c r="D147" i="24"/>
  <c r="E147" i="24" s="1"/>
  <c r="F147" i="24" s="1"/>
  <c r="G147" i="24" s="1"/>
  <c r="H13" i="12"/>
  <c r="B135" i="11" s="1"/>
  <c r="A13" i="11"/>
  <c r="D82" i="24"/>
  <c r="E82" i="24" s="1"/>
  <c r="D83" i="24"/>
  <c r="E83" i="24" s="1"/>
  <c r="F110" i="24"/>
  <c r="G110" i="24" s="1"/>
  <c r="F209" i="24"/>
  <c r="G209" i="24" s="1"/>
  <c r="F208" i="24"/>
  <c r="G208" i="24" s="1"/>
  <c r="D143" i="24"/>
  <c r="E143" i="24" s="1"/>
  <c r="U6" i="18"/>
  <c r="J87" i="18"/>
  <c r="C31" i="12"/>
  <c r="F84" i="24"/>
  <c r="G84" i="24" s="1"/>
  <c r="D108" i="24"/>
  <c r="E108" i="24" s="1"/>
  <c r="D111" i="24"/>
  <c r="E111" i="24" s="1"/>
  <c r="F111" i="24" s="1"/>
  <c r="G111" i="24" s="1"/>
  <c r="F206" i="24"/>
  <c r="G206" i="24" s="1"/>
  <c r="D198" i="24"/>
  <c r="E198" i="24" s="1"/>
  <c r="C47" i="24"/>
  <c r="D47" i="24" s="1"/>
  <c r="E47" i="24" s="1"/>
  <c r="C55" i="24"/>
  <c r="D55" i="24" s="1"/>
  <c r="E55" i="24" s="1"/>
  <c r="C54" i="24"/>
  <c r="C60" i="24"/>
  <c r="D60" i="24" s="1"/>
  <c r="E60" i="24" s="1"/>
  <c r="F60" i="24" s="1"/>
  <c r="G60" i="24" s="1"/>
  <c r="C57" i="24"/>
  <c r="D57" i="24" s="1"/>
  <c r="E57" i="24" s="1"/>
  <c r="F57" i="24" s="1"/>
  <c r="G57" i="24" s="1"/>
  <c r="C56" i="24"/>
  <c r="D56" i="24" s="1"/>
  <c r="E56" i="24" s="1"/>
  <c r="C59" i="24"/>
  <c r="C51" i="24"/>
  <c r="C53" i="24"/>
  <c r="C48" i="24"/>
  <c r="D48" i="24" s="1"/>
  <c r="E48" i="24" s="1"/>
  <c r="C58" i="24"/>
  <c r="C50" i="24"/>
  <c r="D50" i="24" s="1"/>
  <c r="E50" i="24" s="1"/>
  <c r="C52" i="24"/>
  <c r="D52" i="24" s="1"/>
  <c r="E52" i="24" s="1"/>
  <c r="C49" i="24"/>
  <c r="D49" i="24" s="1"/>
  <c r="E49" i="24" s="1"/>
  <c r="D148" i="24"/>
  <c r="E148" i="24" s="1"/>
  <c r="H148" i="24" s="1"/>
  <c r="D78" i="24"/>
  <c r="E78" i="24" s="1"/>
  <c r="D176" i="24"/>
  <c r="E176" i="24" s="1"/>
  <c r="H175" i="24" s="1"/>
  <c r="D174" i="24"/>
  <c r="E174" i="24" s="1"/>
  <c r="D119" i="24"/>
  <c r="E119" i="24" s="1"/>
  <c r="H118" i="24" s="1"/>
  <c r="D112" i="24"/>
  <c r="E112" i="24" s="1"/>
  <c r="F112" i="24" s="1"/>
  <c r="G112" i="24" s="1"/>
  <c r="F200" i="24"/>
  <c r="G200" i="24" s="1"/>
  <c r="D208" i="24"/>
  <c r="E208" i="24" s="1"/>
  <c r="H208" i="24" s="1"/>
  <c r="D141" i="24"/>
  <c r="E141" i="24" s="1"/>
  <c r="F141" i="24" s="1"/>
  <c r="G141" i="24" s="1"/>
  <c r="F148" i="24"/>
  <c r="G148" i="24" s="1"/>
  <c r="F149" i="24"/>
  <c r="G149" i="24" s="1"/>
  <c r="G19" i="24"/>
  <c r="H19" i="24"/>
  <c r="D85" i="24"/>
  <c r="E85" i="24" s="1"/>
  <c r="H85" i="24" s="1"/>
  <c r="D172" i="24"/>
  <c r="E172" i="24" s="1"/>
  <c r="F172" i="24" s="1"/>
  <c r="G172" i="24" s="1"/>
  <c r="D179" i="24"/>
  <c r="E179" i="24" s="1"/>
  <c r="H178" i="24" s="1"/>
  <c r="D116" i="24"/>
  <c r="E116" i="24" s="1"/>
  <c r="D202" i="24"/>
  <c r="E202" i="24" s="1"/>
  <c r="H202" i="24" s="1"/>
  <c r="D199" i="24"/>
  <c r="E199" i="24" s="1"/>
  <c r="F199" i="24" s="1"/>
  <c r="F55" i="24" l="1"/>
  <c r="G55" i="24" s="1"/>
  <c r="F56" i="24"/>
  <c r="G56" i="24" s="1"/>
  <c r="F143" i="24"/>
  <c r="G143" i="24" s="1"/>
  <c r="F142" i="24"/>
  <c r="G142" i="24" s="1"/>
  <c r="F82" i="24"/>
  <c r="G82" i="24" s="1"/>
  <c r="F83" i="24"/>
  <c r="G83" i="24" s="1"/>
  <c r="D79" i="24"/>
  <c r="E79" i="24" s="1"/>
  <c r="F202" i="24"/>
  <c r="G202" i="24" s="1"/>
  <c r="F50" i="24"/>
  <c r="G50" i="24" s="1"/>
  <c r="F49" i="24"/>
  <c r="G49" i="24" s="1"/>
  <c r="F119" i="24"/>
  <c r="G119" i="24" s="1"/>
  <c r="F118" i="24"/>
  <c r="G118" i="24" s="1"/>
  <c r="D58" i="24"/>
  <c r="E58" i="24" s="1"/>
  <c r="D54" i="24"/>
  <c r="E54" i="24" s="1"/>
  <c r="H55" i="24"/>
  <c r="H112" i="24"/>
  <c r="F114" i="24"/>
  <c r="G114" i="24" s="1"/>
  <c r="F89" i="24"/>
  <c r="G89" i="24" s="1"/>
  <c r="F88" i="24"/>
  <c r="G88" i="24" s="1"/>
  <c r="D53" i="24"/>
  <c r="E53" i="24" s="1"/>
  <c r="H82" i="24"/>
  <c r="H142" i="24"/>
  <c r="F144" i="24"/>
  <c r="G144" i="24" s="1"/>
  <c r="H139" i="24"/>
  <c r="H199" i="24"/>
  <c r="G199" i="24"/>
  <c r="F174" i="24"/>
  <c r="G174" i="24" s="1"/>
  <c r="H172" i="24"/>
  <c r="F175" i="24"/>
  <c r="G175" i="24" s="1"/>
  <c r="F176" i="24"/>
  <c r="G176" i="24" s="1"/>
  <c r="F116" i="24"/>
  <c r="G116" i="24" s="1"/>
  <c r="F115" i="24"/>
  <c r="G115" i="24" s="1"/>
  <c r="D51" i="24"/>
  <c r="E51" i="24" s="1"/>
  <c r="F51" i="24" s="1"/>
  <c r="G51" i="24" s="1"/>
  <c r="F145" i="24"/>
  <c r="G145" i="24" s="1"/>
  <c r="F146" i="24"/>
  <c r="G146" i="24" s="1"/>
  <c r="A138" i="24" s="1"/>
  <c r="A126" i="24" s="1"/>
  <c r="E72" i="20" s="1"/>
  <c r="D169" i="24"/>
  <c r="E169" i="24" s="1"/>
  <c r="F179" i="24"/>
  <c r="G179" i="24" s="1"/>
  <c r="F178" i="24"/>
  <c r="G178" i="24" s="1"/>
  <c r="D59" i="24"/>
  <c r="E59" i="24" s="1"/>
  <c r="F205" i="24"/>
  <c r="G205" i="24" s="1"/>
  <c r="A198" i="24" s="1"/>
  <c r="A186" i="24" s="1"/>
  <c r="E72" i="18" s="1"/>
  <c r="H115" i="24"/>
  <c r="F85" i="24"/>
  <c r="G85" i="24" s="1"/>
  <c r="D109" i="24"/>
  <c r="E109" i="24" s="1"/>
  <c r="H109" i="24" l="1"/>
  <c r="F109" i="24"/>
  <c r="G109" i="24" s="1"/>
  <c r="A108" i="24" s="1"/>
  <c r="A96" i="24" s="1"/>
  <c r="E72" i="21" s="1"/>
  <c r="H49" i="24"/>
  <c r="F58" i="24"/>
  <c r="G58" i="24" s="1"/>
  <c r="F59" i="24"/>
  <c r="G59" i="24" s="1"/>
  <c r="H52" i="24"/>
  <c r="F54" i="24"/>
  <c r="G54" i="24" s="1"/>
  <c r="H79" i="24"/>
  <c r="F79" i="24"/>
  <c r="G79" i="24" s="1"/>
  <c r="A78" i="24" s="1"/>
  <c r="A66" i="24" s="1"/>
  <c r="E72" i="22" s="1"/>
  <c r="H58" i="24"/>
  <c r="H169" i="24"/>
  <c r="F169" i="24"/>
  <c r="G169" i="24" s="1"/>
  <c r="A168" i="24" s="1"/>
  <c r="A156" i="24" s="1"/>
  <c r="E72" i="19" s="1"/>
  <c r="F53" i="24"/>
  <c r="G53" i="24" s="1"/>
  <c r="F52" i="24"/>
  <c r="G52" i="24" s="1"/>
  <c r="A48" i="24" l="1"/>
  <c r="A36" i="24" s="1"/>
  <c r="E72" i="17" s="1"/>
</calcChain>
</file>

<file path=xl/comments1.xml><?xml version="1.0" encoding="utf-8"?>
<comments xmlns="http://schemas.openxmlformats.org/spreadsheetml/2006/main">
  <authors>
    <author>MASTER</author>
    <author>INTEL</author>
    <author>INEL</author>
    <author>Master</author>
    <author>Николай</author>
    <author>Лудцев А.В.</author>
    <author>Пикалов Николай</author>
    <author>Продовольственная служба</author>
  </authors>
  <commentList>
    <comment ref="G1" authorId="0" shapeId="0">
      <text>
        <r>
          <rPr>
            <sz val="8"/>
            <color indexed="81"/>
            <rFont val="Tahoma"/>
            <family val="2"/>
            <charset val="204"/>
          </rPr>
          <t>Показывает сколько раз была открыта программа (до 15) - далее регистрация</t>
        </r>
      </text>
    </comment>
    <comment ref="Q1" authorId="0" shapeId="0">
      <text>
        <r>
          <rPr>
            <sz val="8"/>
            <color indexed="81"/>
            <rFont val="Tahoma"/>
            <family val="2"/>
            <charset val="204"/>
          </rPr>
          <t>Просто единица. Нужна для увеличения на 1.</t>
        </r>
      </text>
    </comment>
    <comment ref="D2" authorId="0" shapeId="0">
      <text>
        <r>
          <rPr>
            <sz val="8"/>
            <color indexed="81"/>
            <rFont val="Tahoma"/>
            <family val="2"/>
            <charset val="204"/>
          </rPr>
          <t>Показывает текущий месяц</t>
        </r>
      </text>
    </comment>
    <comment ref="F2" authorId="0" shapeId="0">
      <text>
        <r>
          <rPr>
            <sz val="8"/>
            <color indexed="81"/>
            <rFont val="Tahoma"/>
            <family val="2"/>
            <charset val="204"/>
          </rPr>
          <t>Показывает номер текущего месяца</t>
        </r>
      </text>
    </comment>
    <comment ref="G2" authorId="1" shapeId="0">
      <text>
        <r>
          <rPr>
            <b/>
            <sz val="8"/>
            <color indexed="81"/>
            <rFont val="Tahoma"/>
            <family val="2"/>
            <charset val="204"/>
          </rPr>
          <t>Показывать или нет окно запуска</t>
        </r>
      </text>
    </comment>
    <comment ref="O2" authorId="0" shapeId="0">
      <text>
        <r>
          <rPr>
            <sz val="8"/>
            <color indexed="81"/>
            <rFont val="Tahoma"/>
            <family val="2"/>
            <charset val="204"/>
          </rPr>
          <t>Цифровой код, генерируемый на вводимую фамилию и имя.</t>
        </r>
      </text>
    </comment>
    <comment ref="P2" authorId="0" shapeId="0">
      <text>
        <r>
          <rPr>
            <sz val="8"/>
            <color indexed="81"/>
            <rFont val="Tahoma"/>
            <family val="2"/>
            <charset val="204"/>
          </rPr>
          <t>ключ активации, вводимый пользователем</t>
        </r>
      </text>
    </comment>
    <comment ref="G4" authorId="1" shapeId="0">
      <text>
        <r>
          <rPr>
            <b/>
            <sz val="8"/>
            <color indexed="81"/>
            <rFont val="Tahoma"/>
            <family val="2"/>
            <charset val="204"/>
          </rPr>
          <t>1-активирована, а 0 - нет</t>
        </r>
      </text>
    </comment>
    <comment ref="I4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+31000</t>
        </r>
      </text>
    </comment>
    <comment ref="G5" authorId="0" shapeId="0">
      <text>
        <r>
          <rPr>
            <sz val="8"/>
            <color indexed="81"/>
            <rFont val="Tahoma"/>
            <family val="2"/>
            <charset val="204"/>
          </rPr>
          <t>Эта дата вводится когда 1-й раз открывают программу.</t>
        </r>
      </text>
    </comment>
    <comment ref="F8" authorId="0" shapeId="0">
      <text>
        <r>
          <rPr>
            <sz val="8"/>
            <color indexed="81"/>
            <rFont val="Tahoma"/>
            <family val="2"/>
            <charset val="204"/>
          </rPr>
          <t>Должность руководителя</t>
        </r>
      </text>
    </comment>
    <comment ref="G9" authorId="0" shapeId="0">
      <text>
        <r>
          <rPr>
            <sz val="8"/>
            <color indexed="81"/>
            <rFont val="Tahoma"/>
            <family val="2"/>
            <charset val="204"/>
          </rPr>
          <t>Должностные лица части</t>
        </r>
      </text>
    </comment>
    <comment ref="P11" authorId="0" shapeId="0">
      <text>
        <r>
          <rPr>
            <sz val="8"/>
            <color indexed="81"/>
            <rFont val="Tahoma"/>
            <family val="2"/>
            <charset val="204"/>
          </rPr>
          <t>Активный принтер на момент активации программы</t>
        </r>
      </text>
    </comment>
    <comment ref="V12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Номер накладной на КПВ</t>
        </r>
      </text>
    </comment>
    <comment ref="H13" authorId="0" shapeId="0">
      <text>
        <r>
          <rPr>
            <sz val="8"/>
            <color indexed="81"/>
            <rFont val="Tahoma"/>
            <family val="2"/>
            <charset val="204"/>
          </rPr>
          <t>ОКГ по раскладке</t>
        </r>
      </text>
    </comment>
    <comment ref="S13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№ акта КПВ</t>
        </r>
      </text>
    </comment>
    <comment ref="V13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Кол-во чел. В КПВ</t>
        </r>
      </text>
    </comment>
    <comment ref="W13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Оценка вкус кач.</t>
        </r>
      </text>
    </comment>
    <comment ref="AA13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завтрак</t>
        </r>
      </text>
    </comment>
    <comment ref="W14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устранение недостатков пред. АКПВ</t>
        </r>
      </text>
    </comment>
    <comment ref="AA14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хЗ</t>
        </r>
      </text>
    </comment>
    <comment ref="V15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сан. состояние</t>
        </r>
      </text>
    </comment>
    <comment ref="W15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Предложения по улучшению работы столовой</t>
        </r>
      </text>
    </comment>
    <comment ref="AA15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1 бл. - 1</t>
        </r>
      </text>
    </comment>
    <comment ref="V16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работа по устран. недостатков</t>
        </r>
      </text>
    </comment>
    <comment ref="AA16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1 бл. - 2</t>
        </r>
      </text>
    </comment>
    <comment ref="B17" authorId="3" shapeId="0">
      <text>
        <r>
          <rPr>
            <sz val="8"/>
            <color indexed="81"/>
            <rFont val="Tahoma"/>
            <family val="2"/>
            <charset val="204"/>
          </rPr>
          <t>Показывает кол-во дней с момента 1-го открытия. Если активирована, то это число = 0. Макс = 3, далее регистрация.</t>
        </r>
      </text>
    </comment>
    <comment ref="C17" authorId="0" shapeId="0">
      <text>
        <r>
          <rPr>
            <sz val="8"/>
            <color indexed="81"/>
            <rFont val="Tahoma"/>
            <family val="2"/>
            <charset val="204"/>
          </rPr>
          <t>Показывает сег. Дату для подсчета кол-ва дней с 1-го открытия</t>
        </r>
      </text>
    </comment>
    <comment ref="V17" authorId="2" shapeId="0">
      <text>
        <r>
          <rPr>
            <b/>
            <sz val="8"/>
            <color indexed="81"/>
            <rFont val="Tahoma"/>
            <family val="2"/>
            <charset val="204"/>
          </rPr>
          <t>Порядок раздачи</t>
        </r>
      </text>
    </comment>
    <comment ref="AA17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2 бл. - 1</t>
        </r>
      </text>
    </comment>
    <comment ref="AA18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2 бл. - 2</t>
        </r>
      </text>
    </comment>
    <comment ref="AA19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3 бл.</t>
        </r>
      </text>
    </comment>
    <comment ref="H20" authorId="0" shapeId="0">
      <text>
        <r>
          <rPr>
            <sz val="8"/>
            <color indexed="81"/>
            <rFont val="Tahoma"/>
            <family val="2"/>
            <charset val="204"/>
          </rPr>
          <t>Сообщение, выводимое при неверном вводе ключа</t>
        </r>
      </text>
    </comment>
    <comment ref="AA20" authorId="2" shapeId="0">
      <text>
        <r>
          <rPr>
            <b/>
            <sz val="8"/>
            <color indexed="81"/>
            <rFont val="Tahoma"/>
            <family val="2"/>
            <charset val="204"/>
          </rPr>
          <t>INEL:</t>
        </r>
        <r>
          <rPr>
            <sz val="8"/>
            <color indexed="81"/>
            <rFont val="Tahoma"/>
            <family val="2"/>
            <charset val="204"/>
          </rPr>
          <t xml:space="preserve">
ужин</t>
        </r>
      </text>
    </comment>
    <comment ref="B21" authorId="0" shapeId="0">
      <text>
        <r>
          <rPr>
            <sz val="8"/>
            <color indexed="81"/>
            <rFont val="Tahoma"/>
            <family val="2"/>
            <charset val="204"/>
          </rPr>
          <t>По какой норме питаются</t>
        </r>
      </text>
    </comment>
    <comment ref="G21" authorId="0" shapeId="0">
      <text>
        <r>
          <rPr>
            <sz val="8"/>
            <color indexed="81"/>
            <rFont val="Tahoma"/>
            <family val="2"/>
            <charset val="204"/>
          </rPr>
          <t>Увеличивается на 1 за счет прибавления к a21 ячейки q1=1</t>
        </r>
      </text>
    </comment>
    <comment ref="H22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масса хлеба ржаного</t>
        </r>
      </text>
    </comment>
    <comment ref="H23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масса хлеба пшеничного</t>
        </r>
      </text>
    </comment>
    <comment ref="F25" authorId="3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сколько раз выпечка</t>
        </r>
      </text>
    </comment>
    <comment ref="H26" authorId="2" shapeId="0">
      <text>
        <r>
          <rPr>
            <sz val="8"/>
            <color indexed="81"/>
            <rFont val="Tahoma"/>
            <family val="2"/>
            <charset val="204"/>
          </rPr>
          <t>Какая мука</t>
        </r>
      </text>
    </comment>
    <comment ref="G32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яйцо или порошок</t>
        </r>
      </text>
    </comment>
    <comment ref="Y36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Результаты выбора замены хлеба</t>
        </r>
      </text>
    </comment>
    <comment ref="Y39" authorId="4" shapeId="0">
      <text>
        <r>
          <rPr>
            <b/>
            <sz val="8"/>
            <color indexed="81"/>
            <rFont val="Tahoma"/>
            <family val="2"/>
            <charset val="204"/>
          </rPr>
          <t>Николай:</t>
        </r>
        <r>
          <rPr>
            <sz val="8"/>
            <color indexed="81"/>
            <rFont val="Tahoma"/>
            <family val="2"/>
            <charset val="204"/>
          </rPr>
          <t xml:space="preserve">
Замена чая на кофе натур. (не разрешено пр.№ 400)</t>
        </r>
      </text>
    </comment>
    <comment ref="Y40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вид мяса</t>
        </r>
      </text>
    </comment>
    <comment ref="Q114" authorId="3" shapeId="0">
      <text>
        <r>
          <rPr>
            <b/>
            <sz val="8"/>
            <color indexed="81"/>
            <rFont val="Tahoma"/>
            <family val="2"/>
            <charset val="204"/>
          </rPr>
          <t>Заменяется ли молоко на яйцо, 1 - да, 0 - нет.</t>
        </r>
      </text>
    </comment>
    <comment ref="Q116" authorId="3" shapeId="0">
      <text>
        <r>
          <rPr>
            <b/>
            <sz val="8"/>
            <color indexed="81"/>
            <rFont val="Tahoma"/>
            <family val="2"/>
            <charset val="204"/>
          </rPr>
          <t>Варианты, 1 - с пн., 2 - со вт.</t>
        </r>
      </text>
    </comment>
    <comment ref="AH117" authorId="0" shapeId="0">
      <text>
        <r>
          <rPr>
            <sz val="8"/>
            <color indexed="81"/>
            <rFont val="Tahoma"/>
            <family val="2"/>
            <charset val="204"/>
          </rPr>
          <t>говядина, свинина или баранина</t>
        </r>
      </text>
    </comment>
    <comment ref="Z135" authorId="5" shapeId="0">
      <text>
        <r>
          <rPr>
            <b/>
            <sz val="10"/>
            <color indexed="81"/>
            <rFont val="Tahoma"/>
            <family val="2"/>
            <charset val="204"/>
          </rPr>
          <t>Лудцев А.В.:</t>
        </r>
        <r>
          <rPr>
            <sz val="10"/>
            <color indexed="81"/>
            <rFont val="Tahoma"/>
            <family val="2"/>
            <charset val="204"/>
          </rPr>
          <t xml:space="preserve">
Запиши сюда наименование рыбы и выхода вареной и жаренной на 120 г.</t>
        </r>
      </text>
    </comment>
    <comment ref="I138" authorId="3" shapeId="0">
      <text>
        <r>
          <rPr>
            <sz val="8"/>
            <color indexed="81"/>
            <rFont val="Tahoma"/>
            <family val="2"/>
            <charset val="204"/>
          </rPr>
          <t>Связанная ячейка - завтрак, гарнир</t>
        </r>
      </text>
    </comment>
    <comment ref="N138" authorId="3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Хлеб на завтрак</t>
        </r>
      </text>
    </comment>
    <comment ref="T138" authorId="6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3-е на завтрак</t>
        </r>
      </text>
    </comment>
    <comment ref="R146" authorId="3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3 блюдо ПН</t>
        </r>
      </text>
    </comment>
    <comment ref="T151" authorId="6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3-е на завтрак</t>
        </r>
      </text>
    </comment>
    <comment ref="R159" authorId="3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3 блюдо</t>
        </r>
      </text>
    </comment>
    <comment ref="T160" authorId="6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Вторник: 3-е на ужин</t>
        </r>
      </text>
    </comment>
    <comment ref="T164" authorId="6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Среда 3-е на завтрак</t>
        </r>
      </text>
    </comment>
    <comment ref="T173" authorId="6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Среда: 3-е на ужин</t>
        </r>
      </text>
    </comment>
    <comment ref="T177" authorId="6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Четверг: 3-е на завтрак</t>
        </r>
      </text>
    </comment>
    <comment ref="T186" authorId="6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Четверг: 3-е на ужин</t>
        </r>
      </text>
    </comment>
    <comment ref="T207" authorId="6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3-е на завтрак</t>
        </r>
      </text>
    </comment>
    <comment ref="T220" authorId="6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3-е на завтрак</t>
        </r>
      </text>
    </comment>
    <comment ref="B223" authorId="7" shapeId="0">
      <text>
        <r>
          <rPr>
            <b/>
            <sz val="8"/>
            <color indexed="81"/>
            <rFont val="Tahoma"/>
            <family val="2"/>
            <charset val="204"/>
          </rPr>
          <t>Продовольственная служба:</t>
        </r>
        <r>
          <rPr>
            <sz val="8"/>
            <color indexed="81"/>
            <rFont val="Tahoma"/>
            <family val="2"/>
            <charset val="204"/>
          </rPr>
          <t xml:space="preserve">
дрожжи пресованные</t>
        </r>
      </text>
    </comment>
    <comment ref="T233" authorId="6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3-е на завтрак
</t>
        </r>
      </text>
    </comment>
  </commentList>
</comments>
</file>

<file path=xl/comments2.xml><?xml version="1.0" encoding="utf-8"?>
<comments xmlns="http://schemas.openxmlformats.org/spreadsheetml/2006/main">
  <authors>
    <author>Master</author>
    <author>Николай</author>
    <author>Пикалов Николай</author>
    <author>Продовольственная служба</author>
  </authors>
  <commentList>
    <comment ref="AX14" authorId="0" shapeId="0">
      <text>
        <r>
          <rPr>
            <sz val="8"/>
            <color indexed="81"/>
            <rFont val="Tahoma"/>
            <family val="2"/>
            <charset val="204"/>
          </rPr>
          <t>Ежедневно на завтрак</t>
        </r>
      </text>
    </comment>
    <comment ref="BY25" authorId="1" shapeId="0">
      <text>
        <r>
          <rPr>
            <b/>
            <sz val="8"/>
            <color indexed="81"/>
            <rFont val="Tahoma"/>
            <family val="2"/>
            <charset val="204"/>
          </rPr>
          <t>масса лука и моркови росле обр-ки</t>
        </r>
      </text>
    </comment>
    <comment ref="BZ25" authorId="1" shapeId="0">
      <text>
        <r>
          <rPr>
            <b/>
            <sz val="8"/>
            <color indexed="81"/>
            <rFont val="Tahoma"/>
            <family val="2"/>
            <charset val="204"/>
          </rPr>
          <t>Если выдается соус то 1, нет - 0</t>
        </r>
      </text>
    </comment>
    <comment ref="CD25" authorId="2" shapeId="0">
      <text>
        <r>
          <rPr>
            <b/>
            <sz val="8"/>
            <color indexed="81"/>
            <rFont val="Tahoma"/>
            <family val="2"/>
            <charset val="204"/>
          </rPr>
          <t>ОКГ на завтрак</t>
        </r>
      </text>
    </comment>
    <comment ref="CQ25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ОКГ на завтрак</t>
        </r>
      </text>
    </comment>
    <comment ref="BC27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ввода'!T138=8;(35-AG33/2)*1,4;ЕСЛИ(И('Блок ввода'!B21="курсантского";'Блок ввода'!T138=7);3;ЕСЛИ('Блок ввода'!T138=7;4,8;1,5)))</t>
        </r>
      </text>
    </comment>
    <comment ref="BE27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ввода'!T138=6;(35-AG33/2)*1,4;0)</t>
        </r>
      </text>
    </comment>
    <comment ref="AI33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ввода'!R146=7;100;ЕСЛИ('Блок ввода'!R146=4;100;ЕСЛИ(И('Блок ввода'!$AA$32=1;ИЛИ('Блок ввода'!R146=1;'Блок ввода'!R146=7;'Блок ввода'!R146=4));200;ЕСЛИ('Блок ввода'!R146=1;200;ЕСЛИ('Блок ввода'!R146=2;200;ЕСЛИ(ИЛИ('Блок ввода'!R146=5;'Блок ввода'!R146=6);100;0))))))</t>
        </r>
      </text>
    </comment>
    <comment ref="BB33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ввода'!S25=ИСТИНА;0;ЕСЛИ('Блок ввода'!R146=3;200+ЕСЛИ('Блок ввода'!$A$35=1;400-(AI33*3));ЕСЛИ(ИЛИ('Блок ввода'!R146=4;'Блок ввода'!R146=7);200+ЕСЛИ('Блок ввода'!$A$35=1;400-(AI33*3));ЕСЛИ(ИЛИ('Блок ввода'!R146=5; 'Блок ввода'!R146=7);200+ЕСЛИ('Блок ввода'!$A$35=1;400-(AI33*3));0))))</t>
        </r>
      </text>
    </comment>
    <comment ref="AH36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=ЕСЛИ(ИЛИ('Блок ввода'!T147=4;'Блок ввода'!T147=7);0;ЕСЛИ(И('Блок ввода'!$Y$39=ИСТИНА;'Блок ввода'!N143=3);2,4;1+ЕСЛИ(И('Блок ввода'!$B$21="курсантского";'Блок ввода'!T138=7);0,6)))</t>
        </r>
      </text>
    </comment>
    <comment ref="BH36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ввода'!$B$223=1;O36/37,5/2;O36/37,5)</t>
        </r>
      </text>
    </comment>
    <comment ref="BZ38" authorId="1" shapeId="0">
      <text>
        <r>
          <rPr>
            <b/>
            <sz val="8"/>
            <color indexed="81"/>
            <rFont val="Tahoma"/>
            <family val="2"/>
            <charset val="204"/>
          </rPr>
          <t>Если выдается соус то 1, нет - 0</t>
        </r>
      </text>
    </comment>
    <comment ref="CD38" authorId="2" shapeId="0">
      <text>
        <r>
          <rPr>
            <b/>
            <sz val="8"/>
            <color indexed="81"/>
            <rFont val="Tahoma"/>
            <family val="2"/>
            <charset val="204"/>
          </rPr>
          <t>ОКГ на завтрак</t>
        </r>
      </text>
    </comment>
    <comment ref="AI46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ввода'!R146=7;100;ЕСЛИ('Блок ввода'!R146=4;100;ЕСЛИ(И('Блок ввода'!$AA$32=1;ИЛИ('Блок ввода'!R146=1;'Блок ввода'!R146=7;'Блок ввода'!R146=4));200;ЕСЛИ('Блок ввода'!R146=1;200;ЕСЛИ('Блок ввода'!R146=2;200;ЕСЛИ(ИЛИ('Блок ввода'!R146=5;'Блок ввода'!R146=6);100;0))))))</t>
        </r>
      </text>
    </comment>
    <comment ref="BH49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ввода'!$B$223=1;O36/37,5/2;O36/37,5)</t>
        </r>
      </text>
    </comment>
    <comment ref="BZ51" authorId="1" shapeId="0">
      <text>
        <r>
          <rPr>
            <b/>
            <sz val="8"/>
            <color indexed="81"/>
            <rFont val="Tahoma"/>
            <family val="2"/>
            <charset val="204"/>
          </rPr>
          <t>Если выдается соус то 1, нет - 0</t>
        </r>
      </text>
    </comment>
    <comment ref="CD51" authorId="2" shapeId="0">
      <text>
        <r>
          <rPr>
            <b/>
            <sz val="8"/>
            <color indexed="81"/>
            <rFont val="Tahoma"/>
            <family val="2"/>
            <charset val="204"/>
          </rPr>
          <t>ОКГ на завтрак</t>
        </r>
      </text>
    </comment>
    <comment ref="AI59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ввода'!R146=7;100;ЕСЛИ('Блок ввода'!R146=4;100;ЕСЛИ(И('Блок ввода'!$AA$32=1;ИЛИ('Блок ввода'!R146=1;'Блок ввода'!R146=7;'Блок ввода'!R146=4));200;ЕСЛИ('Блок ввода'!R146=1;200;ЕСЛИ('Блок ввода'!R146=2;200;ЕСЛИ(ИЛИ('Блок ввода'!R146=5;'Блок ввода'!R146=6);100;0))))))</t>
        </r>
      </text>
    </comment>
    <comment ref="BH62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ввода'!$B$223=1;O36/37,5/2;O36/37,5)</t>
        </r>
      </text>
    </comment>
    <comment ref="BZ64" authorId="1" shapeId="0">
      <text>
        <r>
          <rPr>
            <b/>
            <sz val="8"/>
            <color indexed="81"/>
            <rFont val="Tahoma"/>
            <family val="2"/>
            <charset val="204"/>
          </rPr>
          <t>Если выдается соус то 1, нет - 0</t>
        </r>
      </text>
    </comment>
    <comment ref="CD64" authorId="2" shapeId="0">
      <text>
        <r>
          <rPr>
            <b/>
            <sz val="8"/>
            <color indexed="81"/>
            <rFont val="Tahoma"/>
            <family val="2"/>
            <charset val="204"/>
          </rPr>
          <t>ОКГ на завтрак</t>
        </r>
      </text>
    </comment>
    <comment ref="AI72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ввода'!R146=7;100;ЕСЛИ('Блок ввода'!R146=4;100;ЕСЛИ(И('Блок ввода'!$AA$32=1;ИЛИ('Блок ввода'!R146=1;'Блок ввода'!R146=7;'Блок ввода'!R146=4));200;ЕСЛИ('Блок ввода'!R146=1;200;ЕСЛИ('Блок ввода'!R146=2;200;ЕСЛИ(ИЛИ('Блок ввода'!R146=5;'Блок ввода'!R146=6);100;0))))))</t>
        </r>
      </text>
    </comment>
    <comment ref="BH75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ввода'!$B$223=1;O36/37,5/2;O36/37,5)</t>
        </r>
      </text>
    </comment>
    <comment ref="BZ94" authorId="1" shapeId="0">
      <text>
        <r>
          <rPr>
            <b/>
            <sz val="8"/>
            <color indexed="81"/>
            <rFont val="Tahoma"/>
            <family val="2"/>
            <charset val="204"/>
          </rPr>
          <t>Если выдается соус то 1, нет - 0</t>
        </r>
      </text>
    </comment>
    <comment ref="CD94" authorId="2" shapeId="0">
      <text>
        <r>
          <rPr>
            <b/>
            <sz val="8"/>
            <color indexed="81"/>
            <rFont val="Tahoma"/>
            <family val="2"/>
            <charset val="204"/>
          </rPr>
          <t>ОКГ на завтрак</t>
        </r>
      </text>
    </comment>
    <comment ref="AI102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ввода'!R146=7;100;ЕСЛИ('Блок ввода'!R146=4;100;ЕСЛИ(И('Блок ввода'!$AA$32=1;ИЛИ('Блок ввода'!R146=1;'Блок ввода'!R146=7;'Блок ввода'!R146=4));200;ЕСЛИ('Блок ввода'!R146=1;200;ЕСЛИ('Блок ввода'!R146=2;200;ЕСЛИ(ИЛИ('Блок ввода'!R146=5;'Блок ввода'!R146=6);100;0))))))</t>
        </r>
      </text>
    </comment>
    <comment ref="BH105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ввода'!$B$223=1;O36/37,5/2;O36/37,5)</t>
        </r>
      </text>
    </comment>
    <comment ref="CD107" authorId="2" shapeId="0">
      <text>
        <r>
          <rPr>
            <b/>
            <sz val="8"/>
            <color indexed="81"/>
            <rFont val="Tahoma"/>
            <family val="2"/>
            <charset val="204"/>
          </rPr>
          <t>ОКГ на завтрак</t>
        </r>
      </text>
    </comment>
    <comment ref="AI115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ввода'!R146=7;100;ЕСЛИ('Блок ввода'!R146=4;100;ЕСЛИ(И('Блок ввода'!$AA$32=1;ИЛИ('Блок ввода'!R146=1;'Блок ввода'!R146=7;'Блок ввода'!R146=4));200;ЕСЛИ('Блок ввода'!R146=1;200;ЕСЛИ('Блок ввода'!R146=2;200;ЕСЛИ(ИЛИ('Блок ввода'!R146=5;'Блок ввода'!R146=6);100;0))))))</t>
        </r>
      </text>
    </comment>
    <comment ref="BH118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ввода'!$B$223=1;O36/37,5/2;O36/37,5)</t>
        </r>
      </text>
    </comment>
    <comment ref="CD120" authorId="2" shapeId="0">
      <text>
        <r>
          <rPr>
            <b/>
            <sz val="8"/>
            <color indexed="81"/>
            <rFont val="Tahoma"/>
            <family val="2"/>
            <charset val="204"/>
          </rPr>
          <t>ОКГ на завтрак</t>
        </r>
      </text>
    </comment>
    <comment ref="AI128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ввода'!R146=7;100;ЕСЛИ('Блок ввода'!R146=4;100;ЕСЛИ(И('Блок ввода'!$AA$32=1;ИЛИ('Блок ввода'!R146=1;'Блок ввода'!R146=7;'Блок ввода'!R146=4));200;ЕСЛИ('Блок ввода'!R146=1;200;ЕСЛИ('Блок ввода'!R146=2;200;ЕСЛИ(ИЛИ('Блок ввода'!R146=5;'Блок ввода'!R146=6);100;0))))))</t>
        </r>
      </text>
    </comment>
    <comment ref="BH131" authorId="0" shapeId="0">
      <text>
        <r>
          <rPr>
            <b/>
            <sz val="8"/>
            <color indexed="81"/>
            <rFont val="Tahoma"/>
            <family val="2"/>
            <charset val="204"/>
          </rPr>
          <t>Master:</t>
        </r>
        <r>
          <rPr>
            <sz val="8"/>
            <color indexed="81"/>
            <rFont val="Tahoma"/>
            <family val="2"/>
            <charset val="204"/>
          </rPr>
          <t xml:space="preserve">
=ЕСЛИ('Блок ввода'!$B$223=1;O36/37,5/2;O36/37,5)</t>
        </r>
      </text>
    </comment>
    <comment ref="CB134" authorId="3" shapeId="0">
      <text>
        <r>
          <rPr>
            <b/>
            <sz val="8"/>
            <color indexed="81"/>
            <rFont val="Tahoma"/>
            <family val="2"/>
            <charset val="204"/>
          </rPr>
          <t>Продовольственная служба:</t>
        </r>
        <r>
          <rPr>
            <sz val="8"/>
            <color indexed="81"/>
            <rFont val="Tahoma"/>
            <family val="2"/>
            <charset val="204"/>
          </rPr>
          <t xml:space="preserve">
 В среднем овощей в сутки !</t>
        </r>
      </text>
    </comment>
    <comment ref="CC134" authorId="3" shapeId="0">
      <text>
        <r>
          <rPr>
            <b/>
            <sz val="8"/>
            <color indexed="81"/>
            <rFont val="Tahoma"/>
            <family val="2"/>
            <charset val="204"/>
          </rPr>
          <t>Продовольственная служба:</t>
        </r>
        <r>
          <rPr>
            <sz val="8"/>
            <color indexed="81"/>
            <rFont val="Tahoma"/>
            <family val="2"/>
            <charset val="204"/>
          </rPr>
          <t xml:space="preserve">
 В среднем крупы в сутки !</t>
        </r>
      </text>
    </comment>
    <comment ref="CD134" authorId="2" shapeId="0">
      <text>
        <r>
          <rPr>
            <b/>
            <sz val="8"/>
            <color indexed="81"/>
            <rFont val="Tahoma"/>
            <family val="2"/>
            <charset val="204"/>
          </rPr>
          <t>Пикалов Николай:</t>
        </r>
        <r>
          <rPr>
            <sz val="8"/>
            <color indexed="81"/>
            <rFont val="Tahoma"/>
            <family val="2"/>
            <charset val="204"/>
          </rPr>
          <t xml:space="preserve">
ОКГ за неделю/7 при условии что выдается конс. мясораст</t>
        </r>
      </text>
    </comment>
  </commentList>
</comments>
</file>

<file path=xl/comments3.xml><?xml version="1.0" encoding="utf-8"?>
<comments xmlns="http://schemas.openxmlformats.org/spreadsheetml/2006/main">
  <authors>
    <author>Николай</author>
    <author>INEL</author>
  </authors>
  <commentList>
    <comment ref="X1" authorId="0" shapeId="0">
      <text>
        <r>
          <rPr>
            <sz val="8"/>
            <color indexed="81"/>
            <rFont val="Tahoma"/>
            <family val="2"/>
            <charset val="204"/>
          </rPr>
          <t>экономия хлнба в фоме -хлеб</t>
        </r>
      </text>
    </comment>
    <comment ref="V102" authorId="1" shapeId="0">
      <text>
        <r>
          <rPr>
            <b/>
            <sz val="8"/>
            <color indexed="81"/>
            <rFont val="Tahoma"/>
            <family val="2"/>
            <charset val="204"/>
          </rPr>
          <t>Экономия</t>
        </r>
      </text>
    </comment>
  </commentList>
</comments>
</file>

<file path=xl/comments4.xml><?xml version="1.0" encoding="utf-8"?>
<comments xmlns="http://schemas.openxmlformats.org/spreadsheetml/2006/main">
  <authors>
    <author>Николай</author>
  </authors>
  <commentList>
    <comment ref="Q1" authorId="0" shapeId="0">
      <text>
        <r>
          <rPr>
            <sz val="8"/>
            <color indexed="81"/>
            <rFont val="Tahoma"/>
            <family val="2"/>
            <charset val="204"/>
          </rPr>
          <t>экономия хлнба в фоме -хлеб</t>
        </r>
      </text>
    </comment>
  </commentList>
</comments>
</file>

<file path=xl/sharedStrings.xml><?xml version="1.0" encoding="utf-8"?>
<sst xmlns="http://schemas.openxmlformats.org/spreadsheetml/2006/main" count="2489" uniqueCount="616">
  <si>
    <t>Приемы пищи</t>
  </si>
  <si>
    <t>НАИМЕНОВАНИЕ БЛЮД</t>
  </si>
  <si>
    <t>Н а и м е н о в а н и е   п р о д у к т о в   и   м а с с а   в   г р а м м а х   н а    1    ч е л о в е к а</t>
  </si>
  <si>
    <t>Крупы  разные</t>
  </si>
  <si>
    <t>Мясо - рыба</t>
  </si>
  <si>
    <t>Жиры</t>
  </si>
  <si>
    <t>О в о щ и</t>
  </si>
  <si>
    <t>Хлеб из муки ржаной или пшеничной обойной</t>
  </si>
  <si>
    <t>Р   и   с</t>
  </si>
  <si>
    <t>М   я   с   о</t>
  </si>
  <si>
    <t>консервы  мясные</t>
  </si>
  <si>
    <t>рыба,  сельдь</t>
  </si>
  <si>
    <t>консервы  рыбные</t>
  </si>
  <si>
    <t>жиры  животные</t>
  </si>
  <si>
    <t>масло  коровье</t>
  </si>
  <si>
    <t>масло  растительное</t>
  </si>
  <si>
    <t>С а х а р</t>
  </si>
  <si>
    <t>С о л ь</t>
  </si>
  <si>
    <t>картофель</t>
  </si>
  <si>
    <t>капуста свежая                               или квашеная</t>
  </si>
  <si>
    <t>с в е к л а</t>
  </si>
  <si>
    <t>коренья, зелень,                                огурцы</t>
  </si>
  <si>
    <t>томат-паста</t>
  </si>
  <si>
    <t>лавровый лист</t>
  </si>
  <si>
    <t>п е р е ц</t>
  </si>
  <si>
    <t>горчичный  порошок</t>
  </si>
  <si>
    <t>Общая  масса  готового               блюда, г</t>
  </si>
  <si>
    <t>Итого   продуктов   за   день :</t>
  </si>
  <si>
    <t>" У Т В Е Р Ж Д А Ю "</t>
  </si>
  <si>
    <t>Форма  66</t>
  </si>
  <si>
    <t>(на одного человека в сутки)</t>
  </si>
  <si>
    <t>(воинская часть,  подразделение)</t>
  </si>
  <si>
    <t>Всего по раскладке:</t>
  </si>
  <si>
    <t>(воинское звание,  подпись,  фамилия)</t>
  </si>
  <si>
    <t>Гречневая</t>
  </si>
  <si>
    <t>Пшенная</t>
  </si>
  <si>
    <t>Горошек зеленый</t>
  </si>
  <si>
    <t>Масса  мясных  и  рыбных порций, г</t>
  </si>
  <si>
    <t>Среднее в сутки</t>
  </si>
  <si>
    <t>Картофель сухой</t>
  </si>
  <si>
    <t>Перловая</t>
  </si>
  <si>
    <t xml:space="preserve">П о н е д е л ь н и к </t>
  </si>
  <si>
    <t>Вторник</t>
  </si>
  <si>
    <t>Четверг</t>
  </si>
  <si>
    <t>П  я  т  н  и  ц  а</t>
  </si>
  <si>
    <t>С  у  б  б  о  т  а</t>
  </si>
  <si>
    <t>по</t>
  </si>
  <si>
    <t xml:space="preserve">на время с </t>
  </si>
  <si>
    <t>Морковь</t>
  </si>
  <si>
    <t>Соус</t>
  </si>
  <si>
    <t>Пюре</t>
  </si>
  <si>
    <t>Картофель отв.</t>
  </si>
  <si>
    <t>Картофель пюре</t>
  </si>
  <si>
    <t>Свекла</t>
  </si>
  <si>
    <t xml:space="preserve">(воинское звание,  подпись,  фамилия)                        </t>
  </si>
  <si>
    <t xml:space="preserve">(воинское звание,  подпись,  фамилия)                  </t>
  </si>
  <si>
    <t>Понедельник</t>
  </si>
  <si>
    <t>Среда</t>
  </si>
  <si>
    <t>Пятница</t>
  </si>
  <si>
    <t>Суббота</t>
  </si>
  <si>
    <t>Воскресенье</t>
  </si>
  <si>
    <t>Макарон.изделия</t>
  </si>
  <si>
    <t>Я  й ц о</t>
  </si>
  <si>
    <t xml:space="preserve">Винегрет </t>
  </si>
  <si>
    <t>Салат картофельный</t>
  </si>
  <si>
    <t>Салат картофельный с огурцами</t>
  </si>
  <si>
    <t>Салат из свеклы</t>
  </si>
  <si>
    <t>Икра свекольная</t>
  </si>
  <si>
    <t>Салат овощной</t>
  </si>
  <si>
    <t>Салат из сол.огурцов с луком</t>
  </si>
  <si>
    <t>Салат из сол.помидоров</t>
  </si>
  <si>
    <t>Маринованная свекла</t>
  </si>
  <si>
    <t>Салат из овощей с крупой</t>
  </si>
  <si>
    <t>Икра овощная</t>
  </si>
  <si>
    <t>Щи из св. капусты с картофелем</t>
  </si>
  <si>
    <t>Борщ</t>
  </si>
  <si>
    <t>Борщ зеленый</t>
  </si>
  <si>
    <t>Рассольник</t>
  </si>
  <si>
    <t>Рассольник ленинградский</t>
  </si>
  <si>
    <t>Рассольник домашний</t>
  </si>
  <si>
    <t>Суп картофельный</t>
  </si>
  <si>
    <t>Суп карт.с макарон.издел.</t>
  </si>
  <si>
    <t>Суп карт.со щавелем</t>
  </si>
  <si>
    <t>Суп карт.с бобовыми</t>
  </si>
  <si>
    <t>Щи из кваш.капусты с крупой</t>
  </si>
  <si>
    <t>Щи из кваш.капусты с фасолью</t>
  </si>
  <si>
    <t>Щи из кваш.капусты с картофелем</t>
  </si>
  <si>
    <t>Суп карт.с крупой гречневой</t>
  </si>
  <si>
    <t>Суп карт.с крупой ячневой</t>
  </si>
  <si>
    <t>Суп полевой</t>
  </si>
  <si>
    <t>Суп молочный с макар.изделиями</t>
  </si>
  <si>
    <t>Суп молочный рисовый</t>
  </si>
  <si>
    <t>Суп молочный гречневый</t>
  </si>
  <si>
    <t>Котлеты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</si>
  <si>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</si>
  <si>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</si>
  <si>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</si>
  <si>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</si>
  <si>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</si>
  <si>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</si>
  <si>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</si>
  <si>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Компот, хлеб</t>
  </si>
  <si>
    <t>Кисель, хлеб</t>
  </si>
  <si>
    <t>Сок, хлеб</t>
  </si>
  <si>
    <t>лук репчатый</t>
  </si>
  <si>
    <t>Бобовые</t>
  </si>
  <si>
    <t>Компот, сок, хлеб</t>
  </si>
  <si>
    <t>Кисель, сок, хлеб</t>
  </si>
  <si>
    <t>Варка крупными кусками</t>
  </si>
  <si>
    <t>Тушение порционными кусками</t>
  </si>
  <si>
    <t>Жарение крупными кусками</t>
  </si>
  <si>
    <t>Тушение мелкими кусками</t>
  </si>
  <si>
    <t>Тефтели</t>
  </si>
  <si>
    <t>Говядина</t>
  </si>
  <si>
    <t>Баранина</t>
  </si>
  <si>
    <t>Свинина</t>
  </si>
  <si>
    <t>Вар.</t>
  </si>
  <si>
    <t>Жар.</t>
  </si>
  <si>
    <t>Куры</t>
  </si>
  <si>
    <t>.</t>
  </si>
  <si>
    <t>, молоко</t>
  </si>
  <si>
    <t>Винегрет с крупой</t>
  </si>
  <si>
    <t>НАИМЕНОВАНИЯ  ПРОДУКТОВ</t>
  </si>
  <si>
    <t>ЗАВТРАК</t>
  </si>
  <si>
    <t>ОБЕД</t>
  </si>
  <si>
    <t>УЖИН</t>
  </si>
  <si>
    <t>В НАКЛАДНУЮ НА ЗАВТРАК</t>
  </si>
  <si>
    <t>В НАКЛАДНУЮ НА ОБЕД</t>
  </si>
  <si>
    <t>В НАКЛАДНУЮ НА УЖИН</t>
  </si>
  <si>
    <t>ИТОГО :</t>
  </si>
  <si>
    <t>МУКА ПШЕНИЧНАЯ 1 С.</t>
  </si>
  <si>
    <t>МУКА ПШЕНИЧНАЯ 2С.</t>
  </si>
  <si>
    <t>РИС</t>
  </si>
  <si>
    <t>КРУПА ГРЕЧНЕВАЯ</t>
  </si>
  <si>
    <t>КРУПА ПЕРЛОВАЯ</t>
  </si>
  <si>
    <t>КРУПА ГОРОХ</t>
  </si>
  <si>
    <t>КРУПА ПШЕНО</t>
  </si>
  <si>
    <t>КРУПА ПШЕНИЧНАЯ</t>
  </si>
  <si>
    <t>МАКАРОННЫЕ ИЗДЕЛИЯ</t>
  </si>
  <si>
    <t>МЯСО ПТИЦЫ</t>
  </si>
  <si>
    <t>КОЛБАСА</t>
  </si>
  <si>
    <t>МАСЛО РАСТИТЕЛЬНОЕ</t>
  </si>
  <si>
    <t>МАСЛО КОРОВЬЕ</t>
  </si>
  <si>
    <t>ЖИРЫ ЖИВОТНЫЕ</t>
  </si>
  <si>
    <t>СМЕТАНА</t>
  </si>
  <si>
    <t>ТВОРОГ</t>
  </si>
  <si>
    <t>САХАР</t>
  </si>
  <si>
    <t>СОЛЬ ПИЩЕВАЯ</t>
  </si>
  <si>
    <t>ЧАЙ</t>
  </si>
  <si>
    <t>КОФЕ НАТУРАЛЬНЫЙ</t>
  </si>
  <si>
    <t>ЛАВРОВЫЙ ЛИСТ</t>
  </si>
  <si>
    <t>ПЕРЕЦ</t>
  </si>
  <si>
    <t>ГОРЧИЧНЫЙ ПОРОШОК</t>
  </si>
  <si>
    <t>ЖЕЛАТИН</t>
  </si>
  <si>
    <t>КАРТОФЕЛЬ</t>
  </si>
  <si>
    <t xml:space="preserve">КАПУСТА  </t>
  </si>
  <si>
    <t>СВЕКЛА</t>
  </si>
  <si>
    <t>МОРКОВЬ</t>
  </si>
  <si>
    <t>ФРУКТЫ СУШЁНЫЕ</t>
  </si>
  <si>
    <t>КИСЕЛЬ ПЛОДОВЫЙ ИЛИ ЯГОДНЫЙ</t>
  </si>
  <si>
    <t>ФОРМА 2А</t>
  </si>
  <si>
    <t>ИТОГО:</t>
  </si>
  <si>
    <t>ХЛЕБ ИЗ СМЕСИ МУКИ РЖ. И ПШ.</t>
  </si>
  <si>
    <t>кг.</t>
  </si>
  <si>
    <t>шт.</t>
  </si>
  <si>
    <t>ПРОДУКТЫ ВЫДАНЫ</t>
  </si>
  <si>
    <t>ПРОДУКТЫ ПРИНЯТЫ</t>
  </si>
  <si>
    <t>Ед.изм</t>
  </si>
  <si>
    <t>Начальник П.Скл.:</t>
  </si>
  <si>
    <t>КРУПА ЯЧНЕВАЯ</t>
  </si>
  <si>
    <t>ПОВИДЛО, ВАРЕНЬЕ</t>
  </si>
  <si>
    <t xml:space="preserve"> Ячневая</t>
  </si>
  <si>
    <t>Пшеничная</t>
  </si>
  <si>
    <t xml:space="preserve">В т о р н и к </t>
  </si>
  <si>
    <t>С р е д а</t>
  </si>
  <si>
    <t>Ч е т в е р г</t>
  </si>
  <si>
    <t>Огурцы</t>
  </si>
  <si>
    <t>Салат из свеклы с луком</t>
  </si>
  <si>
    <t xml:space="preserve">Лук </t>
  </si>
  <si>
    <t xml:space="preserve">  ,омлет</t>
  </si>
  <si>
    <t xml:space="preserve">  ,яйцо</t>
  </si>
  <si>
    <t xml:space="preserve">Пшеничная </t>
  </si>
  <si>
    <t>Ячневая</t>
  </si>
  <si>
    <t>П  р  о  ч  е  е</t>
  </si>
  <si>
    <t>КОНСЕРВЫ МЯСНЫЕ</t>
  </si>
  <si>
    <t>Колбаса</t>
  </si>
  <si>
    <t>Биточки</t>
  </si>
  <si>
    <t>Компот конс.</t>
  </si>
  <si>
    <t>СВЕКЛА СВЕЖАЯ</t>
  </si>
  <si>
    <t>Пн</t>
  </si>
  <si>
    <t>Вт</t>
  </si>
  <si>
    <t>Ср</t>
  </si>
  <si>
    <t>Чт</t>
  </si>
  <si>
    <t>Пт</t>
  </si>
  <si>
    <t>Сб</t>
  </si>
  <si>
    <t>Вс</t>
  </si>
  <si>
    <t>КОМПОТ КОНС.</t>
  </si>
  <si>
    <t xml:space="preserve"> </t>
  </si>
  <si>
    <t xml:space="preserve"> с карт.отварным,</t>
  </si>
  <si>
    <t xml:space="preserve"> с карт.тушеным,</t>
  </si>
  <si>
    <t xml:space="preserve"> с капустой тушеной,</t>
  </si>
  <si>
    <t xml:space="preserve"> со свеклой тушеной,</t>
  </si>
  <si>
    <t>с кашей комбинированной,</t>
  </si>
  <si>
    <t>З</t>
  </si>
  <si>
    <t>О</t>
  </si>
  <si>
    <t>У</t>
  </si>
  <si>
    <t>с кашей гречневой рас,</t>
  </si>
  <si>
    <t>с кашей перловой рас,</t>
  </si>
  <si>
    <t>с кашей пшенной рас,</t>
  </si>
  <si>
    <t>с кашей пшеничной рас,</t>
  </si>
  <si>
    <t>с кашей ячневой рас,</t>
  </si>
  <si>
    <t>с  гороховым пюре,</t>
  </si>
  <si>
    <t>Лук - перо</t>
  </si>
  <si>
    <t xml:space="preserve">                                                          </t>
  </si>
  <si>
    <t>на</t>
  </si>
  <si>
    <t xml:space="preserve">прапорщик  </t>
  </si>
  <si>
    <t>Конс. овощ. закусочные:"_____________________"</t>
  </si>
  <si>
    <t>КОФЕЙНЫЙ НАПИТОК</t>
  </si>
  <si>
    <t>НАИМЕНОВАНИЯ  ПРОДУКТОВ
на вторник</t>
  </si>
  <si>
    <t>НАИМЕНОВАНИЯ  ПРОДУКТОВ
на среду</t>
  </si>
  <si>
    <t>НАИМЕНОВАНИЯ  ПРОДУКТОВ
на четверг</t>
  </si>
  <si>
    <t>НАИМЕНОВАНИЯ  ПРОДУКТОВ
на пятницу</t>
  </si>
  <si>
    <t>НАИМЕНОВАНИЯ  ПРОДУКТОВ
на субботу</t>
  </si>
  <si>
    <t>НАИМЕНОВАНИЯ  ПРОДУКТОВ
на воскресенье</t>
  </si>
  <si>
    <t>Икра кабачковая</t>
  </si>
  <si>
    <t>свекла / конс.ов. зак.</t>
  </si>
  <si>
    <t>Салат из свежих огурцов</t>
  </si>
  <si>
    <t>КАБАЧКИ</t>
  </si>
  <si>
    <t>Закуска-100%</t>
  </si>
  <si>
    <t>1 блюдо-50%</t>
  </si>
  <si>
    <t>2 блюдо-50%</t>
  </si>
  <si>
    <t>3 блюдо-100%</t>
  </si>
  <si>
    <t>Салат из свежих помидоров</t>
  </si>
  <si>
    <t>Делопроизводитель</t>
  </si>
  <si>
    <t>получатель:</t>
  </si>
  <si>
    <t>ЗАКАЗ ХЛЕБА НА</t>
  </si>
  <si>
    <t>ЛИНИЯ ОТРЫВА</t>
  </si>
  <si>
    <t>Делопроизводитель:</t>
  </si>
  <si>
    <t>КОНСЕРВЫ ОВ. ЗАКУС.</t>
  </si>
  <si>
    <t>КОНС. ОВ. ЗАКУС.</t>
  </si>
  <si>
    <t xml:space="preserve"> с карт.жареным,</t>
  </si>
  <si>
    <t>Сахар</t>
  </si>
  <si>
    <t>Чай</t>
  </si>
  <si>
    <t>Масло сл.</t>
  </si>
  <si>
    <t>Хлеб пш.1с</t>
  </si>
  <si>
    <t>Караул  
Доп. питание</t>
  </si>
  <si>
    <t>Капуста свежая</t>
  </si>
  <si>
    <t>Капуста квашеная</t>
  </si>
  <si>
    <t xml:space="preserve">    </t>
  </si>
  <si>
    <t>Чеснок</t>
  </si>
  <si>
    <t>ЧЕСНОК</t>
  </si>
  <si>
    <t>у к с у с н а я  эссенция</t>
  </si>
  <si>
    <t>Овсяная</t>
  </si>
  <si>
    <t>Концентрат круп.</t>
  </si>
  <si>
    <t>Салат из св. моркови</t>
  </si>
  <si>
    <t>Сало \ мясо</t>
  </si>
  <si>
    <t>рядовой</t>
  </si>
  <si>
    <t xml:space="preserve">Котлеты рыбные </t>
  </si>
  <si>
    <t>ДРАЖЕ "ГЕКСАВИТ"</t>
  </si>
  <si>
    <t xml:space="preserve">  </t>
  </si>
  <si>
    <t>Конс. мясорастител.</t>
  </si>
  <si>
    <t>лечебный паек</t>
  </si>
  <si>
    <t>общевойсковой паек</t>
  </si>
  <si>
    <t>КОНСЕРВЫ МЯСОРАСТИТЕЛЬНЫЕ</t>
  </si>
  <si>
    <t>1 обеденное бл. (конс.)</t>
  </si>
  <si>
    <t>Консервы 1 обед. бл.</t>
  </si>
  <si>
    <t>КОНСЕРВЫ 1 ОБ. БЛЮДА</t>
  </si>
  <si>
    <t>Коф. нап / варенье</t>
  </si>
  <si>
    <t>ОГУРЦЫ СВЕЖИЕ</t>
  </si>
  <si>
    <t>ПОМИДОЫ СВЕЖИЕ</t>
  </si>
  <si>
    <t xml:space="preserve">                 </t>
  </si>
  <si>
    <t>яйцо</t>
  </si>
  <si>
    <t>омлет</t>
  </si>
  <si>
    <t xml:space="preserve"> с картофельным пюре, </t>
  </si>
  <si>
    <t xml:space="preserve">                   (старший  врач)</t>
  </si>
  <si>
    <t>ОТМ. ВРАЧА О КАЧЕСТВЕ ПРОДОВОЛЬСТВИЯ</t>
  </si>
  <si>
    <t>Прим.</t>
  </si>
  <si>
    <t>Салат "Витаминный"</t>
  </si>
  <si>
    <t>Суп картофельный рыбный</t>
  </si>
  <si>
    <t>с макаронами отварн.,</t>
  </si>
  <si>
    <t xml:space="preserve">    ИТОГО:</t>
  </si>
  <si>
    <t xml:space="preserve">                                       ИТОГО:</t>
  </si>
  <si>
    <t>Суп картофельный с крупой рисовой</t>
  </si>
  <si>
    <t>Суп картофельный с крупой пшеничной</t>
  </si>
  <si>
    <t>Цена за 
ед. уч.</t>
  </si>
  <si>
    <t xml:space="preserve"> десять</t>
  </si>
  <si>
    <t xml:space="preserve"> тысяча</t>
  </si>
  <si>
    <t xml:space="preserve"> миллион</t>
  </si>
  <si>
    <t xml:space="preserve"> миллиард</t>
  </si>
  <si>
    <t xml:space="preserve"> триллион</t>
  </si>
  <si>
    <t xml:space="preserve"> один</t>
  </si>
  <si>
    <t xml:space="preserve"> одиннадцать</t>
  </si>
  <si>
    <t xml:space="preserve"> сто</t>
  </si>
  <si>
    <t xml:space="preserve"> тысячи</t>
  </si>
  <si>
    <t xml:space="preserve"> миллиона</t>
  </si>
  <si>
    <t xml:space="preserve"> миллиарда</t>
  </si>
  <si>
    <t xml:space="preserve"> триллиона</t>
  </si>
  <si>
    <t xml:space="preserve"> два</t>
  </si>
  <si>
    <t xml:space="preserve"> двенадцать</t>
  </si>
  <si>
    <t xml:space="preserve"> двадцать</t>
  </si>
  <si>
    <t xml:space="preserve"> двести</t>
  </si>
  <si>
    <t xml:space="preserve"> тысяч</t>
  </si>
  <si>
    <t xml:space="preserve"> миллионов</t>
  </si>
  <si>
    <t xml:space="preserve"> миллиардов</t>
  </si>
  <si>
    <t xml:space="preserve"> триллионов</t>
  </si>
  <si>
    <t xml:space="preserve"> три</t>
  </si>
  <si>
    <t xml:space="preserve"> тринадцать</t>
  </si>
  <si>
    <t xml:space="preserve"> тридцать</t>
  </si>
  <si>
    <t xml:space="preserve"> триста</t>
  </si>
  <si>
    <t xml:space="preserve"> четыре</t>
  </si>
  <si>
    <t xml:space="preserve"> четырнадцать</t>
  </si>
  <si>
    <t xml:space="preserve"> сорок</t>
  </si>
  <si>
    <t xml:space="preserve"> четыреста</t>
  </si>
  <si>
    <t xml:space="preserve"> пять</t>
  </si>
  <si>
    <t xml:space="preserve"> пятнадцать</t>
  </si>
  <si>
    <t xml:space="preserve"> пятьдесят</t>
  </si>
  <si>
    <t xml:space="preserve"> пятьсот</t>
  </si>
  <si>
    <t xml:space="preserve"> одна</t>
  </si>
  <si>
    <t xml:space="preserve"> шесть</t>
  </si>
  <si>
    <t xml:space="preserve"> шестнадцать</t>
  </si>
  <si>
    <t xml:space="preserve"> шестьдесят</t>
  </si>
  <si>
    <t xml:space="preserve"> шестьсот</t>
  </si>
  <si>
    <t xml:space="preserve"> две</t>
  </si>
  <si>
    <t xml:space="preserve"> семь</t>
  </si>
  <si>
    <t xml:space="preserve"> семнадцать</t>
  </si>
  <si>
    <t xml:space="preserve"> семьдесят</t>
  </si>
  <si>
    <t xml:space="preserve"> семьсот</t>
  </si>
  <si>
    <t xml:space="preserve"> восемь</t>
  </si>
  <si>
    <t xml:space="preserve"> восемнадцать</t>
  </si>
  <si>
    <t xml:space="preserve"> восемьдесят</t>
  </si>
  <si>
    <t xml:space="preserve"> восемьсот</t>
  </si>
  <si>
    <t xml:space="preserve"> девять</t>
  </si>
  <si>
    <t xml:space="preserve"> девятнадцать</t>
  </si>
  <si>
    <t xml:space="preserve"> девяносто</t>
  </si>
  <si>
    <t xml:space="preserve"> девятьсот</t>
  </si>
  <si>
    <t>словами</t>
  </si>
  <si>
    <t>коррекция для тысяч</t>
  </si>
  <si>
    <t>склонения</t>
  </si>
  <si>
    <t>разряд</t>
  </si>
  <si>
    <t xml:space="preserve"> -- РЕЗУЛЬТАТ № 2</t>
  </si>
  <si>
    <t xml:space="preserve"> -- Прописью для 1 шт.</t>
  </si>
  <si>
    <t xml:space="preserve"> -- Прописью для 2 шт.</t>
  </si>
  <si>
    <t xml:space="preserve"> -- Прописью для 5 шт.</t>
  </si>
  <si>
    <t xml:space="preserve"> одно</t>
  </si>
  <si>
    <t xml:space="preserve"> -- Число штук № 2</t>
  </si>
  <si>
    <t xml:space="preserve"> -- Род существительного 2: М; Ж; С (по умолчанию- М)</t>
  </si>
  <si>
    <t>с</t>
  </si>
  <si>
    <t>Хлеб из смеси муки ржаной и пшеничной</t>
  </si>
  <si>
    <t>Начальник столовой</t>
  </si>
  <si>
    <t>Повар-инструктор</t>
  </si>
  <si>
    <t>Повар</t>
  </si>
  <si>
    <t>ефрейтор</t>
  </si>
  <si>
    <t>Е.КАЛУГИН</t>
  </si>
  <si>
    <t>Чеснока</t>
  </si>
  <si>
    <t>Подразделение</t>
  </si>
  <si>
    <t>ОБЩ</t>
  </si>
  <si>
    <t>ЛЕЧ</t>
  </si>
  <si>
    <t>ЛЕТ</t>
  </si>
  <si>
    <t>ИТОГ:</t>
  </si>
  <si>
    <t xml:space="preserve">Лук сушеный </t>
  </si>
  <si>
    <t>Лук сушеный</t>
  </si>
  <si>
    <t>Молоко  свеж.</t>
  </si>
  <si>
    <t>МОЛОКО СВЕЖЕЕ</t>
  </si>
  <si>
    <r>
      <t>получатель:</t>
    </r>
    <r>
      <rPr>
        <b/>
        <u/>
        <sz val="12"/>
        <rFont val="Arial Cyr"/>
        <family val="2"/>
        <charset val="204"/>
      </rPr>
      <t xml:space="preserve">                                     </t>
    </r>
  </si>
  <si>
    <t xml:space="preserve">НАЧАЛЬНИК ПРОДОВОЛЬСТВЕННОЙ СЛУЖБЫ: </t>
  </si>
  <si>
    <t>ПОДРАЗДЕЛЕНИЕ № 1</t>
  </si>
  <si>
    <t>ПОДРАЗДЕЛЕНИЕ № 2</t>
  </si>
  <si>
    <t>ПОДРАЗДЕЛЕНИЕ № 3</t>
  </si>
  <si>
    <t>ПОДРАЗДЕЛЕНИЕ № 4</t>
  </si>
  <si>
    <t>ПОДРАЗДЕЛЕНИЕ № 5</t>
  </si>
  <si>
    <t>ПОДРАЗДЕЛЕНИЕ № 6</t>
  </si>
  <si>
    <t>ПОДРАЗДЕЛЕНИЕ № 7</t>
  </si>
  <si>
    <t>ПОДРАЗДЕЛЕНИЕ № 8</t>
  </si>
  <si>
    <t>ПОДРАЗДЕЛЕНИЕ № 9</t>
  </si>
  <si>
    <t>ПОДРАЗДЕЛЕНИЕ № 10</t>
  </si>
  <si>
    <r>
      <t xml:space="preserve">    основание: </t>
    </r>
    <r>
      <rPr>
        <b/>
        <sz val="12"/>
        <rFont val="Arial Cyr"/>
        <charset val="204"/>
      </rPr>
      <t xml:space="preserve">      </t>
    </r>
    <r>
      <rPr>
        <b/>
        <u/>
        <sz val="12"/>
        <rFont val="Arial Cyr"/>
        <family val="2"/>
        <charset val="204"/>
      </rPr>
      <t xml:space="preserve">                               </t>
    </r>
    <r>
      <rPr>
        <u/>
        <sz val="12"/>
        <rFont val="Arial Cyr"/>
        <family val="2"/>
        <charset val="204"/>
      </rPr>
      <t xml:space="preserve">раскладка продуктов, количество питающихся                                      </t>
    </r>
  </si>
  <si>
    <t>КАРАМЕЛЬ</t>
  </si>
  <si>
    <t>с кашей рисовой рас,</t>
  </si>
  <si>
    <t>Мясо, куры потр.</t>
  </si>
  <si>
    <t>РОСПИСЬ ДОЛЖНОСТНЫХ ЛИЦ</t>
  </si>
  <si>
    <t>Салат из свежих помидоров и огурцов</t>
  </si>
  <si>
    <t>Свекольник</t>
  </si>
  <si>
    <t>Яблоки свежие</t>
  </si>
  <si>
    <t>Апельсины</t>
  </si>
  <si>
    <t>Мандарины</t>
  </si>
  <si>
    <t>Ягоды свежие</t>
  </si>
  <si>
    <t>Сок, арбуз</t>
  </si>
  <si>
    <t>) наименование</t>
  </si>
  <si>
    <t>) наименования</t>
  </si>
  <si>
    <t>) наименований</t>
  </si>
  <si>
    <t xml:space="preserve">Котлеты с соусом </t>
  </si>
  <si>
    <t>ХЛЕБ ИЗ СМЕСИ МУКИ РЖАНОЙ</t>
  </si>
  <si>
    <t>генерал-майор</t>
  </si>
  <si>
    <t>капитан</t>
  </si>
  <si>
    <t xml:space="preserve"> - скумбрия в масле </t>
  </si>
  <si>
    <t xml:space="preserve"> - сайра в масле </t>
  </si>
  <si>
    <t xml:space="preserve"> - сельдь в масле </t>
  </si>
  <si>
    <t>Начальник медицинской службы</t>
  </si>
  <si>
    <t>Заместитель командира войсковой части по тылу</t>
  </si>
  <si>
    <t>ст. лейтенант</t>
  </si>
  <si>
    <t>В о с к р е с е н ь е</t>
  </si>
  <si>
    <t>Начальник продовольственной службы части</t>
  </si>
  <si>
    <t xml:space="preserve">Куры жареные с соусом </t>
  </si>
  <si>
    <t xml:space="preserve">Куры отварные с соусом </t>
  </si>
  <si>
    <t>МУКА ПШЕНИЧНАЯ 1 С. (ЗА ХЛЕБ)</t>
  </si>
  <si>
    <t xml:space="preserve">Мясо отвар. с соусом </t>
  </si>
  <si>
    <t xml:space="preserve">Мясо тушен. с соусом </t>
  </si>
  <si>
    <t xml:space="preserve">Мясо жареное с соусом </t>
  </si>
  <si>
    <t xml:space="preserve">Свинина в тесте </t>
  </si>
  <si>
    <t xml:space="preserve">Гуляш </t>
  </si>
  <si>
    <t xml:space="preserve">Азу </t>
  </si>
  <si>
    <t xml:space="preserve">Рагу (капуста, картофель) </t>
  </si>
  <si>
    <t xml:space="preserve">Плов, </t>
  </si>
  <si>
    <t xml:space="preserve">Биточки с соусом </t>
  </si>
  <si>
    <t xml:space="preserve">Шницель с соусом </t>
  </si>
  <si>
    <t xml:space="preserve">Тефтели с крупой </t>
  </si>
  <si>
    <t xml:space="preserve">Бигус </t>
  </si>
  <si>
    <t xml:space="preserve">Макароны по-флотски, </t>
  </si>
  <si>
    <t xml:space="preserve">Жаркое по-домашнему </t>
  </si>
  <si>
    <t xml:space="preserve">Пельмени </t>
  </si>
  <si>
    <t xml:space="preserve">Консервы мясные * </t>
  </si>
  <si>
    <t xml:space="preserve">Сельдь соленая </t>
  </si>
  <si>
    <t xml:space="preserve">Консервы мясные </t>
  </si>
  <si>
    <t>Огурцы свежие</t>
  </si>
  <si>
    <t>Помидоры свежие</t>
  </si>
  <si>
    <t>СУХАРИ (ХЛЕБЦЫ) ИЗ ПШ. МУКИ 1 С.</t>
  </si>
  <si>
    <t xml:space="preserve"> - лещ в том. соусе     </t>
  </si>
  <si>
    <t>Консервы мясорастительные 1/265 '''',</t>
  </si>
  <si>
    <t>чеснока</t>
  </si>
  <si>
    <t>НАИМЕНОВАНИЯ  ПРОДУКТОВ 
на понедельник</t>
  </si>
  <si>
    <t>войсковой части</t>
  </si>
  <si>
    <t>МЯСО  ГОВЯДИНА</t>
  </si>
  <si>
    <t>Горбуша</t>
  </si>
  <si>
    <t>Фарель</t>
  </si>
  <si>
    <t>Минтай</t>
  </si>
  <si>
    <t>Пикша</t>
  </si>
  <si>
    <t>Сайда</t>
  </si>
  <si>
    <t>Сом</t>
  </si>
  <si>
    <t xml:space="preserve">Рыба отварная, </t>
  </si>
  <si>
    <t xml:space="preserve">Рыба припущенная, </t>
  </si>
  <si>
    <t xml:space="preserve">Рыба жареная, </t>
  </si>
  <si>
    <t xml:space="preserve">Рыба жареная в тесте, </t>
  </si>
  <si>
    <t>Винегрет с сельдью</t>
  </si>
  <si>
    <t>50</t>
  </si>
  <si>
    <t>В.ПЕТРОВ</t>
  </si>
  <si>
    <t>А.СИДОРОВ</t>
  </si>
  <si>
    <t>М.СОКОЛОВ</t>
  </si>
  <si>
    <t>С.ФЕДОРОВА</t>
  </si>
  <si>
    <t>О.НИКОЛАЕВА</t>
  </si>
  <si>
    <t>Ю.АРТЕМОВ</t>
  </si>
  <si>
    <t>Скумбрия</t>
  </si>
  <si>
    <t>К.МИХАЙЛОВА</t>
  </si>
  <si>
    <t xml:space="preserve"> - килька в том. соусе     </t>
  </si>
  <si>
    <t xml:space="preserve"> - килька в том. соусе  </t>
  </si>
  <si>
    <t>Дата и дни не-дели</t>
  </si>
  <si>
    <t>Сухари, хлебцы, галеты</t>
  </si>
  <si>
    <t xml:space="preserve">Наименование, номера и дата документов, виды операций </t>
  </si>
  <si>
    <t>Наименование продовольствия</t>
  </si>
  <si>
    <t>ИТОГО</t>
  </si>
  <si>
    <t xml:space="preserve">расхода продовольствия по продовольственному складу </t>
  </si>
  <si>
    <t xml:space="preserve"> - </t>
  </si>
  <si>
    <t>КПВ</t>
  </si>
  <si>
    <t>Принимали участие в КПВ</t>
  </si>
  <si>
    <t>начальник столовой</t>
  </si>
  <si>
    <t>инструктор-повар (старший повар)</t>
  </si>
  <si>
    <t>проведения контрольно-показательной варки</t>
  </si>
  <si>
    <t>При проведении контрольно-показательной варки пища готовилась согласно раскладке продуктов, по которой предусматривалось приготовление следующих блюд:</t>
  </si>
  <si>
    <t>Холодная закуска</t>
  </si>
  <si>
    <t>Первое блюдо</t>
  </si>
  <si>
    <t>Второе блюдо</t>
  </si>
  <si>
    <t>Сладкое блюдо</t>
  </si>
  <si>
    <t>При первичной обработке продуктов отходы составили:</t>
  </si>
  <si>
    <t>Отходы</t>
  </si>
  <si>
    <t>По норме</t>
  </si>
  <si>
    <t>Фактически</t>
  </si>
  <si>
    <t>Масса, кг %</t>
  </si>
  <si>
    <t>Во время проведения контрольно-показательной варки были показаны следующие процессы технологии приготовления пищи:</t>
  </si>
  <si>
    <t>Фактический выход готовых блюд по сравнению с расчетными данными составил:</t>
  </si>
  <si>
    <t>(причины превышения отходов и меры по их сокращению)</t>
  </si>
  <si>
    <t>(отклонения фактического выхода от расчетного. причины и меры принятые к устранению этого недостатка)</t>
  </si>
  <si>
    <t>Органолептическая оценка блюд:</t>
  </si>
  <si>
    <t>Контрольно-показательную варку пищи провел:</t>
  </si>
  <si>
    <t>Масса после первичной обработки, кг</t>
  </si>
  <si>
    <t>Наименование продуктов</t>
  </si>
  <si>
    <t>Выход порции, г</t>
  </si>
  <si>
    <t>Результат, г.</t>
  </si>
  <si>
    <t>расчетный</t>
  </si>
  <si>
    <t>фактический</t>
  </si>
  <si>
    <t>больше
расчетного</t>
  </si>
  <si>
    <t>меньше
расчетного</t>
  </si>
  <si>
    <t>Наименование блюда</t>
  </si>
  <si>
    <t>Кол-во, подлежащее первич. обработ., кг</t>
  </si>
  <si>
    <t>Предложения по дальнейшему улучшению работы столовой:</t>
  </si>
  <si>
    <t>Устранение недостатков, отраженных в актах предыдущих контрольно-показательных варок:</t>
  </si>
  <si>
    <t>Порядок раздачи блюд:</t>
  </si>
  <si>
    <t>Оценка вкусовых качеств пищи по определению питающихся:</t>
  </si>
  <si>
    <r>
      <t>Недостатки,</t>
    </r>
    <r>
      <rPr>
        <sz val="10"/>
        <rFont val="Arial Cyr"/>
        <charset val="204"/>
      </rPr>
      <t xml:space="preserve"> имевшие место при проведении контрольно-показательной варки, и какие получены замечания питающихся о качестве пищи:</t>
    </r>
  </si>
  <si>
    <t>Санитарное состояние производственных, вспомогательных и бытовых помещений столовой:</t>
  </si>
  <si>
    <t>Перед контрольно-показательной варкой была проведена следующая работа по устранению недостатков:</t>
  </si>
  <si>
    <t>Доставка продуктов в столовую и их хранение до кулинарной обработки производились согласно "Руководства по организации питания…"</t>
  </si>
  <si>
    <t>В проведении контрольно-показательной варки пищи принимали участие:</t>
  </si>
  <si>
    <t>общевойскового</t>
  </si>
  <si>
    <t>методом самообслуживания</t>
  </si>
  <si>
    <t>Положительные моменты в подготовке поваров, недостатки в их подготовке:</t>
  </si>
  <si>
    <t/>
  </si>
  <si>
    <t>Отличное</t>
  </si>
  <si>
    <t>11111111111111111</t>
  </si>
  <si>
    <t>222222222222222222</t>
  </si>
  <si>
    <t>33333333333333333</t>
  </si>
  <si>
    <t>5</t>
  </si>
  <si>
    <t>отлично</t>
  </si>
  <si>
    <t xml:space="preserve">Накладная № </t>
  </si>
  <si>
    <t xml:space="preserve">Запеканка крупяная (рисовая), </t>
  </si>
  <si>
    <t xml:space="preserve">Каша рисовая молочная, </t>
  </si>
  <si>
    <t>52</t>
  </si>
  <si>
    <t>нполгншгн</t>
  </si>
  <si>
    <t>квреаоенгоне</t>
  </si>
  <si>
    <t>повара -  чел.</t>
  </si>
  <si>
    <t>Карамель</t>
  </si>
  <si>
    <t>Сыр</t>
  </si>
  <si>
    <t>ПН</t>
  </si>
  <si>
    <t>ВТ</t>
  </si>
  <si>
    <t>ВС</t>
  </si>
  <si>
    <t>СБ</t>
  </si>
  <si>
    <t>ПТ</t>
  </si>
  <si>
    <t>ЧТ</t>
  </si>
  <si>
    <t>СР</t>
  </si>
  <si>
    <t>0</t>
  </si>
  <si>
    <t xml:space="preserve">Продукты получены по накладной № </t>
  </si>
  <si>
    <t>Проверка знаний поваров порядка приготовления пищи</t>
  </si>
  <si>
    <t>Рыба жареная, с кашей овсяной вяз, хлеб, масло, сахар, чай, омлет</t>
  </si>
  <si>
    <t>357,4</t>
  </si>
  <si>
    <t>123,3</t>
  </si>
  <si>
    <t xml:space="preserve">Мясо отвар. с соусом  с кашей ячневой рас,  </t>
  </si>
  <si>
    <t xml:space="preserve">Мясо отвар. с соусом   с  гороховым пюре,  </t>
  </si>
  <si>
    <t>264,6</t>
  </si>
  <si>
    <t>Мясо отвар. с соусом  с картофельным пюре,  хлеб, масло, сахар, чай, оладьи</t>
  </si>
  <si>
    <t>410,1</t>
  </si>
  <si>
    <t>пн</t>
  </si>
  <si>
    <t>вт</t>
  </si>
  <si>
    <t>ср</t>
  </si>
  <si>
    <t>чт</t>
  </si>
  <si>
    <t>пт</t>
  </si>
  <si>
    <t>сб</t>
  </si>
  <si>
    <t>вс</t>
  </si>
  <si>
    <t>бат.</t>
  </si>
  <si>
    <t>с.д</t>
  </si>
  <si>
    <t>16 октября 2007 г.</t>
  </si>
  <si>
    <t>КРУПА ОВСЯНАЯ</t>
  </si>
  <si>
    <t>МОЛОКО СУХОЕ</t>
  </si>
  <si>
    <t>СЫР ПЛАВЛЕНЫЙ</t>
  </si>
  <si>
    <t>ПОРОШОК ЯИЧНЫЙ</t>
  </si>
  <si>
    <t>УКСУС</t>
  </si>
  <si>
    <t>ТОМАТНАЯ ПАСТА</t>
  </si>
  <si>
    <t>ДРОЖЖИ ПРЕСОВАННЫЕ</t>
  </si>
  <si>
    <t>ЛУК РЕПЧАТЫЙ</t>
  </si>
  <si>
    <t>ОГУРЦЫ СОЛЕНЫЕ</t>
  </si>
  <si>
    <t>ПОМИДОРЫ СОЛЁНЫЕ</t>
  </si>
  <si>
    <t>ЯБЛОКИ СВЕЖИЕ</t>
  </si>
  <si>
    <t>СОК</t>
  </si>
  <si>
    <t>ХЛЕБ ИЗ МУКИ ПШ. 1 С.</t>
  </si>
  <si>
    <t>МУКА ПШЕНИЧНАЯ 2 С.</t>
  </si>
  <si>
    <t>МЯСО  СВИНИНА</t>
  </si>
  <si>
    <t>МЯСО СВИНИНА</t>
  </si>
  <si>
    <t>РЫБА БЕЗ ГОЛОВЫ</t>
  </si>
  <si>
    <t>СЕЛЬДЬ С ГОЛ.</t>
  </si>
  <si>
    <t>КОНС. РЫБНЫЕ</t>
  </si>
  <si>
    <t>СЫР ТВЕРДЫЙ</t>
  </si>
  <si>
    <t>служащая РА</t>
  </si>
  <si>
    <t xml:space="preserve">В е д о м о с т ь №  </t>
  </si>
  <si>
    <t>Вначале напечатать: 1 и 3 листы, далее на 1-м напечатать 4-й лист, а на 3-м - 2-й лист.</t>
  </si>
  <si>
    <t>Суп - харчо</t>
  </si>
  <si>
    <t>Суп крестьянский</t>
  </si>
  <si>
    <t xml:space="preserve">Каша манная молочная, </t>
  </si>
  <si>
    <t xml:space="preserve">Каша пшенная молочная, </t>
  </si>
  <si>
    <t xml:space="preserve">Каша геркулес молочная, </t>
  </si>
  <si>
    <t>Крупа манная</t>
  </si>
  <si>
    <t>Лук репчатый</t>
  </si>
  <si>
    <t>Кабачки, огурцы, помидоры</t>
  </si>
  <si>
    <t>Томат-паста</t>
  </si>
  <si>
    <t>Кофе. натур. / варенье</t>
  </si>
  <si>
    <t>Консервы мясорастительные 1/265 ''5555555'',</t>
  </si>
  <si>
    <t xml:space="preserve">Бефстроганов </t>
  </si>
  <si>
    <t xml:space="preserve">Поджарка мясная </t>
  </si>
  <si>
    <t xml:space="preserve">Тефтели </t>
  </si>
  <si>
    <t xml:space="preserve">Солянка мясная сборная </t>
  </si>
  <si>
    <t>ОКГ</t>
  </si>
  <si>
    <t>Завтрак</t>
  </si>
  <si>
    <t>хз</t>
  </si>
  <si>
    <t>ужин</t>
  </si>
  <si>
    <t>1 блюдо</t>
  </si>
  <si>
    <t>2 блюдо</t>
  </si>
  <si>
    <t>Командир</t>
  </si>
  <si>
    <t xml:space="preserve"> хлеб, масло, сахар, кофе натур., яйцо</t>
  </si>
  <si>
    <t xml:space="preserve"> хлеб, масло, сахар, кофе натур., омлет</t>
  </si>
  <si>
    <t xml:space="preserve"> хлеб, масло, сахар, кофе натур., молоко, яйцо</t>
  </si>
  <si>
    <t xml:space="preserve"> хлеб, масло, сахар, кофе натур., молоко, омлет</t>
  </si>
  <si>
    <t xml:space="preserve"> хлеб, масло, сахар, кофе натур., сыр, яйцо</t>
  </si>
  <si>
    <t xml:space="preserve"> хлеб, масло, сахар, кофе натур., сыр, омлет</t>
  </si>
  <si>
    <t xml:space="preserve"> хлеб, масло, сахар, кофе натур., сыр, молоко, яйцо</t>
  </si>
  <si>
    <t xml:space="preserve"> хлеб, масло, сахар, кофе натур., сыр, молоко, омлет</t>
  </si>
  <si>
    <t xml:space="preserve"> хлеб, масло, сахар, кофе натур. с молоком, сыр, яйцо</t>
  </si>
  <si>
    <t xml:space="preserve"> хлеб, масло, сахар, кофе натур. с молоком, омлет</t>
  </si>
  <si>
    <t xml:space="preserve"> хлеб, масло, сахар, кофе натур. с молоком, яйцо</t>
  </si>
  <si>
    <t xml:space="preserve"> хлеб, масло, сахар, кофе натур. с молоком, сыр, омлет</t>
  </si>
  <si>
    <t>, булочка</t>
  </si>
  <si>
    <t>, оладьи</t>
  </si>
  <si>
    <t>, бисквит</t>
  </si>
  <si>
    <t>, пончики</t>
  </si>
  <si>
    <t>00000</t>
  </si>
  <si>
    <t>за единицу учета продовольствия</t>
  </si>
  <si>
    <t>Цены</t>
  </si>
  <si>
    <t>0C2B-FE6A</t>
  </si>
  <si>
    <t>А. Демидов11111111</t>
  </si>
  <si>
    <t>18</t>
  </si>
  <si>
    <t xml:space="preserve"> хлеб, масло, сахар, чай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</si>
</sst>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#,##0&quot;р.&quot;;\-#,##0&quot;р.&quot;"/>
    <numFmt numFmtId="171" formatCode="_-* #,##0.00_р_._-;\-* #,##0.00_р_._-;_-* &quot;-&quot;??_р_._-;_-@_-"/>
    <numFmt numFmtId="172" formatCode="0.0"/>
    <numFmt numFmtId="173" formatCode="0.000"/>
    <numFmt numFmtId="175" formatCode="d\ mmmm\,\ yyyy"/>
    <numFmt numFmtId="176" formatCode="d/m/yy"/>
    <numFmt numFmtId="177" formatCode="mmmm"/>
    <numFmt numFmtId="178" formatCode="mmmmm\-yy"/>
    <numFmt numFmtId="180" formatCode="[$-F800]dddd\,\ mmmm\ dd\,\ yyyy"/>
    <numFmt numFmtId="181" formatCode="[$-419]mmmm;@"/>
    <numFmt numFmtId="182" formatCode="dd/mm/yy;@"/>
    <numFmt numFmtId="183" formatCode="[$-FC19]dd\ mmmm\ yyyy\ \г/;@"/>
    <numFmt numFmtId="185" formatCode="_-* #,##0\ _р_._-;\-* #,##0\ _р_._-;_-* &quot;-&quot;??\ _р_._-;_-@_-"/>
    <numFmt numFmtId="186" formatCode="00"/>
    <numFmt numFmtId="187" formatCode="dd/mm/yy"/>
    <numFmt numFmtId="193" formatCode="#,##0.0&quot;р.&quot;;\-#,##0.0&quot;р.&quot;"/>
    <numFmt numFmtId="204" formatCode="d/m;@"/>
  </numFmts>
  <fonts count="178" x14ac:knownFonts="1">
    <font>
      <sz val="10"/>
      <name val="Arial Cyr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sz val="11"/>
      <name val="Arial Cyr"/>
      <family val="2"/>
      <charset val="204"/>
    </font>
    <font>
      <sz val="10"/>
      <name val="Arial Cyr"/>
      <family val="2"/>
      <charset val="204"/>
    </font>
    <font>
      <sz val="12"/>
      <name val="Arial Cyr"/>
      <family val="2"/>
      <charset val="204"/>
    </font>
    <font>
      <b/>
      <sz val="12"/>
      <name val="Arial Cyr"/>
      <family val="2"/>
      <charset val="204"/>
    </font>
    <font>
      <sz val="9"/>
      <name val="Arial Cyr"/>
      <family val="2"/>
      <charset val="204"/>
    </font>
    <font>
      <b/>
      <sz val="14"/>
      <name val="Arial Cyr"/>
      <family val="2"/>
      <charset val="204"/>
    </font>
    <font>
      <sz val="14"/>
      <name val="Arial Cyr"/>
      <family val="2"/>
      <charset val="204"/>
    </font>
    <font>
      <b/>
      <sz val="16"/>
      <name val="Arial Cyr"/>
      <family val="2"/>
      <charset val="204"/>
    </font>
    <font>
      <b/>
      <i/>
      <u/>
      <sz val="14"/>
      <name val="Arial Cyr"/>
      <family val="2"/>
      <charset val="204"/>
    </font>
    <font>
      <b/>
      <u/>
      <sz val="16"/>
      <name val="Arial Cyr"/>
      <family val="2"/>
      <charset val="204"/>
    </font>
    <font>
      <b/>
      <i/>
      <sz val="14"/>
      <name val="Arial Cyr"/>
      <family val="2"/>
      <charset val="204"/>
    </font>
    <font>
      <b/>
      <i/>
      <sz val="16"/>
      <name val="Arial Cyr"/>
      <family val="2"/>
      <charset val="204"/>
    </font>
    <font>
      <b/>
      <sz val="9"/>
      <name val="Arial Cyr"/>
      <family val="2"/>
      <charset val="204"/>
    </font>
    <font>
      <sz val="14"/>
      <color indexed="22"/>
      <name val="Arial Cyr"/>
      <family val="2"/>
      <charset val="204"/>
    </font>
    <font>
      <sz val="10"/>
      <color indexed="22"/>
      <name val="Arial Cyr"/>
      <family val="2"/>
      <charset val="204"/>
    </font>
    <font>
      <u/>
      <sz val="10"/>
      <color indexed="12"/>
      <name val="Arial Cyr"/>
      <charset val="204"/>
    </font>
    <font>
      <b/>
      <sz val="16"/>
      <color indexed="9"/>
      <name val="Arial Cyr"/>
      <family val="2"/>
      <charset val="204"/>
    </font>
    <font>
      <sz val="16"/>
      <name val="Arial Cyr"/>
      <family val="2"/>
      <charset val="204"/>
    </font>
    <font>
      <b/>
      <sz val="10"/>
      <color indexed="81"/>
      <name val="Tahoma"/>
      <family val="2"/>
      <charset val="204"/>
    </font>
    <font>
      <i/>
      <sz val="14"/>
      <name val="Arial Cyr"/>
      <family val="2"/>
      <charset val="204"/>
    </font>
    <font>
      <sz val="10"/>
      <name val="Arial Cyr"/>
      <charset val="204"/>
    </font>
    <font>
      <b/>
      <i/>
      <sz val="14"/>
      <color indexed="12"/>
      <name val="Arial Cyr"/>
      <family val="2"/>
      <charset val="204"/>
    </font>
    <font>
      <b/>
      <sz val="36"/>
      <name val="Bookman Old Style"/>
      <family val="1"/>
      <charset val="204"/>
    </font>
    <font>
      <sz val="10"/>
      <color indexed="81"/>
      <name val="Tahoma"/>
      <family val="2"/>
      <charset val="204"/>
    </font>
    <font>
      <sz val="14"/>
      <color indexed="9"/>
      <name val="Arial Cyr"/>
      <family val="2"/>
      <charset val="204"/>
    </font>
    <font>
      <sz val="12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0"/>
      <color indexed="12"/>
      <name val="Arial Cyr"/>
      <family val="2"/>
      <charset val="204"/>
    </font>
    <font>
      <u/>
      <sz val="10"/>
      <color indexed="22"/>
      <name val="Arial Cyr"/>
      <family val="2"/>
      <charset val="204"/>
    </font>
    <font>
      <sz val="12"/>
      <color indexed="10"/>
      <name val="Arial Cyr"/>
      <family val="2"/>
      <charset val="204"/>
    </font>
    <font>
      <sz val="10"/>
      <color indexed="10"/>
      <name val="Arial Cyr"/>
      <family val="2"/>
      <charset val="204"/>
    </font>
    <font>
      <b/>
      <i/>
      <sz val="11"/>
      <name val="Arial Cyr"/>
      <family val="2"/>
      <charset val="204"/>
    </font>
    <font>
      <b/>
      <sz val="11"/>
      <color indexed="21"/>
      <name val="Arial Cyr"/>
      <family val="2"/>
      <charset val="204"/>
    </font>
    <font>
      <b/>
      <sz val="11"/>
      <color indexed="20"/>
      <name val="Arial Cyr"/>
      <family val="2"/>
      <charset val="204"/>
    </font>
    <font>
      <b/>
      <sz val="11"/>
      <color indexed="19"/>
      <name val="Arial Cyr"/>
      <family val="2"/>
      <charset val="204"/>
    </font>
    <font>
      <sz val="8"/>
      <name val="Arial Cyr"/>
      <charset val="204"/>
    </font>
    <font>
      <b/>
      <sz val="18"/>
      <name val="Bookman Old Style"/>
      <family val="1"/>
    </font>
    <font>
      <sz val="12"/>
      <name val="Arial Cyr"/>
      <charset val="204"/>
    </font>
    <font>
      <i/>
      <sz val="12"/>
      <name val="Arial Cyr"/>
      <charset val="204"/>
    </font>
    <font>
      <b/>
      <sz val="12"/>
      <name val="Arial Cyr"/>
      <charset val="204"/>
    </font>
    <font>
      <sz val="14"/>
      <name val="Arial Cyr"/>
      <charset val="204"/>
    </font>
    <font>
      <i/>
      <sz val="12"/>
      <name val="Arial Cyr"/>
      <family val="2"/>
      <charset val="204"/>
    </font>
    <font>
      <u/>
      <sz val="18"/>
      <name val="Arial Cyr"/>
      <family val="2"/>
      <charset val="204"/>
    </font>
    <font>
      <b/>
      <sz val="20"/>
      <name val="Arial Cyr"/>
      <family val="2"/>
      <charset val="204"/>
    </font>
    <font>
      <b/>
      <sz val="13"/>
      <name val="Arial Cyr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9"/>
      <color indexed="12"/>
      <name val="Arial Cyr"/>
      <family val="2"/>
      <charset val="204"/>
    </font>
    <font>
      <sz val="14"/>
      <color indexed="12"/>
      <name val="Arial Cyr"/>
      <family val="2"/>
      <charset val="204"/>
    </font>
    <font>
      <sz val="12"/>
      <color indexed="12"/>
      <name val="Arial Cyr"/>
      <family val="2"/>
      <charset val="204"/>
    </font>
    <font>
      <b/>
      <i/>
      <u/>
      <sz val="14"/>
      <color indexed="12"/>
      <name val="Arial Cyr"/>
      <family val="2"/>
      <charset val="204"/>
    </font>
    <font>
      <i/>
      <sz val="14"/>
      <color indexed="12"/>
      <name val="Arial Cyr"/>
      <family val="2"/>
      <charset val="204"/>
    </font>
    <font>
      <b/>
      <sz val="14"/>
      <color indexed="22"/>
      <name val="Arial Cyr"/>
      <family val="2"/>
      <charset val="204"/>
    </font>
    <font>
      <sz val="12"/>
      <color indexed="22"/>
      <name val="Arial Cyr"/>
      <family val="2"/>
      <charset val="204"/>
    </font>
    <font>
      <i/>
      <sz val="14"/>
      <color indexed="22"/>
      <name val="Arial Cyr"/>
      <family val="2"/>
      <charset val="204"/>
    </font>
    <font>
      <b/>
      <sz val="16"/>
      <color indexed="48"/>
      <name val="Arial Cyr"/>
      <family val="2"/>
      <charset val="204"/>
    </font>
    <font>
      <sz val="10"/>
      <color indexed="9"/>
      <name val="Arial Cyr"/>
      <charset val="204"/>
    </font>
    <font>
      <sz val="10"/>
      <color indexed="10"/>
      <name val="Arial Cyr"/>
      <charset val="204"/>
    </font>
    <font>
      <b/>
      <sz val="11"/>
      <color indexed="10"/>
      <name val="Arial Cyr"/>
      <family val="2"/>
      <charset val="204"/>
    </font>
    <font>
      <b/>
      <i/>
      <sz val="11"/>
      <color indexed="10"/>
      <name val="Arial Cyr"/>
      <family val="2"/>
      <charset val="204"/>
    </font>
    <font>
      <b/>
      <sz val="14"/>
      <color indexed="10"/>
      <name val="Arial Cyr"/>
      <family val="2"/>
      <charset val="204"/>
    </font>
    <font>
      <sz val="12"/>
      <color indexed="63"/>
      <name val="Arial Cyr"/>
      <family val="2"/>
      <charset val="204"/>
    </font>
    <font>
      <sz val="10"/>
      <color indexed="12"/>
      <name val="Arial Cyr"/>
      <charset val="204"/>
    </font>
    <font>
      <sz val="10"/>
      <color indexed="63"/>
      <name val="Arial Cyr"/>
      <family val="2"/>
      <charset val="204"/>
    </font>
    <font>
      <sz val="9"/>
      <color indexed="63"/>
      <name val="Arial Cyr"/>
      <family val="2"/>
      <charset val="204"/>
    </font>
    <font>
      <b/>
      <u/>
      <sz val="16"/>
      <color indexed="63"/>
      <name val="Arial Cyr"/>
      <family val="2"/>
      <charset val="204"/>
    </font>
    <font>
      <sz val="14"/>
      <color indexed="63"/>
      <name val="Arial Cyr"/>
      <family val="2"/>
      <charset val="204"/>
    </font>
    <font>
      <b/>
      <i/>
      <u/>
      <sz val="14"/>
      <color indexed="63"/>
      <name val="Arial Cyr"/>
      <family val="2"/>
      <charset val="204"/>
    </font>
    <font>
      <i/>
      <sz val="14"/>
      <color indexed="63"/>
      <name val="Arial Cyr"/>
      <family val="2"/>
      <charset val="204"/>
    </font>
    <font>
      <sz val="11"/>
      <name val="Arial Cyr"/>
      <charset val="204"/>
    </font>
    <font>
      <b/>
      <sz val="14"/>
      <name val="Bookman Old Style"/>
      <family val="1"/>
      <charset val="204"/>
    </font>
    <font>
      <b/>
      <sz val="14"/>
      <name val="Arial Cyr"/>
      <charset val="204"/>
    </font>
    <font>
      <b/>
      <i/>
      <sz val="14"/>
      <color indexed="12"/>
      <name val="Arial Cyr"/>
      <charset val="204"/>
    </font>
    <font>
      <b/>
      <sz val="10"/>
      <name val="Arial Cyr"/>
      <charset val="204"/>
    </font>
    <font>
      <b/>
      <sz val="8"/>
      <color indexed="9"/>
      <name val="Bookman Old Style"/>
      <family val="1"/>
      <charset val="204"/>
    </font>
    <font>
      <u/>
      <sz val="10"/>
      <color indexed="10"/>
      <name val="Arial Cyr"/>
      <family val="2"/>
      <charset val="204"/>
    </font>
    <font>
      <b/>
      <sz val="11"/>
      <name val="Arial Cyr"/>
      <charset val="204"/>
    </font>
    <font>
      <sz val="14"/>
      <color indexed="12"/>
      <name val="Arial Cyr"/>
      <charset val="204"/>
    </font>
    <font>
      <b/>
      <sz val="12"/>
      <color indexed="20"/>
      <name val="Arial Cyr"/>
      <family val="2"/>
      <charset val="204"/>
    </font>
    <font>
      <b/>
      <u/>
      <sz val="12"/>
      <name val="Arial Cyr"/>
      <family val="2"/>
      <charset val="204"/>
    </font>
    <font>
      <u/>
      <sz val="12"/>
      <name val="Arial Cyr"/>
      <family val="2"/>
      <charset val="204"/>
    </font>
    <font>
      <i/>
      <sz val="14"/>
      <color indexed="12"/>
      <name val="Bookman Old Style"/>
      <family val="1"/>
    </font>
    <font>
      <sz val="10"/>
      <color indexed="17"/>
      <name val="Arial Cyr"/>
      <charset val="204"/>
    </font>
    <font>
      <sz val="10"/>
      <color indexed="22"/>
      <name val="Arial Cyr"/>
      <charset val="204"/>
    </font>
    <font>
      <b/>
      <sz val="14"/>
      <color indexed="12"/>
      <name val="Bookman Old Style"/>
      <family val="1"/>
    </font>
    <font>
      <b/>
      <u/>
      <sz val="16"/>
      <color indexed="12"/>
      <name val="Arial Cyr"/>
      <family val="2"/>
      <charset val="204"/>
    </font>
    <font>
      <b/>
      <sz val="36"/>
      <color indexed="10"/>
      <name val="Bookman Old Style"/>
      <family val="1"/>
      <charset val="204"/>
    </font>
    <font>
      <sz val="10"/>
      <color indexed="55"/>
      <name val="Arial Cyr"/>
      <charset val="204"/>
    </font>
    <font>
      <b/>
      <i/>
      <sz val="11"/>
      <name val="Arial Cyr"/>
      <charset val="204"/>
    </font>
    <font>
      <b/>
      <i/>
      <sz val="12"/>
      <name val="Arial Cyr"/>
      <charset val="204"/>
    </font>
    <font>
      <b/>
      <sz val="12"/>
      <color indexed="18"/>
      <name val="Arial Cyr"/>
      <family val="2"/>
      <charset val="204"/>
    </font>
    <font>
      <b/>
      <sz val="11"/>
      <color indexed="12"/>
      <name val="Arial Cyr"/>
      <charset val="204"/>
    </font>
    <font>
      <b/>
      <sz val="8"/>
      <color indexed="8"/>
      <name val="Arial Cyr"/>
      <family val="2"/>
      <charset val="204"/>
    </font>
    <font>
      <sz val="10"/>
      <name val="Times New Roman Cyr"/>
      <family val="1"/>
      <charset val="204"/>
    </font>
    <font>
      <sz val="8"/>
      <name val="Arial Cyr"/>
      <family val="2"/>
      <charset val="204"/>
    </font>
    <font>
      <i/>
      <sz val="10"/>
      <name val="Arial Cyr"/>
      <family val="2"/>
      <charset val="204"/>
    </font>
    <font>
      <b/>
      <sz val="12"/>
      <color indexed="62"/>
      <name val="Arial Cyr"/>
      <family val="2"/>
      <charset val="204"/>
    </font>
    <font>
      <sz val="9"/>
      <name val="Arial Cyr"/>
      <charset val="204"/>
    </font>
    <font>
      <i/>
      <sz val="14"/>
      <name val="Arial Cyr"/>
      <charset val="204"/>
    </font>
    <font>
      <i/>
      <u/>
      <sz val="14"/>
      <color indexed="12"/>
      <name val="Bookman Old Style"/>
      <family val="1"/>
      <charset val="204"/>
    </font>
    <font>
      <i/>
      <u/>
      <sz val="14"/>
      <color indexed="12"/>
      <name val="Bookman Old Style"/>
      <family val="1"/>
    </font>
    <font>
      <i/>
      <u/>
      <sz val="14"/>
      <name val="Bookman Old Style"/>
      <family val="1"/>
    </font>
    <font>
      <u/>
      <sz val="10"/>
      <name val="Arial Cyr"/>
      <family val="2"/>
      <charset val="204"/>
    </font>
    <font>
      <b/>
      <u/>
      <sz val="15"/>
      <name val="Arial Cyr"/>
      <family val="2"/>
      <charset val="204"/>
    </font>
    <font>
      <b/>
      <i/>
      <sz val="16"/>
      <color indexed="12"/>
      <name val="Arial Cyr"/>
      <charset val="204"/>
    </font>
    <font>
      <sz val="9"/>
      <color indexed="9"/>
      <name val="Arial Cyr"/>
      <family val="2"/>
      <charset val="204"/>
    </font>
    <font>
      <b/>
      <sz val="10"/>
      <name val="Bookman Old Style"/>
      <family val="1"/>
      <charset val="204"/>
    </font>
    <font>
      <b/>
      <sz val="10"/>
      <color indexed="10"/>
      <name val="Bookman Old Style"/>
      <family val="1"/>
      <charset val="204"/>
    </font>
    <font>
      <sz val="10"/>
      <color indexed="47"/>
      <name val="Arial Cyr"/>
      <family val="2"/>
      <charset val="204"/>
    </font>
    <font>
      <sz val="9"/>
      <color indexed="10"/>
      <name val="Arial Cyr"/>
      <family val="2"/>
      <charset val="204"/>
    </font>
    <font>
      <sz val="16"/>
      <color indexed="9"/>
      <name val="Arial Cyr"/>
      <family val="2"/>
      <charset val="204"/>
    </font>
    <font>
      <sz val="16"/>
      <color indexed="10"/>
      <name val="Arial Cyr"/>
      <family val="2"/>
      <charset val="204"/>
    </font>
    <font>
      <sz val="14"/>
      <color indexed="10"/>
      <name val="Arial Cyr"/>
      <family val="2"/>
      <charset val="204"/>
    </font>
    <font>
      <b/>
      <i/>
      <sz val="12"/>
      <color indexed="12"/>
      <name val="Arial Cyr"/>
      <charset val="204"/>
    </font>
    <font>
      <b/>
      <u/>
      <sz val="14"/>
      <color indexed="12"/>
      <name val="Arial Cyr"/>
      <charset val="204"/>
    </font>
    <font>
      <b/>
      <sz val="12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name val="Arial Cyr"/>
      <family val="2"/>
      <charset val="204"/>
    </font>
    <font>
      <b/>
      <sz val="10"/>
      <name val="Arial"/>
      <family val="2"/>
    </font>
    <font>
      <sz val="10"/>
      <name val="Arial"/>
      <family val="2"/>
      <charset val="204"/>
    </font>
    <font>
      <b/>
      <sz val="12"/>
      <name val="Bookman Old Style"/>
      <family val="1"/>
      <charset val="204"/>
    </font>
    <font>
      <b/>
      <sz val="11"/>
      <color indexed="12"/>
      <name val="Bookman Old Style"/>
      <family val="1"/>
      <charset val="204"/>
    </font>
    <font>
      <b/>
      <sz val="11"/>
      <color indexed="12"/>
      <name val="Bookman Old Style"/>
      <family val="1"/>
    </font>
    <font>
      <sz val="10"/>
      <name val="Arial"/>
      <family val="2"/>
    </font>
    <font>
      <sz val="10.5"/>
      <name val="Arial"/>
      <family val="2"/>
      <charset val="204"/>
    </font>
    <font>
      <b/>
      <sz val="10.5"/>
      <name val="Arial"/>
      <family val="2"/>
      <charset val="204"/>
    </font>
    <font>
      <b/>
      <i/>
      <sz val="14"/>
      <name val="Arial Cyr"/>
      <charset val="204"/>
    </font>
    <font>
      <b/>
      <sz val="9"/>
      <name val="Bookman Old Style"/>
      <family val="1"/>
      <charset val="204"/>
    </font>
    <font>
      <b/>
      <i/>
      <sz val="10"/>
      <name val="Arial Cyr"/>
      <charset val="204"/>
    </font>
    <font>
      <sz val="8"/>
      <color indexed="81"/>
      <name val="Tahoma"/>
      <family val="2"/>
      <charset val="204"/>
    </font>
    <font>
      <i/>
      <u/>
      <sz val="9"/>
      <name val="Bookman Old Style"/>
      <family val="1"/>
      <charset val="204"/>
    </font>
    <font>
      <sz val="9"/>
      <name val="Comic Sans MS"/>
      <family val="4"/>
      <charset val="204"/>
    </font>
    <font>
      <i/>
      <sz val="9"/>
      <name val="Arial Cyr"/>
      <family val="2"/>
      <charset val="204"/>
    </font>
    <font>
      <u/>
      <sz val="9"/>
      <name val="Arial Cyr"/>
      <charset val="204"/>
    </font>
    <font>
      <u/>
      <sz val="9"/>
      <name val="Arial Cyr"/>
      <family val="2"/>
      <charset val="204"/>
    </font>
    <font>
      <i/>
      <sz val="9"/>
      <name val="Arial Cyr"/>
      <charset val="204"/>
    </font>
    <font>
      <sz val="9"/>
      <name val="Arial"/>
      <family val="2"/>
    </font>
    <font>
      <sz val="9"/>
      <color indexed="10"/>
      <name val="Arial Cyr"/>
      <charset val="204"/>
    </font>
    <font>
      <sz val="12"/>
      <color indexed="10"/>
      <name val="Arial Cyr"/>
      <charset val="204"/>
    </font>
    <font>
      <b/>
      <sz val="14"/>
      <color indexed="10"/>
      <name val="Arial Cyr"/>
      <charset val="204"/>
    </font>
    <font>
      <sz val="14"/>
      <color indexed="10"/>
      <name val="Arial Cyr"/>
      <charset val="204"/>
    </font>
    <font>
      <i/>
      <sz val="10"/>
      <color indexed="10"/>
      <name val="Arial Cyr"/>
      <charset val="204"/>
    </font>
    <font>
      <i/>
      <sz val="14"/>
      <color indexed="10"/>
      <name val="Arial Cyr"/>
      <charset val="204"/>
    </font>
    <font>
      <sz val="14"/>
      <name val="Arial Narrow"/>
      <family val="2"/>
      <charset val="204"/>
    </font>
    <font>
      <sz val="12"/>
      <name val="Arial Narrow"/>
      <family val="2"/>
      <charset val="204"/>
    </font>
    <font>
      <sz val="11"/>
      <name val="Arial Narrow"/>
      <family val="2"/>
      <charset val="204"/>
    </font>
    <font>
      <sz val="11"/>
      <color indexed="63"/>
      <name val="Arial Narrow"/>
      <family val="2"/>
      <charset val="204"/>
    </font>
    <font>
      <sz val="11"/>
      <color indexed="12"/>
      <name val="Arial Narrow"/>
      <family val="2"/>
      <charset val="204"/>
    </font>
    <font>
      <b/>
      <sz val="11"/>
      <name val="Arial Narrow"/>
      <family val="2"/>
      <charset val="204"/>
    </font>
    <font>
      <sz val="16"/>
      <name val="Arial Narrow"/>
      <family val="2"/>
      <charset val="204"/>
    </font>
    <font>
      <b/>
      <sz val="16"/>
      <color indexed="18"/>
      <name val="Arial Cyr"/>
      <charset val="204"/>
    </font>
    <font>
      <sz val="11"/>
      <name val="Arial"/>
      <family val="2"/>
      <charset val="204"/>
    </font>
    <font>
      <sz val="11"/>
      <color indexed="12"/>
      <name val="Arial"/>
      <family val="2"/>
      <charset val="204"/>
    </font>
    <font>
      <sz val="11"/>
      <color indexed="10"/>
      <name val="Arial"/>
      <family val="2"/>
      <charset val="204"/>
    </font>
    <font>
      <sz val="11"/>
      <color indexed="63"/>
      <name val="Arial"/>
      <family val="2"/>
      <charset val="204"/>
    </font>
    <font>
      <u/>
      <sz val="11"/>
      <name val="Arial"/>
      <family val="2"/>
      <charset val="204"/>
    </font>
    <font>
      <b/>
      <sz val="11"/>
      <name val="Arial"/>
      <family val="2"/>
      <charset val="204"/>
    </font>
    <font>
      <b/>
      <sz val="11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color indexed="12"/>
      <name val="Arial"/>
      <family val="2"/>
      <charset val="204"/>
    </font>
    <font>
      <sz val="10"/>
      <color indexed="63"/>
      <name val="Arial"/>
      <family val="2"/>
      <charset val="204"/>
    </font>
    <font>
      <sz val="14"/>
      <name val="Arial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sz val="12"/>
      <color indexed="12"/>
      <name val="Arial"/>
      <family val="2"/>
      <charset val="204"/>
    </font>
    <font>
      <sz val="12"/>
      <color indexed="10"/>
      <name val="Arial"/>
      <family val="2"/>
      <charset val="204"/>
    </font>
    <font>
      <sz val="12"/>
      <color indexed="63"/>
      <name val="Arial"/>
      <family val="2"/>
      <charset val="204"/>
    </font>
    <font>
      <u/>
      <sz val="10"/>
      <name val="Arial"/>
      <family val="2"/>
      <charset val="204"/>
    </font>
    <font>
      <b/>
      <sz val="12"/>
      <color indexed="12"/>
      <name val="Arial"/>
      <family val="2"/>
      <charset val="204"/>
    </font>
    <font>
      <b/>
      <sz val="11"/>
      <color indexed="63"/>
      <name val="Arial"/>
      <family val="2"/>
      <charset val="204"/>
    </font>
    <font>
      <b/>
      <sz val="14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12"/>
      </bottom>
      <diagonal/>
    </border>
    <border>
      <left/>
      <right style="medium">
        <color indexed="64"/>
      </right>
      <top style="thin">
        <color indexed="64"/>
      </top>
      <bottom style="thick">
        <color indexed="12"/>
      </bottom>
      <diagonal/>
    </border>
    <border>
      <left style="medium">
        <color indexed="64"/>
      </left>
      <right style="thin">
        <color indexed="64"/>
      </right>
      <top style="thick">
        <color indexed="12"/>
      </top>
      <bottom style="thick">
        <color indexed="12"/>
      </bottom>
      <diagonal/>
    </border>
    <border>
      <left style="thin">
        <color indexed="64"/>
      </left>
      <right style="thin">
        <color indexed="64"/>
      </right>
      <top style="thick">
        <color indexed="12"/>
      </top>
      <bottom style="thick">
        <color indexed="12"/>
      </bottom>
      <diagonal/>
    </border>
    <border>
      <left style="thin">
        <color indexed="64"/>
      </left>
      <right/>
      <top style="thick">
        <color indexed="12"/>
      </top>
      <bottom style="thick">
        <color indexed="12"/>
      </bottom>
      <diagonal/>
    </border>
    <border>
      <left style="medium">
        <color indexed="64"/>
      </left>
      <right style="medium">
        <color indexed="64"/>
      </right>
      <top style="thick">
        <color indexed="12"/>
      </top>
      <bottom style="thick">
        <color indexed="12"/>
      </bottom>
      <diagonal/>
    </border>
    <border>
      <left style="thin">
        <color indexed="64"/>
      </left>
      <right style="medium">
        <color indexed="64"/>
      </right>
      <top style="thick">
        <color indexed="12"/>
      </top>
      <bottom style="thick">
        <color indexed="12"/>
      </bottom>
      <diagonal/>
    </border>
    <border>
      <left/>
      <right style="medium">
        <color indexed="64"/>
      </right>
      <top style="thick">
        <color indexed="12"/>
      </top>
      <bottom style="thick">
        <color indexed="12"/>
      </bottom>
      <diagonal/>
    </border>
    <border>
      <left style="medium">
        <color indexed="64"/>
      </left>
      <right style="thick">
        <color indexed="12"/>
      </right>
      <top style="thick">
        <color indexed="12"/>
      </top>
      <bottom style="thick">
        <color indexed="12"/>
      </bottom>
      <diagonal/>
    </border>
    <border>
      <left/>
      <right style="thin">
        <color indexed="64"/>
      </right>
      <top style="thick">
        <color indexed="12"/>
      </top>
      <bottom style="thick">
        <color indexed="12"/>
      </bottom>
      <diagonal/>
    </border>
    <border>
      <left/>
      <right/>
      <top style="thick">
        <color indexed="12"/>
      </top>
      <bottom style="thick">
        <color indexed="12"/>
      </bottom>
      <diagonal/>
    </border>
    <border>
      <left style="medium">
        <color indexed="64"/>
      </left>
      <right style="medium">
        <color indexed="64"/>
      </right>
      <top style="thick">
        <color indexed="12"/>
      </top>
      <bottom style="medium">
        <color indexed="64"/>
      </bottom>
      <diagonal/>
    </border>
    <border>
      <left style="thick">
        <color indexed="12"/>
      </left>
      <right style="thin">
        <color indexed="64"/>
      </right>
      <top style="thick">
        <color indexed="12"/>
      </top>
      <bottom style="thick">
        <color indexed="12"/>
      </bottom>
      <diagonal/>
    </border>
    <border>
      <left/>
      <right style="thick">
        <color indexed="12"/>
      </right>
      <top style="thick">
        <color indexed="12"/>
      </top>
      <bottom style="thick">
        <color indexed="12"/>
      </bottom>
      <diagonal/>
    </border>
    <border>
      <left style="thin">
        <color indexed="64"/>
      </left>
      <right style="thin">
        <color indexed="64"/>
      </right>
      <top style="thick">
        <color indexed="1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1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Dashed">
        <color indexed="64"/>
      </bottom>
      <diagonal/>
    </border>
  </borders>
  <cellStyleXfs count="5">
    <xf numFmtId="0" fontId="0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96" fillId="0" borderId="0">
      <alignment wrapText="1"/>
    </xf>
    <xf numFmtId="0" fontId="126" fillId="0" borderId="0"/>
    <xf numFmtId="171" fontId="1" fillId="0" borderId="0" applyFont="0" applyFill="0" applyBorder="0" applyAlignment="0" applyProtection="0"/>
  </cellStyleXfs>
  <cellXfs count="1696">
    <xf numFmtId="0" fontId="0" fillId="0" borderId="0" xfId="0"/>
    <xf numFmtId="0" fontId="16" fillId="0" borderId="0" xfId="0" applyFont="1" applyFill="1" applyProtection="1">
      <protection hidden="1"/>
    </xf>
    <xf numFmtId="0" fontId="0" fillId="0" borderId="0" xfId="0" applyFill="1" applyProtection="1"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0" xfId="0" applyFill="1"/>
    <xf numFmtId="0" fontId="0" fillId="0" borderId="1" xfId="0" applyFill="1" applyBorder="1" applyAlignment="1" applyProtection="1">
      <alignment horizontal="center"/>
      <protection locked="0" hidden="1"/>
    </xf>
    <xf numFmtId="0" fontId="4" fillId="0" borderId="0" xfId="0" applyFont="1" applyFill="1" applyProtection="1">
      <protection hidden="1"/>
    </xf>
    <xf numFmtId="180" fontId="4" fillId="0" borderId="0" xfId="0" applyNumberFormat="1" applyFont="1" applyFill="1" applyProtection="1">
      <protection hidden="1"/>
    </xf>
    <xf numFmtId="0" fontId="30" fillId="0" borderId="0" xfId="0" applyFont="1" applyFill="1" applyProtection="1">
      <protection hidden="1"/>
    </xf>
    <xf numFmtId="0" fontId="66" fillId="0" borderId="0" xfId="0" applyFont="1" applyFill="1" applyProtection="1">
      <protection hidden="1"/>
    </xf>
    <xf numFmtId="0" fontId="17" fillId="0" borderId="0" xfId="0" applyFont="1" applyFill="1" applyProtection="1">
      <protection hidden="1"/>
    </xf>
    <xf numFmtId="0" fontId="25" fillId="0" borderId="0" xfId="0" applyFont="1" applyFill="1" applyAlignment="1" applyProtection="1">
      <alignment horizontal="center" vertical="center"/>
      <protection hidden="1"/>
    </xf>
    <xf numFmtId="0" fontId="13" fillId="0" borderId="0" xfId="0" applyFont="1" applyFill="1" applyAlignment="1" applyProtection="1">
      <alignment horizontal="center"/>
      <protection hidden="1"/>
    </xf>
    <xf numFmtId="0" fontId="77" fillId="0" borderId="0" xfId="0" applyFont="1" applyFill="1" applyAlignment="1" applyProtection="1">
      <alignment horizontal="center" vertical="center"/>
      <protection hidden="1"/>
    </xf>
    <xf numFmtId="176" fontId="31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64" fillId="0" borderId="0" xfId="0" applyFont="1" applyFill="1" applyProtection="1">
      <protection hidden="1"/>
    </xf>
    <xf numFmtId="0" fontId="5" fillId="0" borderId="0" xfId="0" applyFont="1" applyFill="1" applyProtection="1">
      <protection hidden="1"/>
    </xf>
    <xf numFmtId="0" fontId="52" fillId="0" borderId="0" xfId="0" applyFont="1" applyFill="1" applyProtection="1">
      <protection hidden="1"/>
    </xf>
    <xf numFmtId="0" fontId="10" fillId="0" borderId="0" xfId="0" applyFont="1" applyFill="1" applyAlignment="1" applyProtection="1">
      <alignment horizontal="center" vertical="top"/>
      <protection hidden="1"/>
    </xf>
    <xf numFmtId="0" fontId="7" fillId="0" borderId="0" xfId="0" applyFont="1" applyFill="1" applyProtection="1">
      <protection hidden="1"/>
    </xf>
    <xf numFmtId="0" fontId="50" fillId="0" borderId="0" xfId="0" applyFont="1" applyFill="1" applyProtection="1">
      <protection hidden="1"/>
    </xf>
    <xf numFmtId="0" fontId="23" fillId="0" borderId="0" xfId="0" applyFont="1" applyFill="1" applyProtection="1">
      <protection hidden="1"/>
    </xf>
    <xf numFmtId="0" fontId="67" fillId="0" borderId="0" xfId="0" applyFont="1" applyFill="1" applyProtection="1">
      <protection hidden="1"/>
    </xf>
    <xf numFmtId="0" fontId="12" fillId="0" borderId="0" xfId="0" applyFont="1" applyFill="1" applyAlignment="1" applyProtection="1">
      <alignment horizontal="left"/>
      <protection hidden="1"/>
    </xf>
    <xf numFmtId="0" fontId="68" fillId="0" borderId="0" xfId="0" applyFont="1" applyFill="1" applyAlignment="1" applyProtection="1">
      <alignment horizontal="left"/>
      <protection hidden="1"/>
    </xf>
    <xf numFmtId="0" fontId="88" fillId="0" borderId="0" xfId="0" applyFont="1" applyFill="1" applyAlignment="1" applyProtection="1">
      <alignment horizontal="left"/>
      <protection hidden="1"/>
    </xf>
    <xf numFmtId="0" fontId="4" fillId="0" borderId="0" xfId="0" applyFont="1" applyFill="1" applyAlignment="1" applyProtection="1">
      <alignment horizontal="right"/>
      <protection hidden="1"/>
    </xf>
    <xf numFmtId="0" fontId="20" fillId="0" borderId="0" xfId="1" applyNumberFormat="1" applyFont="1" applyFill="1" applyAlignment="1" applyProtection="1">
      <alignment horizontal="left"/>
      <protection hidden="1"/>
    </xf>
    <xf numFmtId="0" fontId="20" fillId="0" borderId="0" xfId="0" applyFont="1" applyFill="1" applyAlignment="1" applyProtection="1">
      <alignment horizontal="left"/>
      <protection hidden="1"/>
    </xf>
    <xf numFmtId="0" fontId="20" fillId="0" borderId="0" xfId="0" applyFont="1" applyFill="1" applyAlignment="1" applyProtection="1">
      <alignment horizontal="center"/>
      <protection hidden="1"/>
    </xf>
    <xf numFmtId="175" fontId="10" fillId="0" borderId="0" xfId="0" applyNumberFormat="1" applyFont="1" applyFill="1" applyBorder="1" applyAlignment="1" applyProtection="1">
      <alignment horizontal="center"/>
      <protection hidden="1"/>
    </xf>
    <xf numFmtId="175" fontId="20" fillId="0" borderId="0" xfId="0" applyNumberFormat="1" applyFont="1" applyFill="1" applyAlignment="1" applyProtection="1">
      <alignment horizontal="center"/>
      <protection hidden="1"/>
    </xf>
    <xf numFmtId="180" fontId="5" fillId="0" borderId="0" xfId="0" applyNumberFormat="1" applyFont="1" applyFill="1" applyAlignment="1" applyProtection="1">
      <alignment horizontal="center"/>
      <protection hidden="1"/>
    </xf>
    <xf numFmtId="0" fontId="5" fillId="0" borderId="0" xfId="0" applyFont="1" applyFill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51" fillId="0" borderId="0" xfId="0" applyFont="1" applyFill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right"/>
      <protection hidden="1"/>
    </xf>
    <xf numFmtId="176" fontId="78" fillId="0" borderId="0" xfId="1" applyNumberFormat="1" applyFont="1" applyFill="1" applyBorder="1" applyAlignment="1" applyProtection="1">
      <alignment horizontal="center" vertical="center" wrapText="1"/>
      <protection hidden="1"/>
    </xf>
    <xf numFmtId="1" fontId="87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56" fillId="0" borderId="0" xfId="0" applyFont="1" applyFill="1" applyProtection="1">
      <protection hidden="1"/>
    </xf>
    <xf numFmtId="0" fontId="55" fillId="0" borderId="0" xfId="0" applyFont="1" applyFill="1" applyProtection="1">
      <protection hidden="1"/>
    </xf>
    <xf numFmtId="0" fontId="8" fillId="0" borderId="0" xfId="0" applyFont="1" applyFill="1" applyProtection="1">
      <protection hidden="1"/>
    </xf>
    <xf numFmtId="0" fontId="55" fillId="0" borderId="0" xfId="0" applyFont="1" applyFill="1" applyAlignment="1" applyProtection="1">
      <alignment shrinkToFit="1"/>
      <protection hidden="1"/>
    </xf>
    <xf numFmtId="0" fontId="8" fillId="0" borderId="0" xfId="0" applyFont="1" applyFill="1" applyAlignment="1" applyProtection="1">
      <alignment shrinkToFit="1"/>
      <protection hidden="1"/>
    </xf>
    <xf numFmtId="0" fontId="27" fillId="0" borderId="0" xfId="0" applyFont="1" applyFill="1" applyProtection="1">
      <protection hidden="1"/>
    </xf>
    <xf numFmtId="180" fontId="27" fillId="0" borderId="0" xfId="0" applyNumberFormat="1" applyFont="1" applyFill="1" applyProtection="1">
      <protection hidden="1"/>
    </xf>
    <xf numFmtId="0" fontId="19" fillId="0" borderId="0" xfId="0" applyFont="1" applyFill="1" applyProtection="1">
      <protection hidden="1"/>
    </xf>
    <xf numFmtId="172" fontId="28" fillId="0" borderId="0" xfId="0" applyNumberFormat="1" applyFont="1" applyFill="1" applyProtection="1">
      <protection hidden="1"/>
    </xf>
    <xf numFmtId="0" fontId="51" fillId="0" borderId="0" xfId="0" applyFont="1" applyFill="1" applyProtection="1">
      <protection hidden="1"/>
    </xf>
    <xf numFmtId="180" fontId="17" fillId="0" borderId="0" xfId="0" applyNumberFormat="1" applyFont="1" applyFill="1" applyProtection="1">
      <protection hidden="1"/>
    </xf>
    <xf numFmtId="0" fontId="29" fillId="0" borderId="0" xfId="0" applyFont="1" applyFill="1" applyProtection="1">
      <protection hidden="1"/>
    </xf>
    <xf numFmtId="180" fontId="16" fillId="0" borderId="0" xfId="0" applyNumberFormat="1" applyFont="1" applyFill="1" applyProtection="1">
      <protection hidden="1"/>
    </xf>
    <xf numFmtId="0" fontId="69" fillId="0" borderId="0" xfId="0" applyFont="1" applyFill="1" applyProtection="1">
      <protection hidden="1"/>
    </xf>
    <xf numFmtId="180" fontId="9" fillId="0" borderId="0" xfId="0" applyNumberFormat="1" applyFont="1" applyFill="1" applyProtection="1">
      <protection hidden="1"/>
    </xf>
    <xf numFmtId="0" fontId="9" fillId="0" borderId="0" xfId="0" applyFont="1" applyFill="1" applyProtection="1">
      <protection hidden="1"/>
    </xf>
    <xf numFmtId="180" fontId="11" fillId="0" borderId="0" xfId="0" applyNumberFormat="1" applyFont="1" applyFill="1" applyAlignment="1" applyProtection="1">
      <alignment horizontal="center"/>
      <protection hidden="1"/>
    </xf>
    <xf numFmtId="0" fontId="11" fillId="0" borderId="0" xfId="0" applyFont="1" applyFill="1" applyAlignment="1" applyProtection="1">
      <alignment horizontal="center"/>
      <protection hidden="1"/>
    </xf>
    <xf numFmtId="0" fontId="53" fillId="0" borderId="0" xfId="0" applyFont="1" applyFill="1" applyAlignment="1" applyProtection="1">
      <alignment horizontal="center"/>
      <protection hidden="1"/>
    </xf>
    <xf numFmtId="0" fontId="13" fillId="0" borderId="2" xfId="0" applyFont="1" applyFill="1" applyBorder="1" applyAlignment="1" applyProtection="1">
      <alignment horizontal="center"/>
      <protection hidden="1"/>
    </xf>
    <xf numFmtId="0" fontId="70" fillId="0" borderId="0" xfId="0" applyFont="1" applyFill="1" applyAlignment="1" applyProtection="1">
      <alignment horizontal="center"/>
      <protection hidden="1"/>
    </xf>
    <xf numFmtId="0" fontId="13" fillId="0" borderId="0" xfId="0" applyFont="1" applyFill="1" applyProtection="1">
      <protection hidden="1"/>
    </xf>
    <xf numFmtId="0" fontId="22" fillId="0" borderId="0" xfId="0" applyFont="1" applyFill="1" applyProtection="1">
      <protection hidden="1"/>
    </xf>
    <xf numFmtId="0" fontId="54" fillId="0" borderId="0" xfId="0" applyFont="1" applyFill="1" applyProtection="1">
      <protection hidden="1"/>
    </xf>
    <xf numFmtId="0" fontId="71" fillId="0" borderId="0" xfId="0" applyFont="1" applyFill="1" applyProtection="1">
      <protection hidden="1"/>
    </xf>
    <xf numFmtId="0" fontId="57" fillId="0" borderId="0" xfId="0" applyFont="1" applyFill="1" applyProtection="1">
      <protection hidden="1"/>
    </xf>
    <xf numFmtId="0" fontId="24" fillId="0" borderId="0" xfId="0" applyFont="1" applyFill="1" applyBorder="1" applyAlignment="1" applyProtection="1">
      <alignment horizontal="center"/>
      <protection hidden="1"/>
    </xf>
    <xf numFmtId="0" fontId="24" fillId="0" borderId="0" xfId="1" applyFont="1" applyFill="1" applyBorder="1" applyAlignment="1" applyProtection="1">
      <alignment horizontal="center"/>
      <protection hidden="1"/>
    </xf>
    <xf numFmtId="0" fontId="5" fillId="0" borderId="0" xfId="0" applyFont="1" applyFill="1" applyAlignment="1" applyProtection="1">
      <alignment horizontal="left"/>
      <protection hidden="1"/>
    </xf>
    <xf numFmtId="175" fontId="9" fillId="0" borderId="0" xfId="0" applyNumberFormat="1" applyFont="1" applyFill="1" applyProtection="1">
      <protection hidden="1"/>
    </xf>
    <xf numFmtId="0" fontId="4" fillId="0" borderId="0" xfId="0" applyFont="1" applyFill="1" applyAlignment="1" applyProtection="1">
      <alignment shrinkToFit="1"/>
      <protection hidden="1"/>
    </xf>
    <xf numFmtId="0" fontId="7" fillId="0" borderId="0" xfId="0" applyFont="1" applyFill="1" applyAlignment="1" applyProtection="1">
      <alignment shrinkToFit="1"/>
      <protection hidden="1"/>
    </xf>
    <xf numFmtId="0" fontId="9" fillId="0" borderId="0" xfId="0" applyFont="1" applyFill="1" applyAlignment="1" applyProtection="1">
      <alignment horizontal="center" shrinkToFit="1"/>
      <protection hidden="1"/>
    </xf>
    <xf numFmtId="0" fontId="27" fillId="0" borderId="0" xfId="0" applyFont="1" applyFill="1" applyAlignment="1" applyProtection="1">
      <alignment shrinkToFit="1"/>
      <protection hidden="1"/>
    </xf>
    <xf numFmtId="0" fontId="17" fillId="0" borderId="0" xfId="0" applyFont="1" applyFill="1" applyAlignment="1" applyProtection="1">
      <alignment shrinkToFit="1"/>
      <protection hidden="1"/>
    </xf>
    <xf numFmtId="0" fontId="16" fillId="0" borderId="0" xfId="0" applyFont="1" applyFill="1" applyAlignment="1" applyProtection="1">
      <alignment shrinkToFit="1"/>
      <protection hidden="1"/>
    </xf>
    <xf numFmtId="0" fontId="9" fillId="0" borderId="0" xfId="0" applyFont="1" applyFill="1" applyAlignment="1" applyProtection="1">
      <alignment shrinkToFit="1"/>
      <protection hidden="1"/>
    </xf>
    <xf numFmtId="0" fontId="11" fillId="0" borderId="0" xfId="0" applyFont="1" applyFill="1" applyAlignment="1" applyProtection="1">
      <alignment horizontal="center" shrinkToFit="1"/>
      <protection hidden="1"/>
    </xf>
    <xf numFmtId="0" fontId="13" fillId="0" borderId="0" xfId="0" applyFont="1" applyFill="1" applyAlignment="1" applyProtection="1">
      <alignment horizontal="center" shrinkToFit="1"/>
      <protection hidden="1"/>
    </xf>
    <xf numFmtId="0" fontId="89" fillId="0" borderId="0" xfId="0" applyFont="1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right"/>
      <protection hidden="1"/>
    </xf>
    <xf numFmtId="0" fontId="0" fillId="0" borderId="0" xfId="0" applyProtection="1">
      <protection hidden="1"/>
    </xf>
    <xf numFmtId="0" fontId="33" fillId="0" borderId="0" xfId="0" applyFont="1" applyFill="1" applyProtection="1"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horizontal="center" vertical="center"/>
      <protection hidden="1"/>
    </xf>
    <xf numFmtId="0" fontId="27" fillId="0" borderId="0" xfId="0" applyFont="1" applyFill="1" applyAlignment="1" applyProtection="1">
      <alignment horizontal="center" vertical="center"/>
      <protection hidden="1"/>
    </xf>
    <xf numFmtId="0" fontId="17" fillId="0" borderId="0" xfId="0" applyFont="1" applyFill="1" applyAlignment="1" applyProtection="1">
      <alignment horizontal="center" vertical="center"/>
      <protection hidden="1"/>
    </xf>
    <xf numFmtId="0" fontId="16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Alignment="1" applyProtection="1">
      <alignment horizontal="center" vertical="center"/>
      <protection hidden="1"/>
    </xf>
    <xf numFmtId="0" fontId="11" fillId="0" borderId="0" xfId="0" applyFont="1" applyFill="1" applyAlignment="1" applyProtection="1">
      <alignment horizontal="center" vertical="center"/>
      <protection hidden="1"/>
    </xf>
    <xf numFmtId="0" fontId="22" fillId="0" borderId="0" xfId="0" applyFont="1" applyFill="1" applyAlignment="1" applyProtection="1">
      <alignment horizontal="center" vertic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hidden="1"/>
    </xf>
    <xf numFmtId="0" fontId="18" fillId="0" borderId="0" xfId="1" applyFill="1" applyAlignment="1" applyProtection="1">
      <alignment horizontal="center" vertical="center"/>
      <protection hidden="1"/>
    </xf>
    <xf numFmtId="0" fontId="97" fillId="0" borderId="0" xfId="2" applyFont="1" applyProtection="1">
      <alignment wrapText="1"/>
      <protection locked="0"/>
    </xf>
    <xf numFmtId="0" fontId="97" fillId="0" borderId="3" xfId="2" applyFont="1" applyBorder="1" applyAlignment="1"/>
    <xf numFmtId="0" fontId="97" fillId="0" borderId="4" xfId="2" applyFont="1" applyBorder="1" applyAlignment="1"/>
    <xf numFmtId="0" fontId="97" fillId="0" borderId="0" xfId="2" applyFont="1" applyAlignment="1"/>
    <xf numFmtId="0" fontId="97" fillId="0" borderId="0" xfId="2" applyFont="1">
      <alignment wrapText="1"/>
    </xf>
    <xf numFmtId="185" fontId="97" fillId="0" borderId="5" xfId="4" applyNumberFormat="1" applyFont="1" applyBorder="1" applyAlignment="1"/>
    <xf numFmtId="0" fontId="97" fillId="0" borderId="0" xfId="2" applyFont="1" applyBorder="1" applyAlignment="1"/>
    <xf numFmtId="185" fontId="97" fillId="0" borderId="6" xfId="4" applyNumberFormat="1" applyFont="1" applyBorder="1" applyAlignment="1"/>
    <xf numFmtId="0" fontId="97" fillId="0" borderId="2" xfId="2" applyFont="1" applyBorder="1" applyAlignment="1"/>
    <xf numFmtId="2" fontId="97" fillId="0" borderId="0" xfId="4" applyNumberFormat="1" applyFont="1" applyAlignment="1">
      <alignment horizontal="right"/>
    </xf>
    <xf numFmtId="0" fontId="97" fillId="2" borderId="1" xfId="2" applyFont="1" applyFill="1" applyBorder="1" applyAlignment="1" applyProtection="1">
      <alignment wrapText="1"/>
      <protection locked="0"/>
    </xf>
    <xf numFmtId="0" fontId="4" fillId="0" borderId="0" xfId="2" applyFont="1">
      <alignment wrapText="1"/>
    </xf>
    <xf numFmtId="0" fontId="97" fillId="0" borderId="0" xfId="4" applyNumberFormat="1" applyFont="1" applyAlignment="1">
      <alignment horizontal="right"/>
    </xf>
    <xf numFmtId="0" fontId="97" fillId="0" borderId="0" xfId="2" applyFont="1" applyAlignment="1" applyProtection="1">
      <alignment horizontal="right" vertical="top"/>
      <protection locked="0"/>
    </xf>
    <xf numFmtId="0" fontId="95" fillId="2" borderId="7" xfId="4" applyNumberFormat="1" applyFont="1" applyFill="1" applyBorder="1" applyAlignment="1" applyProtection="1">
      <alignment horizontal="right" vertical="top"/>
      <protection locked="0"/>
    </xf>
    <xf numFmtId="0" fontId="98" fillId="0" borderId="0" xfId="2" quotePrefix="1" applyFont="1" applyAlignment="1"/>
    <xf numFmtId="0" fontId="95" fillId="2" borderId="8" xfId="4" applyNumberFormat="1" applyFont="1" applyFill="1" applyBorder="1" applyAlignment="1" applyProtection="1">
      <alignment horizontal="right" vertical="top"/>
      <protection locked="0"/>
    </xf>
    <xf numFmtId="0" fontId="95" fillId="2" borderId="9" xfId="4" applyNumberFormat="1" applyFont="1" applyFill="1" applyBorder="1" applyAlignment="1" applyProtection="1">
      <alignment horizontal="right" vertical="top"/>
      <protection locked="0"/>
    </xf>
    <xf numFmtId="0" fontId="97" fillId="3" borderId="10" xfId="2" applyFont="1" applyFill="1" applyBorder="1" applyAlignment="1" applyProtection="1">
      <alignment vertical="top" wrapText="1"/>
      <protection locked="0"/>
    </xf>
    <xf numFmtId="0" fontId="97" fillId="0" borderId="0" xfId="2" applyFont="1" applyFill="1" applyAlignment="1"/>
    <xf numFmtId="0" fontId="97" fillId="0" borderId="0" xfId="2" applyFont="1" applyFill="1">
      <alignment wrapText="1"/>
    </xf>
    <xf numFmtId="0" fontId="99" fillId="0" borderId="11" xfId="2" applyFont="1" applyFill="1" applyBorder="1" applyAlignment="1"/>
    <xf numFmtId="0" fontId="99" fillId="0" borderId="12" xfId="2" applyFont="1" applyFill="1" applyBorder="1" applyAlignment="1"/>
    <xf numFmtId="0" fontId="97" fillId="0" borderId="12" xfId="2" applyFont="1" applyFill="1" applyBorder="1">
      <alignment wrapText="1"/>
    </xf>
    <xf numFmtId="0" fontId="97" fillId="0" borderId="13" xfId="2" applyFont="1" applyFill="1" applyBorder="1">
      <alignment wrapText="1"/>
    </xf>
    <xf numFmtId="0" fontId="97" fillId="0" borderId="0" xfId="2" applyFont="1" applyFill="1" applyBorder="1" applyAlignment="1"/>
    <xf numFmtId="0" fontId="97" fillId="0" borderId="14" xfId="2" applyFont="1" applyFill="1" applyBorder="1" applyAlignment="1"/>
    <xf numFmtId="187" fontId="97" fillId="0" borderId="0" xfId="2" applyNumberFormat="1" applyFont="1" applyFill="1" applyAlignment="1"/>
    <xf numFmtId="0" fontId="97" fillId="0" borderId="2" xfId="2" applyFont="1" applyFill="1" applyBorder="1" applyAlignment="1"/>
    <xf numFmtId="0" fontId="97" fillId="0" borderId="15" xfId="2" applyFont="1" applyFill="1" applyBorder="1" applyAlignment="1"/>
    <xf numFmtId="2" fontId="97" fillId="0" borderId="0" xfId="2" applyNumberFormat="1" applyFont="1" applyFill="1" applyAlignment="1"/>
    <xf numFmtId="1" fontId="97" fillId="0" borderId="0" xfId="2" applyNumberFormat="1" applyFont="1" applyFill="1" applyAlignment="1"/>
    <xf numFmtId="2" fontId="97" fillId="0" borderId="0" xfId="2" applyNumberFormat="1" applyFont="1" applyFill="1" applyAlignment="1">
      <alignment vertical="top"/>
    </xf>
    <xf numFmtId="0" fontId="97" fillId="0" borderId="0" xfId="2" applyFont="1" applyFill="1" applyAlignment="1">
      <alignment vertical="top"/>
    </xf>
    <xf numFmtId="0" fontId="97" fillId="0" borderId="0" xfId="2" applyFont="1" applyFill="1" applyAlignment="1">
      <alignment vertical="top" wrapText="1"/>
    </xf>
    <xf numFmtId="0" fontId="97" fillId="0" borderId="1" xfId="2" applyFont="1" applyFill="1" applyBorder="1" applyAlignment="1"/>
    <xf numFmtId="186" fontId="97" fillId="0" borderId="0" xfId="2" applyNumberFormat="1" applyFont="1" applyFill="1">
      <alignment wrapText="1"/>
    </xf>
    <xf numFmtId="0" fontId="86" fillId="0" borderId="0" xfId="0" applyFont="1" applyFill="1" applyProtection="1">
      <protection hidden="1"/>
    </xf>
    <xf numFmtId="0" fontId="0" fillId="0" borderId="1" xfId="0" applyFill="1" applyBorder="1" applyProtection="1">
      <protection hidden="1"/>
    </xf>
    <xf numFmtId="181" fontId="105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75" fillId="0" borderId="2" xfId="0" applyFont="1" applyFill="1" applyBorder="1" applyAlignment="1" applyProtection="1">
      <alignment horizontal="center"/>
      <protection hidden="1"/>
    </xf>
    <xf numFmtId="0" fontId="8" fillId="0" borderId="0" xfId="0" applyFont="1" applyFill="1" applyAlignment="1" applyProtection="1">
      <protection hidden="1"/>
    </xf>
    <xf numFmtId="0" fontId="0" fillId="0" borderId="16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17" xfId="0" applyFill="1" applyBorder="1" applyAlignment="1" applyProtection="1">
      <alignment horizontal="center" vertical="center" shrinkToFit="1"/>
      <protection hidden="1"/>
    </xf>
    <xf numFmtId="0" fontId="58" fillId="0" borderId="18" xfId="0" applyFont="1" applyFill="1" applyBorder="1" applyAlignment="1" applyProtection="1">
      <alignment horizontal="center" vertical="center" shrinkToFit="1"/>
      <protection locked="0" hidden="1"/>
    </xf>
    <xf numFmtId="0" fontId="0" fillId="0" borderId="0" xfId="0" applyFill="1" applyBorder="1" applyAlignment="1" applyProtection="1">
      <alignment horizontal="center" vertical="center" shrinkToFit="1"/>
      <protection hidden="1"/>
    </xf>
    <xf numFmtId="0" fontId="0" fillId="0" borderId="0" xfId="0" applyFill="1" applyAlignment="1" applyProtection="1">
      <alignment horizontal="center" vertical="center" shrinkToFit="1"/>
      <protection hidden="1"/>
    </xf>
    <xf numFmtId="0" fontId="0" fillId="0" borderId="0" xfId="0" applyBorder="1" applyProtection="1">
      <protection hidden="1"/>
    </xf>
    <xf numFmtId="0" fontId="0" fillId="0" borderId="17" xfId="0" applyFill="1" applyBorder="1" applyProtection="1">
      <protection hidden="1"/>
    </xf>
    <xf numFmtId="0" fontId="94" fillId="0" borderId="0" xfId="0" applyFont="1" applyFill="1" applyAlignment="1" applyProtection="1">
      <alignment horizontal="center"/>
      <protection hidden="1"/>
    </xf>
    <xf numFmtId="0" fontId="6" fillId="0" borderId="0" xfId="0" applyFont="1" applyFill="1" applyAlignment="1" applyProtection="1">
      <alignment horizontal="center" vertical="center" shrinkToFit="1"/>
      <protection hidden="1"/>
    </xf>
    <xf numFmtId="0" fontId="81" fillId="0" borderId="0" xfId="0" applyFont="1" applyFill="1" applyBorder="1" applyAlignment="1" applyProtection="1">
      <alignment horizontal="center" vertical="center" shrinkToFit="1"/>
      <protection hidden="1"/>
    </xf>
    <xf numFmtId="0" fontId="0" fillId="0" borderId="7" xfId="0" applyBorder="1" applyAlignment="1" applyProtection="1">
      <alignment horizontal="center" vertical="center" shrinkToFit="1"/>
      <protection hidden="1"/>
    </xf>
    <xf numFmtId="0" fontId="40" fillId="0" borderId="8" xfId="0" applyFont="1" applyFill="1" applyBorder="1" applyAlignment="1" applyProtection="1">
      <alignment horizontal="center" vertical="center" shrinkToFit="1"/>
      <protection hidden="1"/>
    </xf>
    <xf numFmtId="0" fontId="72" fillId="0" borderId="19" xfId="0" applyFont="1" applyFill="1" applyBorder="1" applyAlignment="1" applyProtection="1">
      <alignment horizontal="center" vertical="center" shrinkToFit="1"/>
      <protection hidden="1"/>
    </xf>
    <xf numFmtId="0" fontId="72" fillId="0" borderId="7" xfId="0" applyFont="1" applyFill="1" applyBorder="1" applyAlignment="1" applyProtection="1">
      <alignment horizontal="center" vertical="center" shrinkToFit="1"/>
      <protection hidden="1"/>
    </xf>
    <xf numFmtId="0" fontId="17" fillId="0" borderId="17" xfId="0" applyFont="1" applyFill="1" applyBorder="1" applyAlignment="1" applyProtection="1">
      <alignment horizontal="center" vertical="center" shrinkToFit="1"/>
      <protection hidden="1"/>
    </xf>
    <xf numFmtId="0" fontId="40" fillId="0" borderId="0" xfId="0" applyFont="1" applyFill="1" applyBorder="1" applyProtection="1">
      <protection hidden="1"/>
    </xf>
    <xf numFmtId="1" fontId="80" fillId="0" borderId="0" xfId="0" applyNumberFormat="1" applyFont="1" applyFill="1" applyBorder="1" applyAlignment="1" applyProtection="1">
      <alignment horizontal="center"/>
      <protection hidden="1"/>
    </xf>
    <xf numFmtId="0" fontId="17" fillId="0" borderId="0" xfId="0" applyFont="1" applyFill="1" applyBorder="1" applyAlignment="1" applyProtection="1">
      <alignment horizontal="center"/>
      <protection hidden="1"/>
    </xf>
    <xf numFmtId="193" fontId="0" fillId="0" borderId="0" xfId="0" applyNumberFormat="1" applyProtection="1">
      <protection hidden="1"/>
    </xf>
    <xf numFmtId="0" fontId="40" fillId="0" borderId="20" xfId="0" applyFont="1" applyBorder="1" applyAlignment="1" applyProtection="1">
      <alignment horizontal="center" vertical="center" shrinkToFit="1"/>
      <protection hidden="1"/>
    </xf>
    <xf numFmtId="193" fontId="40" fillId="0" borderId="21" xfId="0" applyNumberFormat="1" applyFont="1" applyBorder="1" applyAlignment="1" applyProtection="1">
      <alignment vertical="center" shrinkToFit="1"/>
      <protection hidden="1"/>
    </xf>
    <xf numFmtId="172" fontId="40" fillId="0" borderId="13" xfId="0" applyNumberFormat="1" applyFont="1" applyBorder="1" applyAlignment="1" applyProtection="1">
      <alignment horizontal="center" vertical="center" shrinkToFit="1"/>
      <protection hidden="1"/>
    </xf>
    <xf numFmtId="172" fontId="40" fillId="0" borderId="12" xfId="0" applyNumberFormat="1" applyFont="1" applyBorder="1" applyAlignment="1" applyProtection="1">
      <alignment horizontal="center" vertical="center" shrinkToFit="1"/>
      <protection hidden="1"/>
    </xf>
    <xf numFmtId="172" fontId="40" fillId="0" borderId="22" xfId="0" applyNumberFormat="1" applyFont="1" applyFill="1" applyBorder="1" applyAlignment="1" applyProtection="1">
      <alignment horizontal="center" vertical="center" shrinkToFit="1"/>
      <protection hidden="1"/>
    </xf>
    <xf numFmtId="0" fontId="40" fillId="0" borderId="0" xfId="0" applyFont="1" applyFill="1" applyBorder="1" applyAlignment="1" applyProtection="1">
      <alignment horizontal="center" vertical="center" shrinkToFit="1"/>
      <protection hidden="1"/>
    </xf>
    <xf numFmtId="1" fontId="80" fillId="0" borderId="0" xfId="0" applyNumberFormat="1" applyFont="1" applyFill="1" applyBorder="1" applyAlignment="1" applyProtection="1">
      <alignment horizontal="center" vertical="center" shrinkToFit="1"/>
      <protection hidden="1"/>
    </xf>
    <xf numFmtId="0" fontId="44" fillId="0" borderId="21" xfId="0" applyFont="1" applyFill="1" applyBorder="1" applyAlignment="1" applyProtection="1">
      <alignment vertical="center" shrinkToFit="1"/>
      <protection hidden="1"/>
    </xf>
    <xf numFmtId="0" fontId="40" fillId="0" borderId="23" xfId="0" applyFont="1" applyBorder="1" applyAlignment="1" applyProtection="1">
      <alignment horizontal="center" vertical="center" shrinkToFit="1"/>
      <protection hidden="1"/>
    </xf>
    <xf numFmtId="193" fontId="40" fillId="0" borderId="23" xfId="0" applyNumberFormat="1" applyFont="1" applyBorder="1" applyAlignment="1" applyProtection="1">
      <alignment vertical="center" shrinkToFit="1"/>
      <protection hidden="1"/>
    </xf>
    <xf numFmtId="172" fontId="40" fillId="0" borderId="24" xfId="0" applyNumberFormat="1" applyFont="1" applyBorder="1" applyAlignment="1" applyProtection="1">
      <alignment horizontal="center" vertical="center" shrinkToFit="1"/>
      <protection hidden="1"/>
    </xf>
    <xf numFmtId="172" fontId="40" fillId="0" borderId="25" xfId="0" applyNumberFormat="1" applyFont="1" applyBorder="1" applyAlignment="1" applyProtection="1">
      <alignment horizontal="center" vertical="center" shrinkToFit="1"/>
      <protection hidden="1"/>
    </xf>
    <xf numFmtId="172" fontId="40" fillId="0" borderId="26" xfId="0" applyNumberFormat="1" applyFont="1" applyFill="1" applyBorder="1" applyAlignment="1" applyProtection="1">
      <alignment horizontal="center" vertical="center" shrinkToFit="1"/>
      <protection hidden="1"/>
    </xf>
    <xf numFmtId="172" fontId="40" fillId="0" borderId="10" xfId="0" applyNumberFormat="1" applyFont="1" applyFill="1" applyBorder="1" applyAlignment="1" applyProtection="1">
      <alignment horizontal="center" vertical="center" shrinkToFit="1"/>
      <protection hidden="1"/>
    </xf>
    <xf numFmtId="172" fontId="40" fillId="0" borderId="27" xfId="0" applyNumberFormat="1" applyFont="1" applyFill="1" applyBorder="1" applyAlignment="1" applyProtection="1">
      <alignment horizontal="center" vertical="center" shrinkToFit="1"/>
      <protection hidden="1"/>
    </xf>
    <xf numFmtId="172" fontId="6" fillId="0" borderId="21" xfId="0" applyNumberFormat="1" applyFont="1" applyFill="1" applyBorder="1" applyAlignment="1" applyProtection="1">
      <alignment horizontal="center" vertical="center" shrinkToFit="1"/>
      <protection hidden="1"/>
    </xf>
    <xf numFmtId="0" fontId="85" fillId="0" borderId="0" xfId="0" applyFont="1" applyFill="1" applyBorder="1" applyProtection="1">
      <protection hidden="1"/>
    </xf>
    <xf numFmtId="0" fontId="92" fillId="0" borderId="23" xfId="0" applyFont="1" applyFill="1" applyBorder="1" applyAlignment="1" applyProtection="1">
      <alignment vertical="center" shrinkToFit="1"/>
      <protection hidden="1"/>
    </xf>
    <xf numFmtId="172" fontId="40" fillId="0" borderId="15" xfId="0" applyNumberFormat="1" applyFont="1" applyBorder="1" applyAlignment="1" applyProtection="1">
      <alignment horizontal="center" vertical="center" shrinkToFit="1"/>
      <protection hidden="1"/>
    </xf>
    <xf numFmtId="172" fontId="40" fillId="0" borderId="2" xfId="0" applyNumberFormat="1" applyFont="1" applyBorder="1" applyAlignment="1" applyProtection="1">
      <alignment horizontal="center" vertical="center" shrinkToFit="1"/>
      <protection hidden="1"/>
    </xf>
    <xf numFmtId="172" fontId="40" fillId="0" borderId="28" xfId="0" applyNumberFormat="1" applyFont="1" applyFill="1" applyBorder="1" applyAlignment="1" applyProtection="1">
      <alignment horizontal="center" vertical="center" shrinkToFit="1"/>
      <protection hidden="1"/>
    </xf>
    <xf numFmtId="172" fontId="40" fillId="0" borderId="29" xfId="0" applyNumberFormat="1" applyFont="1" applyFill="1" applyBorder="1" applyAlignment="1" applyProtection="1">
      <alignment horizontal="center" vertical="center" shrinkToFit="1"/>
      <protection hidden="1"/>
    </xf>
    <xf numFmtId="172" fontId="40" fillId="0" borderId="30" xfId="0" applyNumberFormat="1" applyFont="1" applyFill="1" applyBorder="1" applyAlignment="1" applyProtection="1">
      <alignment horizontal="center" vertical="center" shrinkToFit="1"/>
      <protection hidden="1"/>
    </xf>
    <xf numFmtId="172" fontId="6" fillId="0" borderId="23" xfId="0" applyNumberFormat="1" applyFont="1" applyFill="1" applyBorder="1" applyAlignment="1" applyProtection="1">
      <alignment horizontal="center" vertical="center" shrinkToFit="1"/>
      <protection hidden="1"/>
    </xf>
    <xf numFmtId="0" fontId="85" fillId="0" borderId="31" xfId="0" applyFont="1" applyFill="1" applyBorder="1" applyAlignment="1" applyProtection="1">
      <alignment horizontal="center" vertical="center" wrapText="1"/>
      <protection hidden="1"/>
    </xf>
    <xf numFmtId="0" fontId="0" fillId="0" borderId="31" xfId="0" applyFill="1" applyBorder="1" applyAlignment="1" applyProtection="1">
      <alignment vertical="center" wrapText="1"/>
      <protection hidden="1"/>
    </xf>
    <xf numFmtId="0" fontId="92" fillId="0" borderId="21" xfId="0" applyFont="1" applyFill="1" applyBorder="1" applyAlignment="1" applyProtection="1">
      <alignment vertical="center" shrinkToFit="1"/>
      <protection hidden="1"/>
    </xf>
    <xf numFmtId="0" fontId="40" fillId="0" borderId="21" xfId="0" applyFont="1" applyBorder="1" applyAlignment="1" applyProtection="1">
      <alignment horizontal="center" vertical="center" shrinkToFit="1"/>
      <protection hidden="1"/>
    </xf>
    <xf numFmtId="0" fontId="0" fillId="0" borderId="0" xfId="0" applyFill="1" applyBorder="1" applyAlignment="1" applyProtection="1">
      <alignment vertical="center" wrapText="1"/>
      <protection hidden="1"/>
    </xf>
    <xf numFmtId="0" fontId="5" fillId="0" borderId="0" xfId="0" applyFont="1" applyFill="1" applyBorder="1" applyAlignment="1" applyProtection="1">
      <alignment horizontal="right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6" fillId="0" borderId="0" xfId="0" applyFont="1" applyFill="1" applyBorder="1" applyAlignment="1" applyProtection="1">
      <alignment horizontal="center"/>
      <protection hidden="1"/>
    </xf>
    <xf numFmtId="164" fontId="0" fillId="0" borderId="0" xfId="0" applyNumberFormat="1" applyProtection="1">
      <protection hidden="1"/>
    </xf>
    <xf numFmtId="0" fontId="43" fillId="0" borderId="0" xfId="0" applyFont="1" applyFill="1" applyBorder="1" applyAlignment="1" applyProtection="1">
      <alignment horizontal="center"/>
      <protection hidden="1"/>
    </xf>
    <xf numFmtId="0" fontId="17" fillId="0" borderId="17" xfId="0" applyFont="1" applyFill="1" applyBorder="1" applyProtection="1">
      <protection hidden="1"/>
    </xf>
    <xf numFmtId="0" fontId="43" fillId="0" borderId="0" xfId="0" applyFont="1" applyFill="1" applyProtection="1">
      <protection hidden="1"/>
    </xf>
    <xf numFmtId="0" fontId="5" fillId="0" borderId="19" xfId="0" applyFont="1" applyBorder="1" applyAlignment="1" applyProtection="1">
      <alignment horizontal="center"/>
      <protection hidden="1"/>
    </xf>
    <xf numFmtId="0" fontId="5" fillId="0" borderId="32" xfId="0" applyFont="1" applyBorder="1" applyAlignment="1" applyProtection="1">
      <alignment horizontal="center"/>
      <protection hidden="1"/>
    </xf>
    <xf numFmtId="0" fontId="5" fillId="0" borderId="17" xfId="0" applyFont="1" applyBorder="1" applyAlignment="1" applyProtection="1">
      <alignment horizontal="left" vertical="center"/>
      <protection hidden="1"/>
    </xf>
    <xf numFmtId="0" fontId="5" fillId="0" borderId="0" xfId="0" applyFont="1" applyBorder="1" applyProtection="1">
      <protection hidden="1"/>
    </xf>
    <xf numFmtId="0" fontId="5" fillId="0" borderId="33" xfId="0" applyFont="1" applyBorder="1" applyAlignment="1" applyProtection="1">
      <alignment horizontal="left" vertical="center"/>
      <protection hidden="1"/>
    </xf>
    <xf numFmtId="0" fontId="5" fillId="0" borderId="2" xfId="0" applyFont="1" applyBorder="1" applyProtection="1">
      <protection hidden="1"/>
    </xf>
    <xf numFmtId="0" fontId="5" fillId="0" borderId="34" xfId="0" applyFont="1" applyBorder="1" applyAlignment="1" applyProtection="1">
      <alignment horizontal="left" vertical="center"/>
      <protection hidden="1"/>
    </xf>
    <xf numFmtId="0" fontId="5" fillId="0" borderId="4" xfId="0" applyFont="1" applyBorder="1" applyProtection="1">
      <protection hidden="1"/>
    </xf>
    <xf numFmtId="0" fontId="0" fillId="0" borderId="0" xfId="0" applyFill="1" applyAlignment="1" applyProtection="1">
      <alignment horizontal="left"/>
      <protection hidden="1"/>
    </xf>
    <xf numFmtId="0" fontId="5" fillId="0" borderId="34" xfId="0" applyFont="1" applyFill="1" applyBorder="1" applyAlignment="1" applyProtection="1">
      <alignment horizontal="left" vertical="center"/>
      <protection hidden="1"/>
    </xf>
    <xf numFmtId="0" fontId="5" fillId="0" borderId="35" xfId="0" applyFont="1" applyBorder="1" applyAlignment="1" applyProtection="1">
      <alignment horizontal="left" vertical="center"/>
      <protection hidden="1"/>
    </xf>
    <xf numFmtId="0" fontId="5" fillId="0" borderId="36" xfId="0" applyFont="1" applyBorder="1" applyProtection="1">
      <protection hidden="1"/>
    </xf>
    <xf numFmtId="1" fontId="65" fillId="0" borderId="0" xfId="0" applyNumberFormat="1" applyFont="1" applyAlignment="1" applyProtection="1">
      <alignment horizontal="left"/>
      <protection hidden="1"/>
    </xf>
    <xf numFmtId="0" fontId="100" fillId="0" borderId="0" xfId="0" applyFont="1" applyProtection="1">
      <protection hidden="1"/>
    </xf>
    <xf numFmtId="0" fontId="60" fillId="0" borderId="0" xfId="0" applyFont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41" fillId="0" borderId="19" xfId="0" applyFont="1" applyFill="1" applyBorder="1" applyAlignment="1" applyProtection="1">
      <alignment horizontal="left"/>
      <protection hidden="1"/>
    </xf>
    <xf numFmtId="0" fontId="40" fillId="0" borderId="19" xfId="0" applyFont="1" applyBorder="1" applyAlignment="1" applyProtection="1">
      <alignment horizontal="center"/>
      <protection hidden="1"/>
    </xf>
    <xf numFmtId="0" fontId="40" fillId="0" borderId="37" xfId="0" applyFont="1" applyBorder="1" applyAlignment="1" applyProtection="1">
      <alignment horizontal="center"/>
      <protection hidden="1"/>
    </xf>
    <xf numFmtId="173" fontId="6" fillId="0" borderId="37" xfId="0" applyNumberFormat="1" applyFont="1" applyBorder="1" applyAlignment="1" applyProtection="1">
      <alignment horizontal="center"/>
      <protection hidden="1"/>
    </xf>
    <xf numFmtId="173" fontId="6" fillId="0" borderId="32" xfId="0" applyNumberFormat="1" applyFont="1" applyBorder="1" applyAlignment="1" applyProtection="1">
      <alignment horizontal="center"/>
      <protection hidden="1"/>
    </xf>
    <xf numFmtId="1" fontId="6" fillId="0" borderId="19" xfId="0" applyNumberFormat="1" applyFont="1" applyBorder="1" applyAlignment="1" applyProtection="1">
      <alignment horizontal="center"/>
      <protection hidden="1"/>
    </xf>
    <xf numFmtId="173" fontId="6" fillId="0" borderId="38" xfId="0" applyNumberFormat="1" applyFont="1" applyBorder="1" applyAlignment="1" applyProtection="1">
      <alignment horizontal="center"/>
      <protection hidden="1"/>
    </xf>
    <xf numFmtId="172" fontId="6" fillId="0" borderId="19" xfId="0" applyNumberFormat="1" applyFont="1" applyFill="1" applyBorder="1" applyAlignment="1" applyProtection="1">
      <alignment horizontal="center"/>
      <protection hidden="1"/>
    </xf>
    <xf numFmtId="172" fontId="6" fillId="0" borderId="38" xfId="0" applyNumberFormat="1" applyFont="1" applyFill="1" applyBorder="1" applyAlignment="1" applyProtection="1">
      <alignment horizontal="center"/>
      <protection hidden="1"/>
    </xf>
    <xf numFmtId="0" fontId="41" fillId="0" borderId="39" xfId="0" applyFont="1" applyFill="1" applyBorder="1" applyAlignment="1" applyProtection="1">
      <alignment horizontal="left"/>
      <protection hidden="1"/>
    </xf>
    <xf numFmtId="0" fontId="40" fillId="0" borderId="36" xfId="0" applyFont="1" applyBorder="1" applyAlignment="1" applyProtection="1">
      <alignment horizontal="center"/>
      <protection hidden="1"/>
    </xf>
    <xf numFmtId="0" fontId="40" fillId="0" borderId="0" xfId="0" applyFont="1" applyAlignment="1" applyProtection="1">
      <alignment horizontal="right"/>
      <protection hidden="1"/>
    </xf>
    <xf numFmtId="0" fontId="0" fillId="0" borderId="16" xfId="0" applyBorder="1" applyProtection="1">
      <protection hidden="1"/>
    </xf>
    <xf numFmtId="0" fontId="0" fillId="0" borderId="1" xfId="0" applyBorder="1" applyAlignment="1" applyProtection="1">
      <alignment horizontal="center"/>
      <protection locked="0" hidden="1"/>
    </xf>
    <xf numFmtId="0" fontId="5" fillId="0" borderId="17" xfId="0" applyFont="1" applyBorder="1" applyAlignment="1" applyProtection="1">
      <alignment horizontal="left" vertical="center"/>
      <protection locked="0" hidden="1"/>
    </xf>
    <xf numFmtId="0" fontId="108" fillId="0" borderId="0" xfId="0" applyFont="1" applyFill="1" applyProtection="1">
      <protection hidden="1"/>
    </xf>
    <xf numFmtId="172" fontId="63" fillId="0" borderId="0" xfId="0" applyNumberFormat="1" applyFont="1" applyFill="1" applyAlignment="1" applyProtection="1">
      <alignment horizontal="center" vertical="center"/>
      <protection hidden="1"/>
    </xf>
    <xf numFmtId="172" fontId="63" fillId="0" borderId="19" xfId="0" applyNumberFormat="1" applyFont="1" applyFill="1" applyBorder="1" applyAlignment="1" applyProtection="1">
      <alignment horizontal="center" vertical="center"/>
      <protection hidden="1"/>
    </xf>
    <xf numFmtId="172" fontId="63" fillId="0" borderId="37" xfId="0" applyNumberFormat="1" applyFont="1" applyFill="1" applyBorder="1" applyAlignment="1" applyProtection="1">
      <alignment horizontal="center" vertical="center" shrinkToFit="1"/>
      <protection hidden="1"/>
    </xf>
    <xf numFmtId="172" fontId="63" fillId="0" borderId="37" xfId="0" applyNumberFormat="1" applyFont="1" applyFill="1" applyBorder="1" applyAlignment="1" applyProtection="1">
      <alignment horizontal="center" vertical="center"/>
      <protection hidden="1"/>
    </xf>
    <xf numFmtId="0" fontId="29" fillId="0" borderId="0" xfId="0" applyFont="1" applyFill="1" applyAlignment="1" applyProtection="1">
      <alignment horizontal="center"/>
      <protection hidden="1"/>
    </xf>
    <xf numFmtId="0" fontId="109" fillId="0" borderId="0" xfId="0" applyFont="1" applyFill="1" applyAlignment="1" applyProtection="1">
      <alignment horizontal="center" vertical="center"/>
      <protection hidden="1"/>
    </xf>
    <xf numFmtId="0" fontId="110" fillId="0" borderId="0" xfId="0" applyFont="1" applyFill="1" applyAlignment="1" applyProtection="1">
      <alignment horizontal="center" vertical="center"/>
      <protection hidden="1"/>
    </xf>
    <xf numFmtId="0" fontId="112" fillId="0" borderId="0" xfId="0" applyFont="1" applyFill="1" applyProtection="1">
      <protection hidden="1"/>
    </xf>
    <xf numFmtId="172" fontId="29" fillId="0" borderId="0" xfId="0" applyNumberFormat="1" applyFont="1" applyFill="1" applyProtection="1">
      <protection hidden="1"/>
    </xf>
    <xf numFmtId="0" fontId="113" fillId="0" borderId="0" xfId="0" applyFont="1" applyFill="1" applyAlignment="1" applyProtection="1">
      <alignment horizontal="center"/>
      <protection hidden="1"/>
    </xf>
    <xf numFmtId="0" fontId="38" fillId="0" borderId="0" xfId="0" applyFont="1" applyBorder="1" applyAlignment="1" applyProtection="1">
      <alignment horizontal="center"/>
      <protection hidden="1"/>
    </xf>
    <xf numFmtId="172" fontId="42" fillId="0" borderId="20" xfId="0" applyNumberFormat="1" applyFont="1" applyFill="1" applyBorder="1" applyAlignment="1" applyProtection="1">
      <alignment horizontal="center" vertical="center" shrinkToFit="1"/>
      <protection hidden="1"/>
    </xf>
    <xf numFmtId="0" fontId="59" fillId="0" borderId="0" xfId="0" applyFont="1" applyFill="1" applyProtection="1">
      <protection hidden="1"/>
    </xf>
    <xf numFmtId="0" fontId="114" fillId="0" borderId="0" xfId="0" applyFont="1" applyFill="1" applyAlignment="1" applyProtection="1">
      <alignment horizontal="center"/>
      <protection hidden="1"/>
    </xf>
    <xf numFmtId="0" fontId="115" fillId="0" borderId="0" xfId="0" applyFont="1" applyFill="1" applyAlignment="1" applyProtection="1">
      <alignment horizontal="center"/>
      <protection hidden="1"/>
    </xf>
    <xf numFmtId="14" fontId="0" fillId="0" borderId="0" xfId="0" applyNumberFormat="1" applyProtection="1">
      <protection hidden="1"/>
    </xf>
    <xf numFmtId="0" fontId="59" fillId="0" borderId="0" xfId="0" applyFont="1" applyProtection="1">
      <protection hidden="1"/>
    </xf>
    <xf numFmtId="0" fontId="38" fillId="0" borderId="0" xfId="0" applyFont="1" applyAlignment="1" applyProtection="1">
      <alignment horizontal="center"/>
      <protection hidden="1"/>
    </xf>
    <xf numFmtId="0" fontId="6" fillId="0" borderId="0" xfId="0" applyFont="1" applyFill="1" applyAlignment="1" applyProtection="1">
      <alignment horizontal="right"/>
      <protection hidden="1"/>
    </xf>
    <xf numFmtId="0" fontId="81" fillId="0" borderId="0" xfId="0" applyFont="1" applyFill="1" applyAlignment="1" applyProtection="1">
      <alignment horizontal="left"/>
      <protection hidden="1"/>
    </xf>
    <xf numFmtId="0" fontId="1" fillId="0" borderId="0" xfId="0" applyFont="1" applyBorder="1" applyProtection="1">
      <protection hidden="1"/>
    </xf>
    <xf numFmtId="0" fontId="40" fillId="0" borderId="7" xfId="0" applyFont="1" applyFill="1" applyBorder="1" applyAlignment="1" applyProtection="1">
      <alignment horizontal="center" vertical="center" textRotation="90"/>
      <protection hidden="1"/>
    </xf>
    <xf numFmtId="0" fontId="72" fillId="0" borderId="40" xfId="0" applyFont="1" applyFill="1" applyBorder="1" applyAlignment="1" applyProtection="1">
      <alignment horizontal="center" vertical="center" textRotation="90"/>
      <protection hidden="1"/>
    </xf>
    <xf numFmtId="0" fontId="72" fillId="0" borderId="7" xfId="0" applyFont="1" applyFill="1" applyBorder="1" applyAlignment="1" applyProtection="1">
      <alignment horizontal="center" vertical="center" textRotation="90"/>
      <protection hidden="1"/>
    </xf>
    <xf numFmtId="0" fontId="72" fillId="0" borderId="41" xfId="0" applyFont="1" applyFill="1" applyBorder="1" applyAlignment="1" applyProtection="1">
      <alignment horizontal="center" vertical="center" textRotation="90"/>
      <protection hidden="1"/>
    </xf>
    <xf numFmtId="0" fontId="40" fillId="0" borderId="8" xfId="0" applyFont="1" applyFill="1" applyBorder="1" applyAlignment="1" applyProtection="1">
      <alignment horizontal="center" vertical="center" textRotation="90"/>
      <protection hidden="1"/>
    </xf>
    <xf numFmtId="0" fontId="40" fillId="0" borderId="0" xfId="0" applyFont="1" applyFill="1" applyProtection="1">
      <protection hidden="1"/>
    </xf>
    <xf numFmtId="1" fontId="80" fillId="0" borderId="0" xfId="0" applyNumberFormat="1" applyFont="1" applyFill="1" applyAlignment="1" applyProtection="1">
      <alignment horizontal="center"/>
      <protection hidden="1"/>
    </xf>
    <xf numFmtId="0" fontId="85" fillId="0" borderId="0" xfId="0" applyFont="1" applyFill="1" applyProtection="1">
      <protection hidden="1"/>
    </xf>
    <xf numFmtId="0" fontId="85" fillId="0" borderId="0" xfId="0" applyFont="1" applyFill="1" applyAlignment="1" applyProtection="1">
      <alignment horizontal="center"/>
      <protection hidden="1"/>
    </xf>
    <xf numFmtId="0" fontId="74" fillId="0" borderId="0" xfId="0" applyFont="1" applyFill="1" applyBorder="1" applyAlignment="1" applyProtection="1">
      <alignment horizontal="center"/>
      <protection hidden="1"/>
    </xf>
    <xf numFmtId="0" fontId="43" fillId="0" borderId="0" xfId="0" applyFont="1" applyFill="1" applyBorder="1" applyAlignment="1" applyProtection="1">
      <alignment horizontal="left"/>
      <protection hidden="1"/>
    </xf>
    <xf numFmtId="0" fontId="65" fillId="0" borderId="0" xfId="0" applyFont="1" applyAlignment="1" applyProtection="1">
      <alignment horizontal="left"/>
      <protection hidden="1"/>
    </xf>
    <xf numFmtId="0" fontId="65" fillId="0" borderId="0" xfId="1" applyFont="1" applyFill="1" applyAlignment="1" applyProtection="1">
      <alignment horizontal="left"/>
      <protection hidden="1"/>
    </xf>
    <xf numFmtId="0" fontId="40" fillId="0" borderId="0" xfId="0" applyFont="1" applyProtection="1">
      <protection hidden="1"/>
    </xf>
    <xf numFmtId="0" fontId="5" fillId="0" borderId="37" xfId="0" applyFont="1" applyBorder="1" applyAlignment="1" applyProtection="1">
      <alignment horizontal="left"/>
      <protection hidden="1"/>
    </xf>
    <xf numFmtId="0" fontId="5" fillId="0" borderId="32" xfId="0" applyFont="1" applyBorder="1" applyProtection="1">
      <protection hidden="1"/>
    </xf>
    <xf numFmtId="0" fontId="5" fillId="0" borderId="38" xfId="0" applyFont="1" applyBorder="1" applyProtection="1"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/>
      <protection hidden="1"/>
    </xf>
    <xf numFmtId="14" fontId="0" fillId="0" borderId="0" xfId="0" applyNumberFormat="1" applyFill="1" applyProtection="1">
      <protection hidden="1"/>
    </xf>
    <xf numFmtId="0" fontId="0" fillId="0" borderId="0" xfId="0" applyFill="1" applyAlignment="1" applyProtection="1">
      <alignment horizontal="center"/>
      <protection hidden="1"/>
    </xf>
    <xf numFmtId="0" fontId="74" fillId="0" borderId="0" xfId="0" applyFont="1" applyFill="1" applyBorder="1" applyProtection="1">
      <protection hidden="1"/>
    </xf>
    <xf numFmtId="0" fontId="72" fillId="0" borderId="19" xfId="0" applyFont="1" applyFill="1" applyBorder="1" applyAlignment="1" applyProtection="1">
      <alignment horizontal="center" vertical="center" textRotation="90"/>
      <protection hidden="1"/>
    </xf>
    <xf numFmtId="0" fontId="72" fillId="0" borderId="38" xfId="0" applyFont="1" applyFill="1" applyBorder="1" applyAlignment="1" applyProtection="1">
      <alignment horizontal="center" vertical="center" textRotation="90"/>
      <protection hidden="1"/>
    </xf>
    <xf numFmtId="0" fontId="40" fillId="0" borderId="35" xfId="0" applyFont="1" applyBorder="1" applyAlignment="1" applyProtection="1">
      <alignment horizontal="left" vertical="center"/>
      <protection hidden="1"/>
    </xf>
    <xf numFmtId="0" fontId="40" fillId="0" borderId="17" xfId="0" applyFont="1" applyBorder="1" applyAlignment="1" applyProtection="1">
      <alignment horizontal="left" vertical="center"/>
      <protection locked="0" hidden="1"/>
    </xf>
    <xf numFmtId="0" fontId="38" fillId="0" borderId="0" xfId="0" applyFont="1" applyFill="1" applyAlignment="1" applyProtection="1">
      <alignment horizontal="center"/>
      <protection hidden="1"/>
    </xf>
    <xf numFmtId="0" fontId="72" fillId="0" borderId="19" xfId="0" applyFont="1" applyFill="1" applyBorder="1" applyAlignment="1" applyProtection="1">
      <alignment horizontal="center" vertical="center" textRotation="90" shrinkToFit="1"/>
      <protection hidden="1"/>
    </xf>
    <xf numFmtId="0" fontId="72" fillId="0" borderId="7" xfId="0" applyFont="1" applyFill="1" applyBorder="1" applyAlignment="1" applyProtection="1">
      <alignment horizontal="center" vertical="center" textRotation="90" shrinkToFit="1"/>
      <protection hidden="1"/>
    </xf>
    <xf numFmtId="0" fontId="5" fillId="0" borderId="37" xfId="0" applyFont="1" applyFill="1" applyBorder="1" applyAlignment="1" applyProtection="1">
      <alignment horizontal="left"/>
      <protection hidden="1"/>
    </xf>
    <xf numFmtId="0" fontId="5" fillId="0" borderId="32" xfId="0" applyFont="1" applyFill="1" applyBorder="1" applyProtection="1">
      <protection hidden="1"/>
    </xf>
    <xf numFmtId="0" fontId="5" fillId="0" borderId="38" xfId="0" applyFont="1" applyFill="1" applyBorder="1" applyProtection="1">
      <protection hidden="1"/>
    </xf>
    <xf numFmtId="0" fontId="5" fillId="0" borderId="19" xfId="0" applyFont="1" applyFill="1" applyBorder="1" applyAlignment="1" applyProtection="1">
      <alignment horizontal="center"/>
      <protection hidden="1"/>
    </xf>
    <xf numFmtId="0" fontId="5" fillId="0" borderId="32" xfId="0" applyFont="1" applyFill="1" applyBorder="1" applyAlignment="1" applyProtection="1">
      <alignment horizontal="center"/>
      <protection hidden="1"/>
    </xf>
    <xf numFmtId="0" fontId="5" fillId="0" borderId="17" xfId="0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Protection="1">
      <protection hidden="1"/>
    </xf>
    <xf numFmtId="0" fontId="40" fillId="0" borderId="33" xfId="0" applyFont="1" applyFill="1" applyBorder="1" applyAlignment="1" applyProtection="1">
      <alignment horizontal="left" vertical="center"/>
      <protection hidden="1"/>
    </xf>
    <xf numFmtId="0" fontId="5" fillId="0" borderId="2" xfId="0" applyFont="1" applyFill="1" applyBorder="1" applyProtection="1">
      <protection hidden="1"/>
    </xf>
    <xf numFmtId="0" fontId="5" fillId="0" borderId="4" xfId="0" applyFont="1" applyFill="1" applyBorder="1" applyProtection="1">
      <protection hidden="1"/>
    </xf>
    <xf numFmtId="0" fontId="40" fillId="0" borderId="35" xfId="0" applyFont="1" applyFill="1" applyBorder="1" applyAlignment="1" applyProtection="1">
      <alignment horizontal="left" vertical="center"/>
      <protection hidden="1"/>
    </xf>
    <xf numFmtId="0" fontId="5" fillId="0" borderId="36" xfId="0" applyFont="1" applyFill="1" applyBorder="1" applyProtection="1">
      <protection hidden="1"/>
    </xf>
    <xf numFmtId="0" fontId="65" fillId="0" borderId="0" xfId="0" applyFont="1" applyFill="1" applyAlignment="1" applyProtection="1">
      <alignment horizontal="left"/>
      <protection hidden="1"/>
    </xf>
    <xf numFmtId="0" fontId="60" fillId="0" borderId="0" xfId="0" applyFont="1" applyFill="1" applyProtection="1">
      <protection hidden="1"/>
    </xf>
    <xf numFmtId="0" fontId="40" fillId="0" borderId="0" xfId="0" applyFont="1" applyFill="1" applyAlignment="1" applyProtection="1">
      <alignment horizontal="right"/>
      <protection hidden="1"/>
    </xf>
    <xf numFmtId="0" fontId="40" fillId="0" borderId="17" xfId="0" applyFont="1" applyFill="1" applyBorder="1" applyAlignment="1" applyProtection="1">
      <alignment horizontal="left" vertical="center"/>
      <protection locked="0" hidden="1"/>
    </xf>
    <xf numFmtId="0" fontId="13" fillId="0" borderId="2" xfId="0" applyFont="1" applyFill="1" applyBorder="1" applyAlignment="1" applyProtection="1">
      <alignment horizontal="center" vertical="top"/>
      <protection hidden="1"/>
    </xf>
    <xf numFmtId="176" fontId="18" fillId="0" borderId="0" xfId="1" applyNumberFormat="1" applyFill="1" applyBorder="1" applyAlignment="1" applyProtection="1">
      <alignment horizontal="center" vertical="center" wrapText="1"/>
      <protection hidden="1"/>
    </xf>
    <xf numFmtId="0" fontId="0" fillId="0" borderId="0" xfId="0" applyFill="1" applyAlignment="1" applyProtection="1">
      <alignment horizontal="right"/>
      <protection locked="0" hidden="1"/>
    </xf>
    <xf numFmtId="0" fontId="0" fillId="0" borderId="0" xfId="0" applyFill="1" applyProtection="1">
      <protection locked="0" hidden="1"/>
    </xf>
    <xf numFmtId="0" fontId="0" fillId="0" borderId="0" xfId="0" applyFill="1" applyBorder="1" applyProtection="1">
      <protection locked="0" hidden="1"/>
    </xf>
    <xf numFmtId="0" fontId="0" fillId="0" borderId="19" xfId="0" applyFill="1" applyBorder="1" applyAlignment="1" applyProtection="1">
      <alignment horizontal="center"/>
      <protection locked="0" hidden="1"/>
    </xf>
    <xf numFmtId="0" fontId="33" fillId="0" borderId="38" xfId="0" applyFont="1" applyFill="1" applyBorder="1" applyProtection="1">
      <protection locked="0" hidden="1"/>
    </xf>
    <xf numFmtId="0" fontId="0" fillId="0" borderId="19" xfId="0" applyFill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34" fillId="0" borderId="23" xfId="0" applyFont="1" applyFill="1" applyBorder="1" applyProtection="1">
      <protection locked="0" hidden="1"/>
    </xf>
    <xf numFmtId="0" fontId="61" fillId="0" borderId="28" xfId="0" applyFont="1" applyFill="1" applyBorder="1" applyProtection="1">
      <protection locked="0" hidden="1"/>
    </xf>
    <xf numFmtId="0" fontId="2" fillId="0" borderId="29" xfId="0" applyFont="1" applyFill="1" applyBorder="1" applyAlignment="1" applyProtection="1">
      <alignment horizontal="center"/>
      <protection locked="0" hidden="1"/>
    </xf>
    <xf numFmtId="0" fontId="2" fillId="0" borderId="29" xfId="0" applyNumberFormat="1" applyFont="1" applyFill="1" applyBorder="1" applyAlignment="1" applyProtection="1">
      <alignment horizontal="center"/>
      <protection locked="0" hidden="1"/>
    </xf>
    <xf numFmtId="0" fontId="35" fillId="0" borderId="29" xfId="0" applyFont="1" applyFill="1" applyBorder="1" applyAlignment="1" applyProtection="1">
      <alignment horizontal="center"/>
      <protection locked="0" hidden="1"/>
    </xf>
    <xf numFmtId="0" fontId="36" fillId="0" borderId="29" xfId="0" applyFont="1" applyFill="1" applyBorder="1" applyAlignment="1" applyProtection="1">
      <alignment horizontal="center"/>
      <protection locked="0" hidden="1"/>
    </xf>
    <xf numFmtId="0" fontId="37" fillId="0" borderId="42" xfId="0" applyFont="1" applyFill="1" applyBorder="1" applyAlignment="1" applyProtection="1">
      <alignment horizontal="center"/>
      <protection locked="0" hidden="1"/>
    </xf>
    <xf numFmtId="0" fontId="34" fillId="0" borderId="43" xfId="0" applyFont="1" applyFill="1" applyBorder="1" applyProtection="1">
      <protection locked="0" hidden="1"/>
    </xf>
    <xf numFmtId="0" fontId="61" fillId="0" borderId="26" xfId="0" applyFont="1" applyFill="1" applyBorder="1" applyProtection="1">
      <protection locked="0" hidden="1"/>
    </xf>
    <xf numFmtId="0" fontId="2" fillId="0" borderId="10" xfId="0" applyFont="1" applyFill="1" applyBorder="1" applyAlignment="1" applyProtection="1">
      <alignment horizontal="center"/>
      <protection locked="0" hidden="1"/>
    </xf>
    <xf numFmtId="0" fontId="2" fillId="0" borderId="10" xfId="0" applyNumberFormat="1" applyFont="1" applyFill="1" applyBorder="1" applyAlignment="1" applyProtection="1">
      <alignment horizontal="center"/>
      <protection locked="0" hidden="1"/>
    </xf>
    <xf numFmtId="0" fontId="35" fillId="0" borderId="1" xfId="0" applyFont="1" applyFill="1" applyBorder="1" applyAlignment="1" applyProtection="1">
      <alignment horizontal="center"/>
      <protection locked="0" hidden="1"/>
    </xf>
    <xf numFmtId="0" fontId="36" fillId="0" borderId="1" xfId="0" applyFont="1" applyFill="1" applyBorder="1" applyAlignment="1" applyProtection="1">
      <alignment horizontal="center"/>
      <protection locked="0" hidden="1"/>
    </xf>
    <xf numFmtId="0" fontId="37" fillId="0" borderId="6" xfId="0" applyFont="1" applyFill="1" applyBorder="1" applyAlignment="1" applyProtection="1">
      <alignment horizontal="center"/>
      <protection locked="0" hidden="1"/>
    </xf>
    <xf numFmtId="0" fontId="34" fillId="0" borderId="8" xfId="0" applyFont="1" applyFill="1" applyBorder="1" applyProtection="1">
      <protection locked="0" hidden="1"/>
    </xf>
    <xf numFmtId="0" fontId="62" fillId="0" borderId="8" xfId="0" applyFont="1" applyFill="1" applyBorder="1" applyProtection="1">
      <protection locked="0" hidden="1"/>
    </xf>
    <xf numFmtId="0" fontId="62" fillId="0" borderId="43" xfId="0" applyFont="1" applyFill="1" applyBorder="1" applyProtection="1">
      <protection locked="0" hidden="1"/>
    </xf>
    <xf numFmtId="2" fontId="2" fillId="0" borderId="10" xfId="0" applyNumberFormat="1" applyFont="1" applyFill="1" applyBorder="1" applyAlignment="1" applyProtection="1">
      <alignment horizontal="center"/>
      <protection locked="0" hidden="1"/>
    </xf>
    <xf numFmtId="1" fontId="36" fillId="0" borderId="1" xfId="0" applyNumberFormat="1" applyFont="1" applyFill="1" applyBorder="1" applyAlignment="1" applyProtection="1">
      <alignment horizontal="center"/>
      <protection locked="0" hidden="1"/>
    </xf>
    <xf numFmtId="0" fontId="37" fillId="0" borderId="6" xfId="0" applyNumberFormat="1" applyFont="1" applyFill="1" applyBorder="1" applyAlignment="1" applyProtection="1">
      <alignment horizontal="center"/>
      <protection locked="0" hidden="1"/>
    </xf>
    <xf numFmtId="173" fontId="2" fillId="0" borderId="10" xfId="0" applyNumberFormat="1" applyFont="1" applyFill="1" applyBorder="1" applyAlignment="1" applyProtection="1">
      <alignment horizontal="center"/>
      <protection locked="0" hidden="1"/>
    </xf>
    <xf numFmtId="0" fontId="34" fillId="0" borderId="43" xfId="0" applyFont="1" applyFill="1" applyBorder="1" applyAlignment="1" applyProtection="1">
      <alignment horizontal="left"/>
      <protection locked="0" hidden="1"/>
    </xf>
    <xf numFmtId="0" fontId="91" fillId="0" borderId="44" xfId="0" applyFont="1" applyFill="1" applyBorder="1" applyAlignment="1" applyProtection="1">
      <protection locked="0" hidden="1"/>
    </xf>
    <xf numFmtId="0" fontId="0" fillId="0" borderId="43" xfId="0" applyFill="1" applyBorder="1" applyProtection="1">
      <protection locked="0" hidden="1"/>
    </xf>
    <xf numFmtId="0" fontId="91" fillId="0" borderId="43" xfId="0" applyFont="1" applyFill="1" applyBorder="1" applyProtection="1">
      <protection locked="0" hidden="1"/>
    </xf>
    <xf numFmtId="173" fontId="36" fillId="0" borderId="1" xfId="0" applyNumberFormat="1" applyFont="1" applyFill="1" applyBorder="1" applyAlignment="1" applyProtection="1">
      <alignment horizontal="center"/>
      <protection locked="0" hidden="1"/>
    </xf>
    <xf numFmtId="173" fontId="37" fillId="0" borderId="6" xfId="0" applyNumberFormat="1" applyFont="1" applyFill="1" applyBorder="1" applyAlignment="1" applyProtection="1">
      <alignment horizontal="center"/>
      <protection locked="0" hidden="1"/>
    </xf>
    <xf numFmtId="0" fontId="91" fillId="0" borderId="39" xfId="0" applyFont="1" applyFill="1" applyBorder="1" applyProtection="1">
      <protection locked="0" hidden="1"/>
    </xf>
    <xf numFmtId="0" fontId="61" fillId="0" borderId="45" xfId="0" applyFont="1" applyFill="1" applyBorder="1" applyProtection="1">
      <protection locked="0" hidden="1"/>
    </xf>
    <xf numFmtId="0" fontId="2" fillId="0" borderId="46" xfId="0" applyFont="1" applyFill="1" applyBorder="1" applyAlignment="1" applyProtection="1">
      <alignment horizontal="center"/>
      <protection locked="0" hidden="1"/>
    </xf>
    <xf numFmtId="172" fontId="2" fillId="0" borderId="46" xfId="0" applyNumberFormat="1" applyFont="1" applyFill="1" applyBorder="1" applyAlignment="1" applyProtection="1">
      <alignment horizontal="center"/>
      <protection locked="0" hidden="1"/>
    </xf>
    <xf numFmtId="0" fontId="35" fillId="0" borderId="47" xfId="0" applyFont="1" applyFill="1" applyBorder="1" applyAlignment="1" applyProtection="1">
      <alignment horizontal="center"/>
      <protection locked="0" hidden="1"/>
    </xf>
    <xf numFmtId="173" fontId="36" fillId="0" borderId="47" xfId="0" applyNumberFormat="1" applyFont="1" applyFill="1" applyBorder="1" applyAlignment="1" applyProtection="1">
      <alignment horizontal="center"/>
      <protection locked="0" hidden="1"/>
    </xf>
    <xf numFmtId="173" fontId="37" fillId="0" borderId="48" xfId="0" applyNumberFormat="1" applyFont="1" applyFill="1" applyBorder="1" applyAlignment="1" applyProtection="1">
      <alignment horizontal="center"/>
      <protection locked="0" hidden="1"/>
    </xf>
    <xf numFmtId="0" fontId="61" fillId="0" borderId="10" xfId="0" applyFont="1" applyFill="1" applyBorder="1" applyProtection="1">
      <protection locked="0" hidden="1"/>
    </xf>
    <xf numFmtId="0" fontId="35" fillId="0" borderId="10" xfId="0" applyFont="1" applyFill="1" applyBorder="1" applyAlignment="1" applyProtection="1">
      <alignment horizontal="center"/>
      <protection locked="0" hidden="1"/>
    </xf>
    <xf numFmtId="0" fontId="36" fillId="0" borderId="10" xfId="0" applyFont="1" applyFill="1" applyBorder="1" applyAlignment="1" applyProtection="1">
      <alignment horizontal="center"/>
      <protection locked="0" hidden="1"/>
    </xf>
    <xf numFmtId="0" fontId="34" fillId="0" borderId="49" xfId="0" applyFont="1" applyFill="1" applyBorder="1" applyProtection="1">
      <protection locked="0" hidden="1"/>
    </xf>
    <xf numFmtId="0" fontId="34" fillId="0" borderId="17" xfId="0" applyFont="1" applyFill="1" applyBorder="1" applyProtection="1">
      <protection locked="0" hidden="1"/>
    </xf>
    <xf numFmtId="0" fontId="62" fillId="0" borderId="17" xfId="0" applyFont="1" applyFill="1" applyBorder="1" applyProtection="1">
      <protection locked="0" hidden="1"/>
    </xf>
    <xf numFmtId="0" fontId="62" fillId="0" borderId="49" xfId="0" applyFont="1" applyFill="1" applyBorder="1" applyProtection="1">
      <protection locked="0" hidden="1"/>
    </xf>
    <xf numFmtId="0" fontId="62" fillId="0" borderId="1" xfId="0" applyFont="1" applyFill="1" applyBorder="1" applyProtection="1">
      <protection locked="0" hidden="1"/>
    </xf>
    <xf numFmtId="1" fontId="35" fillId="0" borderId="1" xfId="0" applyNumberFormat="1" applyFont="1" applyFill="1" applyBorder="1" applyAlignment="1" applyProtection="1">
      <alignment horizontal="center"/>
      <protection locked="0" hidden="1"/>
    </xf>
    <xf numFmtId="0" fontId="34" fillId="0" borderId="1" xfId="0" applyFont="1" applyFill="1" applyBorder="1" applyAlignment="1" applyProtection="1">
      <alignment horizontal="left"/>
      <protection locked="0" hidden="1"/>
    </xf>
    <xf numFmtId="0" fontId="0" fillId="0" borderId="49" xfId="0" applyFill="1" applyBorder="1" applyProtection="1">
      <protection locked="0" hidden="1"/>
    </xf>
    <xf numFmtId="0" fontId="91" fillId="0" borderId="49" xfId="0" applyFont="1" applyFill="1" applyBorder="1" applyProtection="1">
      <protection locked="0" hidden="1"/>
    </xf>
    <xf numFmtId="0" fontId="34" fillId="0" borderId="1" xfId="0" applyFont="1" applyFill="1" applyBorder="1" applyProtection="1">
      <protection locked="0" hidden="1"/>
    </xf>
    <xf numFmtId="1" fontId="2" fillId="0" borderId="10" xfId="0" applyNumberFormat="1" applyFont="1" applyFill="1" applyBorder="1" applyAlignment="1" applyProtection="1">
      <alignment horizontal="center"/>
      <protection locked="0" hidden="1"/>
    </xf>
    <xf numFmtId="172" fontId="35" fillId="0" borderId="1" xfId="0" applyNumberFormat="1" applyFont="1" applyFill="1" applyBorder="1" applyAlignment="1" applyProtection="1">
      <alignment horizontal="center"/>
      <protection locked="0" hidden="1"/>
    </xf>
    <xf numFmtId="172" fontId="36" fillId="0" borderId="1" xfId="0" applyNumberFormat="1" applyFont="1" applyFill="1" applyBorder="1" applyAlignment="1" applyProtection="1">
      <alignment horizontal="center"/>
      <protection locked="0" hidden="1"/>
    </xf>
    <xf numFmtId="172" fontId="37" fillId="0" borderId="6" xfId="0" applyNumberFormat="1" applyFont="1" applyFill="1" applyBorder="1" applyAlignment="1" applyProtection="1">
      <alignment horizontal="center"/>
      <protection locked="0" hidden="1"/>
    </xf>
    <xf numFmtId="173" fontId="35" fillId="0" borderId="1" xfId="0" applyNumberFormat="1" applyFont="1" applyFill="1" applyBorder="1" applyAlignment="1" applyProtection="1">
      <alignment horizontal="center"/>
      <protection locked="0" hidden="1"/>
    </xf>
    <xf numFmtId="2" fontId="35" fillId="0" borderId="1" xfId="0" applyNumberFormat="1" applyFont="1" applyFill="1" applyBorder="1" applyAlignment="1" applyProtection="1">
      <alignment horizontal="center"/>
      <protection locked="0" hidden="1"/>
    </xf>
    <xf numFmtId="2" fontId="36" fillId="0" borderId="1" xfId="0" applyNumberFormat="1" applyFont="1" applyFill="1" applyBorder="1" applyAlignment="1" applyProtection="1">
      <alignment horizontal="center"/>
      <protection locked="0" hidden="1"/>
    </xf>
    <xf numFmtId="2" fontId="37" fillId="0" borderId="6" xfId="0" applyNumberFormat="1" applyFont="1" applyFill="1" applyBorder="1" applyAlignment="1" applyProtection="1">
      <alignment horizontal="center"/>
      <protection locked="0" hidden="1"/>
    </xf>
    <xf numFmtId="0" fontId="0" fillId="0" borderId="1" xfId="0" applyFill="1" applyBorder="1" applyProtection="1">
      <protection locked="0" hidden="1"/>
    </xf>
    <xf numFmtId="0" fontId="33" fillId="0" borderId="0" xfId="0" applyFont="1" applyFill="1" applyProtection="1">
      <protection locked="0" hidden="1"/>
    </xf>
    <xf numFmtId="0" fontId="45" fillId="0" borderId="37" xfId="0" applyFont="1" applyFill="1" applyBorder="1" applyAlignment="1" applyProtection="1">
      <alignment horizontal="center"/>
      <protection locked="0" hidden="1"/>
    </xf>
    <xf numFmtId="0" fontId="2" fillId="0" borderId="42" xfId="0" applyFont="1" applyFill="1" applyBorder="1" applyAlignment="1" applyProtection="1">
      <alignment horizontal="center"/>
      <protection locked="0" hidden="1"/>
    </xf>
    <xf numFmtId="0" fontId="2" fillId="0" borderId="11" xfId="0" applyFont="1" applyFill="1" applyBorder="1" applyAlignment="1" applyProtection="1">
      <alignment horizontal="center"/>
      <protection locked="0" hidden="1"/>
    </xf>
    <xf numFmtId="1" fontId="2" fillId="0" borderId="11" xfId="0" applyNumberFormat="1" applyFont="1" applyFill="1" applyBorder="1" applyAlignment="1" applyProtection="1">
      <alignment horizontal="center"/>
      <protection locked="0" hidden="1"/>
    </xf>
    <xf numFmtId="173" fontId="2" fillId="0" borderId="11" xfId="0" applyNumberFormat="1" applyFont="1" applyFill="1" applyBorder="1" applyAlignment="1" applyProtection="1">
      <alignment horizontal="center"/>
      <protection locked="0" hidden="1"/>
    </xf>
    <xf numFmtId="173" fontId="2" fillId="0" borderId="50" xfId="0" applyNumberFormat="1" applyFont="1" applyFill="1" applyBorder="1" applyAlignment="1" applyProtection="1">
      <alignment horizontal="center"/>
      <protection locked="0" hidden="1"/>
    </xf>
    <xf numFmtId="0" fontId="2" fillId="0" borderId="6" xfId="0" applyFont="1" applyFill="1" applyBorder="1" applyAlignment="1" applyProtection="1">
      <alignment horizontal="center"/>
      <protection locked="0" hidden="1"/>
    </xf>
    <xf numFmtId="0" fontId="2" fillId="0" borderId="11" xfId="0" applyNumberFormat="1" applyFont="1" applyFill="1" applyBorder="1" applyAlignment="1" applyProtection="1">
      <alignment horizontal="center"/>
      <protection locked="0" hidden="1"/>
    </xf>
    <xf numFmtId="172" fontId="2" fillId="0" borderId="11" xfId="0" applyNumberFormat="1" applyFont="1" applyFill="1" applyBorder="1" applyAlignment="1" applyProtection="1">
      <alignment horizontal="center"/>
      <protection locked="0" hidden="1"/>
    </xf>
    <xf numFmtId="2" fontId="2" fillId="0" borderId="11" xfId="0" applyNumberFormat="1" applyFont="1" applyFill="1" applyBorder="1" applyAlignment="1" applyProtection="1">
      <alignment horizontal="center"/>
      <protection locked="0" hidden="1"/>
    </xf>
    <xf numFmtId="0" fontId="4" fillId="0" borderId="0" xfId="0" applyFont="1" applyFill="1" applyProtection="1">
      <protection locked="0" hidden="1"/>
    </xf>
    <xf numFmtId="176" fontId="31" fillId="0" borderId="0" xfId="1" applyNumberFormat="1" applyFont="1" applyFill="1" applyBorder="1" applyAlignment="1" applyProtection="1">
      <alignment horizontal="center" vertical="center" wrapText="1"/>
      <protection locked="0" hidden="1"/>
    </xf>
    <xf numFmtId="2" fontId="0" fillId="0" borderId="0" xfId="0" applyNumberFormat="1" applyAlignment="1" applyProtection="1">
      <alignment horizontal="right"/>
      <protection locked="0" hidden="1"/>
    </xf>
    <xf numFmtId="172" fontId="0" fillId="0" borderId="0" xfId="0" applyNumberFormat="1" applyProtection="1">
      <protection locked="0" hidden="1"/>
    </xf>
    <xf numFmtId="0" fontId="90" fillId="0" borderId="0" xfId="0" applyFont="1" applyFill="1" applyProtection="1">
      <protection locked="0" hidden="1"/>
    </xf>
    <xf numFmtId="0" fontId="86" fillId="0" borderId="0" xfId="0" applyFont="1" applyFill="1" applyProtection="1">
      <protection locked="0" hidden="1"/>
    </xf>
    <xf numFmtId="0" fontId="86" fillId="4" borderId="0" xfId="0" applyFont="1" applyFill="1" applyProtection="1">
      <protection locked="0" hidden="1"/>
    </xf>
    <xf numFmtId="0" fontId="33" fillId="0" borderId="0" xfId="0" applyFont="1" applyFill="1" applyAlignment="1" applyProtection="1">
      <alignment horizontal="center" vertical="center"/>
      <protection hidden="1"/>
    </xf>
    <xf numFmtId="0" fontId="76" fillId="0" borderId="1" xfId="0" applyFont="1" applyBorder="1" applyProtection="1">
      <protection locked="0" hidden="1"/>
    </xf>
    <xf numFmtId="0" fontId="32" fillId="0" borderId="0" xfId="0" applyFont="1" applyFill="1" applyProtection="1">
      <protection hidden="1"/>
    </xf>
    <xf numFmtId="0" fontId="29" fillId="0" borderId="0" xfId="0" applyFont="1" applyFill="1" applyAlignment="1" applyProtection="1">
      <alignment horizontal="center" vertical="center"/>
      <protection locked="0" hidden="1"/>
    </xf>
    <xf numFmtId="0" fontId="126" fillId="0" borderId="0" xfId="3" applyFill="1" applyProtection="1"/>
    <xf numFmtId="0" fontId="126" fillId="0" borderId="0" xfId="3" applyAlignment="1" applyProtection="1">
      <alignment horizontal="center" vertical="center"/>
    </xf>
    <xf numFmtId="0" fontId="126" fillId="0" borderId="0" xfId="3" applyFill="1" applyAlignment="1" applyProtection="1">
      <alignment horizontal="center" vertical="center"/>
    </xf>
    <xf numFmtId="0" fontId="126" fillId="0" borderId="0" xfId="3" applyProtection="1"/>
    <xf numFmtId="0" fontId="119" fillId="0" borderId="0" xfId="3" applyFont="1" applyAlignment="1" applyProtection="1">
      <alignment horizontal="center" vertical="center"/>
    </xf>
    <xf numFmtId="0" fontId="127" fillId="0" borderId="0" xfId="3" applyFont="1" applyAlignment="1" applyProtection="1">
      <alignment horizontal="center" vertical="center"/>
    </xf>
    <xf numFmtId="0" fontId="120" fillId="0" borderId="0" xfId="3" applyFont="1" applyAlignment="1" applyProtection="1">
      <alignment horizontal="center" vertical="center"/>
    </xf>
    <xf numFmtId="0" fontId="126" fillId="0" borderId="0" xfId="3" applyFill="1" applyAlignment="1" applyProtection="1">
      <alignment horizontal="center"/>
    </xf>
    <xf numFmtId="172" fontId="131" fillId="0" borderId="1" xfId="3" applyNumberFormat="1" applyFont="1" applyBorder="1" applyAlignment="1" applyProtection="1">
      <alignment horizontal="center" vertical="center" shrinkToFit="1"/>
    </xf>
    <xf numFmtId="173" fontId="131" fillId="0" borderId="1" xfId="3" applyNumberFormat="1" applyFont="1" applyBorder="1" applyAlignment="1" applyProtection="1">
      <alignment horizontal="center" vertical="center" shrinkToFit="1"/>
    </xf>
    <xf numFmtId="1" fontId="131" fillId="0" borderId="1" xfId="3" applyNumberFormat="1" applyFont="1" applyBorder="1" applyAlignment="1" applyProtection="1">
      <alignment horizontal="center" vertical="center" shrinkToFit="1"/>
    </xf>
    <xf numFmtId="0" fontId="126" fillId="4" borderId="0" xfId="3" applyFill="1" applyAlignment="1" applyProtection="1">
      <alignment horizontal="center" vertical="center"/>
    </xf>
    <xf numFmtId="0" fontId="10" fillId="0" borderId="2" xfId="0" applyFont="1" applyFill="1" applyBorder="1" applyAlignment="1" applyProtection="1">
      <alignment vertical="top"/>
      <protection hidden="1"/>
    </xf>
    <xf numFmtId="0" fontId="13" fillId="0" borderId="0" xfId="0" applyFont="1" applyFill="1" applyBorder="1" applyAlignment="1" applyProtection="1">
      <alignment horizontal="center" vertical="top"/>
      <protection hidden="1"/>
    </xf>
    <xf numFmtId="0" fontId="4" fillId="0" borderId="0" xfId="0" applyFont="1" applyFill="1" applyAlignment="1" applyProtection="1">
      <protection hidden="1"/>
    </xf>
    <xf numFmtId="0" fontId="0" fillId="0" borderId="0" xfId="0" applyBorder="1"/>
    <xf numFmtId="0" fontId="0" fillId="0" borderId="0" xfId="0" applyBorder="1" applyAlignment="1"/>
    <xf numFmtId="0" fontId="0" fillId="0" borderId="12" xfId="0" applyBorder="1" applyAlignment="1"/>
    <xf numFmtId="0" fontId="0" fillId="0" borderId="2" xfId="0" applyBorder="1" applyAlignment="1"/>
    <xf numFmtId="0" fontId="135" fillId="0" borderId="2" xfId="0" applyFont="1" applyBorder="1" applyAlignment="1"/>
    <xf numFmtId="0" fontId="135" fillId="0" borderId="12" xfId="0" applyFont="1" applyBorder="1" applyAlignment="1"/>
    <xf numFmtId="0" fontId="0" fillId="0" borderId="0" xfId="0" applyProtection="1">
      <protection locked="0"/>
    </xf>
    <xf numFmtId="0" fontId="140" fillId="0" borderId="0" xfId="1" applyFont="1" applyFill="1" applyBorder="1" applyAlignment="1" applyProtection="1">
      <alignment horizontal="left" vertical="center"/>
      <protection locked="0" hidden="1"/>
    </xf>
    <xf numFmtId="0" fontId="100" fillId="0" borderId="0" xfId="0" applyFont="1" applyFill="1" applyBorder="1" applyAlignment="1" applyProtection="1">
      <alignment horizontal="center"/>
      <protection locked="0" hidden="1"/>
    </xf>
    <xf numFmtId="0" fontId="100" fillId="0" borderId="0" xfId="0" applyFont="1" applyFill="1" applyBorder="1" applyAlignment="1" applyProtection="1">
      <alignment horizontal="left" vertical="center"/>
      <protection locked="0" hidden="1"/>
    </xf>
    <xf numFmtId="0" fontId="100" fillId="0" borderId="0" xfId="0" applyFont="1" applyFill="1" applyBorder="1" applyProtection="1">
      <protection hidden="1"/>
    </xf>
    <xf numFmtId="0" fontId="100" fillId="0" borderId="0" xfId="0" applyFont="1" applyFill="1" applyBorder="1" applyAlignment="1" applyProtection="1">
      <alignment vertical="center"/>
      <protection locked="0" hidden="1"/>
    </xf>
    <xf numFmtId="1" fontId="7" fillId="0" borderId="0" xfId="0" applyNumberFormat="1" applyFont="1" applyFill="1" applyBorder="1" applyProtection="1">
      <protection locked="0" hidden="1"/>
    </xf>
    <xf numFmtId="0" fontId="100" fillId="0" borderId="0" xfId="0" applyFont="1" applyFill="1" applyBorder="1" applyAlignment="1" applyProtection="1">
      <alignment horizontal="left"/>
      <protection locked="0" hidden="1"/>
    </xf>
    <xf numFmtId="0" fontId="100" fillId="0" borderId="0" xfId="0" applyFont="1" applyFill="1" applyBorder="1" applyProtection="1">
      <protection locked="0" hidden="1"/>
    </xf>
    <xf numFmtId="0" fontId="100" fillId="0" borderId="0" xfId="0" applyFont="1" applyFill="1" applyBorder="1" applyAlignment="1" applyProtection="1">
      <alignment horizontal="right" vertical="center" wrapText="1"/>
      <protection locked="0" hidden="1"/>
    </xf>
    <xf numFmtId="0" fontId="7" fillId="0" borderId="0" xfId="0" applyNumberFormat="1" applyFont="1" applyFill="1" applyBorder="1" applyProtection="1">
      <protection locked="0" hidden="1"/>
    </xf>
    <xf numFmtId="1" fontId="100" fillId="0" borderId="0" xfId="0" applyNumberFormat="1" applyFont="1" applyFill="1" applyBorder="1" applyProtection="1">
      <protection locked="0" hidden="1"/>
    </xf>
    <xf numFmtId="0" fontId="100" fillId="0" borderId="0" xfId="0" applyFont="1" applyFill="1" applyProtection="1">
      <protection locked="0" hidden="1"/>
    </xf>
    <xf numFmtId="0" fontId="7" fillId="0" borderId="0" xfId="0" applyNumberFormat="1" applyFont="1" applyFill="1" applyBorder="1" applyAlignment="1" applyProtection="1">
      <alignment horizontal="left"/>
      <protection locked="0" hidden="1"/>
    </xf>
    <xf numFmtId="178" fontId="100" fillId="0" borderId="0" xfId="0" applyNumberFormat="1" applyFont="1" applyFill="1" applyBorder="1" applyAlignment="1" applyProtection="1">
      <alignment horizontal="left"/>
      <protection locked="0" hidden="1"/>
    </xf>
    <xf numFmtId="0" fontId="7" fillId="0" borderId="0" xfId="0" applyFont="1" applyFill="1" applyBorder="1" applyProtection="1">
      <protection locked="0" hidden="1"/>
    </xf>
    <xf numFmtId="0" fontId="7" fillId="0" borderId="0" xfId="0" applyFont="1" applyFill="1" applyBorder="1" applyAlignment="1" applyProtection="1">
      <alignment vertical="center"/>
      <protection locked="0" hidden="1"/>
    </xf>
    <xf numFmtId="175" fontId="7" fillId="0" borderId="0" xfId="0" applyNumberFormat="1" applyFont="1" applyFill="1" applyBorder="1" applyAlignment="1" applyProtection="1">
      <alignment horizontal="center"/>
      <protection locked="0" hidden="1"/>
    </xf>
    <xf numFmtId="0" fontId="7" fillId="0" borderId="0" xfId="0" applyNumberFormat="1" applyFont="1" applyFill="1" applyBorder="1" applyAlignment="1" applyProtection="1">
      <alignment horizontal="center" vertical="center"/>
      <protection locked="0" hidden="1"/>
    </xf>
    <xf numFmtId="22" fontId="7" fillId="0" borderId="0" xfId="0" applyNumberFormat="1" applyFont="1" applyFill="1" applyBorder="1" applyAlignment="1" applyProtection="1">
      <alignment horizontal="center" vertical="center"/>
      <protection locked="0" hidden="1"/>
    </xf>
    <xf numFmtId="0" fontId="100" fillId="0" borderId="0" xfId="0" applyFont="1" applyFill="1" applyBorder="1" applyAlignment="1" applyProtection="1">
      <alignment wrapText="1"/>
      <protection locked="0" hidden="1"/>
    </xf>
    <xf numFmtId="177" fontId="100" fillId="0" borderId="0" xfId="0" applyNumberFormat="1" applyFont="1" applyFill="1" applyBorder="1" applyAlignment="1" applyProtection="1">
      <alignment horizontal="center" vertical="top"/>
      <protection locked="0" hidden="1"/>
    </xf>
    <xf numFmtId="0" fontId="137" fillId="0" borderId="0" xfId="0" applyFont="1" applyFill="1" applyBorder="1" applyProtection="1">
      <protection locked="0" hidden="1"/>
    </xf>
    <xf numFmtId="0" fontId="100" fillId="0" borderId="0" xfId="0" applyFont="1" applyFill="1" applyBorder="1"/>
    <xf numFmtId="180" fontId="100" fillId="0" borderId="0" xfId="0" applyNumberFormat="1" applyFont="1" applyFill="1" applyBorder="1" applyProtection="1">
      <protection locked="0" hidden="1"/>
    </xf>
    <xf numFmtId="0" fontId="100" fillId="0" borderId="0" xfId="0" applyFont="1" applyFill="1" applyBorder="1" applyAlignment="1" applyProtection="1">
      <alignment horizontal="center" vertical="center"/>
      <protection locked="0" hidden="1"/>
    </xf>
    <xf numFmtId="0" fontId="7" fillId="0" borderId="0" xfId="0" applyFont="1" applyFill="1" applyBorder="1" applyAlignment="1" applyProtection="1">
      <alignment horizontal="center" vertical="center"/>
      <protection locked="0" hidden="1"/>
    </xf>
    <xf numFmtId="183" fontId="100" fillId="0" borderId="0" xfId="0" applyNumberFormat="1" applyFont="1" applyFill="1" applyBorder="1" applyAlignment="1" applyProtection="1">
      <alignment horizontal="center"/>
      <protection locked="0" hidden="1"/>
    </xf>
    <xf numFmtId="0" fontId="100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/>
      <protection locked="0" hidden="1"/>
    </xf>
    <xf numFmtId="0" fontId="7" fillId="0" borderId="0" xfId="0" applyFont="1" applyFill="1" applyBorder="1" applyAlignment="1" applyProtection="1">
      <alignment vertical="center" shrinkToFit="1"/>
      <protection locked="0" hidden="1"/>
    </xf>
    <xf numFmtId="14" fontId="100" fillId="0" borderId="0" xfId="0" applyNumberFormat="1" applyFont="1" applyFill="1" applyBorder="1" applyProtection="1">
      <protection locked="0" hidden="1"/>
    </xf>
    <xf numFmtId="2" fontId="138" fillId="0" borderId="0" xfId="0" applyNumberFormat="1" applyFont="1" applyFill="1" applyBorder="1" applyAlignment="1" applyProtection="1">
      <alignment vertical="distributed"/>
      <protection locked="0"/>
    </xf>
    <xf numFmtId="0" fontId="100" fillId="5" borderId="0" xfId="0" applyFont="1" applyFill="1" applyBorder="1" applyProtection="1">
      <protection locked="0" hidden="1"/>
    </xf>
    <xf numFmtId="0" fontId="100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100" fillId="0" borderId="0" xfId="0" applyNumberFormat="1" applyFont="1" applyFill="1" applyBorder="1" applyAlignment="1" applyProtection="1">
      <alignment horizontal="center" vertical="center"/>
      <protection locked="0" hidden="1"/>
    </xf>
    <xf numFmtId="0" fontId="100" fillId="0" borderId="0" xfId="0" applyFont="1" applyFill="1" applyBorder="1" applyAlignment="1" applyProtection="1">
      <protection locked="0" hidden="1"/>
    </xf>
    <xf numFmtId="2" fontId="138" fillId="0" borderId="0" xfId="0" applyNumberFormat="1" applyFont="1" applyFill="1" applyBorder="1" applyAlignment="1" applyProtection="1">
      <alignment vertical="distributed" shrinkToFit="1"/>
      <protection locked="0" hidden="1"/>
    </xf>
    <xf numFmtId="0" fontId="100" fillId="5" borderId="0" xfId="0" applyFont="1" applyFill="1" applyBorder="1" applyAlignment="1" applyProtection="1">
      <alignment vertical="center"/>
      <protection locked="0" hidden="1"/>
    </xf>
    <xf numFmtId="0" fontId="139" fillId="0" borderId="0" xfId="0" applyFont="1" applyFill="1" applyBorder="1" applyAlignment="1" applyProtection="1">
      <alignment vertical="center"/>
      <protection locked="0" hidden="1"/>
    </xf>
    <xf numFmtId="0" fontId="139" fillId="0" borderId="0" xfId="0" applyFont="1" applyFill="1" applyBorder="1" applyAlignment="1" applyProtection="1">
      <alignment horizontal="center" vertical="center"/>
      <protection locked="0" hidden="1"/>
    </xf>
    <xf numFmtId="0" fontId="7" fillId="0" borderId="0" xfId="0" applyFont="1" applyFill="1" applyBorder="1" applyAlignment="1" applyProtection="1">
      <alignment horizontal="right" vertical="center"/>
      <protection locked="0" hidden="1"/>
    </xf>
    <xf numFmtId="0" fontId="100" fillId="0" borderId="0" xfId="0" applyFont="1" applyFill="1" applyAlignment="1" applyProtection="1">
      <alignment vertical="center"/>
      <protection locked="0" hidden="1"/>
    </xf>
    <xf numFmtId="14" fontId="100" fillId="0" borderId="0" xfId="0" applyNumberFormat="1" applyFont="1" applyFill="1" applyBorder="1" applyAlignment="1" applyProtection="1">
      <alignment vertical="center"/>
      <protection locked="0" hidden="1"/>
    </xf>
    <xf numFmtId="0" fontId="100" fillId="0" borderId="0" xfId="0" applyFont="1" applyFill="1" applyBorder="1" applyAlignment="1" applyProtection="1">
      <alignment horizontal="right" vertical="center"/>
      <protection locked="0" hidden="1"/>
    </xf>
    <xf numFmtId="0" fontId="7" fillId="0" borderId="0" xfId="0" applyFont="1" applyFill="1" applyBorder="1" applyAlignment="1" applyProtection="1">
      <protection locked="0" hidden="1"/>
    </xf>
    <xf numFmtId="1" fontId="7" fillId="0" borderId="0" xfId="0" applyNumberFormat="1" applyFont="1" applyFill="1" applyBorder="1" applyAlignment="1" applyProtection="1">
      <alignment horizontal="center" vertical="center"/>
      <protection locked="0" hidden="1"/>
    </xf>
    <xf numFmtId="180" fontId="100" fillId="0" borderId="0" xfId="0" applyNumberFormat="1" applyFont="1" applyFill="1" applyBorder="1" applyAlignment="1" applyProtection="1">
      <alignment horizontal="center" vertical="center"/>
      <protection locked="0" hidden="1"/>
    </xf>
    <xf numFmtId="1" fontId="7" fillId="0" borderId="0" xfId="0" applyNumberFormat="1" applyFont="1" applyFill="1" applyBorder="1" applyAlignment="1" applyProtection="1">
      <alignment vertical="center"/>
      <protection locked="0" hidden="1"/>
    </xf>
    <xf numFmtId="0" fontId="140" fillId="0" borderId="0" xfId="1" applyFont="1" applyFill="1" applyBorder="1" applyAlignment="1" applyProtection="1">
      <alignment horizontal="center" vertical="center"/>
      <protection locked="0" hidden="1"/>
    </xf>
    <xf numFmtId="0" fontId="141" fillId="0" borderId="0" xfId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Fill="1" applyBorder="1" applyAlignment="1" applyProtection="1">
      <alignment horizontal="center"/>
      <protection locked="0"/>
    </xf>
    <xf numFmtId="0" fontId="140" fillId="0" borderId="0" xfId="1" applyFont="1" applyFill="1" applyBorder="1" applyAlignment="1" applyProtection="1">
      <alignment vertical="center"/>
      <protection locked="0" hidden="1"/>
    </xf>
    <xf numFmtId="0" fontId="7" fillId="0" borderId="0" xfId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Fill="1" applyBorder="1" applyAlignment="1" applyProtection="1">
      <alignment horizontal="center" vertical="center" shrinkToFit="1"/>
      <protection locked="0" hidden="1"/>
    </xf>
    <xf numFmtId="0" fontId="100" fillId="0" borderId="0" xfId="0" applyFont="1" applyFill="1" applyBorder="1" applyAlignment="1" applyProtection="1">
      <alignment vertical="center"/>
      <protection locked="0"/>
    </xf>
    <xf numFmtId="0" fontId="142" fillId="0" borderId="0" xfId="0" applyFont="1" applyFill="1" applyBorder="1" applyProtection="1">
      <protection locked="0" hidden="1"/>
    </xf>
    <xf numFmtId="0" fontId="100" fillId="0" borderId="0" xfId="0" applyFont="1" applyFill="1" applyBorder="1" applyAlignment="1" applyProtection="1">
      <alignment horizontal="right"/>
      <protection locked="0" hidden="1"/>
    </xf>
    <xf numFmtId="0" fontId="139" fillId="0" borderId="0" xfId="0" applyFont="1" applyFill="1" applyBorder="1" applyProtection="1">
      <protection locked="0" hidden="1"/>
    </xf>
    <xf numFmtId="1" fontId="7" fillId="0" borderId="0" xfId="0" applyNumberFormat="1" applyFont="1" applyFill="1" applyBorder="1" applyAlignment="1" applyProtection="1">
      <alignment horizontal="center"/>
      <protection locked="0" hidden="1"/>
    </xf>
    <xf numFmtId="0" fontId="142" fillId="0" borderId="0" xfId="0" applyFont="1" applyFill="1" applyBorder="1" applyAlignment="1" applyProtection="1">
      <alignment horizontal="left"/>
      <protection locked="0" hidden="1"/>
    </xf>
    <xf numFmtId="0" fontId="139" fillId="0" borderId="0" xfId="0" applyFont="1" applyFill="1" applyBorder="1" applyAlignment="1" applyProtection="1">
      <alignment horizontal="left"/>
      <protection locked="0" hidden="1"/>
    </xf>
    <xf numFmtId="0" fontId="139" fillId="0" borderId="0" xfId="0" applyNumberFormat="1" applyFont="1" applyFill="1" applyBorder="1" applyAlignment="1" applyProtection="1">
      <alignment horizontal="left"/>
      <protection locked="0" hidden="1"/>
    </xf>
    <xf numFmtId="0" fontId="7" fillId="0" borderId="0" xfId="0" applyFont="1" applyFill="1" applyBorder="1" applyAlignment="1" applyProtection="1">
      <alignment horizontal="center" textRotation="90" wrapText="1"/>
      <protection locked="0" hidden="1"/>
    </xf>
    <xf numFmtId="1" fontId="139" fillId="0" borderId="0" xfId="0" applyNumberFormat="1" applyFont="1" applyFill="1" applyBorder="1" applyProtection="1">
      <protection locked="0" hidden="1"/>
    </xf>
    <xf numFmtId="2" fontId="7" fillId="0" borderId="0" xfId="0" applyNumberFormat="1" applyFont="1" applyFill="1" applyBorder="1" applyProtection="1">
      <protection locked="0" hidden="1"/>
    </xf>
    <xf numFmtId="0" fontId="143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right" shrinkToFit="1"/>
      <protection hidden="1"/>
    </xf>
    <xf numFmtId="180" fontId="47" fillId="0" borderId="0" xfId="0" applyNumberFormat="1" applyFont="1" applyFill="1" applyBorder="1" applyAlignment="1" applyProtection="1">
      <alignment horizontal="center" shrinkToFit="1"/>
      <protection hidden="1"/>
    </xf>
    <xf numFmtId="0" fontId="2" fillId="0" borderId="1" xfId="0" applyFont="1" applyFill="1" applyBorder="1" applyAlignment="1" applyProtection="1">
      <alignment horizontal="center"/>
      <protection locked="0" hidden="1"/>
    </xf>
    <xf numFmtId="0" fontId="2" fillId="0" borderId="1" xfId="0" applyNumberFormat="1" applyFont="1" applyFill="1" applyBorder="1" applyAlignment="1" applyProtection="1">
      <alignment horizontal="center"/>
      <protection locked="0" hidden="1"/>
    </xf>
    <xf numFmtId="0" fontId="144" fillId="0" borderId="0" xfId="0" applyFont="1" applyFill="1" applyProtection="1">
      <protection locked="0" hidden="1"/>
    </xf>
    <xf numFmtId="0" fontId="145" fillId="0" borderId="0" xfId="0" applyFont="1" applyFill="1" applyBorder="1" applyAlignment="1" applyProtection="1">
      <alignment horizontal="center"/>
      <protection hidden="1"/>
    </xf>
    <xf numFmtId="0" fontId="145" fillId="0" borderId="0" xfId="0" applyFont="1" applyFill="1" applyBorder="1" applyProtection="1">
      <protection hidden="1"/>
    </xf>
    <xf numFmtId="0" fontId="145" fillId="0" borderId="0" xfId="0" applyFont="1" applyFill="1" applyProtection="1">
      <protection hidden="1"/>
    </xf>
    <xf numFmtId="0" fontId="90" fillId="0" borderId="0" xfId="0" applyFont="1" applyProtection="1">
      <protection locked="0" hidden="1"/>
    </xf>
    <xf numFmtId="0" fontId="0" fillId="0" borderId="0" xfId="0" applyNumberFormat="1" applyFill="1" applyProtection="1">
      <protection locked="0" hidden="1"/>
    </xf>
    <xf numFmtId="0" fontId="0" fillId="0" borderId="0" xfId="0" applyNumberFormat="1" applyProtection="1">
      <protection locked="0" hidden="1"/>
    </xf>
    <xf numFmtId="172" fontId="40" fillId="0" borderId="51" xfId="0" applyNumberFormat="1" applyFont="1" applyFill="1" applyBorder="1" applyAlignment="1" applyProtection="1">
      <alignment horizontal="center" vertical="center" shrinkToFit="1"/>
      <protection hidden="1"/>
    </xf>
    <xf numFmtId="0" fontId="113" fillId="0" borderId="2" xfId="1" applyNumberFormat="1" applyFont="1" applyFill="1" applyBorder="1" applyAlignment="1" applyProtection="1">
      <alignment horizontal="left"/>
      <protection hidden="1"/>
    </xf>
    <xf numFmtId="0" fontId="144" fillId="0" borderId="0" xfId="0" applyFont="1" applyFill="1" applyBorder="1" applyAlignment="1" applyProtection="1">
      <alignment horizontal="center"/>
      <protection locked="0" hidden="1"/>
    </xf>
    <xf numFmtId="0" fontId="3" fillId="0" borderId="30" xfId="0" applyFont="1" applyFill="1" applyBorder="1" applyAlignment="1" applyProtection="1">
      <alignment horizontal="center" vertical="center"/>
      <protection hidden="1"/>
    </xf>
    <xf numFmtId="0" fontId="3" fillId="0" borderId="52" xfId="0" applyFont="1" applyFill="1" applyBorder="1" applyAlignment="1" applyProtection="1">
      <alignment horizontal="center" vertical="center"/>
      <protection hidden="1"/>
    </xf>
    <xf numFmtId="0" fontId="117" fillId="0" borderId="0" xfId="1" applyFont="1" applyFill="1" applyAlignment="1" applyProtection="1">
      <alignment horizontal="center" vertical="center"/>
      <protection hidden="1"/>
    </xf>
    <xf numFmtId="0" fontId="41" fillId="0" borderId="23" xfId="0" applyFont="1" applyFill="1" applyBorder="1" applyAlignment="1" applyProtection="1">
      <alignment horizontal="left" vertical="center" shrinkToFit="1"/>
      <protection hidden="1"/>
    </xf>
    <xf numFmtId="193" fontId="40" fillId="0" borderId="21" xfId="0" applyNumberFormat="1" applyFont="1" applyBorder="1" applyAlignment="1" applyProtection="1">
      <alignment horizontal="right" vertical="center" shrinkToFit="1"/>
      <protection hidden="1"/>
    </xf>
    <xf numFmtId="172" fontId="40" fillId="0" borderId="15" xfId="0" applyNumberFormat="1" applyFont="1" applyFill="1" applyBorder="1" applyAlignment="1" applyProtection="1">
      <alignment horizontal="center" vertical="center"/>
      <protection hidden="1"/>
    </xf>
    <xf numFmtId="172" fontId="40" fillId="0" borderId="28" xfId="0" applyNumberFormat="1" applyFont="1" applyFill="1" applyBorder="1" applyAlignment="1" applyProtection="1">
      <alignment horizontal="center" vertical="center"/>
      <protection hidden="1"/>
    </xf>
    <xf numFmtId="172" fontId="40" fillId="0" borderId="29" xfId="0" applyNumberFormat="1" applyFont="1" applyFill="1" applyBorder="1" applyAlignment="1" applyProtection="1">
      <alignment horizontal="center" vertical="center"/>
      <protection hidden="1"/>
    </xf>
    <xf numFmtId="172" fontId="40" fillId="0" borderId="30" xfId="0" applyNumberFormat="1" applyFont="1" applyFill="1" applyBorder="1" applyAlignment="1" applyProtection="1">
      <alignment horizontal="center" vertical="center"/>
      <protection hidden="1"/>
    </xf>
    <xf numFmtId="172" fontId="6" fillId="0" borderId="25" xfId="0" applyNumberFormat="1" applyFont="1" applyFill="1" applyBorder="1" applyAlignment="1" applyProtection="1">
      <alignment horizontal="center" vertical="center"/>
      <protection hidden="1"/>
    </xf>
    <xf numFmtId="0" fontId="41" fillId="0" borderId="43" xfId="0" applyFont="1" applyFill="1" applyBorder="1" applyAlignment="1" applyProtection="1">
      <alignment horizontal="left" vertical="center" shrinkToFit="1"/>
      <protection hidden="1"/>
    </xf>
    <xf numFmtId="172" fontId="40" fillId="0" borderId="22" xfId="0" applyNumberFormat="1" applyFont="1" applyFill="1" applyBorder="1" applyAlignment="1" applyProtection="1">
      <alignment horizontal="center" vertical="center"/>
      <protection hidden="1"/>
    </xf>
    <xf numFmtId="172" fontId="40" fillId="0" borderId="1" xfId="0" applyNumberFormat="1" applyFont="1" applyFill="1" applyBorder="1" applyAlignment="1" applyProtection="1">
      <alignment horizontal="center" vertical="center"/>
      <protection hidden="1"/>
    </xf>
    <xf numFmtId="172" fontId="40" fillId="0" borderId="52" xfId="0" applyNumberFormat="1" applyFont="1" applyFill="1" applyBorder="1" applyAlignment="1" applyProtection="1">
      <alignment horizontal="center" vertical="center"/>
      <protection hidden="1"/>
    </xf>
    <xf numFmtId="172" fontId="6" fillId="0" borderId="20" xfId="0" applyNumberFormat="1" applyFont="1" applyFill="1" applyBorder="1" applyAlignment="1" applyProtection="1">
      <alignment horizontal="center" vertical="center"/>
      <protection hidden="1"/>
    </xf>
    <xf numFmtId="0" fontId="41" fillId="0" borderId="9" xfId="0" applyFont="1" applyFill="1" applyBorder="1" applyAlignment="1" applyProtection="1">
      <alignment horizontal="left" vertical="center" shrinkToFit="1"/>
      <protection hidden="1"/>
    </xf>
    <xf numFmtId="193" fontId="40" fillId="0" borderId="8" xfId="0" applyNumberFormat="1" applyFont="1" applyBorder="1" applyAlignment="1" applyProtection="1">
      <alignment horizontal="right" vertical="center" shrinkToFit="1"/>
      <protection hidden="1"/>
    </xf>
    <xf numFmtId="172" fontId="40" fillId="0" borderId="14" xfId="0" applyNumberFormat="1" applyFont="1" applyFill="1" applyBorder="1" applyAlignment="1" applyProtection="1">
      <alignment horizontal="center" vertical="center"/>
      <protection hidden="1"/>
    </xf>
    <xf numFmtId="172" fontId="40" fillId="0" borderId="51" xfId="0" applyNumberFormat="1" applyFont="1" applyFill="1" applyBorder="1" applyAlignment="1" applyProtection="1">
      <alignment horizontal="center" vertical="center"/>
      <protection hidden="1"/>
    </xf>
    <xf numFmtId="172" fontId="40" fillId="0" borderId="47" xfId="0" applyNumberFormat="1" applyFont="1" applyFill="1" applyBorder="1" applyAlignment="1" applyProtection="1">
      <alignment horizontal="center" vertical="center"/>
      <protection hidden="1"/>
    </xf>
    <xf numFmtId="172" fontId="40" fillId="0" borderId="53" xfId="0" applyNumberFormat="1" applyFont="1" applyFill="1" applyBorder="1" applyAlignment="1" applyProtection="1">
      <alignment horizontal="center" vertical="center"/>
      <protection hidden="1"/>
    </xf>
    <xf numFmtId="172" fontId="6" fillId="0" borderId="54" xfId="0" applyNumberFormat="1" applyFont="1" applyFill="1" applyBorder="1" applyAlignment="1" applyProtection="1">
      <alignment horizontal="center" vertical="center"/>
      <protection hidden="1"/>
    </xf>
    <xf numFmtId="0" fontId="41" fillId="0" borderId="55" xfId="0" applyFont="1" applyFill="1" applyBorder="1" applyAlignment="1" applyProtection="1">
      <alignment horizontal="left" vertical="center" shrinkToFit="1"/>
      <protection hidden="1"/>
    </xf>
    <xf numFmtId="193" fontId="40" fillId="0" borderId="23" xfId="0" applyNumberFormat="1" applyFont="1" applyBorder="1" applyAlignment="1" applyProtection="1">
      <alignment horizontal="right" vertical="center" shrinkToFit="1"/>
      <protection hidden="1"/>
    </xf>
    <xf numFmtId="172" fontId="40" fillId="0" borderId="24" xfId="0" applyNumberFormat="1" applyFont="1" applyFill="1" applyBorder="1" applyAlignment="1" applyProtection="1">
      <alignment horizontal="center" vertical="center"/>
      <protection hidden="1"/>
    </xf>
    <xf numFmtId="172" fontId="40" fillId="0" borderId="25" xfId="0" applyNumberFormat="1" applyFont="1" applyFill="1" applyBorder="1" applyAlignment="1" applyProtection="1">
      <alignment horizontal="center" vertical="center"/>
      <protection hidden="1"/>
    </xf>
    <xf numFmtId="172" fontId="40" fillId="0" borderId="26" xfId="0" applyNumberFormat="1" applyFont="1" applyFill="1" applyBorder="1" applyAlignment="1" applyProtection="1">
      <alignment horizontal="center" vertical="center"/>
      <protection hidden="1"/>
    </xf>
    <xf numFmtId="172" fontId="40" fillId="0" borderId="10" xfId="0" applyNumberFormat="1" applyFont="1" applyFill="1" applyBorder="1" applyAlignment="1" applyProtection="1">
      <alignment horizontal="center" vertical="center"/>
      <protection hidden="1"/>
    </xf>
    <xf numFmtId="172" fontId="40" fillId="0" borderId="27" xfId="0" applyNumberFormat="1" applyFont="1" applyFill="1" applyBorder="1" applyAlignment="1" applyProtection="1">
      <alignment horizontal="center" vertical="center"/>
      <protection hidden="1"/>
    </xf>
    <xf numFmtId="172" fontId="6" fillId="0" borderId="21" xfId="0" applyNumberFormat="1" applyFont="1" applyFill="1" applyBorder="1" applyAlignment="1" applyProtection="1">
      <alignment horizontal="center" vertical="center"/>
      <protection hidden="1"/>
    </xf>
    <xf numFmtId="0" fontId="41" fillId="0" borderId="56" xfId="0" applyFont="1" applyFill="1" applyBorder="1" applyAlignment="1" applyProtection="1">
      <alignment horizontal="left" vertical="center" shrinkToFit="1"/>
      <protection hidden="1"/>
    </xf>
    <xf numFmtId="193" fontId="40" fillId="0" borderId="9" xfId="0" applyNumberFormat="1" applyFont="1" applyBorder="1" applyAlignment="1" applyProtection="1">
      <alignment horizontal="right" vertical="center" shrinkToFit="1"/>
      <protection hidden="1"/>
    </xf>
    <xf numFmtId="172" fontId="40" fillId="0" borderId="45" xfId="0" applyNumberFormat="1" applyFont="1" applyFill="1" applyBorder="1" applyAlignment="1" applyProtection="1">
      <alignment horizontal="center" vertical="center"/>
      <protection hidden="1"/>
    </xf>
    <xf numFmtId="172" fontId="40" fillId="0" borderId="57" xfId="0" applyNumberFormat="1" applyFont="1" applyFill="1" applyBorder="1" applyAlignment="1" applyProtection="1">
      <alignment horizontal="center" vertical="center"/>
      <protection hidden="1"/>
    </xf>
    <xf numFmtId="172" fontId="40" fillId="0" borderId="58" xfId="0" applyNumberFormat="1" applyFont="1" applyFill="1" applyBorder="1" applyAlignment="1" applyProtection="1">
      <alignment horizontal="center" vertical="center"/>
      <protection hidden="1"/>
    </xf>
    <xf numFmtId="172" fontId="40" fillId="0" borderId="46" xfId="0" applyNumberFormat="1" applyFont="1" applyFill="1" applyBorder="1" applyAlignment="1" applyProtection="1">
      <alignment horizontal="center" vertical="center"/>
      <protection hidden="1"/>
    </xf>
    <xf numFmtId="172" fontId="40" fillId="0" borderId="59" xfId="0" applyNumberFormat="1" applyFont="1" applyFill="1" applyBorder="1" applyAlignment="1" applyProtection="1">
      <alignment horizontal="center" vertical="center"/>
      <protection hidden="1"/>
    </xf>
    <xf numFmtId="172" fontId="6" fillId="0" borderId="9" xfId="0" applyNumberFormat="1" applyFont="1" applyFill="1" applyBorder="1" applyAlignment="1" applyProtection="1">
      <alignment horizontal="center" vertical="center"/>
      <protection hidden="1"/>
    </xf>
    <xf numFmtId="0" fontId="92" fillId="0" borderId="55" xfId="0" applyFont="1" applyFill="1" applyBorder="1" applyAlignment="1" applyProtection="1">
      <alignment horizontal="left" vertical="center" shrinkToFit="1"/>
      <protection hidden="1"/>
    </xf>
    <xf numFmtId="172" fontId="6" fillId="0" borderId="23" xfId="0" applyNumberFormat="1" applyFont="1" applyFill="1" applyBorder="1" applyAlignment="1" applyProtection="1">
      <alignment horizontal="center" vertical="center"/>
      <protection hidden="1"/>
    </xf>
    <xf numFmtId="0" fontId="92" fillId="0" borderId="49" xfId="0" applyFont="1" applyFill="1" applyBorder="1" applyAlignment="1" applyProtection="1">
      <alignment horizontal="left" vertical="center" shrinkToFit="1"/>
      <protection hidden="1"/>
    </xf>
    <xf numFmtId="172" fontId="42" fillId="0" borderId="21" xfId="0" applyNumberFormat="1" applyFont="1" applyFill="1" applyBorder="1" applyAlignment="1" applyProtection="1">
      <alignment horizontal="center" vertical="center"/>
      <protection hidden="1"/>
    </xf>
    <xf numFmtId="0" fontId="92" fillId="0" borderId="56" xfId="0" applyFont="1" applyFill="1" applyBorder="1" applyAlignment="1" applyProtection="1">
      <alignment horizontal="left" vertical="center" shrinkToFit="1"/>
      <protection hidden="1"/>
    </xf>
    <xf numFmtId="172" fontId="42" fillId="0" borderId="9" xfId="0" applyNumberFormat="1" applyFont="1" applyFill="1" applyBorder="1" applyAlignment="1" applyProtection="1">
      <alignment horizontal="center" vertical="center"/>
      <protection hidden="1"/>
    </xf>
    <xf numFmtId="0" fontId="40" fillId="0" borderId="55" xfId="0" applyFont="1" applyFill="1" applyBorder="1" applyAlignment="1" applyProtection="1">
      <alignment horizontal="center" vertical="center"/>
      <protection hidden="1"/>
    </xf>
    <xf numFmtId="172" fontId="40" fillId="0" borderId="6" xfId="0" applyNumberFormat="1" applyFont="1" applyFill="1" applyBorder="1" applyAlignment="1" applyProtection="1">
      <alignment horizontal="center" vertical="center"/>
      <protection hidden="1"/>
    </xf>
    <xf numFmtId="172" fontId="42" fillId="0" borderId="23" xfId="0" applyNumberFormat="1" applyFont="1" applyFill="1" applyBorder="1" applyAlignment="1" applyProtection="1">
      <alignment horizontal="center" vertical="center"/>
      <protection hidden="1"/>
    </xf>
    <xf numFmtId="0" fontId="40" fillId="0" borderId="33" xfId="0" applyFont="1" applyFill="1" applyBorder="1" applyAlignment="1" applyProtection="1">
      <alignment horizontal="center" vertical="center"/>
      <protection hidden="1"/>
    </xf>
    <xf numFmtId="0" fontId="41" fillId="0" borderId="43" xfId="0" applyFont="1" applyFill="1" applyBorder="1" applyAlignment="1" applyProtection="1">
      <alignment horizontal="left" vertical="center"/>
      <protection hidden="1"/>
    </xf>
    <xf numFmtId="0" fontId="40" fillId="0" borderId="15" xfId="0" applyFont="1" applyFill="1" applyBorder="1" applyAlignment="1" applyProtection="1">
      <alignment horizontal="center" vertical="center"/>
      <protection hidden="1"/>
    </xf>
    <xf numFmtId="0" fontId="40" fillId="0" borderId="10" xfId="0" applyFont="1" applyFill="1" applyBorder="1" applyAlignment="1" applyProtection="1">
      <alignment horizontal="center" vertical="center"/>
      <protection hidden="1"/>
    </xf>
    <xf numFmtId="0" fontId="40" fillId="0" borderId="6" xfId="0" applyFont="1" applyFill="1" applyBorder="1" applyAlignment="1" applyProtection="1">
      <alignment horizontal="center" vertical="center"/>
      <protection hidden="1"/>
    </xf>
    <xf numFmtId="0" fontId="40" fillId="0" borderId="15" xfId="0" applyNumberFormat="1" applyFont="1" applyFill="1" applyBorder="1" applyAlignment="1" applyProtection="1">
      <alignment horizontal="center" vertical="center"/>
      <protection hidden="1"/>
    </xf>
    <xf numFmtId="0" fontId="40" fillId="0" borderId="10" xfId="0" applyNumberFormat="1" applyFont="1" applyFill="1" applyBorder="1" applyAlignment="1" applyProtection="1">
      <alignment horizontal="center" vertical="center"/>
      <protection hidden="1"/>
    </xf>
    <xf numFmtId="0" fontId="40" fillId="0" borderId="6" xfId="0" applyNumberFormat="1" applyFont="1" applyFill="1" applyBorder="1" applyAlignment="1" applyProtection="1">
      <alignment horizontal="center" vertical="center"/>
      <protection hidden="1"/>
    </xf>
    <xf numFmtId="0" fontId="42" fillId="0" borderId="21" xfId="0" applyNumberFormat="1" applyFont="1" applyFill="1" applyBorder="1" applyAlignment="1" applyProtection="1">
      <alignment horizontal="center" vertical="center"/>
      <protection hidden="1"/>
    </xf>
    <xf numFmtId="173" fontId="40" fillId="0" borderId="15" xfId="0" applyNumberFormat="1" applyFont="1" applyFill="1" applyBorder="1" applyAlignment="1" applyProtection="1">
      <alignment horizontal="center" vertical="center"/>
      <protection hidden="1"/>
    </xf>
    <xf numFmtId="173" fontId="40" fillId="0" borderId="10" xfId="0" applyNumberFormat="1" applyFont="1" applyFill="1" applyBorder="1" applyAlignment="1" applyProtection="1">
      <alignment horizontal="center" vertical="center"/>
      <protection hidden="1"/>
    </xf>
    <xf numFmtId="173" fontId="40" fillId="0" borderId="6" xfId="0" applyNumberFormat="1" applyFont="1" applyFill="1" applyBorder="1" applyAlignment="1" applyProtection="1">
      <alignment horizontal="center" vertical="center"/>
      <protection hidden="1"/>
    </xf>
    <xf numFmtId="173" fontId="42" fillId="0" borderId="21" xfId="0" applyNumberFormat="1" applyFont="1" applyFill="1" applyBorder="1" applyAlignment="1" applyProtection="1">
      <alignment horizontal="center" vertical="center"/>
      <protection hidden="1"/>
    </xf>
    <xf numFmtId="0" fontId="40" fillId="0" borderId="49" xfId="0" applyFont="1" applyFill="1" applyBorder="1" applyAlignment="1" applyProtection="1">
      <alignment horizontal="center" vertical="center"/>
      <protection hidden="1"/>
    </xf>
    <xf numFmtId="173" fontId="40" fillId="0" borderId="13" xfId="0" applyNumberFormat="1" applyFont="1" applyFill="1" applyBorder="1" applyAlignment="1" applyProtection="1">
      <alignment horizontal="center" vertical="center"/>
      <protection hidden="1"/>
    </xf>
    <xf numFmtId="173" fontId="40" fillId="0" borderId="1" xfId="0" applyNumberFormat="1" applyFont="1" applyFill="1" applyBorder="1" applyAlignment="1" applyProtection="1">
      <alignment horizontal="center" vertical="center"/>
      <protection hidden="1"/>
    </xf>
    <xf numFmtId="173" fontId="40" fillId="0" borderId="11" xfId="0" applyNumberFormat="1" applyFont="1" applyFill="1" applyBorder="1" applyAlignment="1" applyProtection="1">
      <alignment horizontal="center" vertical="center"/>
      <protection hidden="1"/>
    </xf>
    <xf numFmtId="173" fontId="42" fillId="0" borderId="43" xfId="0" applyNumberFormat="1" applyFont="1" applyFill="1" applyBorder="1" applyAlignment="1" applyProtection="1">
      <alignment horizontal="center" vertical="center"/>
      <protection hidden="1"/>
    </xf>
    <xf numFmtId="0" fontId="41" fillId="0" borderId="39" xfId="0" applyFont="1" applyFill="1" applyBorder="1" applyAlignment="1" applyProtection="1">
      <alignment horizontal="left" vertical="center" shrinkToFit="1"/>
      <protection hidden="1"/>
    </xf>
    <xf numFmtId="0" fontId="40" fillId="0" borderId="35" xfId="0" applyFont="1" applyFill="1" applyBorder="1" applyAlignment="1" applyProtection="1">
      <alignment horizontal="center" vertical="center"/>
      <protection hidden="1"/>
    </xf>
    <xf numFmtId="0" fontId="40" fillId="0" borderId="14" xfId="0" applyFont="1" applyFill="1" applyBorder="1" applyAlignment="1" applyProtection="1">
      <alignment horizontal="center" vertical="center"/>
      <protection hidden="1"/>
    </xf>
    <xf numFmtId="0" fontId="40" fillId="0" borderId="60" xfId="0" applyFont="1" applyFill="1" applyBorder="1" applyAlignment="1" applyProtection="1">
      <alignment horizontal="center" vertical="center"/>
      <protection hidden="1"/>
    </xf>
    <xf numFmtId="173" fontId="40" fillId="0" borderId="5" xfId="0" applyNumberFormat="1" applyFont="1" applyFill="1" applyBorder="1" applyAlignment="1" applyProtection="1">
      <alignment horizontal="center" vertical="center"/>
      <protection hidden="1"/>
    </xf>
    <xf numFmtId="173" fontId="42" fillId="0" borderId="8" xfId="0" applyNumberFormat="1" applyFont="1" applyFill="1" applyBorder="1" applyAlignment="1" applyProtection="1">
      <alignment horizontal="center" vertical="center"/>
      <protection hidden="1"/>
    </xf>
    <xf numFmtId="1" fontId="40" fillId="0" borderId="28" xfId="0" applyNumberFormat="1" applyFont="1" applyFill="1" applyBorder="1" applyAlignment="1" applyProtection="1">
      <alignment horizontal="center" vertical="center"/>
      <protection hidden="1"/>
    </xf>
    <xf numFmtId="1" fontId="40" fillId="0" borderId="61" xfId="0" applyNumberFormat="1" applyFont="1" applyFill="1" applyBorder="1" applyAlignment="1" applyProtection="1">
      <alignment horizontal="center" vertical="center"/>
      <protection hidden="1"/>
    </xf>
    <xf numFmtId="1" fontId="40" fillId="0" borderId="42" xfId="0" applyNumberFormat="1" applyFont="1" applyFill="1" applyBorder="1" applyAlignment="1" applyProtection="1">
      <alignment horizontal="center" vertical="center"/>
      <protection hidden="1"/>
    </xf>
    <xf numFmtId="1" fontId="42" fillId="0" borderId="23" xfId="0" applyNumberFormat="1" applyFont="1" applyFill="1" applyBorder="1" applyAlignment="1" applyProtection="1">
      <alignment horizontal="center" vertical="center"/>
      <protection hidden="1"/>
    </xf>
    <xf numFmtId="1" fontId="40" fillId="0" borderId="26" xfId="0" applyNumberFormat="1" applyFont="1" applyFill="1" applyBorder="1" applyAlignment="1" applyProtection="1">
      <alignment horizontal="center" vertical="center"/>
      <protection hidden="1"/>
    </xf>
    <xf numFmtId="1" fontId="40" fillId="0" borderId="1" xfId="0" applyNumberFormat="1" applyFont="1" applyFill="1" applyBorder="1" applyAlignment="1" applyProtection="1">
      <alignment horizontal="center" vertical="center"/>
      <protection hidden="1"/>
    </xf>
    <xf numFmtId="1" fontId="40" fillId="0" borderId="6" xfId="0" applyNumberFormat="1" applyFont="1" applyFill="1" applyBorder="1" applyAlignment="1" applyProtection="1">
      <alignment horizontal="center" vertical="center"/>
      <protection hidden="1"/>
    </xf>
    <xf numFmtId="1" fontId="42" fillId="0" borderId="43" xfId="0" applyNumberFormat="1" applyFont="1" applyFill="1" applyBorder="1" applyAlignment="1" applyProtection="1">
      <alignment horizontal="center" vertical="center"/>
      <protection hidden="1"/>
    </xf>
    <xf numFmtId="1" fontId="40" fillId="0" borderId="10" xfId="0" applyNumberFormat="1" applyFont="1" applyFill="1" applyBorder="1" applyAlignment="1" applyProtection="1">
      <alignment horizontal="center" vertical="center"/>
      <protection hidden="1"/>
    </xf>
    <xf numFmtId="172" fontId="42" fillId="0" borderId="43" xfId="0" applyNumberFormat="1" applyFont="1" applyFill="1" applyBorder="1" applyAlignment="1" applyProtection="1">
      <alignment horizontal="center" vertical="center"/>
      <protection hidden="1"/>
    </xf>
    <xf numFmtId="1" fontId="40" fillId="0" borderId="45" xfId="0" applyNumberFormat="1" applyFont="1" applyFill="1" applyBorder="1" applyAlignment="1" applyProtection="1">
      <alignment horizontal="center" vertical="center"/>
      <protection hidden="1"/>
    </xf>
    <xf numFmtId="1" fontId="40" fillId="0" borderId="46" xfId="0" applyNumberFormat="1" applyFont="1" applyFill="1" applyBorder="1" applyAlignment="1" applyProtection="1">
      <alignment horizontal="center" vertical="center"/>
      <protection hidden="1"/>
    </xf>
    <xf numFmtId="1" fontId="40" fillId="0" borderId="48" xfId="0" applyNumberFormat="1" applyFont="1" applyFill="1" applyBorder="1" applyAlignment="1" applyProtection="1">
      <alignment horizontal="center" vertical="center"/>
      <protection hidden="1"/>
    </xf>
    <xf numFmtId="1" fontId="42" fillId="0" borderId="39" xfId="0" applyNumberFormat="1" applyFont="1" applyFill="1" applyBorder="1" applyAlignment="1" applyProtection="1">
      <alignment horizontal="center" vertical="center"/>
      <protection hidden="1"/>
    </xf>
    <xf numFmtId="0" fontId="40" fillId="0" borderId="26" xfId="0" applyFont="1" applyFill="1" applyBorder="1" applyAlignment="1" applyProtection="1">
      <alignment horizontal="center" vertical="center"/>
      <protection hidden="1"/>
    </xf>
    <xf numFmtId="0" fontId="40" fillId="0" borderId="27" xfId="0" applyFont="1" applyFill="1" applyBorder="1" applyAlignment="1" applyProtection="1">
      <alignment horizontal="center" vertical="center"/>
      <protection hidden="1"/>
    </xf>
    <xf numFmtId="0" fontId="41" fillId="0" borderId="49" xfId="0" applyFont="1" applyFill="1" applyBorder="1" applyAlignment="1" applyProtection="1">
      <alignment horizontal="left" vertical="center" shrinkToFit="1"/>
      <protection hidden="1"/>
    </xf>
    <xf numFmtId="172" fontId="40" fillId="0" borderId="62" xfId="0" applyNumberFormat="1" applyFont="1" applyFill="1" applyBorder="1" applyAlignment="1" applyProtection="1">
      <alignment horizontal="center" vertical="center"/>
      <protection hidden="1"/>
    </xf>
    <xf numFmtId="0" fontId="40" fillId="0" borderId="45" xfId="0" applyFont="1" applyFill="1" applyBorder="1" applyAlignment="1" applyProtection="1">
      <alignment horizontal="center" vertical="center"/>
      <protection hidden="1"/>
    </xf>
    <xf numFmtId="2" fontId="40" fillId="0" borderId="46" xfId="0" applyNumberFormat="1" applyFont="1" applyFill="1" applyBorder="1" applyAlignment="1" applyProtection="1">
      <alignment horizontal="center" vertical="center"/>
      <protection hidden="1"/>
    </xf>
    <xf numFmtId="0" fontId="40" fillId="0" borderId="59" xfId="0" applyFont="1" applyFill="1" applyBorder="1" applyAlignment="1" applyProtection="1">
      <alignment horizontal="center" vertical="center"/>
      <protection hidden="1"/>
    </xf>
    <xf numFmtId="0" fontId="6" fillId="0" borderId="55" xfId="0" applyFont="1" applyFill="1" applyBorder="1" applyAlignment="1" applyProtection="1">
      <alignment horizontal="left" vertical="center" shrinkToFit="1"/>
      <protection hidden="1"/>
    </xf>
    <xf numFmtId="172" fontId="42" fillId="0" borderId="23" xfId="0" applyNumberFormat="1" applyFont="1" applyFill="1" applyBorder="1" applyAlignment="1" applyProtection="1">
      <alignment horizontal="center" vertical="center"/>
      <protection locked="0" hidden="1"/>
    </xf>
    <xf numFmtId="0" fontId="6" fillId="0" borderId="34" xfId="0" applyFont="1" applyFill="1" applyBorder="1" applyAlignment="1" applyProtection="1">
      <alignment horizontal="left" vertical="center" shrinkToFit="1"/>
      <protection hidden="1"/>
    </xf>
    <xf numFmtId="172" fontId="42" fillId="0" borderId="8" xfId="0" applyNumberFormat="1" applyFont="1" applyFill="1" applyBorder="1" applyAlignment="1" applyProtection="1">
      <alignment horizontal="center" vertical="center"/>
      <protection locked="0" hidden="1"/>
    </xf>
    <xf numFmtId="0" fontId="40" fillId="0" borderId="24" xfId="0" applyFont="1" applyFill="1" applyBorder="1" applyAlignment="1" applyProtection="1">
      <alignment horizontal="center" vertical="center"/>
      <protection hidden="1"/>
    </xf>
    <xf numFmtId="0" fontId="40" fillId="0" borderId="29" xfId="0" applyFont="1" applyFill="1" applyBorder="1" applyAlignment="1" applyProtection="1">
      <alignment horizontal="center" vertical="center"/>
      <protection hidden="1"/>
    </xf>
    <xf numFmtId="0" fontId="40" fillId="0" borderId="42" xfId="0" applyFont="1" applyFill="1" applyBorder="1" applyAlignment="1" applyProtection="1">
      <alignment horizontal="center" vertical="center"/>
      <protection hidden="1"/>
    </xf>
    <xf numFmtId="0" fontId="40" fillId="0" borderId="28" xfId="0" applyFont="1" applyFill="1" applyBorder="1" applyAlignment="1" applyProtection="1">
      <alignment horizontal="center" vertical="center"/>
      <protection hidden="1"/>
    </xf>
    <xf numFmtId="2" fontId="40" fillId="0" borderId="29" xfId="0" applyNumberFormat="1" applyFont="1" applyFill="1" applyBorder="1" applyAlignment="1" applyProtection="1">
      <alignment horizontal="center" vertical="center"/>
      <protection hidden="1"/>
    </xf>
    <xf numFmtId="0" fontId="40" fillId="0" borderId="30" xfId="0" applyFont="1" applyFill="1" applyBorder="1" applyAlignment="1" applyProtection="1">
      <alignment horizontal="center" vertical="center"/>
      <protection hidden="1"/>
    </xf>
    <xf numFmtId="172" fontId="42" fillId="0" borderId="25" xfId="0" applyNumberFormat="1" applyFont="1" applyFill="1" applyBorder="1" applyAlignment="1" applyProtection="1">
      <alignment horizontal="center" vertical="center"/>
      <protection hidden="1"/>
    </xf>
    <xf numFmtId="0" fontId="40" fillId="0" borderId="13" xfId="0" applyFont="1" applyBorder="1" applyAlignment="1" applyProtection="1">
      <alignment horizontal="center" vertical="center"/>
      <protection hidden="1"/>
    </xf>
    <xf numFmtId="0" fontId="40" fillId="0" borderId="1" xfId="0" applyFont="1" applyFill="1" applyBorder="1" applyAlignment="1" applyProtection="1">
      <alignment horizontal="center" vertical="center"/>
      <protection hidden="1"/>
    </xf>
    <xf numFmtId="0" fontId="40" fillId="0" borderId="11" xfId="0" applyFont="1" applyBorder="1" applyAlignment="1" applyProtection="1">
      <alignment horizontal="center" vertical="center"/>
      <protection hidden="1"/>
    </xf>
    <xf numFmtId="0" fontId="40" fillId="0" borderId="22" xfId="0" applyFont="1" applyFill="1" applyBorder="1" applyAlignment="1" applyProtection="1">
      <alignment horizontal="center" vertical="center"/>
      <protection hidden="1"/>
    </xf>
    <xf numFmtId="2" fontId="40" fillId="0" borderId="1" xfId="0" applyNumberFormat="1" applyFont="1" applyFill="1" applyBorder="1" applyAlignment="1" applyProtection="1">
      <alignment horizontal="center" vertical="center"/>
      <protection hidden="1"/>
    </xf>
    <xf numFmtId="0" fontId="40" fillId="0" borderId="52" xfId="0" applyFont="1" applyFill="1" applyBorder="1" applyAlignment="1" applyProtection="1">
      <alignment horizontal="center" vertical="center"/>
      <protection hidden="1"/>
    </xf>
    <xf numFmtId="173" fontId="6" fillId="0" borderId="20" xfId="0" applyNumberFormat="1" applyFont="1" applyFill="1" applyBorder="1" applyAlignment="1" applyProtection="1">
      <alignment horizontal="center" vertical="center"/>
      <protection hidden="1"/>
    </xf>
    <xf numFmtId="0" fontId="40" fillId="0" borderId="63" xfId="0" applyFont="1" applyBorder="1" applyAlignment="1" applyProtection="1">
      <alignment horizontal="center" vertical="center"/>
      <protection hidden="1"/>
    </xf>
    <xf numFmtId="0" fontId="40" fillId="0" borderId="50" xfId="0" applyFont="1" applyBorder="1" applyAlignment="1" applyProtection="1">
      <alignment horizontal="center" vertical="center"/>
      <protection hidden="1"/>
    </xf>
    <xf numFmtId="0" fontId="40" fillId="0" borderId="51" xfId="0" applyFont="1" applyFill="1" applyBorder="1" applyAlignment="1" applyProtection="1">
      <alignment horizontal="center" vertical="center"/>
      <protection hidden="1"/>
    </xf>
    <xf numFmtId="2" fontId="40" fillId="0" borderId="47" xfId="0" applyNumberFormat="1" applyFont="1" applyFill="1" applyBorder="1" applyAlignment="1" applyProtection="1">
      <alignment horizontal="center" vertical="center"/>
      <protection hidden="1"/>
    </xf>
    <xf numFmtId="0" fontId="40" fillId="0" borderId="53" xfId="0" applyFont="1" applyFill="1" applyBorder="1" applyAlignment="1" applyProtection="1">
      <alignment horizontal="center" vertical="center"/>
      <protection hidden="1"/>
    </xf>
    <xf numFmtId="0" fontId="44" fillId="0" borderId="23" xfId="0" applyFont="1" applyFill="1" applyBorder="1" applyAlignment="1" applyProtection="1">
      <alignment horizontal="left" vertical="center" shrinkToFit="1"/>
      <protection hidden="1"/>
    </xf>
    <xf numFmtId="0" fontId="40" fillId="0" borderId="25" xfId="0" applyFont="1" applyBorder="1" applyAlignment="1" applyProtection="1">
      <alignment horizontal="center" vertical="center"/>
      <protection hidden="1"/>
    </xf>
    <xf numFmtId="172" fontId="40" fillId="0" borderId="15" xfId="0" applyNumberFormat="1" applyFont="1" applyBorder="1" applyAlignment="1" applyProtection="1">
      <alignment horizontal="center" vertical="center"/>
      <protection hidden="1"/>
    </xf>
    <xf numFmtId="0" fontId="40" fillId="0" borderId="20" xfId="0" applyFont="1" applyBorder="1" applyAlignment="1" applyProtection="1">
      <alignment horizontal="center" vertical="center"/>
      <protection hidden="1"/>
    </xf>
    <xf numFmtId="172" fontId="40" fillId="0" borderId="14" xfId="0" applyNumberFormat="1" applyFont="1" applyBorder="1" applyAlignment="1" applyProtection="1">
      <alignment horizontal="center" vertical="center"/>
      <protection hidden="1"/>
    </xf>
    <xf numFmtId="0" fontId="40" fillId="0" borderId="23" xfId="0" applyFont="1" applyBorder="1" applyAlignment="1" applyProtection="1">
      <alignment horizontal="center" vertical="center"/>
      <protection hidden="1"/>
    </xf>
    <xf numFmtId="172" fontId="40" fillId="0" borderId="24" xfId="0" applyNumberFormat="1" applyFont="1" applyBorder="1" applyAlignment="1" applyProtection="1">
      <alignment horizontal="center" vertical="center"/>
      <protection hidden="1"/>
    </xf>
    <xf numFmtId="172" fontId="40" fillId="0" borderId="25" xfId="0" applyNumberFormat="1" applyFont="1" applyBorder="1" applyAlignment="1" applyProtection="1">
      <alignment horizontal="center" vertical="center"/>
      <protection hidden="1"/>
    </xf>
    <xf numFmtId="0" fontId="40" fillId="0" borderId="9" xfId="0" applyFont="1" applyBorder="1" applyAlignment="1" applyProtection="1">
      <alignment horizontal="center" vertical="center"/>
      <protection hidden="1"/>
    </xf>
    <xf numFmtId="172" fontId="40" fillId="0" borderId="57" xfId="0" applyNumberFormat="1" applyFont="1" applyBorder="1" applyAlignment="1" applyProtection="1">
      <alignment horizontal="center" vertical="center"/>
      <protection hidden="1"/>
    </xf>
    <xf numFmtId="172" fontId="40" fillId="0" borderId="58" xfId="0" applyNumberFormat="1" applyFont="1" applyBorder="1" applyAlignment="1" applyProtection="1">
      <alignment horizontal="center" vertical="center"/>
      <protection hidden="1"/>
    </xf>
    <xf numFmtId="0" fontId="40" fillId="0" borderId="21" xfId="0" applyFont="1" applyBorder="1" applyAlignment="1" applyProtection="1">
      <alignment horizontal="center" vertical="center"/>
      <protection hidden="1"/>
    </xf>
    <xf numFmtId="0" fontId="40" fillId="0" borderId="55" xfId="0" applyFont="1" applyBorder="1" applyAlignment="1" applyProtection="1">
      <alignment horizontal="center" vertical="center"/>
      <protection hidden="1"/>
    </xf>
    <xf numFmtId="172" fontId="40" fillId="0" borderId="29" xfId="0" applyNumberFormat="1" applyFont="1" applyBorder="1" applyAlignment="1" applyProtection="1">
      <alignment horizontal="center" vertical="center"/>
      <protection hidden="1"/>
    </xf>
    <xf numFmtId="172" fontId="40" fillId="0" borderId="30" xfId="0" applyNumberFormat="1" applyFont="1" applyBorder="1" applyAlignment="1" applyProtection="1">
      <alignment horizontal="center" vertical="center"/>
      <protection hidden="1"/>
    </xf>
    <xf numFmtId="0" fontId="40" fillId="0" borderId="33" xfId="0" applyFont="1" applyBorder="1" applyAlignment="1" applyProtection="1">
      <alignment horizontal="center" vertical="center"/>
      <protection hidden="1"/>
    </xf>
    <xf numFmtId="172" fontId="40" fillId="0" borderId="1" xfId="0" applyNumberFormat="1" applyFont="1" applyBorder="1" applyAlignment="1" applyProtection="1">
      <alignment horizontal="center" vertical="center"/>
      <protection hidden="1"/>
    </xf>
    <xf numFmtId="172" fontId="40" fillId="0" borderId="52" xfId="0" applyNumberFormat="1" applyFont="1" applyBorder="1" applyAlignment="1" applyProtection="1">
      <alignment horizontal="center" vertical="center"/>
      <protection hidden="1"/>
    </xf>
    <xf numFmtId="0" fontId="40" fillId="0" borderId="27" xfId="0" applyNumberFormat="1" applyFont="1" applyFill="1" applyBorder="1" applyAlignment="1" applyProtection="1">
      <alignment horizontal="center" vertical="center"/>
      <protection hidden="1"/>
    </xf>
    <xf numFmtId="173" fontId="40" fillId="0" borderId="27" xfId="0" applyNumberFormat="1" applyFont="1" applyFill="1" applyBorder="1" applyAlignment="1" applyProtection="1">
      <alignment horizontal="center" vertical="center"/>
      <protection hidden="1"/>
    </xf>
    <xf numFmtId="0" fontId="40" fillId="0" borderId="49" xfId="0" applyFont="1" applyBorder="1" applyAlignment="1" applyProtection="1">
      <alignment horizontal="center" vertical="center"/>
      <protection hidden="1"/>
    </xf>
    <xf numFmtId="173" fontId="40" fillId="0" borderId="52" xfId="0" applyNumberFormat="1" applyFont="1" applyFill="1" applyBorder="1" applyAlignment="1" applyProtection="1">
      <alignment horizontal="center" vertical="center"/>
      <protection hidden="1"/>
    </xf>
    <xf numFmtId="0" fontId="40" fillId="0" borderId="35" xfId="0" applyFont="1" applyBorder="1" applyAlignment="1" applyProtection="1">
      <alignment horizontal="center" vertical="center"/>
      <protection hidden="1"/>
    </xf>
    <xf numFmtId="172" fontId="40" fillId="0" borderId="47" xfId="0" applyNumberFormat="1" applyFont="1" applyBorder="1" applyAlignment="1" applyProtection="1">
      <alignment horizontal="center" vertical="center"/>
      <protection hidden="1"/>
    </xf>
    <xf numFmtId="172" fontId="40" fillId="0" borderId="53" xfId="0" applyNumberFormat="1" applyFont="1" applyBorder="1" applyAlignment="1" applyProtection="1">
      <alignment horizontal="center" vertical="center"/>
      <protection hidden="1"/>
    </xf>
    <xf numFmtId="173" fontId="40" fillId="0" borderId="57" xfId="0" applyNumberFormat="1" applyFont="1" applyFill="1" applyBorder="1" applyAlignment="1" applyProtection="1">
      <alignment horizontal="center" vertical="center"/>
      <protection hidden="1"/>
    </xf>
    <xf numFmtId="173" fontId="40" fillId="0" borderId="46" xfId="0" applyNumberFormat="1" applyFont="1" applyFill="1" applyBorder="1" applyAlignment="1" applyProtection="1">
      <alignment horizontal="center" vertical="center"/>
      <protection hidden="1"/>
    </xf>
    <xf numFmtId="173" fontId="40" fillId="0" borderId="59" xfId="0" applyNumberFormat="1" applyFont="1" applyFill="1" applyBorder="1" applyAlignment="1" applyProtection="1">
      <alignment horizontal="center" vertical="center"/>
      <protection hidden="1"/>
    </xf>
    <xf numFmtId="173" fontId="42" fillId="0" borderId="9" xfId="0" applyNumberFormat="1" applyFont="1" applyFill="1" applyBorder="1" applyAlignment="1" applyProtection="1">
      <alignment horizontal="center" vertical="center"/>
      <protection hidden="1"/>
    </xf>
    <xf numFmtId="172" fontId="40" fillId="0" borderId="62" xfId="0" applyNumberFormat="1" applyFont="1" applyBorder="1" applyAlignment="1" applyProtection="1">
      <alignment horizontal="center" vertical="center"/>
      <protection hidden="1"/>
    </xf>
    <xf numFmtId="1" fontId="40" fillId="0" borderId="29" xfId="0" applyNumberFormat="1" applyFont="1" applyFill="1" applyBorder="1" applyAlignment="1" applyProtection="1">
      <alignment horizontal="center" vertical="center"/>
      <protection hidden="1"/>
    </xf>
    <xf numFmtId="1" fontId="40" fillId="0" borderId="30" xfId="0" applyNumberFormat="1" applyFont="1" applyFill="1" applyBorder="1" applyAlignment="1" applyProtection="1">
      <alignment horizontal="center" vertical="center"/>
      <protection hidden="1"/>
    </xf>
    <xf numFmtId="1" fontId="40" fillId="0" borderId="27" xfId="0" applyNumberFormat="1" applyFont="1" applyFill="1" applyBorder="1" applyAlignment="1" applyProtection="1">
      <alignment horizontal="center" vertical="center"/>
      <protection hidden="1"/>
    </xf>
    <xf numFmtId="1" fontId="42" fillId="0" borderId="21" xfId="0" applyNumberFormat="1" applyFont="1" applyFill="1" applyBorder="1" applyAlignment="1" applyProtection="1">
      <alignment horizontal="center" vertical="center"/>
      <protection hidden="1"/>
    </xf>
    <xf numFmtId="1" fontId="40" fillId="0" borderId="59" xfId="0" applyNumberFormat="1" applyFont="1" applyFill="1" applyBorder="1" applyAlignment="1" applyProtection="1">
      <alignment horizontal="center" vertical="center"/>
      <protection hidden="1"/>
    </xf>
    <xf numFmtId="1" fontId="42" fillId="0" borderId="9" xfId="0" applyNumberFormat="1" applyFont="1" applyFill="1" applyBorder="1" applyAlignment="1" applyProtection="1">
      <alignment horizontal="center" vertical="center"/>
      <protection hidden="1"/>
    </xf>
    <xf numFmtId="0" fontId="40" fillId="0" borderId="8" xfId="0" applyFont="1" applyBorder="1" applyAlignment="1" applyProtection="1">
      <alignment horizontal="center" vertical="center"/>
      <protection hidden="1"/>
    </xf>
    <xf numFmtId="0" fontId="40" fillId="0" borderId="24" xfId="0" applyFont="1" applyBorder="1" applyAlignment="1" applyProtection="1">
      <alignment horizontal="center" vertical="center"/>
      <protection hidden="1"/>
    </xf>
    <xf numFmtId="0" fontId="40" fillId="0" borderId="29" xfId="0" applyFont="1" applyBorder="1" applyAlignment="1" applyProtection="1">
      <alignment horizontal="center" vertical="center"/>
      <protection hidden="1"/>
    </xf>
    <xf numFmtId="0" fontId="40" fillId="0" borderId="42" xfId="0" applyFont="1" applyBorder="1" applyAlignment="1" applyProtection="1">
      <alignment horizontal="center" vertical="center"/>
      <protection hidden="1"/>
    </xf>
    <xf numFmtId="0" fontId="40" fillId="0" borderId="43" xfId="0" applyFont="1" applyBorder="1" applyAlignment="1" applyProtection="1">
      <alignment horizontal="center" vertical="center"/>
      <protection hidden="1"/>
    </xf>
    <xf numFmtId="0" fontId="40" fillId="0" borderId="1" xfId="0" applyFont="1" applyBorder="1" applyAlignment="1" applyProtection="1">
      <alignment horizontal="center" vertical="center"/>
      <protection hidden="1"/>
    </xf>
    <xf numFmtId="193" fontId="40" fillId="0" borderId="43" xfId="0" applyNumberFormat="1" applyFont="1" applyBorder="1" applyAlignment="1" applyProtection="1">
      <alignment horizontal="right" vertical="center" shrinkToFit="1"/>
      <protection hidden="1"/>
    </xf>
    <xf numFmtId="0" fontId="40" fillId="0" borderId="26" xfId="0" applyNumberFormat="1" applyFont="1" applyFill="1" applyBorder="1" applyAlignment="1" applyProtection="1">
      <alignment horizontal="center" vertical="center"/>
      <protection hidden="1"/>
    </xf>
    <xf numFmtId="0" fontId="6" fillId="0" borderId="21" xfId="0" applyNumberFormat="1" applyFont="1" applyFill="1" applyBorder="1" applyAlignment="1" applyProtection="1">
      <alignment horizontal="center" vertical="center"/>
      <protection hidden="1"/>
    </xf>
    <xf numFmtId="173" fontId="40" fillId="0" borderId="26" xfId="0" applyNumberFormat="1" applyFont="1" applyFill="1" applyBorder="1" applyAlignment="1" applyProtection="1">
      <alignment horizontal="center" vertical="center"/>
      <protection hidden="1"/>
    </xf>
    <xf numFmtId="173" fontId="6" fillId="0" borderId="21" xfId="0" applyNumberFormat="1" applyFont="1" applyFill="1" applyBorder="1" applyAlignment="1" applyProtection="1">
      <alignment horizontal="center" vertical="center"/>
      <protection hidden="1"/>
    </xf>
    <xf numFmtId="173" fontId="40" fillId="0" borderId="22" xfId="0" applyNumberFormat="1" applyFont="1" applyFill="1" applyBorder="1" applyAlignment="1" applyProtection="1">
      <alignment horizontal="center" vertical="center"/>
      <protection hidden="1"/>
    </xf>
    <xf numFmtId="173" fontId="6" fillId="0" borderId="43" xfId="0" applyNumberFormat="1" applyFont="1" applyFill="1" applyBorder="1" applyAlignment="1" applyProtection="1">
      <alignment horizontal="center" vertical="center"/>
      <protection hidden="1"/>
    </xf>
    <xf numFmtId="0" fontId="40" fillId="0" borderId="17" xfId="0" applyFont="1" applyBorder="1" applyAlignment="1" applyProtection="1">
      <alignment horizontal="center" vertical="center"/>
      <protection hidden="1"/>
    </xf>
    <xf numFmtId="193" fontId="40" fillId="0" borderId="39" xfId="0" applyNumberFormat="1" applyFont="1" applyBorder="1" applyAlignment="1" applyProtection="1">
      <alignment horizontal="right" vertical="center" shrinkToFit="1"/>
      <protection hidden="1"/>
    </xf>
    <xf numFmtId="173" fontId="40" fillId="0" borderId="64" xfId="0" applyNumberFormat="1" applyFont="1" applyFill="1" applyBorder="1" applyAlignment="1" applyProtection="1">
      <alignment horizontal="center" vertical="center"/>
      <protection hidden="1"/>
    </xf>
    <xf numFmtId="173" fontId="40" fillId="0" borderId="60" xfId="0" applyNumberFormat="1" applyFont="1" applyFill="1" applyBorder="1" applyAlignment="1" applyProtection="1">
      <alignment horizontal="center" vertical="center"/>
      <protection hidden="1"/>
    </xf>
    <xf numFmtId="173" fontId="6" fillId="0" borderId="9" xfId="0" applyNumberFormat="1" applyFont="1" applyFill="1" applyBorder="1" applyAlignment="1" applyProtection="1">
      <alignment horizontal="center" vertical="center"/>
      <protection hidden="1"/>
    </xf>
    <xf numFmtId="1" fontId="6" fillId="0" borderId="23" xfId="0" applyNumberFormat="1" applyFont="1" applyFill="1" applyBorder="1" applyAlignment="1" applyProtection="1">
      <alignment horizontal="center" vertical="center"/>
      <protection hidden="1"/>
    </xf>
    <xf numFmtId="1" fontId="6" fillId="0" borderId="21" xfId="0" applyNumberFormat="1" applyFont="1" applyFill="1" applyBorder="1" applyAlignment="1" applyProtection="1">
      <alignment horizontal="center" vertical="center"/>
      <protection hidden="1"/>
    </xf>
    <xf numFmtId="1" fontId="6" fillId="0" borderId="9" xfId="0" applyNumberFormat="1" applyFont="1" applyFill="1" applyBorder="1" applyAlignment="1" applyProtection="1">
      <alignment horizontal="center" vertical="center"/>
      <protection hidden="1"/>
    </xf>
    <xf numFmtId="172" fontId="6" fillId="0" borderId="23" xfId="0" applyNumberFormat="1" applyFont="1" applyFill="1" applyBorder="1" applyAlignment="1" applyProtection="1">
      <alignment horizontal="center" vertical="center"/>
      <protection locked="0" hidden="1"/>
    </xf>
    <xf numFmtId="172" fontId="6" fillId="0" borderId="8" xfId="0" applyNumberFormat="1" applyFont="1" applyFill="1" applyBorder="1" applyAlignment="1" applyProtection="1">
      <alignment horizontal="center" vertical="center"/>
      <protection locked="0" hidden="1"/>
    </xf>
    <xf numFmtId="172" fontId="40" fillId="0" borderId="42" xfId="0" applyNumberFormat="1" applyFont="1" applyFill="1" applyBorder="1" applyAlignment="1" applyProtection="1">
      <alignment horizontal="center" vertical="center"/>
      <protection hidden="1"/>
    </xf>
    <xf numFmtId="0" fontId="44" fillId="0" borderId="55" xfId="0" applyFont="1" applyFill="1" applyBorder="1" applyAlignment="1" applyProtection="1">
      <alignment horizontal="left" vertical="center" shrinkToFit="1"/>
      <protection hidden="1"/>
    </xf>
    <xf numFmtId="0" fontId="41" fillId="0" borderId="34" xfId="0" applyFont="1" applyFill="1" applyBorder="1" applyAlignment="1" applyProtection="1">
      <alignment horizontal="left" vertical="center" shrinkToFit="1"/>
      <protection hidden="1"/>
    </xf>
    <xf numFmtId="0" fontId="40" fillId="0" borderId="57" xfId="0" applyFont="1" applyFill="1" applyBorder="1" applyAlignment="1" applyProtection="1">
      <alignment horizontal="center" vertical="center"/>
      <protection hidden="1"/>
    </xf>
    <xf numFmtId="0" fontId="40" fillId="0" borderId="46" xfId="0" applyFont="1" applyFill="1" applyBorder="1" applyAlignment="1" applyProtection="1">
      <alignment horizontal="center" vertical="center"/>
      <protection hidden="1"/>
    </xf>
    <xf numFmtId="172" fontId="40" fillId="0" borderId="13" xfId="0" applyNumberFormat="1" applyFont="1" applyBorder="1" applyAlignment="1" applyProtection="1">
      <alignment horizontal="center" vertical="center"/>
      <protection hidden="1"/>
    </xf>
    <xf numFmtId="172" fontId="40" fillId="0" borderId="63" xfId="0" applyNumberFormat="1" applyFont="1" applyBorder="1" applyAlignment="1" applyProtection="1">
      <alignment horizontal="center" vertical="center"/>
      <protection hidden="1"/>
    </xf>
    <xf numFmtId="1" fontId="40" fillId="0" borderId="24" xfId="0" applyNumberFormat="1" applyFont="1" applyFill="1" applyBorder="1" applyAlignment="1" applyProtection="1">
      <alignment horizontal="center" vertical="center"/>
      <protection hidden="1"/>
    </xf>
    <xf numFmtId="1" fontId="40" fillId="0" borderId="15" xfId="0" applyNumberFormat="1" applyFont="1" applyFill="1" applyBorder="1" applyAlignment="1" applyProtection="1">
      <alignment horizontal="center" vertical="center"/>
      <protection hidden="1"/>
    </xf>
    <xf numFmtId="1" fontId="40" fillId="0" borderId="57" xfId="0" applyNumberFormat="1" applyFont="1" applyFill="1" applyBorder="1" applyAlignment="1" applyProtection="1">
      <alignment horizontal="center" vertical="center"/>
      <protection hidden="1"/>
    </xf>
    <xf numFmtId="2" fontId="40" fillId="0" borderId="47" xfId="0" applyNumberFormat="1" applyFont="1" applyBorder="1" applyAlignment="1" applyProtection="1">
      <alignment horizontal="center" vertical="center"/>
      <protection hidden="1"/>
    </xf>
    <xf numFmtId="0" fontId="44" fillId="0" borderId="17" xfId="0" applyFont="1" applyFill="1" applyBorder="1" applyAlignment="1" applyProtection="1">
      <alignment horizontal="left" vertical="center" shrinkToFit="1"/>
      <protection hidden="1"/>
    </xf>
    <xf numFmtId="173" fontId="40" fillId="0" borderId="29" xfId="0" applyNumberFormat="1" applyFont="1" applyBorder="1" applyAlignment="1" applyProtection="1">
      <alignment horizontal="center" vertical="center"/>
      <protection hidden="1"/>
    </xf>
    <xf numFmtId="173" fontId="40" fillId="0" borderId="30" xfId="0" applyNumberFormat="1" applyFont="1" applyBorder="1" applyAlignment="1" applyProtection="1">
      <alignment horizontal="center" vertical="center"/>
      <protection hidden="1"/>
    </xf>
    <xf numFmtId="0" fontId="44" fillId="0" borderId="34" xfId="0" applyFont="1" applyFill="1" applyBorder="1" applyAlignment="1" applyProtection="1">
      <alignment horizontal="left" vertical="center" shrinkToFit="1"/>
      <protection hidden="1"/>
    </xf>
    <xf numFmtId="172" fontId="40" fillId="0" borderId="13" xfId="0" applyNumberFormat="1" applyFont="1" applyFill="1" applyBorder="1" applyAlignment="1" applyProtection="1">
      <alignment horizontal="center" vertical="center"/>
      <protection hidden="1"/>
    </xf>
    <xf numFmtId="172" fontId="40" fillId="0" borderId="65" xfId="0" applyNumberFormat="1" applyFont="1" applyFill="1" applyBorder="1" applyAlignment="1" applyProtection="1">
      <alignment horizontal="center" vertical="center"/>
      <protection hidden="1"/>
    </xf>
    <xf numFmtId="172" fontId="6" fillId="0" borderId="66" xfId="0" applyNumberFormat="1" applyFont="1" applyFill="1" applyBorder="1" applyAlignment="1" applyProtection="1">
      <alignment horizontal="center" vertical="center"/>
      <protection hidden="1"/>
    </xf>
    <xf numFmtId="172" fontId="40" fillId="0" borderId="10" xfId="0" applyNumberFormat="1" applyFont="1" applyBorder="1" applyAlignment="1" applyProtection="1">
      <alignment horizontal="center" vertical="center"/>
      <protection hidden="1"/>
    </xf>
    <xf numFmtId="172" fontId="40" fillId="0" borderId="27" xfId="0" applyNumberFormat="1" applyFont="1" applyBorder="1" applyAlignment="1" applyProtection="1">
      <alignment horizontal="center" vertical="center"/>
      <protection hidden="1"/>
    </xf>
    <xf numFmtId="172" fontId="40" fillId="0" borderId="65" xfId="0" applyNumberFormat="1" applyFont="1" applyBorder="1" applyAlignment="1" applyProtection="1">
      <alignment horizontal="center" vertical="center"/>
      <protection hidden="1"/>
    </xf>
    <xf numFmtId="172" fontId="40" fillId="0" borderId="67" xfId="0" applyNumberFormat="1" applyFont="1" applyBorder="1" applyAlignment="1" applyProtection="1">
      <alignment horizontal="center" vertical="center"/>
      <protection hidden="1"/>
    </xf>
    <xf numFmtId="173" fontId="40" fillId="0" borderId="13" xfId="0" applyNumberFormat="1" applyFont="1" applyBorder="1" applyAlignment="1" applyProtection="1">
      <alignment horizontal="center" vertical="center"/>
      <protection hidden="1"/>
    </xf>
    <xf numFmtId="173" fontId="40" fillId="0" borderId="1" xfId="0" applyNumberFormat="1" applyFont="1" applyBorder="1" applyAlignment="1" applyProtection="1">
      <alignment horizontal="center" vertical="center"/>
      <protection hidden="1"/>
    </xf>
    <xf numFmtId="173" fontId="40" fillId="0" borderId="52" xfId="0" applyNumberFormat="1" applyFont="1" applyBorder="1" applyAlignment="1" applyProtection="1">
      <alignment horizontal="center" vertical="center"/>
      <protection hidden="1"/>
    </xf>
    <xf numFmtId="1" fontId="40" fillId="0" borderId="13" xfId="0" applyNumberFormat="1" applyFont="1" applyBorder="1" applyAlignment="1" applyProtection="1">
      <alignment horizontal="center" vertical="center"/>
      <protection hidden="1"/>
    </xf>
    <xf numFmtId="1" fontId="40" fillId="0" borderId="1" xfId="0" applyNumberFormat="1" applyFont="1" applyBorder="1" applyAlignment="1" applyProtection="1">
      <alignment horizontal="center" vertical="center"/>
      <protection hidden="1"/>
    </xf>
    <xf numFmtId="1" fontId="40" fillId="0" borderId="52" xfId="0" applyNumberFormat="1" applyFont="1" applyBorder="1" applyAlignment="1" applyProtection="1">
      <alignment horizontal="center" vertical="center"/>
      <protection hidden="1"/>
    </xf>
    <xf numFmtId="173" fontId="40" fillId="0" borderId="68" xfId="0" applyNumberFormat="1" applyFont="1" applyBorder="1" applyAlignment="1" applyProtection="1">
      <alignment horizontal="center" vertical="center"/>
      <protection hidden="1"/>
    </xf>
    <xf numFmtId="173" fontId="40" fillId="0" borderId="65" xfId="0" applyNumberFormat="1" applyFont="1" applyBorder="1" applyAlignment="1" applyProtection="1">
      <alignment horizontal="center" vertical="center"/>
      <protection hidden="1"/>
    </xf>
    <xf numFmtId="173" fontId="40" fillId="0" borderId="67" xfId="0" applyNumberFormat="1" applyFont="1" applyBorder="1" applyAlignment="1" applyProtection="1">
      <alignment horizontal="center" vertical="center"/>
      <protection hidden="1"/>
    </xf>
    <xf numFmtId="1" fontId="40" fillId="0" borderId="29" xfId="0" applyNumberFormat="1" applyFont="1" applyBorder="1" applyAlignment="1" applyProtection="1">
      <alignment horizontal="center" vertical="center"/>
      <protection hidden="1"/>
    </xf>
    <xf numFmtId="1" fontId="40" fillId="0" borderId="30" xfId="0" applyNumberFormat="1" applyFont="1" applyBorder="1" applyAlignment="1" applyProtection="1">
      <alignment horizontal="center" vertical="center"/>
      <protection hidden="1"/>
    </xf>
    <xf numFmtId="173" fontId="40" fillId="0" borderId="47" xfId="0" applyNumberFormat="1" applyFont="1" applyBorder="1" applyAlignment="1" applyProtection="1">
      <alignment horizontal="center" vertical="center"/>
      <protection hidden="1"/>
    </xf>
    <xf numFmtId="173" fontId="40" fillId="0" borderId="53" xfId="0" applyNumberFormat="1" applyFont="1" applyBorder="1" applyAlignment="1" applyProtection="1">
      <alignment horizontal="center" vertical="center"/>
      <protection hidden="1"/>
    </xf>
    <xf numFmtId="172" fontId="6" fillId="0" borderId="43" xfId="0" applyNumberFormat="1" applyFont="1" applyFill="1" applyBorder="1" applyAlignment="1" applyProtection="1">
      <alignment horizontal="center" vertical="center"/>
      <protection hidden="1"/>
    </xf>
    <xf numFmtId="0" fontId="40" fillId="0" borderId="47" xfId="0" applyFont="1" applyFill="1" applyBorder="1" applyAlignment="1" applyProtection="1">
      <alignment horizontal="center" vertical="center"/>
      <protection hidden="1"/>
    </xf>
    <xf numFmtId="173" fontId="40" fillId="0" borderId="24" xfId="0" applyNumberFormat="1" applyFont="1" applyBorder="1" applyAlignment="1" applyProtection="1">
      <alignment horizontal="center" vertical="center"/>
      <protection hidden="1"/>
    </xf>
    <xf numFmtId="173" fontId="40" fillId="0" borderId="42" xfId="0" applyNumberFormat="1" applyFont="1" applyBorder="1" applyAlignment="1" applyProtection="1">
      <alignment horizontal="center" vertical="center"/>
      <protection hidden="1"/>
    </xf>
    <xf numFmtId="172" fontId="40" fillId="0" borderId="50" xfId="0" applyNumberFormat="1" applyFont="1" applyBorder="1" applyAlignment="1" applyProtection="1">
      <alignment horizontal="center" vertical="center"/>
      <protection hidden="1"/>
    </xf>
    <xf numFmtId="0" fontId="44" fillId="0" borderId="33" xfId="0" applyFont="1" applyFill="1" applyBorder="1" applyAlignment="1" applyProtection="1">
      <alignment horizontal="left" vertical="center" shrinkToFit="1"/>
      <protection hidden="1"/>
    </xf>
    <xf numFmtId="172" fontId="42" fillId="0" borderId="20" xfId="0" applyNumberFormat="1" applyFont="1" applyFill="1" applyBorder="1" applyAlignment="1" applyProtection="1">
      <alignment horizontal="center" vertical="center"/>
      <protection hidden="1"/>
    </xf>
    <xf numFmtId="2" fontId="42" fillId="0" borderId="54" xfId="0" applyNumberFormat="1" applyFont="1" applyFill="1" applyBorder="1" applyAlignment="1" applyProtection="1">
      <alignment horizontal="center" vertical="center"/>
      <protection hidden="1"/>
    </xf>
    <xf numFmtId="172" fontId="42" fillId="0" borderId="58" xfId="0" applyNumberFormat="1" applyFont="1" applyFill="1" applyBorder="1" applyAlignment="1" applyProtection="1">
      <alignment horizontal="center" vertical="center"/>
      <protection hidden="1"/>
    </xf>
    <xf numFmtId="172" fontId="42" fillId="0" borderId="62" xfId="0" applyNumberFormat="1" applyFont="1" applyFill="1" applyBorder="1" applyAlignment="1" applyProtection="1">
      <alignment horizontal="center" vertical="center"/>
      <protection hidden="1"/>
    </xf>
    <xf numFmtId="172" fontId="40" fillId="0" borderId="68" xfId="0" applyNumberFormat="1" applyFont="1" applyBorder="1" applyAlignment="1" applyProtection="1">
      <alignment horizontal="center" vertical="center"/>
      <protection hidden="1"/>
    </xf>
    <xf numFmtId="0" fontId="40" fillId="0" borderId="2" xfId="0" applyFont="1" applyBorder="1" applyAlignment="1" applyProtection="1">
      <alignment horizontal="center" vertical="center"/>
      <protection hidden="1"/>
    </xf>
    <xf numFmtId="0" fontId="40" fillId="0" borderId="12" xfId="0" applyFont="1" applyBorder="1" applyAlignment="1" applyProtection="1">
      <alignment horizontal="center" vertical="center"/>
      <protection hidden="1"/>
    </xf>
    <xf numFmtId="0" fontId="40" fillId="0" borderId="0" xfId="0" applyFont="1" applyBorder="1" applyAlignment="1" applyProtection="1">
      <alignment horizontal="center" vertical="center"/>
      <protection hidden="1"/>
    </xf>
    <xf numFmtId="1" fontId="6" fillId="0" borderId="25" xfId="0" applyNumberFormat="1" applyFont="1" applyFill="1" applyBorder="1" applyAlignment="1" applyProtection="1">
      <alignment horizontal="center" vertical="center"/>
      <protection hidden="1"/>
    </xf>
    <xf numFmtId="3" fontId="6" fillId="0" borderId="62" xfId="0" applyNumberFormat="1" applyFont="1" applyFill="1" applyBorder="1" applyAlignment="1" applyProtection="1">
      <alignment horizontal="center" vertical="center"/>
      <protection hidden="1"/>
    </xf>
    <xf numFmtId="1" fontId="6" fillId="0" borderId="62" xfId="0" applyNumberFormat="1" applyFont="1" applyFill="1" applyBorder="1" applyAlignment="1" applyProtection="1">
      <alignment horizontal="center" vertical="center"/>
      <protection hidden="1"/>
    </xf>
    <xf numFmtId="172" fontId="6" fillId="0" borderId="62" xfId="0" applyNumberFormat="1" applyFont="1" applyFill="1" applyBorder="1" applyAlignment="1" applyProtection="1">
      <alignment horizontal="center" vertical="center"/>
      <protection hidden="1"/>
    </xf>
    <xf numFmtId="172" fontId="6" fillId="0" borderId="58" xfId="0" applyNumberFormat="1" applyFont="1" applyFill="1" applyBorder="1" applyAlignment="1" applyProtection="1">
      <alignment horizontal="center" vertical="center"/>
      <protection hidden="1"/>
    </xf>
    <xf numFmtId="0" fontId="6" fillId="0" borderId="55" xfId="0" applyFont="1" applyFill="1" applyBorder="1" applyAlignment="1" applyProtection="1">
      <alignment horizontal="left" vertical="center"/>
      <protection hidden="1"/>
    </xf>
    <xf numFmtId="172" fontId="6" fillId="0" borderId="25" xfId="0" applyNumberFormat="1" applyFont="1" applyFill="1" applyBorder="1" applyAlignment="1" applyProtection="1">
      <alignment horizontal="center" vertical="center"/>
      <protection locked="0" hidden="1"/>
    </xf>
    <xf numFmtId="0" fontId="6" fillId="0" borderId="34" xfId="0" applyFont="1" applyFill="1" applyBorder="1" applyAlignment="1" applyProtection="1">
      <alignment horizontal="left" vertical="center"/>
      <protection hidden="1"/>
    </xf>
    <xf numFmtId="172" fontId="6" fillId="0" borderId="31" xfId="0" applyNumberFormat="1" applyFont="1" applyFill="1" applyBorder="1" applyAlignment="1" applyProtection="1">
      <alignment horizontal="center" vertical="center"/>
      <protection locked="0" hidden="1"/>
    </xf>
    <xf numFmtId="0" fontId="41" fillId="0" borderId="55" xfId="0" applyFont="1" applyFill="1" applyBorder="1" applyAlignment="1" applyProtection="1">
      <alignment horizontal="left" vertical="center"/>
      <protection hidden="1"/>
    </xf>
    <xf numFmtId="0" fontId="41" fillId="0" borderId="49" xfId="0" applyFont="1" applyFill="1" applyBorder="1" applyAlignment="1" applyProtection="1">
      <alignment horizontal="left" vertical="center"/>
      <protection hidden="1"/>
    </xf>
    <xf numFmtId="2" fontId="40" fillId="0" borderId="13" xfId="0" applyNumberFormat="1" applyFont="1" applyBorder="1" applyAlignment="1" applyProtection="1">
      <alignment horizontal="center" vertical="center"/>
      <protection hidden="1"/>
    </xf>
    <xf numFmtId="0" fontId="41" fillId="0" borderId="56" xfId="0" applyFont="1" applyFill="1" applyBorder="1" applyAlignment="1" applyProtection="1">
      <alignment horizontal="left" vertical="center"/>
      <protection hidden="1"/>
    </xf>
    <xf numFmtId="0" fontId="40" fillId="0" borderId="56" xfId="0" applyFont="1" applyBorder="1" applyAlignment="1" applyProtection="1">
      <alignment horizontal="center" vertical="center"/>
      <protection hidden="1"/>
    </xf>
    <xf numFmtId="0" fontId="44" fillId="0" borderId="23" xfId="0" applyFont="1" applyFill="1" applyBorder="1" applyAlignment="1" applyProtection="1">
      <alignment vertical="center" shrinkToFit="1"/>
      <protection hidden="1"/>
    </xf>
    <xf numFmtId="172" fontId="40" fillId="0" borderId="42" xfId="0" applyNumberFormat="1" applyFont="1" applyBorder="1" applyAlignment="1" applyProtection="1">
      <alignment horizontal="center" vertical="center"/>
      <protection hidden="1"/>
    </xf>
    <xf numFmtId="0" fontId="44" fillId="0" borderId="43" xfId="0" applyFont="1" applyFill="1" applyBorder="1" applyAlignment="1" applyProtection="1">
      <alignment vertical="center" shrinkToFit="1"/>
      <protection hidden="1"/>
    </xf>
    <xf numFmtId="0" fontId="44" fillId="0" borderId="39" xfId="0" applyFont="1" applyFill="1" applyBorder="1" applyAlignment="1" applyProtection="1">
      <alignment vertical="center" shrinkToFit="1"/>
      <protection hidden="1"/>
    </xf>
    <xf numFmtId="193" fontId="40" fillId="0" borderId="8" xfId="0" applyNumberFormat="1" applyFont="1" applyBorder="1" applyAlignment="1" applyProtection="1">
      <alignment vertical="center" shrinkToFit="1"/>
      <protection hidden="1"/>
    </xf>
    <xf numFmtId="172" fontId="40" fillId="0" borderId="4" xfId="0" applyNumberFormat="1" applyFont="1" applyBorder="1" applyAlignment="1" applyProtection="1">
      <alignment horizontal="center" vertical="center"/>
      <protection hidden="1"/>
    </xf>
    <xf numFmtId="0" fontId="44" fillId="0" borderId="9" xfId="0" applyFont="1" applyFill="1" applyBorder="1" applyAlignment="1" applyProtection="1">
      <alignment vertical="center" shrinkToFit="1"/>
      <protection hidden="1"/>
    </xf>
    <xf numFmtId="193" fontId="40" fillId="0" borderId="9" xfId="0" applyNumberFormat="1" applyFont="1" applyBorder="1" applyAlignment="1" applyProtection="1">
      <alignment vertical="center" shrinkToFit="1"/>
      <protection hidden="1"/>
    </xf>
    <xf numFmtId="172" fontId="40" fillId="0" borderId="54" xfId="0" applyNumberFormat="1" applyFont="1" applyBorder="1" applyAlignment="1" applyProtection="1">
      <alignment horizontal="center" vertical="center"/>
      <protection hidden="1"/>
    </xf>
    <xf numFmtId="172" fontId="40" fillId="0" borderId="12" xfId="0" applyNumberFormat="1" applyFont="1" applyBorder="1" applyAlignment="1" applyProtection="1">
      <alignment horizontal="center" vertical="center"/>
      <protection hidden="1"/>
    </xf>
    <xf numFmtId="0" fontId="92" fillId="0" borderId="21" xfId="0" applyFont="1" applyFill="1" applyBorder="1" applyAlignment="1" applyProtection="1">
      <alignment horizontal="left" vertical="center" shrinkToFit="1"/>
      <protection hidden="1"/>
    </xf>
    <xf numFmtId="0" fontId="92" fillId="0" borderId="9" xfId="0" applyFont="1" applyFill="1" applyBorder="1" applyAlignment="1" applyProtection="1">
      <alignment horizontal="left" vertical="center" shrinkToFit="1"/>
      <protection hidden="1"/>
    </xf>
    <xf numFmtId="0" fontId="44" fillId="0" borderId="21" xfId="0" applyFont="1" applyFill="1" applyBorder="1" applyAlignment="1" applyProtection="1">
      <alignment horizontal="left" vertical="center"/>
      <protection hidden="1"/>
    </xf>
    <xf numFmtId="0" fontId="44" fillId="0" borderId="21" xfId="0" applyFont="1" applyFill="1" applyBorder="1" applyAlignment="1" applyProtection="1">
      <alignment horizontal="left" vertical="center" shrinkToFit="1"/>
      <protection hidden="1"/>
    </xf>
    <xf numFmtId="172" fontId="40" fillId="0" borderId="20" xfId="0" applyNumberFormat="1" applyFont="1" applyBorder="1" applyAlignment="1" applyProtection="1">
      <alignment horizontal="center" vertical="center"/>
      <protection hidden="1"/>
    </xf>
    <xf numFmtId="1" fontId="40" fillId="0" borderId="22" xfId="0" applyNumberFormat="1" applyFont="1" applyFill="1" applyBorder="1" applyAlignment="1" applyProtection="1">
      <alignment horizontal="center" vertical="center"/>
      <protection hidden="1"/>
    </xf>
    <xf numFmtId="0" fontId="44" fillId="0" borderId="43" xfId="0" applyFont="1" applyFill="1" applyBorder="1" applyAlignment="1" applyProtection="1">
      <alignment horizontal="left" vertical="center" shrinkToFit="1"/>
      <protection hidden="1"/>
    </xf>
    <xf numFmtId="0" fontId="44" fillId="0" borderId="8" xfId="0" applyFont="1" applyFill="1" applyBorder="1" applyAlignment="1" applyProtection="1">
      <alignment horizontal="left" vertical="center" shrinkToFit="1"/>
      <protection hidden="1"/>
    </xf>
    <xf numFmtId="173" fontId="40" fillId="0" borderId="69" xfId="0" applyNumberFormat="1" applyFont="1" applyFill="1" applyBorder="1" applyAlignment="1" applyProtection="1">
      <alignment horizontal="center" vertical="center"/>
      <protection hidden="1"/>
    </xf>
    <xf numFmtId="173" fontId="6" fillId="0" borderId="8" xfId="0" applyNumberFormat="1" applyFont="1" applyFill="1" applyBorder="1" applyAlignment="1" applyProtection="1">
      <alignment horizontal="center" vertical="center"/>
      <protection hidden="1"/>
    </xf>
    <xf numFmtId="0" fontId="92" fillId="0" borderId="23" xfId="0" applyFont="1" applyFill="1" applyBorder="1" applyAlignment="1" applyProtection="1">
      <alignment horizontal="left" vertical="center" shrinkToFit="1"/>
      <protection hidden="1"/>
    </xf>
    <xf numFmtId="0" fontId="5" fillId="0" borderId="23" xfId="0" applyFont="1" applyBorder="1" applyAlignment="1" applyProtection="1">
      <alignment horizontal="center" vertical="center"/>
      <protection hidden="1"/>
    </xf>
    <xf numFmtId="1" fontId="5" fillId="0" borderId="28" xfId="0" applyNumberFormat="1" applyFont="1" applyFill="1" applyBorder="1" applyAlignment="1" applyProtection="1">
      <alignment horizontal="center" vertical="center"/>
      <protection hidden="1"/>
    </xf>
    <xf numFmtId="1" fontId="5" fillId="0" borderId="29" xfId="0" applyNumberFormat="1" applyFont="1" applyFill="1" applyBorder="1" applyAlignment="1" applyProtection="1">
      <alignment horizontal="center" vertical="center"/>
      <protection hidden="1"/>
    </xf>
    <xf numFmtId="1" fontId="5" fillId="0" borderId="30" xfId="0" applyNumberFormat="1" applyFont="1" applyFill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1" fontId="5" fillId="0" borderId="26" xfId="0" applyNumberFormat="1" applyFont="1" applyFill="1" applyBorder="1" applyAlignment="1" applyProtection="1">
      <alignment horizontal="center" vertical="center"/>
      <protection hidden="1"/>
    </xf>
    <xf numFmtId="1" fontId="5" fillId="0" borderId="10" xfId="0" applyNumberFormat="1" applyFont="1" applyFill="1" applyBorder="1" applyAlignment="1" applyProtection="1">
      <alignment horizontal="center" vertical="center"/>
      <protection hidden="1"/>
    </xf>
    <xf numFmtId="1" fontId="5" fillId="0" borderId="27" xfId="0" applyNumberFormat="1" applyFont="1" applyFill="1" applyBorder="1" applyAlignment="1" applyProtection="1">
      <alignment horizontal="center" vertical="center"/>
      <protection hidden="1"/>
    </xf>
    <xf numFmtId="172" fontId="5" fillId="0" borderId="10" xfId="0" applyNumberFormat="1" applyFont="1" applyFill="1" applyBorder="1" applyAlignment="1" applyProtection="1">
      <alignment horizontal="center" vertical="center"/>
      <protection hidden="1"/>
    </xf>
    <xf numFmtId="0" fontId="5" fillId="0" borderId="26" xfId="0" applyFont="1" applyFill="1" applyBorder="1" applyAlignment="1" applyProtection="1">
      <alignment horizontal="center" vertical="center"/>
      <protection hidden="1"/>
    </xf>
    <xf numFmtId="0" fontId="5" fillId="0" borderId="27" xfId="0" applyFont="1" applyFill="1" applyBorder="1" applyAlignment="1" applyProtection="1">
      <alignment horizontal="center" vertical="center"/>
      <protection hidden="1"/>
    </xf>
    <xf numFmtId="0" fontId="5" fillId="0" borderId="9" xfId="0" applyFont="1" applyBorder="1" applyAlignment="1" applyProtection="1">
      <alignment horizontal="center" vertical="center"/>
      <protection hidden="1"/>
    </xf>
    <xf numFmtId="0" fontId="5" fillId="0" borderId="45" xfId="0" applyFont="1" applyFill="1" applyBorder="1" applyAlignment="1" applyProtection="1">
      <alignment horizontal="center" vertical="center"/>
      <protection hidden="1"/>
    </xf>
    <xf numFmtId="0" fontId="5" fillId="0" borderId="46" xfId="0" applyFont="1" applyFill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44" fillId="0" borderId="9" xfId="0" applyFont="1" applyFill="1" applyBorder="1" applyAlignment="1" applyProtection="1">
      <alignment horizontal="left" vertical="center" shrinkToFit="1"/>
      <protection hidden="1"/>
    </xf>
    <xf numFmtId="0" fontId="6" fillId="0" borderId="23" xfId="0" applyFont="1" applyFill="1" applyBorder="1" applyAlignment="1" applyProtection="1">
      <alignment horizontal="left" vertical="center" shrinkToFit="1"/>
      <protection hidden="1"/>
    </xf>
    <xf numFmtId="0" fontId="6" fillId="0" borderId="44" xfId="0" applyFont="1" applyFill="1" applyBorder="1" applyAlignment="1" applyProtection="1">
      <alignment horizontal="left" vertical="center" shrinkToFit="1"/>
      <protection hidden="1"/>
    </xf>
    <xf numFmtId="0" fontId="44" fillId="0" borderId="49" xfId="0" applyFont="1" applyFill="1" applyBorder="1" applyAlignment="1" applyProtection="1">
      <alignment horizontal="left" vertical="center" shrinkToFit="1"/>
      <protection hidden="1"/>
    </xf>
    <xf numFmtId="0" fontId="44" fillId="0" borderId="56" xfId="0" applyFont="1" applyFill="1" applyBorder="1" applyAlignment="1" applyProtection="1">
      <alignment horizontal="left" vertical="center" shrinkToFit="1"/>
      <protection hidden="1"/>
    </xf>
    <xf numFmtId="0" fontId="40" fillId="0" borderId="47" xfId="0" applyFont="1" applyBorder="1" applyAlignment="1" applyProtection="1">
      <alignment horizontal="center" vertical="center"/>
      <protection hidden="1"/>
    </xf>
    <xf numFmtId="0" fontId="60" fillId="0" borderId="0" xfId="0" applyFont="1" applyFill="1" applyBorder="1" applyAlignment="1" applyProtection="1">
      <alignment horizontal="center" vertical="center"/>
      <protection hidden="1"/>
    </xf>
    <xf numFmtId="0" fontId="60" fillId="0" borderId="0" xfId="0" applyFont="1" applyFill="1" applyProtection="1">
      <protection locked="0" hidden="1"/>
    </xf>
    <xf numFmtId="0" fontId="60" fillId="0" borderId="0" xfId="0" applyFont="1" applyFill="1" applyBorder="1" applyProtection="1">
      <protection hidden="1"/>
    </xf>
    <xf numFmtId="0" fontId="60" fillId="0" borderId="0" xfId="0" applyFont="1" applyFill="1" applyBorder="1" applyAlignment="1" applyProtection="1">
      <alignment horizontal="center"/>
      <protection hidden="1"/>
    </xf>
    <xf numFmtId="0" fontId="60" fillId="0" borderId="17" xfId="0" applyFont="1" applyFill="1" applyBorder="1" applyProtection="1">
      <protection hidden="1"/>
    </xf>
    <xf numFmtId="0" fontId="60" fillId="0" borderId="0" xfId="0" applyFont="1" applyFill="1" applyBorder="1" applyAlignment="1" applyProtection="1">
      <alignment vertical="center"/>
      <protection hidden="1"/>
    </xf>
    <xf numFmtId="1" fontId="60" fillId="0" borderId="0" xfId="0" applyNumberFormat="1" applyFont="1" applyFill="1" applyBorder="1" applyProtection="1">
      <protection hidden="1"/>
    </xf>
    <xf numFmtId="172" fontId="60" fillId="0" borderId="17" xfId="0" applyNumberFormat="1" applyFont="1" applyFill="1" applyBorder="1" applyProtection="1">
      <protection hidden="1"/>
    </xf>
    <xf numFmtId="172" fontId="60" fillId="0" borderId="0" xfId="0" applyNumberFormat="1" applyFont="1" applyFill="1" applyBorder="1" applyProtection="1">
      <protection hidden="1"/>
    </xf>
    <xf numFmtId="0" fontId="146" fillId="0" borderId="0" xfId="0" applyFont="1" applyFill="1" applyBorder="1" applyProtection="1">
      <protection hidden="1"/>
    </xf>
    <xf numFmtId="0" fontId="146" fillId="0" borderId="0" xfId="0" applyFont="1" applyFill="1" applyProtection="1">
      <protection hidden="1"/>
    </xf>
    <xf numFmtId="0" fontId="60" fillId="0" borderId="0" xfId="0" applyFont="1" applyFill="1" applyBorder="1" applyAlignment="1" applyProtection="1">
      <alignment shrinkToFit="1"/>
      <protection hidden="1"/>
    </xf>
    <xf numFmtId="0" fontId="60" fillId="0" borderId="0" xfId="0" applyFont="1" applyFill="1" applyBorder="1" applyAlignment="1" applyProtection="1">
      <alignment horizontal="center" shrinkToFit="1"/>
      <protection hidden="1"/>
    </xf>
    <xf numFmtId="0" fontId="146" fillId="0" borderId="0" xfId="0" applyFont="1" applyFill="1" applyBorder="1" applyAlignment="1" applyProtection="1">
      <alignment shrinkToFit="1"/>
      <protection hidden="1"/>
    </xf>
    <xf numFmtId="0" fontId="146" fillId="0" borderId="0" xfId="0" applyFont="1" applyFill="1" applyAlignment="1" applyProtection="1">
      <alignment shrinkToFit="1"/>
      <protection hidden="1"/>
    </xf>
    <xf numFmtId="0" fontId="60" fillId="0" borderId="0" xfId="0" applyNumberFormat="1" applyFont="1" applyFill="1" applyProtection="1">
      <protection hidden="1"/>
    </xf>
    <xf numFmtId="172" fontId="60" fillId="0" borderId="0" xfId="0" applyNumberFormat="1" applyFont="1" applyFill="1" applyBorder="1" applyAlignment="1" applyProtection="1">
      <alignment horizontal="center"/>
      <protection hidden="1"/>
    </xf>
    <xf numFmtId="0" fontId="147" fillId="0" borderId="0" xfId="0" applyFont="1" applyFill="1" applyBorder="1" applyProtection="1">
      <protection hidden="1"/>
    </xf>
    <xf numFmtId="0" fontId="147" fillId="0" borderId="0" xfId="0" applyFont="1" applyFill="1" applyProtection="1">
      <protection hidden="1"/>
    </xf>
    <xf numFmtId="1" fontId="60" fillId="0" borderId="0" xfId="0" applyNumberFormat="1" applyFont="1" applyFill="1" applyProtection="1">
      <protection hidden="1"/>
    </xf>
    <xf numFmtId="0" fontId="148" fillId="0" borderId="0" xfId="0" applyFont="1" applyFill="1" applyProtection="1">
      <protection hidden="1"/>
    </xf>
    <xf numFmtId="0" fontId="148" fillId="0" borderId="0" xfId="0" applyFont="1" applyFill="1" applyBorder="1" applyProtection="1">
      <protection hidden="1"/>
    </xf>
    <xf numFmtId="0" fontId="148" fillId="0" borderId="0" xfId="0" applyFont="1" applyFill="1" applyBorder="1" applyAlignment="1" applyProtection="1">
      <alignment horizontal="center"/>
      <protection hidden="1"/>
    </xf>
    <xf numFmtId="0" fontId="149" fillId="0" borderId="0" xfId="0" applyFont="1" applyFill="1" applyBorder="1" applyProtection="1">
      <protection hidden="1"/>
    </xf>
    <xf numFmtId="0" fontId="149" fillId="0" borderId="0" xfId="0" applyFont="1" applyFill="1" applyProtection="1">
      <protection hidden="1"/>
    </xf>
    <xf numFmtId="0" fontId="29" fillId="0" borderId="0" xfId="0" applyFont="1" applyFill="1" applyProtection="1">
      <protection locked="0" hidden="1"/>
    </xf>
    <xf numFmtId="0" fontId="100" fillId="5" borderId="1" xfId="0" applyFont="1" applyFill="1" applyBorder="1" applyProtection="1">
      <protection locked="0" hidden="1"/>
    </xf>
    <xf numFmtId="0" fontId="76" fillId="0" borderId="1" xfId="0" applyFont="1" applyBorder="1" applyProtection="1"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152" fillId="0" borderId="10" xfId="0" applyFont="1" applyFill="1" applyBorder="1" applyAlignment="1" applyProtection="1">
      <alignment horizontal="center" textRotation="90" wrapText="1"/>
      <protection hidden="1"/>
    </xf>
    <xf numFmtId="0" fontId="152" fillId="0" borderId="1" xfId="0" applyFont="1" applyFill="1" applyBorder="1" applyAlignment="1" applyProtection="1">
      <alignment horizontal="center" textRotation="90" wrapText="1"/>
      <protection hidden="1"/>
    </xf>
    <xf numFmtId="0" fontId="154" fillId="0" borderId="13" xfId="0" applyFont="1" applyFill="1" applyBorder="1" applyAlignment="1" applyProtection="1">
      <alignment horizontal="center" textRotation="90" wrapText="1"/>
      <protection hidden="1"/>
    </xf>
    <xf numFmtId="0" fontId="154" fillId="0" borderId="11" xfId="0" applyFont="1" applyFill="1" applyBorder="1" applyAlignment="1" applyProtection="1">
      <alignment horizontal="center" textRotation="90" wrapText="1"/>
      <protection hidden="1"/>
    </xf>
    <xf numFmtId="0" fontId="152" fillId="0" borderId="65" xfId="0" applyFont="1" applyFill="1" applyBorder="1" applyAlignment="1" applyProtection="1">
      <alignment horizontal="center" textRotation="90" wrapText="1"/>
      <protection hidden="1"/>
    </xf>
    <xf numFmtId="0" fontId="152" fillId="0" borderId="47" xfId="0" applyFont="1" applyFill="1" applyBorder="1" applyAlignment="1" applyProtection="1">
      <alignment horizontal="center" textRotation="90" wrapText="1"/>
      <protection hidden="1"/>
    </xf>
    <xf numFmtId="0" fontId="154" fillId="0" borderId="68" xfId="0" applyFont="1" applyFill="1" applyBorder="1" applyAlignment="1" applyProtection="1">
      <alignment horizontal="center" textRotation="90" wrapText="1"/>
      <protection hidden="1"/>
    </xf>
    <xf numFmtId="0" fontId="154" fillId="0" borderId="3" xfId="0" applyFont="1" applyFill="1" applyBorder="1" applyAlignment="1" applyProtection="1">
      <alignment horizontal="center" textRotation="90" wrapText="1"/>
      <protection hidden="1"/>
    </xf>
    <xf numFmtId="0" fontId="152" fillId="0" borderId="11" xfId="0" applyFont="1" applyFill="1" applyBorder="1" applyAlignment="1" applyProtection="1">
      <alignment horizontal="center" textRotation="90" wrapText="1"/>
      <protection hidden="1"/>
    </xf>
    <xf numFmtId="0" fontId="152" fillId="0" borderId="0" xfId="0" applyFont="1" applyFill="1" applyBorder="1" applyProtection="1">
      <protection hidden="1"/>
    </xf>
    <xf numFmtId="0" fontId="152" fillId="0" borderId="5" xfId="0" applyFont="1" applyFill="1" applyBorder="1" applyAlignment="1" applyProtection="1">
      <alignment horizontal="center" textRotation="90" wrapText="1"/>
      <protection hidden="1"/>
    </xf>
    <xf numFmtId="0" fontId="153" fillId="0" borderId="0" xfId="0" applyFont="1" applyFill="1" applyBorder="1" applyAlignment="1" applyProtection="1">
      <alignment horizontal="center" textRotation="90"/>
      <protection hidden="1"/>
    </xf>
    <xf numFmtId="0" fontId="153" fillId="0" borderId="31" xfId="0" applyFont="1" applyFill="1" applyBorder="1" applyAlignment="1" applyProtection="1">
      <alignment horizontal="center" textRotation="90"/>
      <protection hidden="1"/>
    </xf>
    <xf numFmtId="0" fontId="152" fillId="0" borderId="20" xfId="0" applyFont="1" applyFill="1" applyBorder="1" applyAlignment="1" applyProtection="1">
      <alignment horizontal="center" textRotation="90" wrapText="1"/>
      <protection locked="0" hidden="1"/>
    </xf>
    <xf numFmtId="0" fontId="152" fillId="0" borderId="3" xfId="0" applyFont="1" applyFill="1" applyBorder="1" applyAlignment="1" applyProtection="1">
      <alignment horizontal="center" textRotation="90" wrapText="1"/>
      <protection hidden="1"/>
    </xf>
    <xf numFmtId="0" fontId="152" fillId="0" borderId="66" xfId="0" applyFont="1" applyFill="1" applyBorder="1" applyAlignment="1" applyProtection="1">
      <alignment horizontal="center" textRotation="90" wrapText="1"/>
      <protection locked="0" hidden="1"/>
    </xf>
    <xf numFmtId="0" fontId="154" fillId="0" borderId="0" xfId="0" applyFont="1" applyFill="1" applyBorder="1" applyAlignment="1" applyProtection="1">
      <alignment horizontal="center" vertical="center" wrapText="1"/>
      <protection hidden="1"/>
    </xf>
    <xf numFmtId="0" fontId="154" fillId="0" borderId="31" xfId="0" applyFont="1" applyFill="1" applyBorder="1" applyAlignment="1" applyProtection="1">
      <alignment horizontal="center" vertical="center" wrapText="1"/>
      <protection hidden="1"/>
    </xf>
    <xf numFmtId="0" fontId="152" fillId="0" borderId="70" xfId="0" applyFont="1" applyFill="1" applyBorder="1" applyAlignment="1" applyProtection="1">
      <alignment horizontal="center" textRotation="90" wrapText="1"/>
      <protection hidden="1"/>
    </xf>
    <xf numFmtId="0" fontId="152" fillId="0" borderId="59" xfId="0" applyFont="1" applyFill="1" applyBorder="1" applyAlignment="1" applyProtection="1">
      <alignment horizontal="center" textRotation="90" wrapText="1"/>
      <protection hidden="1"/>
    </xf>
    <xf numFmtId="0" fontId="152" fillId="0" borderId="71" xfId="0" applyFont="1" applyFill="1" applyBorder="1" applyAlignment="1" applyProtection="1">
      <alignment horizontal="center" textRotation="90" wrapText="1"/>
      <protection hidden="1"/>
    </xf>
    <xf numFmtId="1" fontId="138" fillId="0" borderId="1" xfId="0" applyNumberFormat="1" applyFont="1" applyFill="1" applyBorder="1" applyAlignment="1" applyProtection="1">
      <alignment vertical="distributed" shrinkToFit="1"/>
      <protection locked="0" hidden="1"/>
    </xf>
    <xf numFmtId="0" fontId="139" fillId="0" borderId="1" xfId="0" applyFont="1" applyFill="1" applyBorder="1" applyAlignment="1" applyProtection="1">
      <alignment vertical="center"/>
      <protection locked="0" hidden="1"/>
    </xf>
    <xf numFmtId="0" fontId="100" fillId="5" borderId="1" xfId="0" applyFont="1" applyFill="1" applyBorder="1" applyAlignment="1" applyProtection="1">
      <alignment horizontal="center" vertical="center"/>
      <protection hidden="1"/>
    </xf>
    <xf numFmtId="0" fontId="100" fillId="5" borderId="1" xfId="0" applyFont="1" applyFill="1" applyBorder="1" applyAlignment="1" applyProtection="1">
      <alignment horizontal="center" vertical="center"/>
      <protection locked="0" hidden="1"/>
    </xf>
    <xf numFmtId="0" fontId="23" fillId="0" borderId="0" xfId="0" applyFont="1" applyFill="1" applyBorder="1" applyAlignment="1" applyProtection="1">
      <protection locked="0"/>
    </xf>
    <xf numFmtId="0" fontId="7" fillId="5" borderId="1" xfId="0" applyFont="1" applyFill="1" applyBorder="1" applyAlignment="1" applyProtection="1">
      <protection locked="0" hidden="1"/>
    </xf>
    <xf numFmtId="0" fontId="23" fillId="5" borderId="1" xfId="0" applyFont="1" applyFill="1" applyBorder="1" applyAlignment="1" applyProtection="1">
      <protection locked="0"/>
    </xf>
    <xf numFmtId="0" fontId="7" fillId="5" borderId="1" xfId="0" applyFont="1" applyFill="1" applyBorder="1" applyAlignment="1" applyProtection="1">
      <alignment vertical="center"/>
      <protection locked="0" hidden="1"/>
    </xf>
    <xf numFmtId="0" fontId="7" fillId="5" borderId="1" xfId="0" applyFont="1" applyFill="1" applyBorder="1" applyProtection="1">
      <protection locked="0" hidden="1"/>
    </xf>
    <xf numFmtId="0" fontId="100" fillId="5" borderId="1" xfId="0" applyFont="1" applyFill="1" applyBorder="1" applyAlignment="1" applyProtection="1">
      <alignment vertical="center"/>
      <protection locked="0" hidden="1"/>
    </xf>
    <xf numFmtId="0" fontId="100" fillId="6" borderId="1" xfId="0" applyNumberFormat="1" applyFont="1" applyFill="1" applyBorder="1" applyAlignment="1" applyProtection="1">
      <alignment horizontal="center" vertical="center"/>
      <protection locked="0" hidden="1"/>
    </xf>
    <xf numFmtId="0" fontId="100" fillId="7" borderId="0" xfId="0" applyFont="1" applyFill="1" applyBorder="1" applyProtection="1">
      <protection locked="0" hidden="1"/>
    </xf>
    <xf numFmtId="0" fontId="139" fillId="5" borderId="0" xfId="0" applyFont="1" applyFill="1" applyBorder="1" applyAlignment="1" applyProtection="1">
      <alignment vertical="center"/>
      <protection locked="0" hidden="1"/>
    </xf>
    <xf numFmtId="0" fontId="100" fillId="8" borderId="0" xfId="0" applyFont="1" applyFill="1" applyBorder="1" applyProtection="1">
      <protection locked="0" hidden="1"/>
    </xf>
    <xf numFmtId="0" fontId="7" fillId="8" borderId="1" xfId="0" applyNumberFormat="1" applyFont="1" applyFill="1" applyBorder="1" applyAlignment="1" applyProtection="1">
      <alignment horizontal="center" vertical="center"/>
      <protection locked="0" hidden="1"/>
    </xf>
    <xf numFmtId="0" fontId="79" fillId="8" borderId="1" xfId="0" applyFont="1" applyFill="1" applyBorder="1" applyAlignment="1" applyProtection="1">
      <alignment horizontal="center"/>
      <protection locked="0" hidden="1"/>
    </xf>
    <xf numFmtId="0" fontId="74" fillId="8" borderId="1" xfId="0" applyNumberFormat="1" applyFont="1" applyFill="1" applyBorder="1" applyAlignment="1" applyProtection="1">
      <alignment horizontal="center" vertical="center"/>
      <protection locked="0" hidden="1"/>
    </xf>
    <xf numFmtId="0" fontId="126" fillId="0" borderId="1" xfId="3" applyBorder="1" applyProtection="1"/>
    <xf numFmtId="0" fontId="130" fillId="0" borderId="1" xfId="3" applyFont="1" applyBorder="1" applyAlignment="1" applyProtection="1">
      <alignment horizontal="left"/>
    </xf>
    <xf numFmtId="0" fontId="123" fillId="0" borderId="1" xfId="3" applyFont="1" applyBorder="1" applyAlignment="1" applyProtection="1">
      <alignment horizontal="center" vertical="center" textRotation="90" wrapText="1"/>
    </xf>
    <xf numFmtId="0" fontId="123" fillId="0" borderId="1" xfId="3" applyFont="1" applyFill="1" applyBorder="1" applyAlignment="1" applyProtection="1">
      <alignment horizontal="center" vertical="center" textRotation="90" wrapText="1"/>
    </xf>
    <xf numFmtId="0" fontId="124" fillId="0" borderId="1" xfId="3" applyFont="1" applyBorder="1" applyAlignment="1" applyProtection="1">
      <alignment horizontal="center" vertical="center"/>
    </xf>
    <xf numFmtId="0" fontId="125" fillId="9" borderId="1" xfId="3" applyFont="1" applyFill="1" applyBorder="1" applyAlignment="1" applyProtection="1">
      <alignment horizontal="center" vertical="center"/>
    </xf>
    <xf numFmtId="172" fontId="132" fillId="9" borderId="1" xfId="3" applyNumberFormat="1" applyFont="1" applyFill="1" applyBorder="1" applyAlignment="1" applyProtection="1">
      <alignment horizontal="center" vertical="center" shrinkToFit="1"/>
    </xf>
    <xf numFmtId="0" fontId="123" fillId="0" borderId="1" xfId="3" applyFont="1" applyBorder="1" applyAlignment="1" applyProtection="1">
      <alignment horizontal="center" vertical="top" wrapText="1"/>
    </xf>
    <xf numFmtId="173" fontId="125" fillId="9" borderId="1" xfId="3" applyNumberFormat="1" applyFont="1" applyFill="1" applyBorder="1" applyAlignment="1" applyProtection="1">
      <alignment horizontal="center" vertical="center"/>
    </xf>
    <xf numFmtId="172" fontId="125" fillId="9" borderId="1" xfId="3" applyNumberFormat="1" applyFont="1" applyFill="1" applyBorder="1" applyAlignment="1" applyProtection="1">
      <alignment horizontal="center" vertical="center"/>
    </xf>
    <xf numFmtId="1" fontId="125" fillId="9" borderId="1" xfId="3" applyNumberFormat="1" applyFont="1" applyFill="1" applyBorder="1" applyAlignment="1" applyProtection="1">
      <alignment horizontal="center" vertical="center"/>
    </xf>
    <xf numFmtId="0" fontId="123" fillId="0" borderId="1" xfId="3" applyFont="1" applyBorder="1" applyAlignment="1" applyProtection="1">
      <alignment horizontal="center" vertical="top" textRotation="90" wrapText="1"/>
    </xf>
    <xf numFmtId="172" fontId="126" fillId="0" borderId="1" xfId="3" applyNumberFormat="1" applyBorder="1" applyAlignment="1" applyProtection="1">
      <alignment horizontal="center" vertical="center"/>
    </xf>
    <xf numFmtId="0" fontId="7" fillId="8" borderId="0" xfId="0" applyFont="1" applyFill="1" applyBorder="1" applyAlignment="1" applyProtection="1">
      <alignment vertical="center"/>
      <protection locked="0" hidden="1"/>
    </xf>
    <xf numFmtId="0" fontId="142" fillId="5" borderId="0" xfId="0" applyFont="1" applyFill="1" applyBorder="1" applyProtection="1">
      <protection locked="0" hidden="1"/>
    </xf>
    <xf numFmtId="0" fontId="100" fillId="5" borderId="2" xfId="0" applyFont="1" applyFill="1" applyBorder="1" applyProtection="1">
      <protection locked="0" hidden="1"/>
    </xf>
    <xf numFmtId="0" fontId="100" fillId="0" borderId="41" xfId="0" applyFont="1" applyFill="1" applyBorder="1" applyAlignment="1" applyProtection="1">
      <alignment horizontal="center"/>
      <protection locked="0" hidden="1"/>
    </xf>
    <xf numFmtId="0" fontId="100" fillId="0" borderId="16" xfId="0" applyFont="1" applyFill="1" applyBorder="1" applyProtection="1">
      <protection locked="0" hidden="1"/>
    </xf>
    <xf numFmtId="0" fontId="100" fillId="5" borderId="16" xfId="0" applyFont="1" applyFill="1" applyBorder="1" applyProtection="1">
      <protection locked="0" hidden="1"/>
    </xf>
    <xf numFmtId="0" fontId="100" fillId="0" borderId="40" xfId="0" applyFont="1" applyFill="1" applyBorder="1" applyProtection="1">
      <protection locked="0" hidden="1"/>
    </xf>
    <xf numFmtId="0" fontId="100" fillId="0" borderId="17" xfId="0" applyFont="1" applyFill="1" applyBorder="1" applyAlignment="1" applyProtection="1">
      <alignment horizontal="center"/>
      <protection locked="0" hidden="1"/>
    </xf>
    <xf numFmtId="0" fontId="100" fillId="0" borderId="31" xfId="0" applyFont="1" applyFill="1" applyBorder="1" applyProtection="1">
      <protection locked="0" hidden="1"/>
    </xf>
    <xf numFmtId="0" fontId="142" fillId="5" borderId="31" xfId="0" applyFont="1" applyFill="1" applyBorder="1" applyProtection="1">
      <protection locked="0" hidden="1"/>
    </xf>
    <xf numFmtId="0" fontId="142" fillId="5" borderId="62" xfId="0" applyFont="1" applyFill="1" applyBorder="1" applyProtection="1">
      <protection locked="0" hidden="1"/>
    </xf>
    <xf numFmtId="0" fontId="100" fillId="0" borderId="17" xfId="0" applyFont="1" applyFill="1" applyBorder="1" applyProtection="1">
      <protection locked="0" hidden="1"/>
    </xf>
    <xf numFmtId="0" fontId="100" fillId="0" borderId="35" xfId="0" applyFont="1" applyFill="1" applyBorder="1" applyProtection="1">
      <protection locked="0" hidden="1"/>
    </xf>
    <xf numFmtId="0" fontId="100" fillId="0" borderId="36" xfId="0" applyFont="1" applyFill="1" applyBorder="1" applyProtection="1">
      <protection locked="0" hidden="1"/>
    </xf>
    <xf numFmtId="0" fontId="142" fillId="5" borderId="58" xfId="0" applyFont="1" applyFill="1" applyBorder="1" applyProtection="1">
      <protection locked="0" hidden="1"/>
    </xf>
    <xf numFmtId="0" fontId="142" fillId="5" borderId="0" xfId="0" applyFont="1" applyFill="1" applyBorder="1" applyAlignment="1" applyProtection="1">
      <alignment horizontal="left"/>
      <protection locked="0" hidden="1"/>
    </xf>
    <xf numFmtId="0" fontId="100" fillId="0" borderId="40" xfId="0" applyFont="1" applyFill="1" applyBorder="1" applyAlignment="1" applyProtection="1">
      <alignment horizontal="left"/>
      <protection locked="0" hidden="1"/>
    </xf>
    <xf numFmtId="0" fontId="100" fillId="0" borderId="31" xfId="0" applyFont="1" applyFill="1" applyBorder="1" applyAlignment="1" applyProtection="1">
      <alignment horizontal="left"/>
      <protection locked="0" hidden="1"/>
    </xf>
    <xf numFmtId="0" fontId="142" fillId="5" borderId="31" xfId="0" applyFont="1" applyFill="1" applyBorder="1" applyAlignment="1" applyProtection="1">
      <alignment horizontal="left"/>
      <protection locked="0" hidden="1"/>
    </xf>
    <xf numFmtId="0" fontId="142" fillId="5" borderId="58" xfId="0" applyFont="1" applyFill="1" applyBorder="1" applyAlignment="1" applyProtection="1">
      <alignment horizontal="left"/>
      <protection locked="0" hidden="1"/>
    </xf>
    <xf numFmtId="0" fontId="7" fillId="0" borderId="16" xfId="0" applyFont="1" applyFill="1" applyBorder="1" applyProtection="1">
      <protection locked="0" hidden="1"/>
    </xf>
    <xf numFmtId="0" fontId="139" fillId="5" borderId="31" xfId="0" applyFont="1" applyFill="1" applyBorder="1" applyAlignment="1" applyProtection="1">
      <alignment horizontal="left"/>
      <protection locked="0" hidden="1"/>
    </xf>
    <xf numFmtId="0" fontId="139" fillId="5" borderId="58" xfId="0" applyFont="1" applyFill="1" applyBorder="1" applyAlignment="1" applyProtection="1">
      <alignment horizontal="left"/>
      <protection locked="0" hidden="1"/>
    </xf>
    <xf numFmtId="0" fontId="139" fillId="5" borderId="0" xfId="0" applyFont="1" applyFill="1" applyBorder="1" applyAlignment="1" applyProtection="1">
      <alignment horizontal="left"/>
      <protection locked="0" hidden="1"/>
    </xf>
    <xf numFmtId="0" fontId="7" fillId="0" borderId="1" xfId="0" applyFont="1" applyFill="1" applyBorder="1" applyAlignment="1" applyProtection="1">
      <alignment vertical="center"/>
      <protection locked="0" hidden="1"/>
    </xf>
    <xf numFmtId="0" fontId="60" fillId="5" borderId="0" xfId="0" applyFont="1" applyFill="1" applyBorder="1" applyAlignment="1" applyProtection="1">
      <alignment horizontal="center"/>
      <protection hidden="1"/>
    </xf>
    <xf numFmtId="0" fontId="60" fillId="5" borderId="0" xfId="0" applyFont="1" applyFill="1" applyBorder="1" applyAlignment="1" applyProtection="1">
      <alignment horizontal="center" vertical="center"/>
      <protection hidden="1"/>
    </xf>
    <xf numFmtId="0" fontId="158" fillId="0" borderId="28" xfId="0" applyFont="1" applyFill="1" applyBorder="1" applyAlignment="1" applyProtection="1">
      <alignment horizontal="center" vertical="center" shrinkToFit="1"/>
      <protection hidden="1"/>
    </xf>
    <xf numFmtId="0" fontId="158" fillId="0" borderId="29" xfId="0" applyFont="1" applyFill="1" applyBorder="1" applyAlignment="1" applyProtection="1">
      <alignment horizontal="center" vertical="center" shrinkToFit="1"/>
      <protection hidden="1"/>
    </xf>
    <xf numFmtId="0" fontId="158" fillId="0" borderId="23" xfId="0" applyFont="1" applyFill="1" applyBorder="1" applyAlignment="1" applyProtection="1">
      <alignment horizontal="center" vertical="center" shrinkToFit="1"/>
      <protection hidden="1"/>
    </xf>
    <xf numFmtId="0" fontId="158" fillId="0" borderId="25" xfId="0" applyFont="1" applyFill="1" applyBorder="1" applyAlignment="1" applyProtection="1">
      <alignment horizontal="center" vertical="center" shrinkToFit="1"/>
      <protection hidden="1"/>
    </xf>
    <xf numFmtId="0" fontId="158" fillId="0" borderId="30" xfId="0" applyFont="1" applyFill="1" applyBorder="1" applyAlignment="1" applyProtection="1">
      <alignment horizontal="center" vertical="center" shrinkToFit="1"/>
      <protection hidden="1"/>
    </xf>
    <xf numFmtId="0" fontId="158" fillId="0" borderId="24" xfId="0" applyFont="1" applyFill="1" applyBorder="1" applyAlignment="1" applyProtection="1">
      <alignment horizontal="center" vertical="center" shrinkToFit="1"/>
      <protection hidden="1"/>
    </xf>
    <xf numFmtId="172" fontId="158" fillId="0" borderId="29" xfId="0" applyNumberFormat="1" applyFont="1" applyFill="1" applyBorder="1" applyAlignment="1" applyProtection="1">
      <alignment horizontal="center" vertical="center" shrinkToFit="1"/>
      <protection hidden="1"/>
    </xf>
    <xf numFmtId="0" fontId="158" fillId="0" borderId="42" xfId="0" applyFont="1" applyFill="1" applyBorder="1" applyAlignment="1" applyProtection="1">
      <alignment horizontal="center" vertical="center" shrinkToFit="1"/>
      <protection hidden="1"/>
    </xf>
    <xf numFmtId="0" fontId="159" fillId="0" borderId="28" xfId="0" applyFont="1" applyFill="1" applyBorder="1" applyAlignment="1" applyProtection="1">
      <alignment horizontal="center" vertical="center" shrinkToFit="1"/>
      <protection hidden="1"/>
    </xf>
    <xf numFmtId="0" fontId="159" fillId="0" borderId="29" xfId="0" applyFont="1" applyFill="1" applyBorder="1" applyAlignment="1" applyProtection="1">
      <alignment horizontal="center" vertical="center" shrinkToFit="1"/>
      <protection locked="0" hidden="1"/>
    </xf>
    <xf numFmtId="0" fontId="159" fillId="0" borderId="29" xfId="0" applyNumberFormat="1" applyFont="1" applyFill="1" applyBorder="1" applyAlignment="1" applyProtection="1">
      <alignment horizontal="center" vertical="center" shrinkToFit="1"/>
      <protection hidden="1"/>
    </xf>
    <xf numFmtId="1" fontId="158" fillId="0" borderId="29" xfId="0" applyNumberFormat="1" applyFont="1" applyFill="1" applyBorder="1" applyAlignment="1" applyProtection="1">
      <alignment horizontal="center" vertical="center" shrinkToFit="1"/>
      <protection hidden="1"/>
    </xf>
    <xf numFmtId="0" fontId="160" fillId="0" borderId="29" xfId="0" applyFont="1" applyFill="1" applyBorder="1" applyAlignment="1" applyProtection="1">
      <alignment horizontal="center" vertical="center" shrinkToFit="1"/>
      <protection hidden="1"/>
    </xf>
    <xf numFmtId="0" fontId="161" fillId="0" borderId="29" xfId="0" applyFont="1" applyFill="1" applyBorder="1" applyAlignment="1" applyProtection="1">
      <alignment horizontal="center" vertical="center" shrinkToFit="1"/>
      <protection hidden="1"/>
    </xf>
    <xf numFmtId="0" fontId="158" fillId="0" borderId="29" xfId="0" applyFont="1" applyFill="1" applyBorder="1" applyAlignment="1" applyProtection="1">
      <alignment horizontal="center" vertical="center" shrinkToFit="1"/>
      <protection locked="0" hidden="1"/>
    </xf>
    <xf numFmtId="0" fontId="158" fillId="0" borderId="30" xfId="0" applyFont="1" applyFill="1" applyBorder="1" applyAlignment="1" applyProtection="1">
      <alignment horizontal="center" vertical="center" shrinkToFit="1"/>
      <protection locked="0" hidden="1"/>
    </xf>
    <xf numFmtId="0" fontId="159" fillId="0" borderId="24" xfId="0" applyFont="1" applyFill="1" applyBorder="1" applyAlignment="1" applyProtection="1">
      <alignment horizontal="center" vertical="center" shrinkToFit="1"/>
      <protection hidden="1"/>
    </xf>
    <xf numFmtId="0" fontId="159" fillId="0" borderId="29" xfId="0" applyFont="1" applyFill="1" applyBorder="1" applyAlignment="1" applyProtection="1">
      <alignment horizontal="center" vertical="center" shrinkToFit="1"/>
      <protection hidden="1"/>
    </xf>
    <xf numFmtId="0" fontId="159" fillId="0" borderId="42" xfId="0" applyFont="1" applyFill="1" applyBorder="1" applyAlignment="1" applyProtection="1">
      <alignment horizontal="center" vertical="center" shrinkToFit="1"/>
      <protection hidden="1"/>
    </xf>
    <xf numFmtId="0" fontId="159" fillId="0" borderId="30" xfId="0" applyFont="1" applyFill="1" applyBorder="1" applyAlignment="1" applyProtection="1">
      <alignment horizontal="center" vertical="center" shrinkToFit="1"/>
      <protection hidden="1"/>
    </xf>
    <xf numFmtId="1" fontId="158" fillId="0" borderId="25" xfId="1" applyNumberFormat="1" applyFont="1" applyFill="1" applyBorder="1" applyAlignment="1" applyProtection="1">
      <alignment horizontal="center" vertical="center" shrinkToFit="1"/>
      <protection hidden="1"/>
    </xf>
    <xf numFmtId="1" fontId="158" fillId="0" borderId="72" xfId="0" applyNumberFormat="1" applyFont="1" applyFill="1" applyBorder="1" applyAlignment="1" applyProtection="1">
      <alignment horizontal="center" vertical="center" shrinkToFit="1"/>
      <protection hidden="1"/>
    </xf>
    <xf numFmtId="0" fontId="158" fillId="0" borderId="22" xfId="0" applyFont="1" applyFill="1" applyBorder="1" applyAlignment="1" applyProtection="1">
      <alignment horizontal="center" vertical="center" shrinkToFit="1"/>
      <protection hidden="1"/>
    </xf>
    <xf numFmtId="0" fontId="158" fillId="0" borderId="1" xfId="0" applyFont="1" applyFill="1" applyBorder="1" applyAlignment="1" applyProtection="1">
      <alignment horizontal="center" vertical="center" shrinkToFit="1"/>
      <protection hidden="1"/>
    </xf>
    <xf numFmtId="0" fontId="159" fillId="0" borderId="11" xfId="0" applyFont="1" applyFill="1" applyBorder="1" applyAlignment="1" applyProtection="1">
      <alignment horizontal="center" vertical="center" shrinkToFit="1"/>
      <protection hidden="1"/>
    </xf>
    <xf numFmtId="0" fontId="158" fillId="0" borderId="43" xfId="0" applyFont="1" applyFill="1" applyBorder="1" applyAlignment="1" applyProtection="1">
      <alignment horizontal="center" vertical="center" shrinkToFit="1"/>
      <protection hidden="1"/>
    </xf>
    <xf numFmtId="0" fontId="158" fillId="0" borderId="20" xfId="0" applyFont="1" applyFill="1" applyBorder="1" applyAlignment="1" applyProtection="1">
      <alignment horizontal="center" vertical="center" shrinkToFit="1"/>
      <protection hidden="1"/>
    </xf>
    <xf numFmtId="0" fontId="158" fillId="0" borderId="13" xfId="0" applyFont="1" applyFill="1" applyBorder="1" applyAlignment="1" applyProtection="1">
      <alignment horizontal="center" vertical="center" shrinkToFit="1"/>
      <protection hidden="1"/>
    </xf>
    <xf numFmtId="0" fontId="158" fillId="0" borderId="11" xfId="0" applyFont="1" applyFill="1" applyBorder="1" applyAlignment="1" applyProtection="1">
      <alignment horizontal="center" vertical="center" shrinkToFit="1"/>
      <protection hidden="1"/>
    </xf>
    <xf numFmtId="0" fontId="159" fillId="0" borderId="22" xfId="0" applyFont="1" applyFill="1" applyBorder="1" applyAlignment="1" applyProtection="1">
      <alignment horizontal="center" vertical="center" shrinkToFit="1"/>
      <protection hidden="1"/>
    </xf>
    <xf numFmtId="0" fontId="158" fillId="0" borderId="52" xfId="0" applyFont="1" applyFill="1" applyBorder="1" applyAlignment="1" applyProtection="1">
      <alignment horizontal="center" vertical="center" shrinkToFit="1"/>
      <protection hidden="1"/>
    </xf>
    <xf numFmtId="0" fontId="159" fillId="0" borderId="1" xfId="0" applyFont="1" applyFill="1" applyBorder="1" applyAlignment="1" applyProtection="1">
      <alignment horizontal="center" vertical="center" shrinkToFit="1"/>
      <protection hidden="1"/>
    </xf>
    <xf numFmtId="0" fontId="159" fillId="0" borderId="1" xfId="0" applyNumberFormat="1" applyFont="1" applyFill="1" applyBorder="1" applyAlignment="1" applyProtection="1">
      <alignment horizontal="center" vertical="center" shrinkToFit="1"/>
      <protection hidden="1"/>
    </xf>
    <xf numFmtId="0" fontId="160" fillId="0" borderId="1" xfId="0" applyFont="1" applyFill="1" applyBorder="1" applyAlignment="1" applyProtection="1">
      <alignment horizontal="center" vertical="center" shrinkToFit="1"/>
      <protection hidden="1"/>
    </xf>
    <xf numFmtId="172" fontId="158" fillId="0" borderId="1" xfId="0" applyNumberFormat="1" applyFont="1" applyFill="1" applyBorder="1" applyAlignment="1" applyProtection="1">
      <alignment horizontal="center" vertical="center" shrinkToFit="1"/>
      <protection hidden="1"/>
    </xf>
    <xf numFmtId="0" fontId="161" fillId="0" borderId="1" xfId="0" applyFont="1" applyFill="1" applyBorder="1" applyAlignment="1" applyProtection="1">
      <alignment horizontal="center" vertical="center" shrinkToFit="1"/>
      <protection hidden="1"/>
    </xf>
    <xf numFmtId="0" fontId="158" fillId="0" borderId="1" xfId="0" applyFont="1" applyFill="1" applyBorder="1" applyAlignment="1" applyProtection="1">
      <alignment horizontal="center" vertical="center" shrinkToFit="1"/>
      <protection locked="0" hidden="1"/>
    </xf>
    <xf numFmtId="0" fontId="158" fillId="0" borderId="52" xfId="0" applyFont="1" applyFill="1" applyBorder="1" applyAlignment="1" applyProtection="1">
      <alignment horizontal="center" vertical="center" shrinkToFit="1"/>
      <protection locked="0" hidden="1"/>
    </xf>
    <xf numFmtId="0" fontId="159" fillId="0" borderId="13" xfId="0" applyFont="1" applyFill="1" applyBorder="1" applyAlignment="1" applyProtection="1">
      <alignment horizontal="center" vertical="center" shrinkToFit="1"/>
      <protection hidden="1"/>
    </xf>
    <xf numFmtId="0" fontId="159" fillId="0" borderId="52" xfId="0" applyFont="1" applyFill="1" applyBorder="1" applyAlignment="1" applyProtection="1">
      <alignment horizontal="center" vertical="center" shrinkToFit="1"/>
      <protection hidden="1"/>
    </xf>
    <xf numFmtId="1" fontId="158" fillId="0" borderId="20" xfId="0" applyNumberFormat="1" applyFont="1" applyFill="1" applyBorder="1" applyAlignment="1" applyProtection="1">
      <alignment horizontal="center" vertical="center" shrinkToFit="1"/>
      <protection hidden="1"/>
    </xf>
    <xf numFmtId="1" fontId="158" fillId="0" borderId="12" xfId="0" applyNumberFormat="1" applyFont="1" applyFill="1" applyBorder="1" applyAlignment="1" applyProtection="1">
      <alignment horizontal="center" vertical="center" shrinkToFit="1"/>
      <protection hidden="1"/>
    </xf>
    <xf numFmtId="172" fontId="158" fillId="0" borderId="51" xfId="0" applyNumberFormat="1" applyFont="1" applyFill="1" applyBorder="1" applyAlignment="1" applyProtection="1">
      <alignment horizontal="center" vertical="center" shrinkToFit="1"/>
      <protection hidden="1"/>
    </xf>
    <xf numFmtId="172" fontId="158" fillId="0" borderId="47" xfId="0" applyNumberFormat="1" applyFont="1" applyFill="1" applyBorder="1" applyAlignment="1" applyProtection="1">
      <alignment horizontal="center" vertical="center" shrinkToFit="1"/>
      <protection hidden="1"/>
    </xf>
    <xf numFmtId="0" fontId="158" fillId="0" borderId="47" xfId="0" applyFont="1" applyFill="1" applyBorder="1" applyAlignment="1" applyProtection="1">
      <alignment horizontal="center" vertical="center" shrinkToFit="1"/>
      <protection hidden="1"/>
    </xf>
    <xf numFmtId="0" fontId="170" fillId="0" borderId="1" xfId="0" applyFont="1" applyFill="1" applyBorder="1" applyAlignment="1" applyProtection="1">
      <alignment horizontal="center" textRotation="90" wrapText="1"/>
      <protection hidden="1"/>
    </xf>
    <xf numFmtId="0" fontId="159" fillId="0" borderId="50" xfId="0" applyFont="1" applyFill="1" applyBorder="1" applyAlignment="1" applyProtection="1">
      <alignment horizontal="center" vertical="center" shrinkToFit="1"/>
      <protection hidden="1"/>
    </xf>
    <xf numFmtId="0" fontId="158" fillId="0" borderId="39" xfId="0" applyFont="1" applyFill="1" applyBorder="1" applyAlignment="1" applyProtection="1">
      <alignment horizontal="center" vertical="center" shrinkToFit="1"/>
      <protection hidden="1"/>
    </xf>
    <xf numFmtId="0" fontId="159" fillId="0" borderId="73" xfId="0" applyFont="1" applyFill="1" applyBorder="1" applyAlignment="1" applyProtection="1">
      <alignment horizontal="center" vertical="center" shrinkToFit="1"/>
      <protection hidden="1"/>
    </xf>
    <xf numFmtId="0" fontId="159" fillId="0" borderId="65" xfId="0" applyNumberFormat="1" applyFont="1" applyFill="1" applyBorder="1" applyAlignment="1" applyProtection="1">
      <alignment horizontal="center" vertical="center" shrinkToFit="1"/>
      <protection hidden="1"/>
    </xf>
    <xf numFmtId="0" fontId="158" fillId="0" borderId="65" xfId="0" applyFont="1" applyFill="1" applyBorder="1" applyAlignment="1" applyProtection="1">
      <alignment horizontal="center" vertical="center" shrinkToFit="1"/>
      <protection hidden="1"/>
    </xf>
    <xf numFmtId="2" fontId="158" fillId="0" borderId="65" xfId="0" applyNumberFormat="1" applyFont="1" applyFill="1" applyBorder="1" applyAlignment="1" applyProtection="1">
      <alignment horizontal="center" vertical="center" shrinkToFit="1"/>
      <protection hidden="1"/>
    </xf>
    <xf numFmtId="0" fontId="160" fillId="0" borderId="65" xfId="0" applyFont="1" applyFill="1" applyBorder="1" applyAlignment="1" applyProtection="1">
      <alignment horizontal="center" vertical="center" shrinkToFit="1"/>
      <protection hidden="1"/>
    </xf>
    <xf numFmtId="172" fontId="158" fillId="0" borderId="65" xfId="0" applyNumberFormat="1" applyFont="1" applyFill="1" applyBorder="1" applyAlignment="1" applyProtection="1">
      <alignment horizontal="center" vertical="center" shrinkToFit="1"/>
      <protection hidden="1"/>
    </xf>
    <xf numFmtId="0" fontId="161" fillId="0" borderId="65" xfId="0" applyFont="1" applyFill="1" applyBorder="1" applyAlignment="1" applyProtection="1">
      <alignment horizontal="center" vertical="center" shrinkToFit="1"/>
      <protection hidden="1"/>
    </xf>
    <xf numFmtId="0" fontId="158" fillId="0" borderId="65" xfId="0" applyFont="1" applyFill="1" applyBorder="1" applyAlignment="1" applyProtection="1">
      <alignment horizontal="center" vertical="center" shrinkToFit="1"/>
      <protection locked="0" hidden="1"/>
    </xf>
    <xf numFmtId="0" fontId="158" fillId="0" borderId="67" xfId="0" applyFont="1" applyFill="1" applyBorder="1" applyAlignment="1" applyProtection="1">
      <alignment horizontal="center" vertical="center" shrinkToFit="1"/>
      <protection locked="0" hidden="1"/>
    </xf>
    <xf numFmtId="0" fontId="159" fillId="0" borderId="68" xfId="0" applyFont="1" applyFill="1" applyBorder="1" applyAlignment="1" applyProtection="1">
      <alignment horizontal="center" vertical="center" shrinkToFit="1"/>
      <protection hidden="1"/>
    </xf>
    <xf numFmtId="0" fontId="159" fillId="0" borderId="65" xfId="0" applyFont="1" applyFill="1" applyBorder="1" applyAlignment="1" applyProtection="1">
      <alignment horizontal="center" vertical="center" shrinkToFit="1"/>
      <protection hidden="1"/>
    </xf>
    <xf numFmtId="0" fontId="159" fillId="0" borderId="3" xfId="0" applyFont="1" applyFill="1" applyBorder="1" applyAlignment="1" applyProtection="1">
      <alignment horizontal="center" vertical="center" shrinkToFit="1"/>
      <protection hidden="1"/>
    </xf>
    <xf numFmtId="0" fontId="159" fillId="0" borderId="67" xfId="0" applyFont="1" applyFill="1" applyBorder="1" applyAlignment="1" applyProtection="1">
      <alignment horizontal="center" vertical="center" shrinkToFit="1"/>
      <protection hidden="1"/>
    </xf>
    <xf numFmtId="0" fontId="158" fillId="0" borderId="74" xfId="0" applyFont="1" applyFill="1" applyBorder="1" applyAlignment="1" applyProtection="1">
      <alignment horizontal="center" vertical="center" shrinkToFit="1"/>
      <protection hidden="1"/>
    </xf>
    <xf numFmtId="1" fontId="158" fillId="0" borderId="25" xfId="0" applyNumberFormat="1" applyFont="1" applyFill="1" applyBorder="1" applyAlignment="1" applyProtection="1">
      <alignment horizontal="center" vertical="center" shrinkToFit="1"/>
      <protection hidden="1"/>
    </xf>
    <xf numFmtId="0" fontId="159" fillId="0" borderId="1" xfId="0" applyFont="1" applyFill="1" applyBorder="1" applyAlignment="1" applyProtection="1">
      <alignment horizontal="center" vertical="center" shrinkToFit="1"/>
      <protection locked="0" hidden="1"/>
    </xf>
    <xf numFmtId="0" fontId="162" fillId="0" borderId="1" xfId="1" applyFont="1" applyFill="1" applyBorder="1" applyAlignment="1" applyProtection="1">
      <alignment horizontal="center" vertical="center" shrinkToFit="1"/>
      <protection hidden="1"/>
    </xf>
    <xf numFmtId="1" fontId="158" fillId="0" borderId="49" xfId="0" applyNumberFormat="1" applyFont="1" applyFill="1" applyBorder="1" applyAlignment="1" applyProtection="1">
      <alignment horizontal="center" vertical="center" shrinkToFit="1"/>
      <protection hidden="1"/>
    </xf>
    <xf numFmtId="172" fontId="158" fillId="0" borderId="39" xfId="0" applyNumberFormat="1" applyFont="1" applyFill="1" applyBorder="1" applyAlignment="1" applyProtection="1">
      <alignment horizontal="center" vertical="center" shrinkToFit="1"/>
      <protection hidden="1"/>
    </xf>
    <xf numFmtId="0" fontId="158" fillId="0" borderId="54" xfId="0" applyFont="1" applyFill="1" applyBorder="1" applyAlignment="1" applyProtection="1">
      <alignment horizontal="center" vertical="center" shrinkToFit="1"/>
      <protection hidden="1"/>
    </xf>
    <xf numFmtId="0" fontId="158" fillId="0" borderId="63" xfId="0" applyFont="1" applyFill="1" applyBorder="1" applyAlignment="1" applyProtection="1">
      <alignment horizontal="center" vertical="center" shrinkToFit="1"/>
      <protection hidden="1"/>
    </xf>
    <xf numFmtId="0" fontId="158" fillId="0" borderId="50" xfId="0" applyFont="1" applyFill="1" applyBorder="1" applyAlignment="1" applyProtection="1">
      <alignment horizontal="center" vertical="center" shrinkToFit="1"/>
      <protection hidden="1"/>
    </xf>
    <xf numFmtId="0" fontId="159" fillId="0" borderId="51" xfId="0" applyFont="1" applyFill="1" applyBorder="1" applyAlignment="1" applyProtection="1">
      <alignment horizontal="center" vertical="center" shrinkToFit="1"/>
      <protection hidden="1"/>
    </xf>
    <xf numFmtId="0" fontId="158" fillId="0" borderId="53" xfId="0" applyFont="1" applyFill="1" applyBorder="1" applyAlignment="1" applyProtection="1">
      <alignment horizontal="center" vertical="center" shrinkToFit="1"/>
      <protection hidden="1"/>
    </xf>
    <xf numFmtId="0" fontId="158" fillId="0" borderId="51" xfId="0" applyFont="1" applyFill="1" applyBorder="1" applyAlignment="1" applyProtection="1">
      <alignment horizontal="center" vertical="center" shrinkToFit="1"/>
      <protection hidden="1"/>
    </xf>
    <xf numFmtId="0" fontId="159" fillId="0" borderId="47" xfId="0" applyFont="1" applyFill="1" applyBorder="1" applyAlignment="1" applyProtection="1">
      <alignment horizontal="center" vertical="center" shrinkToFit="1"/>
      <protection hidden="1"/>
    </xf>
    <xf numFmtId="0" fontId="159" fillId="0" borderId="47" xfId="0" applyNumberFormat="1" applyFont="1" applyFill="1" applyBorder="1" applyAlignment="1" applyProtection="1">
      <alignment horizontal="center" vertical="center" shrinkToFit="1"/>
      <protection hidden="1"/>
    </xf>
    <xf numFmtId="0" fontId="160" fillId="0" borderId="47" xfId="0" applyFont="1" applyFill="1" applyBorder="1" applyAlignment="1" applyProtection="1">
      <alignment horizontal="center" vertical="center" shrinkToFit="1"/>
      <protection hidden="1"/>
    </xf>
    <xf numFmtId="172" fontId="161" fillId="0" borderId="47" xfId="0" applyNumberFormat="1" applyFont="1" applyFill="1" applyBorder="1" applyAlignment="1" applyProtection="1">
      <alignment horizontal="center" vertical="center" shrinkToFit="1"/>
      <protection hidden="1"/>
    </xf>
    <xf numFmtId="0" fontId="158" fillId="0" borderId="47" xfId="0" applyFont="1" applyFill="1" applyBorder="1" applyAlignment="1" applyProtection="1">
      <alignment horizontal="center" vertical="center" shrinkToFit="1"/>
      <protection locked="0" hidden="1"/>
    </xf>
    <xf numFmtId="0" fontId="158" fillId="0" borderId="53" xfId="0" applyFont="1" applyFill="1" applyBorder="1" applyAlignment="1" applyProtection="1">
      <alignment horizontal="center" vertical="center" shrinkToFit="1"/>
      <protection locked="0" hidden="1"/>
    </xf>
    <xf numFmtId="0" fontId="159" fillId="0" borderId="63" xfId="0" applyFont="1" applyFill="1" applyBorder="1" applyAlignment="1" applyProtection="1">
      <alignment horizontal="center" vertical="center" shrinkToFit="1"/>
      <protection hidden="1"/>
    </xf>
    <xf numFmtId="0" fontId="159" fillId="0" borderId="53" xfId="0" applyFont="1" applyFill="1" applyBorder="1" applyAlignment="1" applyProtection="1">
      <alignment horizontal="center" vertical="center" shrinkToFit="1"/>
      <protection hidden="1"/>
    </xf>
    <xf numFmtId="1" fontId="158" fillId="0" borderId="54" xfId="0" applyNumberFormat="1" applyFont="1" applyFill="1" applyBorder="1" applyAlignment="1" applyProtection="1">
      <alignment horizontal="center" vertical="center" shrinkToFit="1"/>
      <protection hidden="1"/>
    </xf>
    <xf numFmtId="1" fontId="158" fillId="0" borderId="75" xfId="0" applyNumberFormat="1" applyFont="1" applyFill="1" applyBorder="1" applyAlignment="1" applyProtection="1">
      <alignment horizontal="center" vertical="center" shrinkToFit="1"/>
      <protection hidden="1"/>
    </xf>
    <xf numFmtId="0" fontId="158" fillId="0" borderId="26" xfId="0" applyFont="1" applyFill="1" applyBorder="1" applyAlignment="1" applyProtection="1">
      <alignment horizontal="center" vertical="center" shrinkToFit="1"/>
      <protection hidden="1"/>
    </xf>
    <xf numFmtId="0" fontId="158" fillId="0" borderId="10" xfId="0" applyFont="1" applyFill="1" applyBorder="1" applyAlignment="1" applyProtection="1">
      <alignment horizontal="center" vertical="center" shrinkToFit="1"/>
      <protection hidden="1"/>
    </xf>
    <xf numFmtId="0" fontId="159" fillId="0" borderId="26" xfId="0" applyFont="1" applyFill="1" applyBorder="1" applyAlignment="1" applyProtection="1">
      <alignment horizontal="center" vertical="center" shrinkToFit="1"/>
      <protection hidden="1"/>
    </xf>
    <xf numFmtId="0" fontId="159" fillId="0" borderId="10" xfId="0" applyNumberFormat="1" applyFont="1" applyFill="1" applyBorder="1" applyAlignment="1" applyProtection="1">
      <alignment horizontal="center" vertical="center" shrinkToFit="1"/>
      <protection hidden="1"/>
    </xf>
    <xf numFmtId="0" fontId="160" fillId="0" borderId="10" xfId="0" applyFont="1" applyFill="1" applyBorder="1" applyAlignment="1" applyProtection="1">
      <alignment horizontal="center" vertical="center" shrinkToFit="1"/>
      <protection hidden="1"/>
    </xf>
    <xf numFmtId="172" fontId="158" fillId="0" borderId="10" xfId="0" applyNumberFormat="1" applyFont="1" applyFill="1" applyBorder="1" applyAlignment="1" applyProtection="1">
      <alignment horizontal="center" vertical="center" shrinkToFit="1"/>
      <protection hidden="1"/>
    </xf>
    <xf numFmtId="0" fontId="161" fillId="0" borderId="10" xfId="0" applyFont="1" applyFill="1" applyBorder="1" applyAlignment="1" applyProtection="1">
      <alignment horizontal="center" vertical="center" shrinkToFit="1"/>
      <protection hidden="1"/>
    </xf>
    <xf numFmtId="0" fontId="161" fillId="0" borderId="6" xfId="0" applyFont="1" applyFill="1" applyBorder="1" applyAlignment="1" applyProtection="1">
      <alignment horizontal="center" vertical="center" shrinkToFit="1"/>
      <protection hidden="1"/>
    </xf>
    <xf numFmtId="0" fontId="158" fillId="0" borderId="25" xfId="0" applyFont="1" applyFill="1" applyBorder="1" applyAlignment="1" applyProtection="1">
      <alignment horizontal="center" vertical="center" shrinkToFit="1"/>
      <protection locked="0" hidden="1"/>
    </xf>
    <xf numFmtId="172" fontId="158" fillId="0" borderId="43" xfId="0" applyNumberFormat="1" applyFont="1" applyFill="1" applyBorder="1" applyAlignment="1" applyProtection="1">
      <alignment horizontal="center" vertical="center" shrinkToFit="1"/>
      <protection hidden="1"/>
    </xf>
    <xf numFmtId="0" fontId="158" fillId="0" borderId="0" xfId="0" applyFont="1" applyFill="1" applyAlignment="1" applyProtection="1">
      <alignment shrinkToFit="1"/>
      <protection hidden="1"/>
    </xf>
    <xf numFmtId="0" fontId="158" fillId="0" borderId="13" xfId="0" applyFont="1" applyFill="1" applyBorder="1" applyAlignment="1" applyProtection="1">
      <alignment shrinkToFit="1"/>
      <protection hidden="1"/>
    </xf>
    <xf numFmtId="0" fontId="158" fillId="0" borderId="1" xfId="0" applyFont="1" applyFill="1" applyBorder="1" applyAlignment="1" applyProtection="1">
      <alignment shrinkToFit="1"/>
      <protection hidden="1"/>
    </xf>
    <xf numFmtId="0" fontId="161" fillId="0" borderId="11" xfId="0" applyFont="1" applyFill="1" applyBorder="1" applyAlignment="1" applyProtection="1">
      <alignment horizontal="center" vertical="center" shrinkToFit="1"/>
      <protection hidden="1"/>
    </xf>
    <xf numFmtId="0" fontId="158" fillId="0" borderId="20" xfId="0" applyFont="1" applyFill="1" applyBorder="1" applyAlignment="1" applyProtection="1">
      <alignment horizontal="center" vertical="center" shrinkToFit="1"/>
      <protection locked="0" hidden="1"/>
    </xf>
    <xf numFmtId="172" fontId="158" fillId="0" borderId="73" xfId="0" applyNumberFormat="1" applyFont="1" applyFill="1" applyBorder="1" applyAlignment="1" applyProtection="1">
      <alignment horizontal="center" vertical="center" shrinkToFit="1"/>
      <protection hidden="1"/>
    </xf>
    <xf numFmtId="172" fontId="158" fillId="0" borderId="44" xfId="0" applyNumberFormat="1" applyFont="1" applyFill="1" applyBorder="1" applyAlignment="1" applyProtection="1">
      <alignment horizontal="center" vertical="center" shrinkToFit="1"/>
      <protection hidden="1"/>
    </xf>
    <xf numFmtId="0" fontId="158" fillId="0" borderId="44" xfId="0" applyFont="1" applyFill="1" applyBorder="1" applyAlignment="1" applyProtection="1">
      <alignment horizontal="center" vertical="center" shrinkToFit="1"/>
      <protection hidden="1"/>
    </xf>
    <xf numFmtId="0" fontId="158" fillId="0" borderId="68" xfId="0" applyFont="1" applyFill="1" applyBorder="1" applyAlignment="1" applyProtection="1">
      <alignment horizontal="center" vertical="center" shrinkToFit="1"/>
      <protection hidden="1"/>
    </xf>
    <xf numFmtId="0" fontId="158" fillId="0" borderId="3" xfId="0" applyFont="1" applyFill="1" applyBorder="1" applyAlignment="1" applyProtection="1">
      <alignment horizontal="center" vertical="center" shrinkToFit="1"/>
      <protection hidden="1"/>
    </xf>
    <xf numFmtId="0" fontId="158" fillId="0" borderId="67" xfId="0" applyFont="1" applyFill="1" applyBorder="1" applyAlignment="1" applyProtection="1">
      <alignment horizontal="center" vertical="center" shrinkToFit="1"/>
      <protection hidden="1"/>
    </xf>
    <xf numFmtId="0" fontId="158" fillId="0" borderId="73" xfId="0" applyFont="1" applyFill="1" applyBorder="1" applyAlignment="1" applyProtection="1">
      <alignment horizontal="center" vertical="center" shrinkToFit="1"/>
      <protection hidden="1"/>
    </xf>
    <xf numFmtId="0" fontId="158" fillId="0" borderId="65" xfId="0" applyFont="1" applyFill="1" applyBorder="1" applyAlignment="1" applyProtection="1">
      <alignment shrinkToFit="1"/>
      <protection hidden="1"/>
    </xf>
    <xf numFmtId="0" fontId="158" fillId="0" borderId="76" xfId="0" applyFont="1" applyFill="1" applyBorder="1" applyAlignment="1" applyProtection="1">
      <alignment horizontal="center" vertical="center" shrinkToFit="1"/>
      <protection locked="0" hidden="1"/>
    </xf>
    <xf numFmtId="0" fontId="158" fillId="0" borderId="77" xfId="0" applyFont="1" applyFill="1" applyBorder="1" applyAlignment="1" applyProtection="1">
      <alignment horizontal="center" vertical="center" shrinkToFit="1"/>
      <protection locked="0" hidden="1"/>
    </xf>
    <xf numFmtId="1" fontId="158" fillId="0" borderId="66" xfId="0" applyNumberFormat="1" applyFont="1" applyFill="1" applyBorder="1" applyAlignment="1" applyProtection="1">
      <alignment horizontal="center" vertical="center" shrinkToFit="1"/>
      <protection hidden="1"/>
    </xf>
    <xf numFmtId="1" fontId="158" fillId="0" borderId="4" xfId="0" applyNumberFormat="1" applyFont="1" applyFill="1" applyBorder="1" applyAlignment="1" applyProtection="1">
      <alignment horizontal="center" vertical="center" shrinkToFit="1"/>
      <protection hidden="1"/>
    </xf>
    <xf numFmtId="172" fontId="163" fillId="10" borderId="78" xfId="0" applyNumberFormat="1" applyFont="1" applyFill="1" applyBorder="1" applyAlignment="1" applyProtection="1">
      <alignment horizontal="center" vertical="center" shrinkToFit="1"/>
      <protection hidden="1"/>
    </xf>
    <xf numFmtId="172" fontId="163" fillId="10" borderId="79" xfId="0" applyNumberFormat="1" applyFont="1" applyFill="1" applyBorder="1" applyAlignment="1" applyProtection="1">
      <alignment horizontal="center" vertical="center" shrinkToFit="1"/>
      <protection hidden="1"/>
    </xf>
    <xf numFmtId="1" fontId="163" fillId="10" borderId="79" xfId="0" applyNumberFormat="1" applyFont="1" applyFill="1" applyBorder="1" applyAlignment="1" applyProtection="1">
      <alignment horizontal="center" vertical="center" shrinkToFit="1"/>
      <protection hidden="1"/>
    </xf>
    <xf numFmtId="0" fontId="164" fillId="10" borderId="80" xfId="0" applyNumberFormat="1" applyFont="1" applyFill="1" applyBorder="1" applyAlignment="1" applyProtection="1">
      <alignment horizontal="center" vertical="center" shrinkToFit="1"/>
      <protection hidden="1"/>
    </xf>
    <xf numFmtId="172" fontId="163" fillId="10" borderId="81" xfId="0" applyNumberFormat="1" applyFont="1" applyFill="1" applyBorder="1" applyAlignment="1" applyProtection="1">
      <alignment horizontal="center" vertical="center" shrinkToFit="1"/>
      <protection hidden="1"/>
    </xf>
    <xf numFmtId="0" fontId="163" fillId="10" borderId="79" xfId="0" applyNumberFormat="1" applyFont="1" applyFill="1" applyBorder="1" applyAlignment="1" applyProtection="1">
      <alignment horizontal="center" vertical="center" shrinkToFit="1"/>
      <protection hidden="1"/>
    </xf>
    <xf numFmtId="0" fontId="163" fillId="10" borderId="82" xfId="0" applyNumberFormat="1" applyFont="1" applyFill="1" applyBorder="1" applyAlignment="1" applyProtection="1">
      <alignment horizontal="center" vertical="center" shrinkToFit="1"/>
      <protection hidden="1"/>
    </xf>
    <xf numFmtId="0" fontId="163" fillId="10" borderId="81" xfId="0" applyNumberFormat="1" applyFont="1" applyFill="1" applyBorder="1" applyAlignment="1" applyProtection="1">
      <alignment horizontal="center" vertical="center" shrinkToFit="1"/>
      <protection hidden="1"/>
    </xf>
    <xf numFmtId="0" fontId="163" fillId="10" borderId="78" xfId="0" applyNumberFormat="1" applyFont="1" applyFill="1" applyBorder="1" applyAlignment="1" applyProtection="1">
      <alignment horizontal="center" vertical="center" shrinkToFit="1"/>
      <protection hidden="1"/>
    </xf>
    <xf numFmtId="0" fontId="163" fillId="10" borderId="79" xfId="0" applyFont="1" applyFill="1" applyBorder="1" applyAlignment="1" applyProtection="1">
      <alignment horizontal="center" vertical="center" shrinkToFit="1"/>
      <protection hidden="1"/>
    </xf>
    <xf numFmtId="0" fontId="163" fillId="10" borderId="82" xfId="0" applyFont="1" applyFill="1" applyBorder="1" applyAlignment="1" applyProtection="1">
      <alignment horizontal="center" vertical="center" shrinkToFit="1"/>
      <protection hidden="1"/>
    </xf>
    <xf numFmtId="0" fontId="163" fillId="10" borderId="78" xfId="0" applyFont="1" applyFill="1" applyBorder="1" applyAlignment="1" applyProtection="1">
      <alignment horizontal="center" vertical="center" shrinkToFit="1"/>
      <protection hidden="1"/>
    </xf>
    <xf numFmtId="0" fontId="164" fillId="10" borderId="79" xfId="0" applyFont="1" applyFill="1" applyBorder="1" applyAlignment="1" applyProtection="1">
      <alignment horizontal="center" vertical="center" shrinkToFit="1"/>
      <protection hidden="1"/>
    </xf>
    <xf numFmtId="0" fontId="163" fillId="10" borderId="80" xfId="0" applyFont="1" applyFill="1" applyBorder="1" applyAlignment="1" applyProtection="1">
      <alignment horizontal="center" vertical="center" shrinkToFit="1"/>
      <protection hidden="1"/>
    </xf>
    <xf numFmtId="0" fontId="164" fillId="10" borderId="78" xfId="0" applyFont="1" applyFill="1" applyBorder="1" applyAlignment="1" applyProtection="1">
      <alignment horizontal="center" vertical="center" shrinkToFit="1"/>
      <protection hidden="1"/>
    </xf>
    <xf numFmtId="0" fontId="163" fillId="10" borderId="80" xfId="0" applyNumberFormat="1" applyFont="1" applyFill="1" applyBorder="1" applyAlignment="1" applyProtection="1">
      <alignment horizontal="center" vertical="center" shrinkToFit="1"/>
      <protection hidden="1"/>
    </xf>
    <xf numFmtId="0" fontId="164" fillId="10" borderId="78" xfId="0" applyNumberFormat="1" applyFont="1" applyFill="1" applyBorder="1" applyAlignment="1" applyProtection="1">
      <alignment horizontal="center" vertical="center" shrinkToFit="1"/>
      <protection hidden="1"/>
    </xf>
    <xf numFmtId="0" fontId="164" fillId="10" borderId="79" xfId="0" applyNumberFormat="1" applyFont="1" applyFill="1" applyBorder="1" applyAlignment="1" applyProtection="1">
      <alignment horizontal="center" vertical="center" shrinkToFit="1"/>
      <protection hidden="1"/>
    </xf>
    <xf numFmtId="0" fontId="164" fillId="10" borderId="82" xfId="0" applyNumberFormat="1" applyFont="1" applyFill="1" applyBorder="1" applyAlignment="1" applyProtection="1">
      <alignment horizontal="center" vertical="center" shrinkToFit="1"/>
      <protection hidden="1"/>
    </xf>
    <xf numFmtId="1" fontId="163" fillId="10" borderId="83" xfId="0" applyNumberFormat="1" applyFont="1" applyFill="1" applyBorder="1" applyAlignment="1" applyProtection="1">
      <alignment horizontal="center" vertical="center" shrinkToFit="1"/>
      <protection hidden="1"/>
    </xf>
    <xf numFmtId="1" fontId="163" fillId="10" borderId="84" xfId="0" applyNumberFormat="1" applyFont="1" applyFill="1" applyBorder="1" applyAlignment="1" applyProtection="1">
      <alignment horizontal="center" vertical="center" shrinkToFit="1"/>
      <protection hidden="1"/>
    </xf>
    <xf numFmtId="0" fontId="158" fillId="0" borderId="21" xfId="0" applyFont="1" applyFill="1" applyBorder="1" applyAlignment="1" applyProtection="1">
      <alignment horizontal="center" vertical="center" shrinkToFit="1"/>
      <protection hidden="1"/>
    </xf>
    <xf numFmtId="0" fontId="158" fillId="0" borderId="27" xfId="0" applyFont="1" applyFill="1" applyBorder="1" applyAlignment="1" applyProtection="1">
      <alignment horizontal="center" vertical="center" shrinkToFit="1"/>
      <protection hidden="1"/>
    </xf>
    <xf numFmtId="0" fontId="158" fillId="0" borderId="15" xfId="0" applyFont="1" applyFill="1" applyBorder="1" applyAlignment="1" applyProtection="1">
      <alignment horizontal="center" vertical="center" shrinkToFit="1"/>
      <protection hidden="1"/>
    </xf>
    <xf numFmtId="0" fontId="158" fillId="0" borderId="6" xfId="0" applyFont="1" applyFill="1" applyBorder="1" applyAlignment="1" applyProtection="1">
      <alignment horizontal="center" vertical="center" shrinkToFit="1"/>
      <protection hidden="1"/>
    </xf>
    <xf numFmtId="0" fontId="159" fillId="0" borderId="15" xfId="0" applyFont="1" applyFill="1" applyBorder="1" applyAlignment="1" applyProtection="1">
      <alignment horizontal="center" vertical="center" shrinkToFit="1"/>
      <protection hidden="1"/>
    </xf>
    <xf numFmtId="0" fontId="159" fillId="0" borderId="10" xfId="0" applyFont="1" applyFill="1" applyBorder="1" applyAlignment="1" applyProtection="1">
      <alignment horizontal="center" vertical="center" shrinkToFit="1"/>
      <protection hidden="1"/>
    </xf>
    <xf numFmtId="0" fontId="159" fillId="0" borderId="6" xfId="0" applyFont="1" applyFill="1" applyBorder="1" applyAlignment="1" applyProtection="1">
      <alignment horizontal="center" vertical="center" shrinkToFit="1"/>
      <protection hidden="1"/>
    </xf>
    <xf numFmtId="0" fontId="159" fillId="0" borderId="27" xfId="0" applyFont="1" applyFill="1" applyBorder="1" applyAlignment="1" applyProtection="1">
      <alignment horizontal="center" vertical="center" shrinkToFit="1"/>
      <protection hidden="1"/>
    </xf>
    <xf numFmtId="172" fontId="163" fillId="10" borderId="85" xfId="0" applyNumberFormat="1" applyFont="1" applyFill="1" applyBorder="1" applyAlignment="1" applyProtection="1">
      <alignment horizontal="center" vertical="center" shrinkToFit="1"/>
      <protection hidden="1"/>
    </xf>
    <xf numFmtId="0" fontId="164" fillId="10" borderId="85" xfId="0" applyNumberFormat="1" applyFont="1" applyFill="1" applyBorder="1" applyAlignment="1" applyProtection="1">
      <alignment horizontal="center" vertical="center" shrinkToFit="1"/>
      <protection hidden="1"/>
    </xf>
    <xf numFmtId="0" fontId="164" fillId="10" borderId="86" xfId="0" applyNumberFormat="1" applyFont="1" applyFill="1" applyBorder="1" applyAlignment="1" applyProtection="1">
      <alignment horizontal="center" vertical="center" shrinkToFit="1"/>
      <protection hidden="1"/>
    </xf>
    <xf numFmtId="0" fontId="159" fillId="0" borderId="2" xfId="0" applyFont="1" applyFill="1" applyBorder="1" applyAlignment="1" applyProtection="1">
      <alignment horizontal="center" vertical="center" shrinkToFit="1"/>
      <protection hidden="1"/>
    </xf>
    <xf numFmtId="0" fontId="159" fillId="0" borderId="12" xfId="0" applyFont="1" applyFill="1" applyBorder="1" applyAlignment="1" applyProtection="1">
      <alignment horizontal="center" vertical="center" shrinkToFit="1"/>
      <protection hidden="1"/>
    </xf>
    <xf numFmtId="172" fontId="163" fillId="10" borderId="87" xfId="0" applyNumberFormat="1" applyFont="1" applyFill="1" applyBorder="1" applyAlignment="1" applyProtection="1">
      <alignment horizontal="center" vertical="center" shrinkToFit="1"/>
      <protection hidden="1"/>
    </xf>
    <xf numFmtId="0" fontId="165" fillId="0" borderId="0" xfId="0" applyFont="1" applyFill="1" applyProtection="1">
      <protection hidden="1"/>
    </xf>
    <xf numFmtId="0" fontId="166" fillId="0" borderId="0" xfId="0" applyFont="1" applyFill="1" applyProtection="1">
      <protection hidden="1"/>
    </xf>
    <xf numFmtId="0" fontId="165" fillId="0" borderId="0" xfId="0" applyFont="1" applyFill="1" applyAlignment="1" applyProtection="1">
      <alignment shrinkToFit="1"/>
      <protection hidden="1"/>
    </xf>
    <xf numFmtId="0" fontId="167" fillId="0" borderId="0" xfId="0" applyFont="1" applyFill="1" applyProtection="1">
      <protection hidden="1"/>
    </xf>
    <xf numFmtId="0" fontId="165" fillId="0" borderId="0" xfId="0" applyFont="1" applyFill="1" applyAlignment="1" applyProtection="1">
      <alignment horizontal="center" vertical="center"/>
      <protection hidden="1"/>
    </xf>
    <xf numFmtId="0" fontId="170" fillId="0" borderId="10" xfId="0" applyFont="1" applyFill="1" applyBorder="1" applyAlignment="1" applyProtection="1">
      <alignment horizontal="center" textRotation="90" wrapText="1"/>
      <protection hidden="1"/>
    </xf>
    <xf numFmtId="0" fontId="158" fillId="0" borderId="1" xfId="0" applyFont="1" applyFill="1" applyBorder="1" applyAlignment="1" applyProtection="1">
      <alignment horizontal="center" textRotation="90" wrapText="1"/>
      <protection hidden="1"/>
    </xf>
    <xf numFmtId="0" fontId="170" fillId="0" borderId="70" xfId="0" applyFont="1" applyFill="1" applyBorder="1" applyAlignment="1" applyProtection="1">
      <alignment horizontal="center" textRotation="90" wrapText="1"/>
      <protection hidden="1"/>
    </xf>
    <xf numFmtId="0" fontId="161" fillId="0" borderId="1" xfId="0" applyFont="1" applyFill="1" applyBorder="1" applyAlignment="1" applyProtection="1">
      <alignment horizontal="center" textRotation="90"/>
      <protection hidden="1"/>
    </xf>
    <xf numFmtId="0" fontId="170" fillId="0" borderId="59" xfId="0" applyFont="1" applyFill="1" applyBorder="1" applyAlignment="1" applyProtection="1">
      <alignment horizontal="center" textRotation="90" wrapText="1"/>
      <protection hidden="1"/>
    </xf>
    <xf numFmtId="0" fontId="165" fillId="0" borderId="1" xfId="0" applyFont="1" applyFill="1" applyBorder="1" applyProtection="1">
      <protection hidden="1"/>
    </xf>
    <xf numFmtId="0" fontId="158" fillId="0" borderId="52" xfId="0" applyFont="1" applyFill="1" applyBorder="1" applyAlignment="1" applyProtection="1">
      <alignment horizontal="center" textRotation="90" wrapText="1"/>
      <protection locked="0" hidden="1"/>
    </xf>
    <xf numFmtId="0" fontId="159" fillId="0" borderId="13" xfId="0" applyFont="1" applyFill="1" applyBorder="1" applyAlignment="1" applyProtection="1">
      <alignment horizontal="center" textRotation="90" wrapText="1"/>
      <protection hidden="1"/>
    </xf>
    <xf numFmtId="0" fontId="159" fillId="0" borderId="11" xfId="0" applyFont="1" applyFill="1" applyBorder="1" applyAlignment="1" applyProtection="1">
      <alignment horizontal="center" textRotation="90" wrapText="1"/>
      <protection hidden="1"/>
    </xf>
    <xf numFmtId="0" fontId="168" fillId="0" borderId="20" xfId="0" applyFont="1" applyFill="1" applyBorder="1" applyAlignment="1" applyProtection="1">
      <alignment horizontal="center" vertical="center" textRotation="90" wrapText="1"/>
      <protection hidden="1"/>
    </xf>
    <xf numFmtId="0" fontId="170" fillId="0" borderId="71" xfId="0" applyFont="1" applyFill="1" applyBorder="1" applyAlignment="1" applyProtection="1">
      <alignment horizontal="center" textRotation="90" wrapText="1"/>
      <protection hidden="1"/>
    </xf>
    <xf numFmtId="0" fontId="158" fillId="0" borderId="65" xfId="0" applyFont="1" applyFill="1" applyBorder="1" applyAlignment="1" applyProtection="1">
      <alignment horizontal="center" textRotation="90" wrapText="1"/>
      <protection hidden="1"/>
    </xf>
    <xf numFmtId="0" fontId="170" fillId="0" borderId="47" xfId="0" applyFont="1" applyFill="1" applyBorder="1" applyAlignment="1" applyProtection="1">
      <alignment horizontal="center" textRotation="90" wrapText="1"/>
      <protection hidden="1"/>
    </xf>
    <xf numFmtId="0" fontId="165" fillId="0" borderId="47" xfId="0" applyFont="1" applyFill="1" applyBorder="1" applyProtection="1">
      <protection hidden="1"/>
    </xf>
    <xf numFmtId="0" fontId="161" fillId="0" borderId="47" xfId="0" applyFont="1" applyFill="1" applyBorder="1" applyAlignment="1" applyProtection="1">
      <alignment horizontal="center" textRotation="90"/>
      <protection hidden="1"/>
    </xf>
    <xf numFmtId="0" fontId="158" fillId="0" borderId="53" xfId="0" applyFont="1" applyFill="1" applyBorder="1" applyAlignment="1" applyProtection="1">
      <alignment horizontal="center" textRotation="90" wrapText="1"/>
      <protection locked="0" hidden="1"/>
    </xf>
    <xf numFmtId="0" fontId="159" fillId="0" borderId="68" xfId="0" applyFont="1" applyFill="1" applyBorder="1" applyAlignment="1" applyProtection="1">
      <alignment horizontal="center" textRotation="90" wrapText="1"/>
      <protection hidden="1"/>
    </xf>
    <xf numFmtId="0" fontId="159" fillId="0" borderId="3" xfId="0" applyFont="1" applyFill="1" applyBorder="1" applyAlignment="1" applyProtection="1">
      <alignment horizontal="center" textRotation="90" wrapText="1"/>
      <protection hidden="1"/>
    </xf>
    <xf numFmtId="0" fontId="168" fillId="0" borderId="54" xfId="0" applyFont="1" applyFill="1" applyBorder="1" applyAlignment="1" applyProtection="1">
      <alignment horizontal="center" vertical="center" textRotation="90" wrapText="1"/>
      <protection hidden="1"/>
    </xf>
    <xf numFmtId="0" fontId="170" fillId="0" borderId="28" xfId="0" applyFont="1" applyFill="1" applyBorder="1" applyAlignment="1" applyProtection="1">
      <alignment horizontal="center" vertical="center" shrinkToFit="1"/>
      <protection hidden="1"/>
    </xf>
    <xf numFmtId="0" fontId="170" fillId="0" borderId="29" xfId="0" applyFont="1" applyFill="1" applyBorder="1" applyAlignment="1" applyProtection="1">
      <alignment horizontal="center" vertical="center" shrinkToFit="1"/>
      <protection hidden="1"/>
    </xf>
    <xf numFmtId="0" fontId="170" fillId="0" borderId="23" xfId="0" applyFont="1" applyFill="1" applyBorder="1" applyAlignment="1" applyProtection="1">
      <alignment horizontal="center" vertical="center" shrinkToFit="1"/>
      <protection hidden="1"/>
    </xf>
    <xf numFmtId="0" fontId="170" fillId="0" borderId="25" xfId="0" applyFont="1" applyFill="1" applyBorder="1" applyAlignment="1" applyProtection="1">
      <alignment horizontal="center" vertical="center" shrinkToFit="1"/>
      <protection hidden="1"/>
    </xf>
    <xf numFmtId="0" fontId="170" fillId="0" borderId="30" xfId="0" applyFont="1" applyFill="1" applyBorder="1" applyAlignment="1" applyProtection="1">
      <alignment horizontal="center" vertical="center" shrinkToFit="1"/>
      <protection hidden="1"/>
    </xf>
    <xf numFmtId="0" fontId="170" fillId="0" borderId="24" xfId="0" applyFont="1" applyFill="1" applyBorder="1" applyAlignment="1" applyProtection="1">
      <alignment horizontal="center" vertical="center" shrinkToFit="1"/>
      <protection hidden="1"/>
    </xf>
    <xf numFmtId="0" fontId="170" fillId="0" borderId="42" xfId="0" applyFont="1" applyFill="1" applyBorder="1" applyAlignment="1" applyProtection="1">
      <alignment horizontal="center" vertical="center" shrinkToFit="1"/>
      <protection hidden="1"/>
    </xf>
    <xf numFmtId="0" fontId="171" fillId="0" borderId="28" xfId="0" applyFont="1" applyFill="1" applyBorder="1" applyAlignment="1" applyProtection="1">
      <alignment horizontal="center" vertical="center" shrinkToFit="1"/>
      <protection hidden="1"/>
    </xf>
    <xf numFmtId="0" fontId="171" fillId="0" borderId="29" xfId="0" applyFont="1" applyFill="1" applyBorder="1" applyAlignment="1" applyProtection="1">
      <alignment horizontal="center" vertical="center" shrinkToFit="1"/>
      <protection locked="0" hidden="1"/>
    </xf>
    <xf numFmtId="0" fontId="171" fillId="0" borderId="29" xfId="0" applyNumberFormat="1" applyFont="1" applyFill="1" applyBorder="1" applyAlignment="1" applyProtection="1">
      <alignment horizontal="center" vertical="center" shrinkToFit="1"/>
      <protection hidden="1"/>
    </xf>
    <xf numFmtId="1" fontId="170" fillId="0" borderId="29" xfId="0" applyNumberFormat="1" applyFont="1" applyFill="1" applyBorder="1" applyAlignment="1" applyProtection="1">
      <alignment horizontal="center" vertical="center" shrinkToFit="1"/>
      <protection hidden="1"/>
    </xf>
    <xf numFmtId="0" fontId="172" fillId="0" borderId="29" xfId="0" applyFont="1" applyFill="1" applyBorder="1" applyAlignment="1" applyProtection="1">
      <alignment horizontal="center" vertical="center" shrinkToFit="1"/>
      <protection hidden="1"/>
    </xf>
    <xf numFmtId="172" fontId="170" fillId="0" borderId="29" xfId="0" applyNumberFormat="1" applyFont="1" applyFill="1" applyBorder="1" applyAlignment="1" applyProtection="1">
      <alignment horizontal="center" vertical="center" shrinkToFit="1"/>
      <protection hidden="1"/>
    </xf>
    <xf numFmtId="0" fontId="173" fillId="0" borderId="29" xfId="0" applyFont="1" applyFill="1" applyBorder="1" applyAlignment="1" applyProtection="1">
      <alignment horizontal="center" vertical="center" shrinkToFit="1"/>
      <protection hidden="1"/>
    </xf>
    <xf numFmtId="0" fontId="170" fillId="0" borderId="29" xfId="0" applyFont="1" applyFill="1" applyBorder="1" applyAlignment="1" applyProtection="1">
      <alignment horizontal="center" vertical="center" shrinkToFit="1"/>
      <protection locked="0" hidden="1"/>
    </xf>
    <xf numFmtId="0" fontId="170" fillId="0" borderId="30" xfId="0" applyFont="1" applyFill="1" applyBorder="1" applyAlignment="1" applyProtection="1">
      <alignment horizontal="center" vertical="center" shrinkToFit="1"/>
      <protection locked="0" hidden="1"/>
    </xf>
    <xf numFmtId="0" fontId="171" fillId="0" borderId="24" xfId="0" applyFont="1" applyFill="1" applyBorder="1" applyAlignment="1" applyProtection="1">
      <alignment horizontal="center" vertical="center" shrinkToFit="1"/>
      <protection hidden="1"/>
    </xf>
    <xf numFmtId="0" fontId="171" fillId="0" borderId="29" xfId="0" applyFont="1" applyFill="1" applyBorder="1" applyAlignment="1" applyProtection="1">
      <alignment horizontal="center" vertical="center" shrinkToFit="1"/>
      <protection hidden="1"/>
    </xf>
    <xf numFmtId="0" fontId="171" fillId="0" borderId="42" xfId="0" applyFont="1" applyFill="1" applyBorder="1" applyAlignment="1" applyProtection="1">
      <alignment horizontal="center" vertical="center" shrinkToFit="1"/>
      <protection hidden="1"/>
    </xf>
    <xf numFmtId="0" fontId="171" fillId="0" borderId="30" xfId="0" applyFont="1" applyFill="1" applyBorder="1" applyAlignment="1" applyProtection="1">
      <alignment horizontal="center" vertical="center" shrinkToFit="1"/>
      <protection hidden="1"/>
    </xf>
    <xf numFmtId="1" fontId="170" fillId="0" borderId="25" xfId="1" applyNumberFormat="1" applyFont="1" applyFill="1" applyBorder="1" applyAlignment="1" applyProtection="1">
      <alignment horizontal="center" vertical="center" shrinkToFit="1"/>
      <protection hidden="1"/>
    </xf>
    <xf numFmtId="1" fontId="170" fillId="0" borderId="72" xfId="0" applyNumberFormat="1" applyFont="1" applyFill="1" applyBorder="1" applyAlignment="1" applyProtection="1">
      <alignment horizontal="center" vertical="center" shrinkToFit="1"/>
      <protection hidden="1"/>
    </xf>
    <xf numFmtId="0" fontId="170" fillId="0" borderId="22" xfId="0" applyFont="1" applyFill="1" applyBorder="1" applyAlignment="1" applyProtection="1">
      <alignment horizontal="center" vertical="center" shrinkToFit="1"/>
      <protection hidden="1"/>
    </xf>
    <xf numFmtId="0" fontId="170" fillId="0" borderId="1" xfId="0" applyFont="1" applyFill="1" applyBorder="1" applyAlignment="1" applyProtection="1">
      <alignment horizontal="center" vertical="center" shrinkToFit="1"/>
      <protection hidden="1"/>
    </xf>
    <xf numFmtId="0" fontId="171" fillId="0" borderId="11" xfId="0" applyFont="1" applyFill="1" applyBorder="1" applyAlignment="1" applyProtection="1">
      <alignment horizontal="center" vertical="center" shrinkToFit="1"/>
      <protection hidden="1"/>
    </xf>
    <xf numFmtId="0" fontId="170" fillId="0" borderId="43" xfId="0" applyFont="1" applyFill="1" applyBorder="1" applyAlignment="1" applyProtection="1">
      <alignment horizontal="center" vertical="center" shrinkToFit="1"/>
      <protection hidden="1"/>
    </xf>
    <xf numFmtId="0" fontId="170" fillId="0" borderId="20" xfId="0" applyFont="1" applyFill="1" applyBorder="1" applyAlignment="1" applyProtection="1">
      <alignment horizontal="center" vertical="center" shrinkToFit="1"/>
      <protection hidden="1"/>
    </xf>
    <xf numFmtId="0" fontId="170" fillId="0" borderId="13" xfId="0" applyFont="1" applyFill="1" applyBorder="1" applyAlignment="1" applyProtection="1">
      <alignment horizontal="center" vertical="center" shrinkToFit="1"/>
      <protection hidden="1"/>
    </xf>
    <xf numFmtId="0" fontId="170" fillId="0" borderId="11" xfId="0" applyFont="1" applyFill="1" applyBorder="1" applyAlignment="1" applyProtection="1">
      <alignment horizontal="center" vertical="center" shrinkToFit="1"/>
      <protection hidden="1"/>
    </xf>
    <xf numFmtId="0" fontId="171" fillId="0" borderId="22" xfId="0" applyFont="1" applyFill="1" applyBorder="1" applyAlignment="1" applyProtection="1">
      <alignment horizontal="center" vertical="center" shrinkToFit="1"/>
      <protection hidden="1"/>
    </xf>
    <xf numFmtId="0" fontId="170" fillId="0" borderId="52" xfId="0" applyFont="1" applyFill="1" applyBorder="1" applyAlignment="1" applyProtection="1">
      <alignment horizontal="center" vertical="center" shrinkToFit="1"/>
      <protection hidden="1"/>
    </xf>
    <xf numFmtId="0" fontId="171" fillId="0" borderId="1" xfId="0" applyFont="1" applyFill="1" applyBorder="1" applyAlignment="1" applyProtection="1">
      <alignment horizontal="center" vertical="center" shrinkToFit="1"/>
      <protection hidden="1"/>
    </xf>
    <xf numFmtId="0" fontId="171" fillId="0" borderId="1" xfId="0" applyNumberFormat="1" applyFont="1" applyFill="1" applyBorder="1" applyAlignment="1" applyProtection="1">
      <alignment horizontal="center" vertical="center" shrinkToFit="1"/>
      <protection hidden="1"/>
    </xf>
    <xf numFmtId="0" fontId="172" fillId="0" borderId="1" xfId="0" applyFont="1" applyFill="1" applyBorder="1" applyAlignment="1" applyProtection="1">
      <alignment horizontal="center" vertical="center" shrinkToFit="1"/>
      <protection hidden="1"/>
    </xf>
    <xf numFmtId="172" fontId="170" fillId="0" borderId="1" xfId="0" applyNumberFormat="1" applyFont="1" applyFill="1" applyBorder="1" applyAlignment="1" applyProtection="1">
      <alignment horizontal="center" vertical="center" shrinkToFit="1"/>
      <protection hidden="1"/>
    </xf>
    <xf numFmtId="0" fontId="173" fillId="0" borderId="1" xfId="0" applyFont="1" applyFill="1" applyBorder="1" applyAlignment="1" applyProtection="1">
      <alignment horizontal="center" vertical="center" shrinkToFit="1"/>
      <protection hidden="1"/>
    </xf>
    <xf numFmtId="0" fontId="170" fillId="0" borderId="1" xfId="0" applyFont="1" applyFill="1" applyBorder="1" applyAlignment="1" applyProtection="1">
      <alignment horizontal="center" vertical="center" shrinkToFit="1"/>
      <protection locked="0" hidden="1"/>
    </xf>
    <xf numFmtId="0" fontId="170" fillId="0" borderId="52" xfId="0" applyFont="1" applyFill="1" applyBorder="1" applyAlignment="1" applyProtection="1">
      <alignment horizontal="center" vertical="center" shrinkToFit="1"/>
      <protection locked="0" hidden="1"/>
    </xf>
    <xf numFmtId="0" fontId="171" fillId="0" borderId="13" xfId="0" applyFont="1" applyFill="1" applyBorder="1" applyAlignment="1" applyProtection="1">
      <alignment horizontal="center" vertical="center" shrinkToFit="1"/>
      <protection hidden="1"/>
    </xf>
    <xf numFmtId="0" fontId="171" fillId="0" borderId="52" xfId="0" applyFont="1" applyFill="1" applyBorder="1" applyAlignment="1" applyProtection="1">
      <alignment horizontal="center" vertical="center" shrinkToFit="1"/>
      <protection hidden="1"/>
    </xf>
    <xf numFmtId="1" fontId="170" fillId="0" borderId="43" xfId="0" applyNumberFormat="1" applyFont="1" applyFill="1" applyBorder="1" applyAlignment="1" applyProtection="1">
      <alignment horizontal="center" vertical="center" shrinkToFit="1"/>
      <protection hidden="1"/>
    </xf>
    <xf numFmtId="1" fontId="170" fillId="0" borderId="12" xfId="0" applyNumberFormat="1" applyFont="1" applyFill="1" applyBorder="1" applyAlignment="1" applyProtection="1">
      <alignment horizontal="center" vertical="center" shrinkToFit="1"/>
      <protection hidden="1"/>
    </xf>
    <xf numFmtId="0" fontId="170" fillId="0" borderId="65" xfId="0" applyFont="1" applyFill="1" applyBorder="1" applyAlignment="1" applyProtection="1">
      <alignment horizontal="center" vertical="center" shrinkToFit="1"/>
      <protection hidden="1"/>
    </xf>
    <xf numFmtId="0" fontId="171" fillId="0" borderId="3" xfId="0" applyFont="1" applyFill="1" applyBorder="1" applyAlignment="1" applyProtection="1">
      <alignment horizontal="center" vertical="center" shrinkToFit="1"/>
      <protection hidden="1"/>
    </xf>
    <xf numFmtId="0" fontId="170" fillId="0" borderId="44" xfId="0" applyFont="1" applyFill="1" applyBorder="1" applyAlignment="1" applyProtection="1">
      <alignment horizontal="center" vertical="center" shrinkToFit="1"/>
      <protection hidden="1"/>
    </xf>
    <xf numFmtId="0" fontId="170" fillId="0" borderId="39" xfId="0" applyFont="1" applyFill="1" applyBorder="1" applyAlignment="1" applyProtection="1">
      <alignment horizontal="center" vertical="center" shrinkToFit="1"/>
      <protection hidden="1"/>
    </xf>
    <xf numFmtId="0" fontId="171" fillId="0" borderId="51" xfId="0" applyFont="1" applyFill="1" applyBorder="1" applyAlignment="1" applyProtection="1">
      <alignment horizontal="center" vertical="center" shrinkToFit="1"/>
      <protection hidden="1"/>
    </xf>
    <xf numFmtId="0" fontId="171" fillId="0" borderId="47" xfId="0" applyNumberFormat="1" applyFont="1" applyFill="1" applyBorder="1" applyAlignment="1" applyProtection="1">
      <alignment horizontal="center" vertical="center" shrinkToFit="1"/>
      <protection hidden="1"/>
    </xf>
    <xf numFmtId="0" fontId="170" fillId="0" borderId="47" xfId="0" applyFont="1" applyFill="1" applyBorder="1" applyAlignment="1" applyProtection="1">
      <alignment horizontal="center" vertical="center" shrinkToFit="1"/>
      <protection hidden="1"/>
    </xf>
    <xf numFmtId="2" fontId="158" fillId="0" borderId="47" xfId="0" applyNumberFormat="1" applyFont="1" applyFill="1" applyBorder="1" applyAlignment="1" applyProtection="1">
      <alignment horizontal="center" vertical="center" shrinkToFit="1"/>
      <protection hidden="1"/>
    </xf>
    <xf numFmtId="0" fontId="172" fillId="0" borderId="47" xfId="0" applyFont="1" applyFill="1" applyBorder="1" applyAlignment="1" applyProtection="1">
      <alignment horizontal="center" vertical="center" shrinkToFit="1"/>
      <protection hidden="1"/>
    </xf>
    <xf numFmtId="172" fontId="170" fillId="0" borderId="47" xfId="0" applyNumberFormat="1" applyFont="1" applyFill="1" applyBorder="1" applyAlignment="1" applyProtection="1">
      <alignment horizontal="center" vertical="center" shrinkToFit="1"/>
      <protection hidden="1"/>
    </xf>
    <xf numFmtId="0" fontId="173" fillId="0" borderId="47" xfId="0" applyFont="1" applyFill="1" applyBorder="1" applyAlignment="1" applyProtection="1">
      <alignment horizontal="center" vertical="center" shrinkToFit="1"/>
      <protection hidden="1"/>
    </xf>
    <xf numFmtId="0" fontId="170" fillId="0" borderId="47" xfId="0" applyFont="1" applyFill="1" applyBorder="1" applyAlignment="1" applyProtection="1">
      <alignment horizontal="center" vertical="center" shrinkToFit="1"/>
      <protection locked="0" hidden="1"/>
    </xf>
    <xf numFmtId="0" fontId="170" fillId="0" borderId="53" xfId="0" applyFont="1" applyFill="1" applyBorder="1" applyAlignment="1" applyProtection="1">
      <alignment horizontal="center" vertical="center" shrinkToFit="1"/>
      <protection locked="0" hidden="1"/>
    </xf>
    <xf numFmtId="1" fontId="170" fillId="0" borderId="25" xfId="0" applyNumberFormat="1" applyFont="1" applyFill="1" applyBorder="1" applyAlignment="1" applyProtection="1">
      <alignment horizontal="center" vertical="center" shrinkToFit="1"/>
      <protection hidden="1"/>
    </xf>
    <xf numFmtId="0" fontId="171" fillId="0" borderId="1" xfId="0" applyFont="1" applyFill="1" applyBorder="1" applyAlignment="1" applyProtection="1">
      <alignment horizontal="center" vertical="center" shrinkToFit="1"/>
      <protection locked="0" hidden="1"/>
    </xf>
    <xf numFmtId="0" fontId="174" fillId="0" borderId="1" xfId="1" applyFont="1" applyFill="1" applyBorder="1" applyAlignment="1" applyProtection="1">
      <alignment horizontal="center" vertical="center" shrinkToFit="1"/>
      <protection hidden="1"/>
    </xf>
    <xf numFmtId="1" fontId="170" fillId="0" borderId="49" xfId="0" applyNumberFormat="1" applyFont="1" applyFill="1" applyBorder="1" applyAlignment="1" applyProtection="1">
      <alignment horizontal="center" vertical="center" shrinkToFit="1"/>
      <protection hidden="1"/>
    </xf>
    <xf numFmtId="0" fontId="171" fillId="0" borderId="50" xfId="0" applyFont="1" applyFill="1" applyBorder="1" applyAlignment="1" applyProtection="1">
      <alignment horizontal="center" vertical="center" shrinkToFit="1"/>
      <protection hidden="1"/>
    </xf>
    <xf numFmtId="172" fontId="170" fillId="0" borderId="39" xfId="0" applyNumberFormat="1" applyFont="1" applyFill="1" applyBorder="1" applyAlignment="1" applyProtection="1">
      <alignment horizontal="center" vertical="center" shrinkToFit="1"/>
      <protection hidden="1"/>
    </xf>
    <xf numFmtId="0" fontId="170" fillId="0" borderId="63" xfId="0" applyFont="1" applyFill="1" applyBorder="1" applyAlignment="1" applyProtection="1">
      <alignment horizontal="center" vertical="center" shrinkToFit="1"/>
      <protection hidden="1"/>
    </xf>
    <xf numFmtId="0" fontId="170" fillId="0" borderId="50" xfId="0" applyFont="1" applyFill="1" applyBorder="1" applyAlignment="1" applyProtection="1">
      <alignment horizontal="center" vertical="center" shrinkToFit="1"/>
      <protection hidden="1"/>
    </xf>
    <xf numFmtId="0" fontId="170" fillId="0" borderId="51" xfId="0" applyFont="1" applyFill="1" applyBorder="1" applyAlignment="1" applyProtection="1">
      <alignment horizontal="center" vertical="center" shrinkToFit="1"/>
      <protection hidden="1"/>
    </xf>
    <xf numFmtId="0" fontId="171" fillId="0" borderId="47" xfId="0" applyFont="1" applyFill="1" applyBorder="1" applyAlignment="1" applyProtection="1">
      <alignment horizontal="center" vertical="center" shrinkToFit="1"/>
      <protection hidden="1"/>
    </xf>
    <xf numFmtId="172" fontId="173" fillId="0" borderId="47" xfId="0" applyNumberFormat="1" applyFont="1" applyFill="1" applyBorder="1" applyAlignment="1" applyProtection="1">
      <alignment horizontal="center" vertical="center" shrinkToFit="1"/>
      <protection hidden="1"/>
    </xf>
    <xf numFmtId="0" fontId="171" fillId="0" borderId="63" xfId="0" applyFont="1" applyFill="1" applyBorder="1" applyAlignment="1" applyProtection="1">
      <alignment horizontal="center" vertical="center" shrinkToFit="1"/>
      <protection hidden="1"/>
    </xf>
    <xf numFmtId="0" fontId="171" fillId="0" borderId="53" xfId="0" applyFont="1" applyFill="1" applyBorder="1" applyAlignment="1" applyProtection="1">
      <alignment horizontal="center" vertical="center" shrinkToFit="1"/>
      <protection hidden="1"/>
    </xf>
    <xf numFmtId="1" fontId="170" fillId="0" borderId="39" xfId="0" applyNumberFormat="1" applyFont="1" applyFill="1" applyBorder="1" applyAlignment="1" applyProtection="1">
      <alignment horizontal="center" vertical="center" shrinkToFit="1"/>
      <protection hidden="1"/>
    </xf>
    <xf numFmtId="1" fontId="170" fillId="0" borderId="75" xfId="0" applyNumberFormat="1" applyFont="1" applyFill="1" applyBorder="1" applyAlignment="1" applyProtection="1">
      <alignment horizontal="center" vertical="center" shrinkToFit="1"/>
      <protection hidden="1"/>
    </xf>
    <xf numFmtId="0" fontId="171" fillId="0" borderId="26" xfId="0" applyFont="1" applyFill="1" applyBorder="1" applyAlignment="1" applyProtection="1">
      <alignment horizontal="center" vertical="center" shrinkToFit="1"/>
      <protection hidden="1"/>
    </xf>
    <xf numFmtId="0" fontId="171" fillId="0" borderId="10" xfId="0" applyNumberFormat="1" applyFont="1" applyFill="1" applyBorder="1" applyAlignment="1" applyProtection="1">
      <alignment horizontal="center" vertical="center" shrinkToFit="1"/>
      <protection hidden="1"/>
    </xf>
    <xf numFmtId="0" fontId="170" fillId="0" borderId="10" xfId="0" applyFont="1" applyFill="1" applyBorder="1" applyAlignment="1" applyProtection="1">
      <alignment horizontal="center" vertical="center" shrinkToFit="1"/>
      <protection hidden="1"/>
    </xf>
    <xf numFmtId="0" fontId="172" fillId="0" borderId="10" xfId="0" applyFont="1" applyFill="1" applyBorder="1" applyAlignment="1" applyProtection="1">
      <alignment horizontal="center" vertical="center" shrinkToFit="1"/>
      <protection hidden="1"/>
    </xf>
    <xf numFmtId="172" fontId="170" fillId="0" borderId="10" xfId="0" applyNumberFormat="1" applyFont="1" applyFill="1" applyBorder="1" applyAlignment="1" applyProtection="1">
      <alignment horizontal="center" vertical="center" shrinkToFit="1"/>
      <protection hidden="1"/>
    </xf>
    <xf numFmtId="0" fontId="173" fillId="0" borderId="10" xfId="0" applyFont="1" applyFill="1" applyBorder="1" applyAlignment="1" applyProtection="1">
      <alignment horizontal="center" vertical="center" shrinkToFit="1"/>
      <protection hidden="1"/>
    </xf>
    <xf numFmtId="0" fontId="173" fillId="0" borderId="6" xfId="0" applyFont="1" applyFill="1" applyBorder="1" applyAlignment="1" applyProtection="1">
      <alignment horizontal="center" vertical="center" shrinkToFit="1"/>
      <protection hidden="1"/>
    </xf>
    <xf numFmtId="0" fontId="170" fillId="0" borderId="25" xfId="0" applyFont="1" applyFill="1" applyBorder="1" applyAlignment="1" applyProtection="1">
      <alignment horizontal="center" vertical="center" shrinkToFit="1"/>
      <protection locked="0" hidden="1"/>
    </xf>
    <xf numFmtId="1" fontId="170" fillId="0" borderId="23" xfId="0" applyNumberFormat="1" applyFont="1" applyFill="1" applyBorder="1" applyAlignment="1" applyProtection="1">
      <alignment horizontal="center" vertical="center" shrinkToFit="1"/>
      <protection hidden="1"/>
    </xf>
    <xf numFmtId="172" fontId="170" fillId="0" borderId="43" xfId="0" applyNumberFormat="1" applyFont="1" applyFill="1" applyBorder="1" applyAlignment="1" applyProtection="1">
      <alignment horizontal="center" vertical="center" shrinkToFit="1"/>
      <protection hidden="1"/>
    </xf>
    <xf numFmtId="0" fontId="170" fillId="0" borderId="13" xfId="0" applyFont="1" applyFill="1" applyBorder="1" applyAlignment="1" applyProtection="1">
      <alignment shrinkToFit="1"/>
      <protection hidden="1"/>
    </xf>
    <xf numFmtId="0" fontId="170" fillId="0" borderId="1" xfId="0" applyFont="1" applyFill="1" applyBorder="1" applyAlignment="1" applyProtection="1">
      <alignment shrinkToFit="1"/>
      <protection hidden="1"/>
    </xf>
    <xf numFmtId="0" fontId="173" fillId="0" borderId="11" xfId="0" applyFont="1" applyFill="1" applyBorder="1" applyAlignment="1" applyProtection="1">
      <alignment horizontal="center" vertical="center" shrinkToFit="1"/>
      <protection hidden="1"/>
    </xf>
    <xf numFmtId="0" fontId="170" fillId="0" borderId="20" xfId="0" applyFont="1" applyFill="1" applyBorder="1" applyAlignment="1" applyProtection="1">
      <alignment horizontal="center" vertical="center" shrinkToFit="1"/>
      <protection locked="0" hidden="1"/>
    </xf>
    <xf numFmtId="172" fontId="170" fillId="0" borderId="44" xfId="0" applyNumberFormat="1" applyFont="1" applyFill="1" applyBorder="1" applyAlignment="1" applyProtection="1">
      <alignment horizontal="center" vertical="center" shrinkToFit="1"/>
      <protection hidden="1"/>
    </xf>
    <xf numFmtId="0" fontId="170" fillId="0" borderId="68" xfId="0" applyFont="1" applyFill="1" applyBorder="1" applyAlignment="1" applyProtection="1">
      <alignment horizontal="center" vertical="center" shrinkToFit="1"/>
      <protection hidden="1"/>
    </xf>
    <xf numFmtId="0" fontId="170" fillId="0" borderId="3" xfId="0" applyFont="1" applyFill="1" applyBorder="1" applyAlignment="1" applyProtection="1">
      <alignment horizontal="center" vertical="center" shrinkToFit="1"/>
      <protection hidden="1"/>
    </xf>
    <xf numFmtId="0" fontId="171" fillId="0" borderId="73" xfId="0" applyFont="1" applyFill="1" applyBorder="1" applyAlignment="1" applyProtection="1">
      <alignment horizontal="center" vertical="center" shrinkToFit="1"/>
      <protection hidden="1"/>
    </xf>
    <xf numFmtId="0" fontId="170" fillId="0" borderId="73" xfId="0" applyFont="1" applyFill="1" applyBorder="1" applyAlignment="1" applyProtection="1">
      <alignment horizontal="center" vertical="center" shrinkToFit="1"/>
      <protection hidden="1"/>
    </xf>
    <xf numFmtId="0" fontId="171" fillId="0" borderId="65" xfId="0" applyFont="1" applyFill="1" applyBorder="1" applyAlignment="1" applyProtection="1">
      <alignment horizontal="center" vertical="center" shrinkToFit="1"/>
      <protection hidden="1"/>
    </xf>
    <xf numFmtId="0" fontId="171" fillId="0" borderId="65" xfId="0" applyNumberFormat="1" applyFont="1" applyFill="1" applyBorder="1" applyAlignment="1" applyProtection="1">
      <alignment horizontal="center" vertical="center" shrinkToFit="1"/>
      <protection hidden="1"/>
    </xf>
    <xf numFmtId="0" fontId="172" fillId="0" borderId="65" xfId="0" applyFont="1" applyFill="1" applyBorder="1" applyAlignment="1" applyProtection="1">
      <alignment horizontal="center" vertical="center" shrinkToFit="1"/>
      <protection hidden="1"/>
    </xf>
    <xf numFmtId="172" fontId="170" fillId="0" borderId="65" xfId="0" applyNumberFormat="1" applyFont="1" applyFill="1" applyBorder="1" applyAlignment="1" applyProtection="1">
      <alignment horizontal="center" vertical="center" shrinkToFit="1"/>
      <protection hidden="1"/>
    </xf>
    <xf numFmtId="0" fontId="173" fillId="0" borderId="65" xfId="0" applyFont="1" applyFill="1" applyBorder="1" applyAlignment="1" applyProtection="1">
      <alignment horizontal="center" vertical="center" shrinkToFit="1"/>
      <protection hidden="1"/>
    </xf>
    <xf numFmtId="0" fontId="170" fillId="0" borderId="65" xfId="0" applyFont="1" applyFill="1" applyBorder="1" applyAlignment="1" applyProtection="1">
      <alignment shrinkToFit="1"/>
      <protection hidden="1"/>
    </xf>
    <xf numFmtId="0" fontId="170" fillId="0" borderId="76" xfId="0" applyFont="1" applyFill="1" applyBorder="1" applyAlignment="1" applyProtection="1">
      <alignment horizontal="center" vertical="center" shrinkToFit="1"/>
      <protection locked="0" hidden="1"/>
    </xf>
    <xf numFmtId="0" fontId="170" fillId="0" borderId="77" xfId="0" applyFont="1" applyFill="1" applyBorder="1" applyAlignment="1" applyProtection="1">
      <alignment horizontal="center" vertical="center" shrinkToFit="1"/>
      <protection locked="0" hidden="1"/>
    </xf>
    <xf numFmtId="0" fontId="171" fillId="0" borderId="68" xfId="0" applyFont="1" applyFill="1" applyBorder="1" applyAlignment="1" applyProtection="1">
      <alignment horizontal="center" vertical="center" shrinkToFit="1"/>
      <protection hidden="1"/>
    </xf>
    <xf numFmtId="0" fontId="171" fillId="0" borderId="67" xfId="0" applyFont="1" applyFill="1" applyBorder="1" applyAlignment="1" applyProtection="1">
      <alignment horizontal="center" vertical="center" shrinkToFit="1"/>
      <protection hidden="1"/>
    </xf>
    <xf numFmtId="1" fontId="170" fillId="0" borderId="44" xfId="0" applyNumberFormat="1" applyFont="1" applyFill="1" applyBorder="1" applyAlignment="1" applyProtection="1">
      <alignment horizontal="center" vertical="center" shrinkToFit="1"/>
      <protection hidden="1"/>
    </xf>
    <xf numFmtId="1" fontId="170" fillId="0" borderId="4" xfId="0" applyNumberFormat="1" applyFont="1" applyFill="1" applyBorder="1" applyAlignment="1" applyProtection="1">
      <alignment horizontal="center" vertical="center" shrinkToFit="1"/>
      <protection hidden="1"/>
    </xf>
    <xf numFmtId="172" fontId="169" fillId="10" borderId="85" xfId="0" applyNumberFormat="1" applyFont="1" applyFill="1" applyBorder="1" applyAlignment="1" applyProtection="1">
      <alignment horizontal="center" vertical="center" shrinkToFit="1"/>
      <protection hidden="1"/>
    </xf>
    <xf numFmtId="172" fontId="169" fillId="10" borderId="79" xfId="0" applyNumberFormat="1" applyFont="1" applyFill="1" applyBorder="1" applyAlignment="1" applyProtection="1">
      <alignment horizontal="center" vertical="center" shrinkToFit="1"/>
      <protection hidden="1"/>
    </xf>
    <xf numFmtId="1" fontId="169" fillId="10" borderId="79" xfId="0" applyNumberFormat="1" applyFont="1" applyFill="1" applyBorder="1" applyAlignment="1" applyProtection="1">
      <alignment horizontal="center" vertical="center" shrinkToFit="1"/>
      <protection hidden="1"/>
    </xf>
    <xf numFmtId="0" fontId="175" fillId="10" borderId="80" xfId="0" applyNumberFormat="1" applyFont="1" applyFill="1" applyBorder="1" applyAlignment="1" applyProtection="1">
      <alignment horizontal="center" vertical="center" shrinkToFit="1"/>
      <protection hidden="1"/>
    </xf>
    <xf numFmtId="0" fontId="169" fillId="10" borderId="81" xfId="0" applyNumberFormat="1" applyFont="1" applyFill="1" applyBorder="1" applyAlignment="1" applyProtection="1">
      <alignment horizontal="center" vertical="center" shrinkToFit="1"/>
      <protection hidden="1"/>
    </xf>
    <xf numFmtId="172" fontId="169" fillId="10" borderId="81" xfId="0" applyNumberFormat="1" applyFont="1" applyFill="1" applyBorder="1" applyAlignment="1" applyProtection="1">
      <alignment horizontal="center" vertical="center" shrinkToFit="1"/>
      <protection hidden="1"/>
    </xf>
    <xf numFmtId="0" fontId="169" fillId="10" borderId="78" xfId="0" applyNumberFormat="1" applyFont="1" applyFill="1" applyBorder="1" applyAlignment="1" applyProtection="1">
      <alignment horizontal="center" vertical="center" shrinkToFit="1"/>
      <protection hidden="1"/>
    </xf>
    <xf numFmtId="0" fontId="169" fillId="10" borderId="79" xfId="0" applyNumberFormat="1" applyFont="1" applyFill="1" applyBorder="1" applyAlignment="1" applyProtection="1">
      <alignment horizontal="center" vertical="center" shrinkToFit="1"/>
      <protection hidden="1"/>
    </xf>
    <xf numFmtId="0" fontId="169" fillId="10" borderId="82" xfId="0" applyNumberFormat="1" applyFont="1" applyFill="1" applyBorder="1" applyAlignment="1" applyProtection="1">
      <alignment horizontal="center" vertical="center" shrinkToFit="1"/>
      <protection hidden="1"/>
    </xf>
    <xf numFmtId="0" fontId="169" fillId="10" borderId="79" xfId="0" applyFont="1" applyFill="1" applyBorder="1" applyAlignment="1" applyProtection="1">
      <alignment horizontal="center" vertical="center" shrinkToFit="1"/>
      <protection hidden="1"/>
    </xf>
    <xf numFmtId="0" fontId="169" fillId="10" borderId="82" xfId="0" applyFont="1" applyFill="1" applyBorder="1" applyAlignment="1" applyProtection="1">
      <alignment horizontal="center" vertical="center" shrinkToFit="1"/>
      <protection hidden="1"/>
    </xf>
    <xf numFmtId="0" fontId="169" fillId="10" borderId="78" xfId="0" applyFont="1" applyFill="1" applyBorder="1" applyAlignment="1" applyProtection="1">
      <alignment horizontal="center" vertical="center" shrinkToFit="1"/>
      <protection hidden="1"/>
    </xf>
    <xf numFmtId="0" fontId="175" fillId="10" borderId="79" xfId="0" applyFont="1" applyFill="1" applyBorder="1" applyAlignment="1" applyProtection="1">
      <alignment horizontal="center" vertical="center" shrinkToFit="1"/>
      <protection hidden="1"/>
    </xf>
    <xf numFmtId="0" fontId="169" fillId="10" borderId="80" xfId="0" applyFont="1" applyFill="1" applyBorder="1" applyAlignment="1" applyProtection="1">
      <alignment horizontal="center" vertical="center" shrinkToFit="1"/>
      <protection hidden="1"/>
    </xf>
    <xf numFmtId="0" fontId="175" fillId="10" borderId="78" xfId="0" applyFont="1" applyFill="1" applyBorder="1" applyAlignment="1" applyProtection="1">
      <alignment horizontal="center" vertical="center" shrinkToFit="1"/>
      <protection hidden="1"/>
    </xf>
    <xf numFmtId="0" fontId="169" fillId="10" borderId="80" xfId="0" applyNumberFormat="1" applyFont="1" applyFill="1" applyBorder="1" applyAlignment="1" applyProtection="1">
      <alignment horizontal="center" vertical="center" shrinkToFit="1"/>
      <protection hidden="1"/>
    </xf>
    <xf numFmtId="0" fontId="175" fillId="10" borderId="85" xfId="0" applyNumberFormat="1" applyFont="1" applyFill="1" applyBorder="1" applyAlignment="1" applyProtection="1">
      <alignment horizontal="center" vertical="center" shrinkToFit="1"/>
      <protection hidden="1"/>
    </xf>
    <xf numFmtId="0" fontId="175" fillId="10" borderId="79" xfId="0" applyNumberFormat="1" applyFont="1" applyFill="1" applyBorder="1" applyAlignment="1" applyProtection="1">
      <alignment horizontal="center" vertical="center" shrinkToFit="1"/>
      <protection hidden="1"/>
    </xf>
    <xf numFmtId="0" fontId="175" fillId="10" borderId="82" xfId="0" applyNumberFormat="1" applyFont="1" applyFill="1" applyBorder="1" applyAlignment="1" applyProtection="1">
      <alignment horizontal="center" vertical="center" shrinkToFit="1"/>
      <protection hidden="1"/>
    </xf>
    <xf numFmtId="1" fontId="169" fillId="10" borderId="81" xfId="0" applyNumberFormat="1" applyFont="1" applyFill="1" applyBorder="1" applyAlignment="1" applyProtection="1">
      <alignment horizontal="center" vertical="center" shrinkToFit="1"/>
      <protection hidden="1"/>
    </xf>
    <xf numFmtId="1" fontId="169" fillId="10" borderId="84" xfId="0" applyNumberFormat="1" applyFont="1" applyFill="1" applyBorder="1" applyAlignment="1" applyProtection="1">
      <alignment horizontal="center" vertical="center" shrinkToFit="1"/>
      <protection hidden="1"/>
    </xf>
    <xf numFmtId="0" fontId="170" fillId="0" borderId="26" xfId="0" applyFont="1" applyFill="1" applyBorder="1" applyAlignment="1" applyProtection="1">
      <alignment horizontal="center" vertical="center" shrinkToFit="1"/>
      <protection hidden="1"/>
    </xf>
    <xf numFmtId="0" fontId="170" fillId="0" borderId="21" xfId="0" applyFont="1" applyFill="1" applyBorder="1" applyAlignment="1" applyProtection="1">
      <alignment horizontal="center" vertical="center" shrinkToFit="1"/>
      <protection hidden="1"/>
    </xf>
    <xf numFmtId="0" fontId="170" fillId="0" borderId="27" xfId="0" applyFont="1" applyFill="1" applyBorder="1" applyAlignment="1" applyProtection="1">
      <alignment horizontal="center" vertical="center" shrinkToFit="1"/>
      <protection hidden="1"/>
    </xf>
    <xf numFmtId="0" fontId="170" fillId="0" borderId="15" xfId="0" applyFont="1" applyFill="1" applyBorder="1" applyAlignment="1" applyProtection="1">
      <alignment horizontal="center" vertical="center" shrinkToFit="1"/>
      <protection hidden="1"/>
    </xf>
    <xf numFmtId="0" fontId="170" fillId="0" borderId="6" xfId="0" applyFont="1" applyFill="1" applyBorder="1" applyAlignment="1" applyProtection="1">
      <alignment horizontal="center" vertical="center" shrinkToFit="1"/>
      <protection hidden="1"/>
    </xf>
    <xf numFmtId="0" fontId="171" fillId="0" borderId="15" xfId="0" applyFont="1" applyFill="1" applyBorder="1" applyAlignment="1" applyProtection="1">
      <alignment horizontal="center" vertical="center" shrinkToFit="1"/>
      <protection hidden="1"/>
    </xf>
    <xf numFmtId="0" fontId="171" fillId="0" borderId="10" xfId="0" applyFont="1" applyFill="1" applyBorder="1" applyAlignment="1" applyProtection="1">
      <alignment horizontal="center" vertical="center" shrinkToFit="1"/>
      <protection hidden="1"/>
    </xf>
    <xf numFmtId="0" fontId="171" fillId="0" borderId="6" xfId="0" applyFont="1" applyFill="1" applyBorder="1" applyAlignment="1" applyProtection="1">
      <alignment horizontal="center" vertical="center" shrinkToFit="1"/>
      <protection hidden="1"/>
    </xf>
    <xf numFmtId="0" fontId="171" fillId="0" borderId="27" xfId="0" applyFont="1" applyFill="1" applyBorder="1" applyAlignment="1" applyProtection="1">
      <alignment horizontal="center" vertical="center" shrinkToFit="1"/>
      <protection hidden="1"/>
    </xf>
    <xf numFmtId="0" fontId="170" fillId="0" borderId="65" xfId="0" applyFont="1" applyFill="1" applyBorder="1" applyAlignment="1" applyProtection="1">
      <alignment horizontal="center" vertical="center" shrinkToFit="1"/>
      <protection locked="0" hidden="1"/>
    </xf>
    <xf numFmtId="0" fontId="170" fillId="0" borderId="67" xfId="0" applyFont="1" applyFill="1" applyBorder="1" applyAlignment="1" applyProtection="1">
      <alignment horizontal="center" vertical="center" shrinkToFit="1"/>
      <protection locked="0" hidden="1"/>
    </xf>
    <xf numFmtId="0" fontId="171" fillId="0" borderId="60" xfId="0" applyFont="1" applyFill="1" applyBorder="1" applyAlignment="1" applyProtection="1">
      <alignment horizontal="center" vertical="center" shrinkToFit="1"/>
      <protection hidden="1"/>
    </xf>
    <xf numFmtId="1" fontId="170" fillId="0" borderId="21" xfId="1" applyNumberFormat="1" applyFont="1" applyFill="1" applyBorder="1" applyAlignment="1" applyProtection="1">
      <alignment horizontal="center" vertical="center" shrinkToFit="1"/>
      <protection hidden="1"/>
    </xf>
    <xf numFmtId="0" fontId="171" fillId="0" borderId="46" xfId="0" applyFont="1" applyFill="1" applyBorder="1" applyAlignment="1" applyProtection="1">
      <alignment horizontal="center" vertical="center" shrinkToFit="1"/>
      <protection hidden="1"/>
    </xf>
    <xf numFmtId="0" fontId="170" fillId="0" borderId="60" xfId="0" applyFont="1" applyFill="1" applyBorder="1" applyAlignment="1" applyProtection="1">
      <alignment horizontal="center" vertical="center" shrinkToFit="1"/>
      <protection hidden="1"/>
    </xf>
    <xf numFmtId="172" fontId="169" fillId="10" borderId="88" xfId="0" applyNumberFormat="1" applyFont="1" applyFill="1" applyBorder="1" applyAlignment="1" applyProtection="1">
      <alignment horizontal="center" vertical="center" shrinkToFit="1"/>
      <protection hidden="1"/>
    </xf>
    <xf numFmtId="0" fontId="169" fillId="10" borderId="81" xfId="0" applyFont="1" applyFill="1" applyBorder="1" applyAlignment="1" applyProtection="1">
      <alignment horizontal="center" vertical="center" shrinkToFit="1"/>
      <protection hidden="1"/>
    </xf>
    <xf numFmtId="0" fontId="169" fillId="10" borderId="89" xfId="0" applyFont="1" applyFill="1" applyBorder="1" applyAlignment="1" applyProtection="1">
      <alignment horizontal="center" vertical="center" shrinkToFit="1"/>
      <protection hidden="1"/>
    </xf>
    <xf numFmtId="0" fontId="177" fillId="0" borderId="9" xfId="0" applyFont="1" applyFill="1" applyBorder="1" applyAlignment="1" applyProtection="1">
      <alignment horizontal="center" vertical="center" shrinkToFit="1"/>
      <protection hidden="1"/>
    </xf>
    <xf numFmtId="0" fontId="177" fillId="0" borderId="36" xfId="0" applyFont="1" applyFill="1" applyBorder="1" applyAlignment="1" applyProtection="1">
      <alignment horizontal="center" vertical="center" shrinkToFit="1"/>
      <protection hidden="1"/>
    </xf>
    <xf numFmtId="0" fontId="100" fillId="0" borderId="1" xfId="0" applyFont="1" applyFill="1" applyBorder="1" applyProtection="1">
      <protection locked="0" hidden="1"/>
    </xf>
    <xf numFmtId="0" fontId="3" fillId="0" borderId="42" xfId="0" applyFont="1" applyFill="1" applyBorder="1" applyAlignment="1" applyProtection="1">
      <alignment horizontal="center" vertical="center"/>
      <protection hidden="1"/>
    </xf>
    <xf numFmtId="0" fontId="3" fillId="0" borderId="11" xfId="0" applyFont="1" applyFill="1" applyBorder="1" applyAlignment="1" applyProtection="1">
      <alignment horizontal="center" vertical="center"/>
      <protection hidden="1"/>
    </xf>
    <xf numFmtId="172" fontId="158" fillId="0" borderId="63" xfId="0" applyNumberFormat="1" applyFont="1" applyFill="1" applyBorder="1" applyAlignment="1" applyProtection="1">
      <alignment horizontal="center" vertical="center" shrinkToFit="1"/>
      <protection hidden="1"/>
    </xf>
    <xf numFmtId="172" fontId="145" fillId="0" borderId="0" xfId="0" applyNumberFormat="1" applyFont="1" applyFill="1" applyBorder="1" applyProtection="1">
      <protection hidden="1"/>
    </xf>
    <xf numFmtId="172" fontId="166" fillId="0" borderId="42" xfId="0" applyNumberFormat="1" applyFont="1" applyFill="1" applyBorder="1" applyAlignment="1" applyProtection="1">
      <alignment horizontal="center" vertical="center" shrinkToFit="1"/>
      <protection locked="0" hidden="1"/>
    </xf>
    <xf numFmtId="172" fontId="166" fillId="0" borderId="11" xfId="0" applyNumberFormat="1" applyFont="1" applyFill="1" applyBorder="1" applyAlignment="1" applyProtection="1">
      <alignment horizontal="center" vertical="center" shrinkToFit="1"/>
      <protection hidden="1"/>
    </xf>
    <xf numFmtId="172" fontId="166" fillId="0" borderId="50" xfId="0" applyNumberFormat="1" applyFont="1" applyFill="1" applyBorder="1" applyAlignment="1" applyProtection="1">
      <alignment horizontal="center" vertical="center" shrinkToFit="1"/>
      <protection hidden="1"/>
    </xf>
    <xf numFmtId="172" fontId="166" fillId="0" borderId="42" xfId="0" applyNumberFormat="1" applyFont="1" applyFill="1" applyBorder="1" applyAlignment="1" applyProtection="1">
      <alignment horizontal="center" vertical="center" shrinkToFit="1"/>
      <protection hidden="1"/>
    </xf>
    <xf numFmtId="172" fontId="166" fillId="0" borderId="11" xfId="0" applyNumberFormat="1" applyFont="1" applyFill="1" applyBorder="1" applyAlignment="1" applyProtection="1">
      <alignment horizontal="center" vertical="center" shrinkToFit="1"/>
      <protection locked="0" hidden="1"/>
    </xf>
    <xf numFmtId="172" fontId="166" fillId="0" borderId="3" xfId="0" applyNumberFormat="1" applyFont="1" applyFill="1" applyBorder="1" applyAlignment="1" applyProtection="1">
      <alignment horizontal="center" vertical="center" shrinkToFit="1"/>
      <protection hidden="1"/>
    </xf>
    <xf numFmtId="172" fontId="166" fillId="0" borderId="6" xfId="0" applyNumberFormat="1" applyFont="1" applyFill="1" applyBorder="1" applyAlignment="1" applyProtection="1">
      <alignment horizontal="center" vertical="center" shrinkToFit="1"/>
      <protection locked="0" hidden="1"/>
    </xf>
    <xf numFmtId="172" fontId="166" fillId="0" borderId="30" xfId="0" applyNumberFormat="1" applyFont="1" applyFill="1" applyBorder="1" applyAlignment="1" applyProtection="1">
      <alignment horizontal="center" vertical="center" shrinkToFit="1"/>
      <protection locked="0" hidden="1"/>
    </xf>
    <xf numFmtId="0" fontId="8" fillId="0" borderId="0" xfId="0" applyFont="1" applyFill="1" applyAlignment="1" applyProtection="1">
      <alignment horizontal="center" vertical="center" shrinkToFit="1"/>
      <protection hidden="1"/>
    </xf>
    <xf numFmtId="0" fontId="163" fillId="0" borderId="57" xfId="0" applyFont="1" applyFill="1" applyBorder="1" applyAlignment="1" applyProtection="1">
      <alignment horizontal="center" vertical="center" shrinkToFit="1"/>
      <protection hidden="1"/>
    </xf>
    <xf numFmtId="1" fontId="163" fillId="0" borderId="46" xfId="0" applyNumberFormat="1" applyFont="1" applyFill="1" applyBorder="1" applyAlignment="1" applyProtection="1">
      <alignment horizontal="center" vertical="center" shrinkToFit="1"/>
      <protection hidden="1"/>
    </xf>
    <xf numFmtId="0" fontId="164" fillId="0" borderId="48" xfId="0" applyFont="1" applyFill="1" applyBorder="1" applyAlignment="1" applyProtection="1">
      <alignment horizontal="center" vertical="center" shrinkToFit="1"/>
      <protection hidden="1"/>
    </xf>
    <xf numFmtId="0" fontId="163" fillId="0" borderId="9" xfId="0" applyFont="1" applyFill="1" applyBorder="1" applyAlignment="1" applyProtection="1">
      <alignment horizontal="center" vertical="center" shrinkToFit="1"/>
      <protection hidden="1"/>
    </xf>
    <xf numFmtId="172" fontId="163" fillId="0" borderId="9" xfId="0" applyNumberFormat="1" applyFont="1" applyFill="1" applyBorder="1" applyAlignment="1" applyProtection="1">
      <alignment horizontal="center" vertical="center" shrinkToFit="1"/>
      <protection hidden="1"/>
    </xf>
    <xf numFmtId="0" fontId="163" fillId="0" borderId="45" xfId="0" applyFont="1" applyFill="1" applyBorder="1" applyAlignment="1" applyProtection="1">
      <alignment horizontal="center" vertical="center" shrinkToFit="1"/>
      <protection hidden="1"/>
    </xf>
    <xf numFmtId="0" fontId="163" fillId="0" borderId="46" xfId="0" applyFont="1" applyFill="1" applyBorder="1" applyAlignment="1" applyProtection="1">
      <alignment horizontal="center" vertical="center" shrinkToFit="1"/>
      <protection hidden="1"/>
    </xf>
    <xf numFmtId="0" fontId="163" fillId="0" borderId="59" xfId="0" applyFont="1" applyFill="1" applyBorder="1" applyAlignment="1" applyProtection="1">
      <alignment horizontal="center" vertical="center" shrinkToFit="1"/>
      <protection hidden="1"/>
    </xf>
    <xf numFmtId="172" fontId="163" fillId="0" borderId="46" xfId="0" applyNumberFormat="1" applyFont="1" applyFill="1" applyBorder="1" applyAlignment="1" applyProtection="1">
      <alignment horizontal="center" vertical="center" shrinkToFit="1"/>
      <protection hidden="1"/>
    </xf>
    <xf numFmtId="0" fontId="164" fillId="0" borderId="46" xfId="0" applyFont="1" applyFill="1" applyBorder="1" applyAlignment="1" applyProtection="1">
      <alignment horizontal="center" vertical="center" shrinkToFit="1"/>
      <protection hidden="1"/>
    </xf>
    <xf numFmtId="0" fontId="163" fillId="0" borderId="48" xfId="0" applyFont="1" applyFill="1" applyBorder="1" applyAlignment="1" applyProtection="1">
      <alignment horizontal="center" vertical="center" shrinkToFit="1"/>
      <protection hidden="1"/>
    </xf>
    <xf numFmtId="0" fontId="164" fillId="0" borderId="45" xfId="0" applyFont="1" applyFill="1" applyBorder="1" applyAlignment="1" applyProtection="1">
      <alignment horizontal="center" vertical="center" shrinkToFit="1"/>
      <protection hidden="1"/>
    </xf>
    <xf numFmtId="0" fontId="176" fillId="0" borderId="46" xfId="0" applyFont="1" applyFill="1" applyBorder="1" applyAlignment="1" applyProtection="1">
      <alignment horizontal="center" vertical="center" shrinkToFit="1"/>
      <protection hidden="1"/>
    </xf>
    <xf numFmtId="1" fontId="176" fillId="0" borderId="46" xfId="0" applyNumberFormat="1" applyFont="1" applyFill="1" applyBorder="1" applyAlignment="1" applyProtection="1">
      <alignment horizontal="center" vertical="center" shrinkToFit="1"/>
      <protection hidden="1"/>
    </xf>
    <xf numFmtId="0" fontId="176" fillId="0" borderId="48" xfId="0" applyFont="1" applyFill="1" applyBorder="1" applyAlignment="1" applyProtection="1">
      <alignment horizontal="center" vertical="center" shrinkToFit="1"/>
      <protection hidden="1"/>
    </xf>
    <xf numFmtId="0" fontId="176" fillId="0" borderId="90" xfId="0" applyFont="1" applyFill="1" applyBorder="1" applyAlignment="1" applyProtection="1">
      <alignment horizontal="center" vertical="center" shrinkToFit="1"/>
      <protection hidden="1"/>
    </xf>
    <xf numFmtId="0" fontId="176" fillId="0" borderId="91" xfId="0" applyFont="1" applyFill="1" applyBorder="1" applyAlignment="1" applyProtection="1">
      <alignment horizontal="center" vertical="center" shrinkToFit="1"/>
      <protection hidden="1"/>
    </xf>
    <xf numFmtId="0" fontId="164" fillId="0" borderId="57" xfId="0" applyFont="1" applyFill="1" applyBorder="1" applyAlignment="1" applyProtection="1">
      <alignment horizontal="center" vertical="center" shrinkToFit="1"/>
      <protection hidden="1"/>
    </xf>
    <xf numFmtId="0" fontId="60" fillId="0" borderId="17" xfId="0" applyFont="1" applyFill="1" applyBorder="1" applyAlignment="1" applyProtection="1">
      <alignment horizontal="center" vertical="center" shrinkToFit="1"/>
      <protection hidden="1"/>
    </xf>
    <xf numFmtId="0" fontId="60" fillId="0" borderId="0" xfId="0" applyFont="1" applyFill="1" applyBorder="1" applyAlignment="1" applyProtection="1">
      <alignment horizontal="center" vertical="center" shrinkToFit="1"/>
      <protection hidden="1"/>
    </xf>
    <xf numFmtId="0" fontId="146" fillId="0" borderId="0" xfId="0" applyFont="1" applyFill="1" applyBorder="1" applyAlignment="1" applyProtection="1">
      <alignment horizontal="center" vertical="center" shrinkToFit="1"/>
      <protection hidden="1"/>
    </xf>
    <xf numFmtId="0" fontId="146" fillId="0" borderId="0" xfId="0" applyFont="1" applyFill="1" applyAlignment="1" applyProtection="1">
      <alignment horizontal="center" vertical="center" shrinkToFit="1"/>
      <protection hidden="1"/>
    </xf>
    <xf numFmtId="0" fontId="55" fillId="0" borderId="0" xfId="0" applyFont="1" applyFill="1" applyAlignment="1" applyProtection="1">
      <alignment horizontal="center" vertical="center" shrinkToFit="1"/>
      <protection hidden="1"/>
    </xf>
    <xf numFmtId="0" fontId="100" fillId="5" borderId="0" xfId="0" applyFont="1" applyFill="1" applyBorder="1" applyAlignment="1" applyProtection="1">
      <alignment horizontal="center" vertical="center"/>
      <protection locked="0" hidden="1"/>
    </xf>
    <xf numFmtId="0" fontId="40" fillId="0" borderId="0" xfId="0" applyFont="1" applyFill="1" applyBorder="1" applyAlignment="1" applyProtection="1">
      <protection hidden="1"/>
    </xf>
    <xf numFmtId="180" fontId="47" fillId="0" borderId="0" xfId="0" applyNumberFormat="1" applyFont="1" applyFill="1" applyAlignment="1" applyProtection="1">
      <protection hidden="1"/>
    </xf>
    <xf numFmtId="0" fontId="40" fillId="0" borderId="56" xfId="0" applyFont="1" applyFill="1" applyBorder="1" applyAlignment="1" applyProtection="1">
      <alignment horizontal="center" vertical="center"/>
      <protection hidden="1"/>
    </xf>
    <xf numFmtId="0" fontId="40" fillId="0" borderId="72" xfId="0" applyFont="1" applyFill="1" applyBorder="1" applyAlignment="1" applyProtection="1">
      <alignment horizontal="center" vertical="center"/>
      <protection hidden="1"/>
    </xf>
    <xf numFmtId="0" fontId="112" fillId="0" borderId="0" xfId="0" applyNumberFormat="1" applyFont="1" applyFill="1" applyBorder="1" applyProtection="1">
      <protection locked="0" hidden="1"/>
    </xf>
    <xf numFmtId="0" fontId="144" fillId="0" borderId="1" xfId="0" applyFont="1" applyFill="1" applyBorder="1" applyProtection="1">
      <protection locked="0" hidden="1"/>
    </xf>
    <xf numFmtId="173" fontId="158" fillId="0" borderId="65" xfId="0" applyNumberFormat="1" applyFont="1" applyFill="1" applyBorder="1" applyAlignment="1" applyProtection="1">
      <alignment horizontal="center" vertical="center" shrinkToFit="1"/>
      <protection hidden="1"/>
    </xf>
    <xf numFmtId="173" fontId="163" fillId="10" borderId="79" xfId="0" applyNumberFormat="1" applyFont="1" applyFill="1" applyBorder="1" applyAlignment="1" applyProtection="1">
      <alignment horizontal="center" vertical="center" shrinkToFit="1"/>
      <protection hidden="1"/>
    </xf>
    <xf numFmtId="173" fontId="163" fillId="0" borderId="46" xfId="0" applyNumberFormat="1" applyFont="1" applyFill="1" applyBorder="1" applyAlignment="1" applyProtection="1">
      <alignment horizontal="center" vertical="center" shrinkToFit="1"/>
      <protection hidden="1"/>
    </xf>
    <xf numFmtId="0" fontId="100" fillId="0" borderId="1" xfId="0" applyFont="1" applyFill="1" applyBorder="1" applyAlignment="1" applyProtection="1">
      <alignment vertical="center"/>
      <protection locked="0" hidden="1"/>
    </xf>
    <xf numFmtId="172" fontId="40" fillId="0" borderId="72" xfId="0" applyNumberFormat="1" applyFont="1" applyBorder="1" applyAlignment="1" applyProtection="1">
      <alignment horizontal="center" vertical="center"/>
      <protection hidden="1"/>
    </xf>
    <xf numFmtId="172" fontId="40" fillId="0" borderId="75" xfId="0" applyNumberFormat="1" applyFont="1" applyBorder="1" applyAlignment="1" applyProtection="1">
      <alignment horizontal="center" vertical="center"/>
      <protection hidden="1"/>
    </xf>
    <xf numFmtId="172" fontId="6" fillId="0" borderId="39" xfId="0" applyNumberFormat="1" applyFont="1" applyFill="1" applyBorder="1" applyAlignment="1" applyProtection="1">
      <alignment horizontal="center" vertical="center"/>
      <protection hidden="1"/>
    </xf>
    <xf numFmtId="0" fontId="58" fillId="0" borderId="0" xfId="0" applyFont="1" applyFill="1" applyBorder="1" applyAlignment="1" applyProtection="1">
      <alignment horizontal="center" vertical="center" shrinkToFit="1"/>
      <protection locked="0" hidden="1"/>
    </xf>
    <xf numFmtId="0" fontId="10" fillId="0" borderId="0" xfId="0" applyFont="1" applyFill="1" applyBorder="1" applyAlignment="1" applyProtection="1">
      <alignment horizontal="center" vertical="center" shrinkToFit="1"/>
      <protection locked="0" hidden="1"/>
    </xf>
    <xf numFmtId="0" fontId="40" fillId="0" borderId="12" xfId="0" applyFont="1" applyFill="1" applyBorder="1" applyAlignment="1" applyProtection="1">
      <alignment horizontal="center" vertical="center"/>
      <protection hidden="1"/>
    </xf>
    <xf numFmtId="0" fontId="40" fillId="0" borderId="0" xfId="0" applyFont="1" applyFill="1" applyBorder="1" applyAlignment="1" applyProtection="1">
      <alignment horizontal="center" vertical="center"/>
      <protection hidden="1"/>
    </xf>
    <xf numFmtId="0" fontId="40" fillId="0" borderId="72" xfId="0" applyFont="1" applyBorder="1" applyAlignment="1" applyProtection="1">
      <alignment horizontal="center" vertical="center"/>
      <protection hidden="1"/>
    </xf>
    <xf numFmtId="0" fontId="40" fillId="0" borderId="34" xfId="0" applyFont="1" applyBorder="1" applyAlignment="1" applyProtection="1">
      <alignment horizontal="center" vertical="center"/>
      <protection hidden="1"/>
    </xf>
    <xf numFmtId="0" fontId="5" fillId="0" borderId="41" xfId="0" applyFont="1" applyBorder="1" applyAlignment="1" applyProtection="1">
      <alignment horizontal="center" vertical="center"/>
      <protection hidden="1"/>
    </xf>
    <xf numFmtId="0" fontId="5" fillId="0" borderId="49" xfId="0" applyFont="1" applyBorder="1" applyAlignment="1" applyProtection="1">
      <alignment horizontal="center" vertical="center"/>
      <protection hidden="1"/>
    </xf>
    <xf numFmtId="0" fontId="5" fillId="0" borderId="34" xfId="0" applyFont="1" applyBorder="1" applyAlignment="1" applyProtection="1">
      <alignment horizontal="center" vertical="center"/>
      <protection hidden="1"/>
    </xf>
    <xf numFmtId="0" fontId="40" fillId="0" borderId="12" xfId="0" applyFont="1" applyBorder="1" applyAlignment="1" applyProtection="1">
      <alignment horizontal="center" vertical="center" shrinkToFit="1"/>
      <protection hidden="1"/>
    </xf>
    <xf numFmtId="193" fontId="40" fillId="0" borderId="43" xfId="0" applyNumberFormat="1" applyFont="1" applyBorder="1" applyAlignment="1" applyProtection="1">
      <alignment vertical="center" shrinkToFit="1"/>
      <protection hidden="1"/>
    </xf>
    <xf numFmtId="193" fontId="40" fillId="0" borderId="39" xfId="0" applyNumberFormat="1" applyFont="1" applyBorder="1" applyAlignment="1" applyProtection="1">
      <alignment vertical="center" shrinkToFit="1"/>
      <protection hidden="1"/>
    </xf>
    <xf numFmtId="0" fontId="40" fillId="0" borderId="55" xfId="0" applyFont="1" applyBorder="1" applyAlignment="1" applyProtection="1">
      <alignment horizontal="center" vertical="center" shrinkToFit="1"/>
      <protection hidden="1"/>
    </xf>
    <xf numFmtId="193" fontId="40" fillId="0" borderId="44" xfId="0" applyNumberFormat="1" applyFont="1" applyBorder="1" applyAlignment="1" applyProtection="1">
      <alignment horizontal="right" vertical="center" shrinkToFit="1"/>
      <protection hidden="1"/>
    </xf>
    <xf numFmtId="193" fontId="40" fillId="0" borderId="44" xfId="0" applyNumberFormat="1" applyFont="1" applyBorder="1" applyAlignment="1" applyProtection="1">
      <alignment vertical="center" shrinkToFit="1"/>
      <protection hidden="1"/>
    </xf>
    <xf numFmtId="0" fontId="40" fillId="0" borderId="33" xfId="0" applyFont="1" applyBorder="1" applyAlignment="1" applyProtection="1">
      <alignment horizontal="center" vertical="center" shrinkToFit="1"/>
      <protection hidden="1"/>
    </xf>
    <xf numFmtId="172" fontId="40" fillId="0" borderId="63" xfId="0" applyNumberFormat="1" applyFont="1" applyFill="1" applyBorder="1" applyAlignment="1" applyProtection="1">
      <alignment horizontal="center" vertical="center"/>
      <protection hidden="1"/>
    </xf>
    <xf numFmtId="0" fontId="5" fillId="0" borderId="55" xfId="0" applyFont="1" applyBorder="1" applyAlignment="1" applyProtection="1">
      <alignment horizontal="center" vertical="center"/>
      <protection hidden="1"/>
    </xf>
    <xf numFmtId="0" fontId="5" fillId="0" borderId="33" xfId="0" applyFont="1" applyBorder="1" applyAlignment="1" applyProtection="1">
      <alignment horizontal="center" vertical="center"/>
      <protection hidden="1"/>
    </xf>
    <xf numFmtId="0" fontId="5" fillId="0" borderId="35" xfId="0" applyFont="1" applyBorder="1" applyAlignment="1" applyProtection="1">
      <alignment horizontal="center" vertical="center"/>
      <protection hidden="1"/>
    </xf>
    <xf numFmtId="1" fontId="40" fillId="0" borderId="24" xfId="0" applyNumberFormat="1" applyFont="1" applyBorder="1" applyAlignment="1" applyProtection="1">
      <alignment horizontal="center" vertical="center"/>
      <protection hidden="1"/>
    </xf>
    <xf numFmtId="173" fontId="40" fillId="0" borderId="63" xfId="0" applyNumberFormat="1" applyFont="1" applyBorder="1" applyAlignment="1" applyProtection="1">
      <alignment horizontal="center" vertical="center"/>
      <protection hidden="1"/>
    </xf>
    <xf numFmtId="0" fontId="40" fillId="0" borderId="34" xfId="0" applyFont="1" applyFill="1" applyBorder="1" applyAlignment="1" applyProtection="1">
      <alignment horizontal="center" vertical="center"/>
      <protection hidden="1"/>
    </xf>
    <xf numFmtId="49" fontId="7" fillId="0" borderId="0" xfId="0" applyNumberFormat="1" applyFont="1" applyFill="1" applyBorder="1" applyAlignment="1" applyProtection="1">
      <alignment vertical="center" shrinkToFit="1"/>
      <protection locked="0" hidden="1"/>
    </xf>
    <xf numFmtId="0" fontId="100" fillId="0" borderId="0" xfId="0" applyFont="1" applyFill="1" applyBorder="1" applyAlignment="1" applyProtection="1">
      <alignment horizontal="center" vertical="center"/>
      <protection locked="0" hidden="1"/>
    </xf>
    <xf numFmtId="0" fontId="142" fillId="0" borderId="0" xfId="0" applyFont="1" applyFill="1" applyBorder="1" applyAlignment="1" applyProtection="1">
      <alignment horizontal="center" vertical="center" textRotation="90"/>
      <protection locked="0" hidden="1"/>
    </xf>
    <xf numFmtId="1" fontId="7" fillId="0" borderId="0" xfId="0" applyNumberFormat="1" applyFont="1" applyFill="1" applyBorder="1" applyProtection="1">
      <protection locked="0" hidden="1"/>
    </xf>
    <xf numFmtId="0" fontId="7" fillId="0" borderId="0" xfId="0" applyFont="1" applyFill="1" applyBorder="1" applyProtection="1">
      <protection locked="0" hidden="1"/>
    </xf>
    <xf numFmtId="0" fontId="100" fillId="0" borderId="0" xfId="0" applyFont="1" applyFill="1" applyBorder="1" applyProtection="1">
      <protection locked="0" hidden="1"/>
    </xf>
    <xf numFmtId="0" fontId="7" fillId="0" borderId="0" xfId="0" applyFont="1" applyFill="1" applyBorder="1" applyAlignment="1" applyProtection="1">
      <alignment horizontal="center"/>
      <protection locked="0" hidden="1"/>
    </xf>
    <xf numFmtId="177" fontId="100" fillId="0" borderId="0" xfId="0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Fill="1" applyBorder="1" applyAlignment="1" applyProtection="1">
      <alignment horizontal="center" vertical="center"/>
      <protection locked="0" hidden="1"/>
    </xf>
    <xf numFmtId="0" fontId="7" fillId="0" borderId="0" xfId="0" applyNumberFormat="1" applyFont="1" applyFill="1" applyBorder="1" applyAlignment="1" applyProtection="1">
      <alignment horizontal="center" vertical="center"/>
      <protection locked="0" hidden="1"/>
    </xf>
    <xf numFmtId="182" fontId="7" fillId="0" borderId="0" xfId="0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Fill="1" applyBorder="1" applyAlignment="1" applyProtection="1">
      <alignment horizontal="center" vertical="center"/>
      <protection locked="0"/>
    </xf>
    <xf numFmtId="204" fontId="100" fillId="0" borderId="0" xfId="0" applyNumberFormat="1" applyFont="1" applyFill="1" applyBorder="1" applyAlignment="1" applyProtection="1">
      <alignment horizontal="center" vertical="center"/>
      <protection locked="0" hidden="1"/>
    </xf>
    <xf numFmtId="182" fontId="7" fillId="0" borderId="0" xfId="0" applyNumberFormat="1" applyFont="1" applyFill="1" applyBorder="1" applyProtection="1">
      <protection locked="0" hidden="1"/>
    </xf>
    <xf numFmtId="0" fontId="100" fillId="5" borderId="1" xfId="0" applyFont="1" applyFill="1" applyBorder="1" applyProtection="1">
      <protection locked="0" hidden="1"/>
    </xf>
    <xf numFmtId="0" fontId="100" fillId="5" borderId="1" xfId="0" applyFont="1" applyFill="1" applyBorder="1" applyAlignment="1" applyProtection="1">
      <alignment horizontal="left"/>
      <protection locked="0" hidden="1"/>
    </xf>
    <xf numFmtId="0" fontId="139" fillId="0" borderId="41" xfId="0" applyFont="1" applyFill="1" applyBorder="1" applyAlignment="1" applyProtection="1">
      <alignment horizontal="center" vertical="center" textRotation="90"/>
      <protection locked="0" hidden="1"/>
    </xf>
    <xf numFmtId="0" fontId="139" fillId="0" borderId="17" xfId="0" applyFont="1" applyFill="1" applyBorder="1" applyAlignment="1" applyProtection="1">
      <alignment horizontal="center" vertical="center" textRotation="90"/>
      <protection locked="0" hidden="1"/>
    </xf>
    <xf numFmtId="0" fontId="139" fillId="0" borderId="35" xfId="0" applyFont="1" applyFill="1" applyBorder="1" applyAlignment="1" applyProtection="1">
      <alignment horizontal="center" vertical="center" textRotation="90"/>
      <protection locked="0" hidden="1"/>
    </xf>
    <xf numFmtId="0" fontId="100" fillId="5" borderId="1" xfId="0" applyFont="1" applyFill="1" applyBorder="1" applyProtection="1">
      <protection hidden="1"/>
    </xf>
    <xf numFmtId="0" fontId="100" fillId="0" borderId="0" xfId="0" applyFont="1" applyFill="1" applyBorder="1" applyAlignment="1" applyProtection="1">
      <alignment horizontal="left" vertical="center"/>
      <protection locked="0" hidden="1"/>
    </xf>
    <xf numFmtId="0" fontId="139" fillId="0" borderId="0" xfId="0" applyFont="1" applyFill="1" applyBorder="1" applyAlignment="1" applyProtection="1">
      <alignment horizontal="center" vertical="center" textRotation="90"/>
      <protection locked="0" hidden="1"/>
    </xf>
    <xf numFmtId="0" fontId="7" fillId="0" borderId="0" xfId="0" applyFont="1" applyFill="1" applyBorder="1" applyAlignment="1" applyProtection="1">
      <alignment horizontal="center" vertical="center" textRotation="67"/>
      <protection locked="0" hidden="1"/>
    </xf>
    <xf numFmtId="0" fontId="140" fillId="0" borderId="0" xfId="1" applyFont="1" applyFill="1" applyBorder="1" applyAlignment="1" applyProtection="1">
      <alignment horizontal="center"/>
      <protection locked="0"/>
    </xf>
    <xf numFmtId="0" fontId="100" fillId="0" borderId="0" xfId="0" applyFont="1" applyFill="1" applyBorder="1" applyAlignment="1" applyProtection="1">
      <alignment horizontal="left"/>
      <protection locked="0" hidden="1"/>
    </xf>
    <xf numFmtId="0" fontId="140" fillId="0" borderId="0" xfId="1" applyFont="1" applyFill="1" applyBorder="1" applyAlignment="1" applyProtection="1">
      <protection locked="0" hidden="1"/>
    </xf>
    <xf numFmtId="0" fontId="140" fillId="0" borderId="0" xfId="1" applyFont="1" applyFill="1" applyBorder="1" applyAlignment="1" applyProtection="1">
      <alignment horizontal="left" vertical="center"/>
      <protection locked="0" hidden="1"/>
    </xf>
    <xf numFmtId="0" fontId="100" fillId="0" borderId="0" xfId="0" applyFont="1" applyFill="1" applyBorder="1" applyAlignment="1" applyProtection="1">
      <alignment horizontal="center"/>
      <protection locked="0" hidden="1"/>
    </xf>
    <xf numFmtId="0" fontId="161" fillId="0" borderId="30" xfId="0" applyFont="1" applyFill="1" applyBorder="1" applyAlignment="1" applyProtection="1">
      <alignment horizontal="center" textRotation="90"/>
      <protection hidden="1"/>
    </xf>
    <xf numFmtId="0" fontId="161" fillId="0" borderId="52" xfId="0" applyFont="1" applyFill="1" applyBorder="1" applyAlignment="1" applyProtection="1">
      <alignment horizontal="center" textRotation="90"/>
      <protection hidden="1"/>
    </xf>
    <xf numFmtId="0" fontId="152" fillId="0" borderId="37" xfId="0" applyFont="1" applyFill="1" applyBorder="1" applyAlignment="1" applyProtection="1">
      <alignment horizontal="center"/>
      <protection hidden="1"/>
    </xf>
    <xf numFmtId="0" fontId="152" fillId="0" borderId="32" xfId="0" applyFont="1" applyFill="1" applyBorder="1" applyAlignment="1" applyProtection="1">
      <alignment horizontal="center"/>
      <protection hidden="1"/>
    </xf>
    <xf numFmtId="0" fontId="152" fillId="0" borderId="38" xfId="0" applyFont="1" applyFill="1" applyBorder="1" applyAlignment="1" applyProtection="1">
      <alignment horizontal="center"/>
      <protection hidden="1"/>
    </xf>
    <xf numFmtId="0" fontId="152" fillId="0" borderId="61" xfId="0" applyFont="1" applyFill="1" applyBorder="1" applyAlignment="1" applyProtection="1">
      <alignment horizontal="center" textRotation="90" wrapText="1"/>
      <protection hidden="1"/>
    </xf>
    <xf numFmtId="0" fontId="152" fillId="0" borderId="60" xfId="0" applyFont="1" applyFill="1" applyBorder="1" applyAlignment="1" applyProtection="1">
      <alignment horizontal="center" textRotation="90" wrapText="1"/>
      <protection hidden="1"/>
    </xf>
    <xf numFmtId="0" fontId="152" fillId="0" borderId="46" xfId="0" applyFont="1" applyFill="1" applyBorder="1" applyAlignment="1" applyProtection="1">
      <alignment horizontal="center" textRotation="90" wrapText="1"/>
      <protection hidden="1"/>
    </xf>
    <xf numFmtId="0" fontId="152" fillId="0" borderId="93" xfId="0" applyFont="1" applyFill="1" applyBorder="1" applyAlignment="1" applyProtection="1">
      <alignment horizontal="center" textRotation="90" wrapText="1"/>
      <protection hidden="1"/>
    </xf>
    <xf numFmtId="0" fontId="152" fillId="0" borderId="69" xfId="0" applyFont="1" applyFill="1" applyBorder="1" applyAlignment="1" applyProtection="1">
      <alignment horizontal="center" textRotation="90" wrapText="1"/>
      <protection hidden="1"/>
    </xf>
    <xf numFmtId="0" fontId="152" fillId="0" borderId="27" xfId="0" applyFont="1" applyFill="1" applyBorder="1" applyAlignment="1" applyProtection="1">
      <alignment horizontal="center" textRotation="90" wrapText="1"/>
      <protection hidden="1"/>
    </xf>
    <xf numFmtId="0" fontId="152" fillId="0" borderId="52" xfId="0" applyFont="1" applyFill="1" applyBorder="1" applyAlignment="1" applyProtection="1">
      <alignment horizontal="center" textRotation="90" wrapText="1"/>
      <protection hidden="1"/>
    </xf>
    <xf numFmtId="0" fontId="152" fillId="0" borderId="53" xfId="0" applyFont="1" applyFill="1" applyBorder="1" applyAlignment="1" applyProtection="1">
      <alignment horizontal="center" textRotation="90" wrapText="1"/>
      <protection hidden="1"/>
    </xf>
    <xf numFmtId="0" fontId="152" fillId="0" borderId="26" xfId="0" applyFont="1" applyFill="1" applyBorder="1" applyAlignment="1" applyProtection="1">
      <alignment horizontal="center" textRotation="90" wrapText="1"/>
      <protection hidden="1"/>
    </xf>
    <xf numFmtId="0" fontId="152" fillId="0" borderId="22" xfId="0" applyFont="1" applyFill="1" applyBorder="1" applyAlignment="1" applyProtection="1">
      <alignment horizontal="center" textRotation="90" wrapText="1"/>
      <protection hidden="1"/>
    </xf>
    <xf numFmtId="0" fontId="152" fillId="0" borderId="51" xfId="0" applyFont="1" applyFill="1" applyBorder="1" applyAlignment="1" applyProtection="1">
      <alignment horizontal="center" textRotation="90" wrapText="1"/>
      <protection hidden="1"/>
    </xf>
    <xf numFmtId="0" fontId="152" fillId="0" borderId="10" xfId="0" applyFont="1" applyFill="1" applyBorder="1" applyAlignment="1" applyProtection="1">
      <alignment horizontal="center" textRotation="90" wrapText="1"/>
      <protection hidden="1"/>
    </xf>
    <xf numFmtId="172" fontId="60" fillId="0" borderId="0" xfId="0" applyNumberFormat="1" applyFont="1" applyFill="1" applyBorder="1" applyAlignment="1" applyProtection="1">
      <alignment horizontal="center"/>
      <protection hidden="1"/>
    </xf>
    <xf numFmtId="0" fontId="150" fillId="0" borderId="41" xfId="0" applyFont="1" applyFill="1" applyBorder="1" applyAlignment="1" applyProtection="1">
      <alignment horizontal="center" vertical="center" wrapText="1"/>
      <protection hidden="1"/>
    </xf>
    <xf numFmtId="0" fontId="150" fillId="0" borderId="16" xfId="0" applyFont="1" applyFill="1" applyBorder="1" applyAlignment="1" applyProtection="1">
      <alignment horizontal="center" vertical="center" wrapText="1"/>
      <protection hidden="1"/>
    </xf>
    <xf numFmtId="0" fontId="150" fillId="0" borderId="17" xfId="0" applyFont="1" applyFill="1" applyBorder="1" applyAlignment="1" applyProtection="1">
      <alignment horizontal="center" vertical="center" wrapText="1"/>
      <protection hidden="1"/>
    </xf>
    <xf numFmtId="0" fontId="150" fillId="0" borderId="0" xfId="0" applyFont="1" applyFill="1" applyBorder="1" applyAlignment="1" applyProtection="1">
      <alignment horizontal="center" vertical="center" wrapText="1"/>
      <protection hidden="1"/>
    </xf>
    <xf numFmtId="0" fontId="111" fillId="0" borderId="0" xfId="0" applyFont="1" applyFill="1" applyProtection="1">
      <protection hidden="1"/>
    </xf>
    <xf numFmtId="0" fontId="159" fillId="0" borderId="94" xfId="0" applyFont="1" applyFill="1" applyBorder="1" applyAlignment="1" applyProtection="1">
      <alignment horizontal="center" textRotation="90" wrapText="1"/>
      <protection hidden="1"/>
    </xf>
    <xf numFmtId="0" fontId="159" fillId="0" borderId="15" xfId="0" applyFont="1" applyFill="1" applyBorder="1" applyAlignment="1" applyProtection="1">
      <alignment horizontal="center" textRotation="90" wrapText="1"/>
      <protection hidden="1"/>
    </xf>
    <xf numFmtId="0" fontId="159" fillId="0" borderId="29" xfId="0" applyFont="1" applyFill="1" applyBorder="1" applyAlignment="1" applyProtection="1">
      <alignment horizontal="center" textRotation="90" wrapText="1"/>
      <protection hidden="1"/>
    </xf>
    <xf numFmtId="0" fontId="159" fillId="0" borderId="1" xfId="0" applyFont="1" applyFill="1" applyBorder="1" applyAlignment="1" applyProtection="1">
      <alignment horizontal="center" textRotation="90" wrapText="1"/>
      <protection hidden="1"/>
    </xf>
    <xf numFmtId="0" fontId="159" fillId="0" borderId="65" xfId="0" applyFont="1" applyFill="1" applyBorder="1" applyAlignment="1" applyProtection="1">
      <alignment horizontal="center" textRotation="90" wrapText="1"/>
      <protection hidden="1"/>
    </xf>
    <xf numFmtId="0" fontId="170" fillId="0" borderId="26" xfId="0" applyFont="1" applyFill="1" applyBorder="1" applyAlignment="1" applyProtection="1">
      <alignment horizontal="center" textRotation="90" wrapText="1"/>
      <protection hidden="1"/>
    </xf>
    <xf numFmtId="0" fontId="170" fillId="0" borderId="22" xfId="0" applyFont="1" applyFill="1" applyBorder="1" applyAlignment="1" applyProtection="1">
      <alignment horizontal="center" textRotation="90" wrapText="1"/>
      <protection hidden="1"/>
    </xf>
    <xf numFmtId="0" fontId="170" fillId="0" borderId="51" xfId="0" applyFont="1" applyFill="1" applyBorder="1" applyAlignment="1" applyProtection="1">
      <alignment horizontal="center" textRotation="90" wrapText="1"/>
      <protection hidden="1"/>
    </xf>
    <xf numFmtId="0" fontId="170" fillId="0" borderId="27" xfId="0" applyFont="1" applyFill="1" applyBorder="1" applyAlignment="1" applyProtection="1">
      <alignment horizontal="center" textRotation="90" wrapText="1"/>
      <protection hidden="1"/>
    </xf>
    <xf numFmtId="0" fontId="170" fillId="0" borderId="52" xfId="0" applyFont="1" applyFill="1" applyBorder="1" applyAlignment="1" applyProtection="1">
      <alignment horizontal="center" textRotation="90" wrapText="1"/>
      <protection hidden="1"/>
    </xf>
    <xf numFmtId="0" fontId="170" fillId="0" borderId="53" xfId="0" applyFont="1" applyFill="1" applyBorder="1" applyAlignment="1" applyProtection="1">
      <alignment horizontal="center" textRotation="90" wrapText="1"/>
      <protection hidden="1"/>
    </xf>
    <xf numFmtId="0" fontId="168" fillId="0" borderId="45" xfId="0" applyFont="1" applyFill="1" applyBorder="1" applyAlignment="1" applyProtection="1">
      <alignment horizontal="center"/>
      <protection hidden="1"/>
    </xf>
    <xf numFmtId="0" fontId="168" fillId="0" borderId="46" xfId="0" applyFont="1" applyFill="1" applyBorder="1" applyAlignment="1" applyProtection="1">
      <alignment horizontal="center"/>
      <protection hidden="1"/>
    </xf>
    <xf numFmtId="0" fontId="168" fillId="0" borderId="59" xfId="0" applyFont="1" applyFill="1" applyBorder="1" applyAlignment="1" applyProtection="1">
      <alignment horizontal="center"/>
      <protection hidden="1"/>
    </xf>
    <xf numFmtId="0" fontId="150" fillId="0" borderId="49" xfId="0" applyFont="1" applyFill="1" applyBorder="1" applyAlignment="1" applyProtection="1">
      <alignment horizontal="left" vertical="center"/>
      <protection hidden="1"/>
    </xf>
    <xf numFmtId="0" fontId="150" fillId="0" borderId="12" xfId="0" applyFont="1" applyFill="1" applyBorder="1" applyAlignment="1" applyProtection="1">
      <alignment horizontal="left" vertical="center"/>
      <protection hidden="1"/>
    </xf>
    <xf numFmtId="0" fontId="150" fillId="0" borderId="40" xfId="0" applyFont="1" applyFill="1" applyBorder="1" applyAlignment="1" applyProtection="1">
      <alignment horizontal="center" vertical="center" wrapText="1"/>
      <protection hidden="1"/>
    </xf>
    <xf numFmtId="0" fontId="150" fillId="0" borderId="31" xfId="0" applyFont="1" applyFill="1" applyBorder="1" applyAlignment="1" applyProtection="1">
      <alignment horizontal="center" vertical="center" wrapText="1"/>
      <protection hidden="1"/>
    </xf>
    <xf numFmtId="0" fontId="150" fillId="0" borderId="35" xfId="0" applyFont="1" applyFill="1" applyBorder="1" applyAlignment="1" applyProtection="1">
      <alignment horizontal="center" vertical="center" wrapText="1"/>
      <protection hidden="1"/>
    </xf>
    <xf numFmtId="0" fontId="150" fillId="0" borderId="36" xfId="0" applyFont="1" applyFill="1" applyBorder="1" applyAlignment="1" applyProtection="1">
      <alignment horizontal="center" vertical="center" wrapText="1"/>
      <protection hidden="1"/>
    </xf>
    <xf numFmtId="0" fontId="150" fillId="0" borderId="58" xfId="0" applyFont="1" applyFill="1" applyBorder="1" applyAlignment="1" applyProtection="1">
      <alignment horizontal="center" vertical="center" wrapText="1"/>
      <protection hidden="1"/>
    </xf>
    <xf numFmtId="0" fontId="150" fillId="0" borderId="56" xfId="0" applyFont="1" applyFill="1" applyBorder="1" applyAlignment="1" applyProtection="1">
      <alignment horizontal="left" vertical="center"/>
      <protection hidden="1"/>
    </xf>
    <xf numFmtId="0" fontId="150" fillId="0" borderId="75" xfId="0" applyFont="1" applyFill="1" applyBorder="1" applyAlignment="1" applyProtection="1">
      <alignment horizontal="left" vertical="center"/>
      <protection hidden="1"/>
    </xf>
    <xf numFmtId="0" fontId="150" fillId="0" borderId="54" xfId="0" applyFont="1" applyFill="1" applyBorder="1" applyAlignment="1" applyProtection="1">
      <alignment horizontal="left" vertical="center"/>
      <protection hidden="1"/>
    </xf>
    <xf numFmtId="0" fontId="156" fillId="0" borderId="16" xfId="0" applyFont="1" applyFill="1" applyBorder="1" applyAlignment="1" applyProtection="1">
      <alignment horizontal="center" vertical="center" wrapText="1"/>
      <protection hidden="1"/>
    </xf>
    <xf numFmtId="0" fontId="156" fillId="0" borderId="0" xfId="0" applyFont="1" applyFill="1" applyBorder="1" applyAlignment="1" applyProtection="1">
      <alignment horizontal="center" vertical="center" wrapText="1"/>
      <protection hidden="1"/>
    </xf>
    <xf numFmtId="0" fontId="156" fillId="0" borderId="36" xfId="0" applyFont="1" applyFill="1" applyBorder="1" applyAlignment="1" applyProtection="1">
      <alignment horizontal="center" vertical="center" wrapText="1"/>
      <protection hidden="1"/>
    </xf>
    <xf numFmtId="0" fontId="150" fillId="0" borderId="55" xfId="0" applyFont="1" applyFill="1" applyBorder="1" applyAlignment="1" applyProtection="1">
      <alignment horizontal="left" vertical="center"/>
      <protection hidden="1"/>
    </xf>
    <xf numFmtId="0" fontId="150" fillId="0" borderId="72" xfId="0" applyFont="1" applyFill="1" applyBorder="1" applyAlignment="1" applyProtection="1">
      <alignment horizontal="left" vertical="center"/>
      <protection hidden="1"/>
    </xf>
    <xf numFmtId="0" fontId="150" fillId="0" borderId="25" xfId="0" applyFont="1" applyFill="1" applyBorder="1" applyAlignment="1" applyProtection="1">
      <alignment horizontal="left" vertical="center"/>
      <protection hidden="1"/>
    </xf>
    <xf numFmtId="0" fontId="8" fillId="10" borderId="37" xfId="0" applyFont="1" applyFill="1" applyBorder="1" applyAlignment="1" applyProtection="1">
      <alignment horizontal="center" vertical="center"/>
      <protection hidden="1"/>
    </xf>
    <xf numFmtId="0" fontId="8" fillId="10" borderId="32" xfId="0" applyFont="1" applyFill="1" applyBorder="1" applyAlignment="1" applyProtection="1">
      <alignment horizontal="center" vertical="center"/>
      <protection hidden="1"/>
    </xf>
    <xf numFmtId="0" fontId="8" fillId="10" borderId="38" xfId="0" applyFont="1" applyFill="1" applyBorder="1" applyAlignment="1" applyProtection="1">
      <alignment horizontal="center" vertical="center"/>
      <protection hidden="1"/>
    </xf>
    <xf numFmtId="0" fontId="18" fillId="0" borderId="41" xfId="1" applyFill="1" applyBorder="1" applyAlignment="1" applyProtection="1">
      <alignment horizontal="center" vertical="center" textRotation="90"/>
      <protection hidden="1"/>
    </xf>
    <xf numFmtId="0" fontId="18" fillId="0" borderId="17" xfId="1" applyFill="1" applyBorder="1" applyAlignment="1" applyProtection="1">
      <alignment horizontal="center" vertical="center" textRotation="90"/>
      <protection hidden="1"/>
    </xf>
    <xf numFmtId="0" fontId="18" fillId="0" borderId="35" xfId="1" applyFill="1" applyBorder="1" applyAlignment="1" applyProtection="1">
      <alignment horizontal="center" vertical="center" textRotation="90"/>
      <protection hidden="1"/>
    </xf>
    <xf numFmtId="0" fontId="93" fillId="0" borderId="28" xfId="0" applyFont="1" applyFill="1" applyBorder="1" applyAlignment="1" applyProtection="1">
      <alignment horizontal="center" vertical="center" wrapText="1"/>
      <protection hidden="1"/>
    </xf>
    <xf numFmtId="0" fontId="93" fillId="0" borderId="30" xfId="0" applyFont="1" applyFill="1" applyBorder="1" applyAlignment="1" applyProtection="1">
      <alignment horizontal="center" vertical="center"/>
      <protection hidden="1"/>
    </xf>
    <xf numFmtId="0" fontId="93" fillId="0" borderId="22" xfId="0" applyFont="1" applyFill="1" applyBorder="1" applyAlignment="1" applyProtection="1">
      <alignment horizontal="center" vertical="center"/>
      <protection hidden="1"/>
    </xf>
    <xf numFmtId="0" fontId="93" fillId="0" borderId="52" xfId="0" applyFont="1" applyFill="1" applyBorder="1" applyAlignment="1" applyProtection="1">
      <alignment horizontal="center" vertical="center"/>
      <protection hidden="1"/>
    </xf>
    <xf numFmtId="180" fontId="3" fillId="0" borderId="40" xfId="1" applyNumberFormat="1" applyFont="1" applyFill="1" applyBorder="1" applyAlignment="1" applyProtection="1">
      <alignment horizontal="center" vertical="center" textRotation="90" wrapText="1"/>
      <protection hidden="1"/>
    </xf>
    <xf numFmtId="180" fontId="3" fillId="0" borderId="31" xfId="1" applyNumberFormat="1" applyFont="1" applyFill="1" applyBorder="1" applyAlignment="1" applyProtection="1">
      <alignment horizontal="center" vertical="center" textRotation="90" wrapText="1"/>
      <protection hidden="1"/>
    </xf>
    <xf numFmtId="180" fontId="3" fillId="0" borderId="58" xfId="1" applyNumberFormat="1" applyFont="1" applyFill="1" applyBorder="1" applyAlignment="1" applyProtection="1">
      <alignment horizontal="center" vertical="center" textRotation="90" wrapText="1"/>
      <protection hidden="1"/>
    </xf>
    <xf numFmtId="0" fontId="150" fillId="0" borderId="20" xfId="0" applyFont="1" applyFill="1" applyBorder="1" applyAlignment="1" applyProtection="1">
      <alignment horizontal="left" vertical="center"/>
      <protection hidden="1"/>
    </xf>
    <xf numFmtId="0" fontId="170" fillId="0" borderId="70" xfId="0" applyFont="1" applyFill="1" applyBorder="1" applyAlignment="1" applyProtection="1">
      <alignment horizontal="center" textRotation="90" wrapText="1"/>
      <protection hidden="1"/>
    </xf>
    <xf numFmtId="0" fontId="158" fillId="0" borderId="10" xfId="0" applyFont="1" applyFill="1" applyBorder="1" applyAlignment="1" applyProtection="1">
      <alignment horizontal="center" textRotation="90" wrapText="1"/>
      <protection hidden="1"/>
    </xf>
    <xf numFmtId="0" fontId="158" fillId="0" borderId="1" xfId="0" applyFont="1" applyFill="1" applyBorder="1" applyAlignment="1" applyProtection="1">
      <alignment horizontal="center" textRotation="90" wrapText="1"/>
      <protection hidden="1"/>
    </xf>
    <xf numFmtId="0" fontId="158" fillId="0" borderId="65" xfId="0" applyFont="1" applyFill="1" applyBorder="1" applyAlignment="1" applyProtection="1">
      <alignment horizontal="center" textRotation="90" wrapText="1"/>
      <protection hidden="1"/>
    </xf>
    <xf numFmtId="0" fontId="170" fillId="0" borderId="23" xfId="0" applyFont="1" applyFill="1" applyBorder="1" applyAlignment="1" applyProtection="1">
      <alignment horizontal="center" textRotation="90" wrapText="1"/>
      <protection hidden="1"/>
    </xf>
    <xf numFmtId="0" fontId="170" fillId="0" borderId="43" xfId="0" applyFont="1" applyFill="1" applyBorder="1" applyAlignment="1" applyProtection="1">
      <alignment horizontal="center" textRotation="90" wrapText="1"/>
      <protection hidden="1"/>
    </xf>
    <xf numFmtId="0" fontId="170" fillId="0" borderId="44" xfId="0" applyFont="1" applyFill="1" applyBorder="1" applyAlignment="1" applyProtection="1">
      <alignment horizontal="center" textRotation="90" wrapText="1"/>
      <protection hidden="1"/>
    </xf>
    <xf numFmtId="0" fontId="170" fillId="0" borderId="6" xfId="0" applyFont="1" applyFill="1" applyBorder="1" applyAlignment="1" applyProtection="1">
      <alignment horizontal="center" textRotation="90" wrapText="1"/>
      <protection hidden="1"/>
    </xf>
    <xf numFmtId="0" fontId="170" fillId="0" borderId="11" xfId="0" applyFont="1" applyFill="1" applyBorder="1" applyAlignment="1" applyProtection="1">
      <alignment horizontal="center" textRotation="90" wrapText="1"/>
      <protection hidden="1"/>
    </xf>
    <xf numFmtId="0" fontId="170" fillId="0" borderId="3" xfId="0" applyFont="1" applyFill="1" applyBorder="1" applyAlignment="1" applyProtection="1">
      <alignment horizontal="center" textRotation="90" wrapText="1"/>
      <protection hidden="1"/>
    </xf>
    <xf numFmtId="0" fontId="158" fillId="0" borderId="60" xfId="0" applyFont="1" applyFill="1" applyBorder="1" applyAlignment="1" applyProtection="1">
      <alignment horizontal="center" textRotation="90" wrapText="1"/>
      <protection hidden="1"/>
    </xf>
    <xf numFmtId="0" fontId="170" fillId="0" borderId="93" xfId="0" applyFont="1" applyFill="1" applyBorder="1" applyAlignment="1" applyProtection="1">
      <alignment horizontal="center" textRotation="90"/>
      <protection hidden="1"/>
    </xf>
    <xf numFmtId="0" fontId="170" fillId="0" borderId="69" xfId="0" applyFont="1" applyFill="1" applyBorder="1" applyAlignment="1" applyProtection="1">
      <alignment horizontal="center" textRotation="90"/>
      <protection hidden="1"/>
    </xf>
    <xf numFmtId="0" fontId="170" fillId="0" borderId="61" xfId="0" applyFont="1" applyFill="1" applyBorder="1" applyAlignment="1" applyProtection="1">
      <alignment horizontal="center" textRotation="90" wrapText="1"/>
      <protection hidden="1"/>
    </xf>
    <xf numFmtId="0" fontId="170" fillId="0" borderId="60" xfId="0" applyFont="1" applyFill="1" applyBorder="1" applyAlignment="1" applyProtection="1">
      <alignment horizontal="center" textRotation="90" wrapText="1"/>
      <protection hidden="1"/>
    </xf>
    <xf numFmtId="0" fontId="170" fillId="0" borderId="46" xfId="0" applyFont="1" applyFill="1" applyBorder="1" applyAlignment="1" applyProtection="1">
      <alignment horizontal="center" textRotation="90" wrapText="1"/>
      <protection hidden="1"/>
    </xf>
    <xf numFmtId="0" fontId="170" fillId="0" borderId="9" xfId="0" applyFont="1" applyFill="1" applyBorder="1" applyAlignment="1" applyProtection="1">
      <alignment horizontal="center" textRotation="90" wrapText="1"/>
      <protection hidden="1"/>
    </xf>
    <xf numFmtId="0" fontId="170" fillId="0" borderId="19" xfId="0" applyFont="1" applyFill="1" applyBorder="1" applyAlignment="1" applyProtection="1">
      <alignment horizontal="center" textRotation="90" wrapText="1"/>
      <protection hidden="1"/>
    </xf>
    <xf numFmtId="0" fontId="106" fillId="0" borderId="0" xfId="0" applyFont="1" applyFill="1" applyAlignment="1" applyProtection="1">
      <alignment horizontal="center"/>
      <protection hidden="1"/>
    </xf>
    <xf numFmtId="0" fontId="158" fillId="0" borderId="47" xfId="0" applyFont="1" applyFill="1" applyBorder="1" applyAlignment="1" applyProtection="1">
      <alignment horizontal="center" textRotation="90" wrapText="1"/>
      <protection hidden="1"/>
    </xf>
    <xf numFmtId="0" fontId="170" fillId="0" borderId="21" xfId="0" applyFont="1" applyFill="1" applyBorder="1" applyAlignment="1" applyProtection="1">
      <alignment horizontal="center" textRotation="90" wrapText="1"/>
      <protection hidden="1"/>
    </xf>
    <xf numFmtId="0" fontId="170" fillId="0" borderId="39" xfId="0" applyFont="1" applyFill="1" applyBorder="1" applyAlignment="1" applyProtection="1">
      <alignment horizontal="center" textRotation="90" wrapText="1"/>
      <protection hidden="1"/>
    </xf>
    <xf numFmtId="0" fontId="170" fillId="0" borderId="10" xfId="0" applyFont="1" applyFill="1" applyBorder="1" applyAlignment="1" applyProtection="1">
      <alignment horizontal="center" textRotation="90" wrapText="1"/>
      <protection hidden="1"/>
    </xf>
    <xf numFmtId="0" fontId="170" fillId="0" borderId="1" xfId="0" applyFont="1" applyFill="1" applyBorder="1" applyAlignment="1" applyProtection="1">
      <alignment horizontal="center" textRotation="90" wrapText="1"/>
      <protection hidden="1"/>
    </xf>
    <xf numFmtId="0" fontId="170" fillId="0" borderId="47" xfId="0" applyFont="1" applyFill="1" applyBorder="1" applyAlignment="1" applyProtection="1">
      <alignment horizontal="center" textRotation="90" wrapText="1"/>
      <protection hidden="1"/>
    </xf>
    <xf numFmtId="0" fontId="170" fillId="0" borderId="50" xfId="0" applyFont="1" applyFill="1" applyBorder="1" applyAlignment="1" applyProtection="1">
      <alignment horizontal="center" textRotation="90" wrapText="1"/>
      <protection hidden="1"/>
    </xf>
    <xf numFmtId="0" fontId="158" fillId="0" borderId="61" xfId="0" applyFont="1" applyFill="1" applyBorder="1" applyAlignment="1" applyProtection="1">
      <alignment horizontal="center" textRotation="90" wrapText="1"/>
      <protection hidden="1"/>
    </xf>
    <xf numFmtId="0" fontId="170" fillId="0" borderId="15" xfId="0" applyFont="1" applyFill="1" applyBorder="1" applyAlignment="1" applyProtection="1">
      <alignment horizontal="center" textRotation="90" wrapText="1"/>
      <protection hidden="1"/>
    </xf>
    <xf numFmtId="0" fontId="170" fillId="0" borderId="13" xfId="0" applyFont="1" applyFill="1" applyBorder="1" applyAlignment="1" applyProtection="1">
      <alignment horizontal="center" textRotation="90" wrapText="1"/>
      <protection hidden="1"/>
    </xf>
    <xf numFmtId="0" fontId="170" fillId="0" borderId="63" xfId="0" applyFont="1" applyFill="1" applyBorder="1" applyAlignment="1" applyProtection="1">
      <alignment horizontal="center" textRotation="90" wrapText="1"/>
      <protection hidden="1"/>
    </xf>
    <xf numFmtId="0" fontId="93" fillId="0" borderId="28" xfId="0" applyFont="1" applyFill="1" applyBorder="1" applyAlignment="1" applyProtection="1">
      <alignment horizontal="center" vertical="center" textRotation="90"/>
      <protection hidden="1"/>
    </xf>
    <xf numFmtId="0" fontId="93" fillId="0" borderId="22" xfId="0" applyFont="1" applyFill="1" applyBorder="1" applyAlignment="1" applyProtection="1">
      <alignment horizontal="center" vertical="center" textRotation="90"/>
      <protection hidden="1"/>
    </xf>
    <xf numFmtId="0" fontId="93" fillId="0" borderId="51" xfId="0" applyFont="1" applyFill="1" applyBorder="1" applyAlignment="1" applyProtection="1">
      <alignment horizontal="center" vertical="center" textRotation="90"/>
      <protection hidden="1"/>
    </xf>
    <xf numFmtId="0" fontId="79" fillId="0" borderId="0" xfId="0" applyFont="1" applyFill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center"/>
      <protection hidden="1"/>
    </xf>
    <xf numFmtId="0" fontId="10" fillId="0" borderId="14" xfId="0" applyFont="1" applyFill="1" applyBorder="1" applyAlignment="1" applyProtection="1">
      <alignment horizontal="center"/>
      <protection hidden="1"/>
    </xf>
    <xf numFmtId="0" fontId="154" fillId="0" borderId="41" xfId="0" applyFont="1" applyFill="1" applyBorder="1" applyAlignment="1" applyProtection="1">
      <alignment horizontal="center" vertical="center" wrapText="1"/>
      <protection hidden="1"/>
    </xf>
    <xf numFmtId="0" fontId="154" fillId="0" borderId="16" xfId="0" applyFont="1" applyFill="1" applyBorder="1" applyAlignment="1" applyProtection="1">
      <alignment horizontal="center" vertical="center" wrapText="1"/>
      <protection hidden="1"/>
    </xf>
    <xf numFmtId="0" fontId="154" fillId="0" borderId="40" xfId="0" applyFont="1" applyFill="1" applyBorder="1" applyAlignment="1" applyProtection="1">
      <alignment horizontal="center" vertical="center" wrapText="1"/>
      <protection hidden="1"/>
    </xf>
    <xf numFmtId="0" fontId="154" fillId="0" borderId="17" xfId="0" applyFont="1" applyFill="1" applyBorder="1" applyAlignment="1" applyProtection="1">
      <alignment horizontal="center" vertical="center" wrapText="1"/>
      <protection hidden="1"/>
    </xf>
    <xf numFmtId="0" fontId="154" fillId="0" borderId="0" xfId="0" applyFont="1" applyFill="1" applyBorder="1" applyAlignment="1" applyProtection="1">
      <alignment horizontal="center" vertical="center" wrapText="1"/>
      <protection hidden="1"/>
    </xf>
    <xf numFmtId="0" fontId="154" fillId="0" borderId="31" xfId="0" applyFont="1" applyFill="1" applyBorder="1" applyAlignment="1" applyProtection="1">
      <alignment horizontal="center" vertical="center" wrapText="1"/>
      <protection hidden="1"/>
    </xf>
    <xf numFmtId="0" fontId="154" fillId="0" borderId="36" xfId="0" applyFont="1" applyFill="1" applyBorder="1" applyAlignment="1" applyProtection="1">
      <alignment horizontal="center" vertical="center" wrapText="1"/>
      <protection hidden="1"/>
    </xf>
    <xf numFmtId="0" fontId="154" fillId="0" borderId="58" xfId="0" applyFont="1" applyFill="1" applyBorder="1" applyAlignment="1" applyProtection="1">
      <alignment horizontal="center" vertical="center" wrapText="1"/>
      <protection hidden="1"/>
    </xf>
    <xf numFmtId="0" fontId="152" fillId="0" borderId="1" xfId="0" applyFont="1" applyFill="1" applyBorder="1" applyAlignment="1" applyProtection="1">
      <alignment horizontal="center" textRotation="90" wrapText="1"/>
      <protection hidden="1"/>
    </xf>
    <xf numFmtId="0" fontId="152" fillId="0" borderId="47" xfId="0" applyFont="1" applyFill="1" applyBorder="1" applyAlignment="1" applyProtection="1">
      <alignment horizontal="center" textRotation="90" wrapText="1"/>
      <protection hidden="1"/>
    </xf>
    <xf numFmtId="0" fontId="152" fillId="0" borderId="60" xfId="0" applyFont="1" applyFill="1" applyBorder="1" applyAlignment="1" applyProtection="1">
      <alignment horizontal="center" textRotation="90" shrinkToFit="1"/>
      <protection hidden="1"/>
    </xf>
    <xf numFmtId="0" fontId="152" fillId="0" borderId="46" xfId="0" applyFont="1" applyFill="1" applyBorder="1" applyAlignment="1" applyProtection="1">
      <alignment horizontal="center" textRotation="90" shrinkToFit="1"/>
      <protection hidden="1"/>
    </xf>
    <xf numFmtId="0" fontId="7" fillId="0" borderId="0" xfId="0" applyFont="1" applyFill="1" applyAlignment="1" applyProtection="1">
      <alignment horizontal="left" vertical="top"/>
      <protection hidden="1"/>
    </xf>
    <xf numFmtId="0" fontId="153" fillId="0" borderId="61" xfId="0" applyFont="1" applyFill="1" applyBorder="1" applyAlignment="1" applyProtection="1">
      <alignment horizontal="center" textRotation="90" shrinkToFit="1"/>
      <protection hidden="1"/>
    </xf>
    <xf numFmtId="0" fontId="153" fillId="0" borderId="60" xfId="0" applyFont="1" applyFill="1" applyBorder="1" applyAlignment="1" applyProtection="1">
      <alignment horizontal="center" textRotation="90" shrinkToFit="1"/>
      <protection hidden="1"/>
    </xf>
    <xf numFmtId="0" fontId="153" fillId="0" borderId="10" xfId="0" applyFont="1" applyFill="1" applyBorder="1" applyAlignment="1" applyProtection="1">
      <alignment horizontal="center" textRotation="90" shrinkToFit="1"/>
      <protection hidden="1"/>
    </xf>
    <xf numFmtId="0" fontId="170" fillId="0" borderId="73" xfId="0" applyFont="1" applyFill="1" applyBorder="1" applyAlignment="1" applyProtection="1">
      <alignment horizontal="center" textRotation="90" wrapText="1"/>
      <protection hidden="1"/>
    </xf>
    <xf numFmtId="0" fontId="8" fillId="10" borderId="37" xfId="0" applyFont="1" applyFill="1" applyBorder="1" applyAlignment="1" applyProtection="1">
      <alignment horizontal="center" vertical="center" shrinkToFit="1"/>
      <protection hidden="1"/>
    </xf>
    <xf numFmtId="0" fontId="8" fillId="10" borderId="32" xfId="0" applyFont="1" applyFill="1" applyBorder="1" applyAlignment="1" applyProtection="1">
      <alignment horizontal="center" vertical="center" shrinkToFit="1"/>
      <protection hidden="1"/>
    </xf>
    <xf numFmtId="0" fontId="8" fillId="10" borderId="38" xfId="0" applyFont="1" applyFill="1" applyBorder="1" applyAlignment="1" applyProtection="1">
      <alignment horizontal="center" vertical="center" shrinkToFit="1"/>
      <protection hidden="1"/>
    </xf>
    <xf numFmtId="0" fontId="151" fillId="0" borderId="41" xfId="0" applyFont="1" applyFill="1" applyBorder="1" applyAlignment="1" applyProtection="1">
      <alignment horizontal="center" vertical="center" wrapText="1"/>
      <protection hidden="1"/>
    </xf>
    <xf numFmtId="0" fontId="151" fillId="0" borderId="40" xfId="0" applyFont="1" applyFill="1" applyBorder="1" applyAlignment="1" applyProtection="1">
      <alignment horizontal="center" vertical="center" wrapText="1"/>
      <protection hidden="1"/>
    </xf>
    <xf numFmtId="0" fontId="151" fillId="0" borderId="17" xfId="0" applyFont="1" applyFill="1" applyBorder="1" applyAlignment="1" applyProtection="1">
      <alignment horizontal="center" vertical="center" wrapText="1"/>
      <protection hidden="1"/>
    </xf>
    <xf numFmtId="0" fontId="151" fillId="0" borderId="31" xfId="0" applyFont="1" applyFill="1" applyBorder="1" applyAlignment="1" applyProtection="1">
      <alignment horizontal="center" vertical="center" wrapText="1"/>
      <protection hidden="1"/>
    </xf>
    <xf numFmtId="0" fontId="151" fillId="0" borderId="35" xfId="0" applyFont="1" applyFill="1" applyBorder="1" applyAlignment="1" applyProtection="1">
      <alignment horizontal="center" vertical="center" wrapText="1"/>
      <protection hidden="1"/>
    </xf>
    <xf numFmtId="0" fontId="151" fillId="0" borderId="58" xfId="0" applyFont="1" applyFill="1" applyBorder="1" applyAlignment="1" applyProtection="1">
      <alignment horizontal="center" vertical="center" wrapText="1"/>
      <protection hidden="1"/>
    </xf>
    <xf numFmtId="0" fontId="152" fillId="0" borderId="70" xfId="0" applyFont="1" applyFill="1" applyBorder="1" applyAlignment="1" applyProtection="1">
      <alignment horizontal="center" textRotation="90" wrapText="1"/>
      <protection hidden="1"/>
    </xf>
    <xf numFmtId="0" fontId="152" fillId="0" borderId="15" xfId="0" applyFont="1" applyFill="1" applyBorder="1" applyAlignment="1" applyProtection="1">
      <alignment horizontal="center" textRotation="90" wrapText="1"/>
      <protection hidden="1"/>
    </xf>
    <xf numFmtId="0" fontId="152" fillId="0" borderId="13" xfId="0" applyFont="1" applyFill="1" applyBorder="1" applyAlignment="1" applyProtection="1">
      <alignment horizontal="center" textRotation="90" wrapText="1"/>
      <protection hidden="1"/>
    </xf>
    <xf numFmtId="0" fontId="152" fillId="0" borderId="63" xfId="0" applyFont="1" applyFill="1" applyBorder="1" applyAlignment="1" applyProtection="1">
      <alignment horizontal="center" textRotation="90" wrapText="1"/>
      <protection hidden="1"/>
    </xf>
    <xf numFmtId="0" fontId="152" fillId="0" borderId="21" xfId="0" applyFont="1" applyFill="1" applyBorder="1" applyAlignment="1" applyProtection="1">
      <alignment horizontal="center" textRotation="90" wrapText="1"/>
      <protection hidden="1"/>
    </xf>
    <xf numFmtId="0" fontId="152" fillId="0" borderId="43" xfId="0" applyFont="1" applyFill="1" applyBorder="1" applyAlignment="1" applyProtection="1">
      <alignment horizontal="center" textRotation="90" wrapText="1"/>
      <protection hidden="1"/>
    </xf>
    <xf numFmtId="0" fontId="152" fillId="0" borderId="39" xfId="0" applyFont="1" applyFill="1" applyBorder="1" applyAlignment="1" applyProtection="1">
      <alignment horizontal="center" textRotation="90" wrapText="1"/>
      <protection hidden="1"/>
    </xf>
    <xf numFmtId="0" fontId="152" fillId="0" borderId="45" xfId="0" applyFont="1" applyFill="1" applyBorder="1" applyAlignment="1" applyProtection="1">
      <alignment horizontal="center"/>
      <protection hidden="1"/>
    </xf>
    <xf numFmtId="0" fontId="152" fillId="0" borderId="46" xfId="0" applyFont="1" applyFill="1" applyBorder="1" applyAlignment="1" applyProtection="1">
      <alignment horizontal="center"/>
      <protection hidden="1"/>
    </xf>
    <xf numFmtId="0" fontId="152" fillId="0" borderId="59" xfId="0" applyFont="1" applyFill="1" applyBorder="1" applyAlignment="1" applyProtection="1">
      <alignment horizontal="center"/>
      <protection hidden="1"/>
    </xf>
    <xf numFmtId="0" fontId="158" fillId="0" borderId="28" xfId="0" applyFont="1" applyFill="1" applyBorder="1" applyAlignment="1" applyProtection="1">
      <alignment horizontal="center" textRotation="90" wrapText="1"/>
      <protection hidden="1"/>
    </xf>
    <xf numFmtId="0" fontId="158" fillId="0" borderId="22" xfId="0" applyFont="1" applyFill="1" applyBorder="1" applyAlignment="1" applyProtection="1">
      <alignment horizontal="center" textRotation="90" wrapText="1"/>
      <protection hidden="1"/>
    </xf>
    <xf numFmtId="0" fontId="158" fillId="0" borderId="51" xfId="0" applyFont="1" applyFill="1" applyBorder="1" applyAlignment="1" applyProtection="1">
      <alignment horizontal="center" textRotation="90" wrapText="1"/>
      <protection hidden="1"/>
    </xf>
    <xf numFmtId="0" fontId="18" fillId="0" borderId="41" xfId="1" applyFont="1" applyFill="1" applyBorder="1" applyAlignment="1" applyProtection="1">
      <alignment horizontal="center" vertical="center" textRotation="90"/>
      <protection hidden="1"/>
    </xf>
    <xf numFmtId="0" fontId="75" fillId="0" borderId="2" xfId="0" applyFont="1" applyBorder="1" applyAlignment="1" applyProtection="1">
      <alignment horizontal="right"/>
      <protection hidden="1"/>
    </xf>
    <xf numFmtId="0" fontId="8" fillId="0" borderId="0" xfId="0" applyFont="1" applyFill="1" applyAlignment="1" applyProtection="1">
      <alignment horizontal="center"/>
      <protection hidden="1"/>
    </xf>
    <xf numFmtId="0" fontId="75" fillId="0" borderId="2" xfId="0" applyFont="1" applyBorder="1" applyAlignment="1" applyProtection="1">
      <alignment horizontal="center"/>
      <protection hidden="1"/>
    </xf>
    <xf numFmtId="0" fontId="116" fillId="0" borderId="0" xfId="0" applyFont="1"/>
    <xf numFmtId="175" fontId="9" fillId="0" borderId="0" xfId="1" applyNumberFormat="1" applyFont="1" applyFill="1" applyAlignment="1" applyProtection="1">
      <alignment horizontal="center"/>
      <protection hidden="1"/>
    </xf>
    <xf numFmtId="0" fontId="8" fillId="0" borderId="37" xfId="0" applyFont="1" applyFill="1" applyBorder="1" applyAlignment="1" applyProtection="1">
      <alignment horizontal="center" vertical="center" shrinkToFit="1"/>
      <protection hidden="1"/>
    </xf>
    <xf numFmtId="0" fontId="8" fillId="0" borderId="32" xfId="0" applyFont="1" applyFill="1" applyBorder="1" applyAlignment="1" applyProtection="1">
      <alignment horizontal="center" vertical="center" shrinkToFit="1"/>
      <protection hidden="1"/>
    </xf>
    <xf numFmtId="0" fontId="8" fillId="0" borderId="38" xfId="0" applyFont="1" applyFill="1" applyBorder="1" applyAlignment="1" applyProtection="1">
      <alignment horizontal="center" vertical="center" shrinkToFit="1"/>
      <protection hidden="1"/>
    </xf>
    <xf numFmtId="0" fontId="75" fillId="0" borderId="2" xfId="0" applyFont="1" applyBorder="1" applyProtection="1">
      <protection hidden="1"/>
    </xf>
    <xf numFmtId="0" fontId="4" fillId="0" borderId="0" xfId="0" applyFont="1" applyFill="1" applyAlignment="1" applyProtection="1">
      <alignment horizontal="center" vertical="top"/>
      <protection hidden="1"/>
    </xf>
    <xf numFmtId="0" fontId="107" fillId="0" borderId="0" xfId="0" applyFont="1" applyProtection="1">
      <protection hidden="1"/>
    </xf>
    <xf numFmtId="0" fontId="6" fillId="0" borderId="0" xfId="0" applyFont="1" applyFill="1" applyAlignment="1" applyProtection="1">
      <alignment horizontal="center"/>
      <protection hidden="1"/>
    </xf>
    <xf numFmtId="0" fontId="5" fillId="0" borderId="0" xfId="0" applyFont="1" applyFill="1" applyAlignment="1" applyProtection="1">
      <alignment horizontal="center"/>
      <protection hidden="1"/>
    </xf>
    <xf numFmtId="0" fontId="60" fillId="0" borderId="0" xfId="0" applyFont="1" applyFill="1" applyBorder="1" applyAlignment="1" applyProtection="1">
      <alignment horizontal="center" textRotation="90"/>
      <protection hidden="1"/>
    </xf>
    <xf numFmtId="0" fontId="154" fillId="0" borderId="61" xfId="0" applyFont="1" applyFill="1" applyBorder="1" applyAlignment="1" applyProtection="1">
      <alignment horizontal="center" textRotation="90" wrapText="1"/>
      <protection hidden="1"/>
    </xf>
    <xf numFmtId="0" fontId="154" fillId="0" borderId="10" xfId="0" applyFont="1" applyFill="1" applyBorder="1" applyAlignment="1" applyProtection="1">
      <alignment horizontal="center" textRotation="90" wrapText="1"/>
      <protection hidden="1"/>
    </xf>
    <xf numFmtId="0" fontId="154" fillId="0" borderId="29" xfId="0" applyFont="1" applyFill="1" applyBorder="1" applyAlignment="1" applyProtection="1">
      <alignment horizontal="center" textRotation="90" wrapText="1"/>
      <protection hidden="1"/>
    </xf>
    <xf numFmtId="0" fontId="154" fillId="0" borderId="1" xfId="0" applyFont="1" applyFill="1" applyBorder="1" applyAlignment="1" applyProtection="1">
      <alignment horizontal="center" textRotation="90" wrapText="1"/>
      <protection hidden="1"/>
    </xf>
    <xf numFmtId="0" fontId="154" fillId="0" borderId="65" xfId="0" applyFont="1" applyFill="1" applyBorder="1" applyAlignment="1" applyProtection="1">
      <alignment horizontal="center" textRotation="90" wrapText="1"/>
      <protection hidden="1"/>
    </xf>
    <xf numFmtId="0" fontId="154" fillId="0" borderId="94" xfId="0" applyFont="1" applyFill="1" applyBorder="1" applyAlignment="1" applyProtection="1">
      <alignment horizontal="center" textRotation="90" wrapText="1"/>
      <protection hidden="1"/>
    </xf>
    <xf numFmtId="0" fontId="154" fillId="0" borderId="15" xfId="0" applyFont="1" applyFill="1" applyBorder="1" applyAlignment="1" applyProtection="1">
      <alignment horizontal="center" textRotation="90" wrapText="1"/>
      <protection hidden="1"/>
    </xf>
    <xf numFmtId="0" fontId="155" fillId="0" borderId="23" xfId="0" applyFont="1" applyFill="1" applyBorder="1" applyAlignment="1" applyProtection="1">
      <alignment horizontal="center" vertical="center" textRotation="90" wrapText="1"/>
      <protection hidden="1"/>
    </xf>
    <xf numFmtId="0" fontId="155" fillId="0" borderId="43" xfId="0" applyFont="1" applyFill="1" applyBorder="1" applyAlignment="1" applyProtection="1">
      <alignment horizontal="center" vertical="center" textRotation="90" wrapText="1"/>
      <protection hidden="1"/>
    </xf>
    <xf numFmtId="0" fontId="155" fillId="0" borderId="20" xfId="0" applyFont="1" applyFill="1" applyBorder="1" applyAlignment="1" applyProtection="1">
      <alignment horizontal="center" vertical="center" textRotation="90" wrapText="1"/>
      <protection hidden="1"/>
    </xf>
    <xf numFmtId="0" fontId="155" fillId="0" borderId="54" xfId="0" applyFont="1" applyFill="1" applyBorder="1" applyAlignment="1" applyProtection="1">
      <alignment horizontal="center" vertical="center" textRotation="90" wrapText="1"/>
      <protection hidden="1"/>
    </xf>
    <xf numFmtId="0" fontId="155" fillId="0" borderId="72" xfId="0" applyFont="1" applyFill="1" applyBorder="1" applyAlignment="1" applyProtection="1">
      <alignment horizontal="center" vertical="center" textRotation="90" wrapText="1"/>
      <protection hidden="1"/>
    </xf>
    <xf numFmtId="0" fontId="155" fillId="0" borderId="12" xfId="0" applyFont="1" applyFill="1" applyBorder="1" applyAlignment="1" applyProtection="1">
      <alignment horizontal="center" vertical="center" textRotation="90" wrapText="1"/>
      <protection hidden="1"/>
    </xf>
    <xf numFmtId="0" fontId="155" fillId="0" borderId="75" xfId="0" applyFont="1" applyFill="1" applyBorder="1" applyAlignment="1" applyProtection="1">
      <alignment horizontal="center" vertical="center" textRotation="90" wrapText="1"/>
      <protection hidden="1"/>
    </xf>
    <xf numFmtId="0" fontId="150" fillId="0" borderId="22" xfId="0" applyFont="1" applyFill="1" applyBorder="1" applyAlignment="1" applyProtection="1">
      <alignment horizontal="left" vertical="center"/>
      <protection hidden="1"/>
    </xf>
    <xf numFmtId="0" fontId="150" fillId="0" borderId="1" xfId="0" applyFont="1" applyFill="1" applyBorder="1" applyAlignment="1" applyProtection="1">
      <alignment horizontal="left" vertical="center"/>
      <protection hidden="1"/>
    </xf>
    <xf numFmtId="0" fontId="150" fillId="0" borderId="52" xfId="0" applyFont="1" applyFill="1" applyBorder="1" applyAlignment="1" applyProtection="1">
      <alignment horizontal="left" vertical="center"/>
      <protection hidden="1"/>
    </xf>
    <xf numFmtId="0" fontId="150" fillId="0" borderId="28" xfId="0" applyFont="1" applyFill="1" applyBorder="1" applyAlignment="1" applyProtection="1">
      <alignment horizontal="left" vertical="center"/>
      <protection hidden="1"/>
    </xf>
    <xf numFmtId="0" fontId="150" fillId="0" borderId="29" xfId="0" applyFont="1" applyFill="1" applyBorder="1" applyAlignment="1" applyProtection="1">
      <alignment horizontal="left" vertical="center"/>
      <protection hidden="1"/>
    </xf>
    <xf numFmtId="0" fontId="150" fillId="0" borderId="30" xfId="0" applyFont="1" applyFill="1" applyBorder="1" applyAlignment="1" applyProtection="1">
      <alignment horizontal="left" vertical="center"/>
      <protection hidden="1"/>
    </xf>
    <xf numFmtId="0" fontId="152" fillId="0" borderId="65" xfId="0" applyFont="1" applyFill="1" applyBorder="1" applyAlignment="1" applyProtection="1">
      <alignment horizontal="center" textRotation="90" wrapText="1"/>
      <protection hidden="1"/>
    </xf>
    <xf numFmtId="0" fontId="152" fillId="0" borderId="23" xfId="0" applyFont="1" applyFill="1" applyBorder="1" applyAlignment="1" applyProtection="1">
      <alignment horizontal="center" textRotation="90" wrapText="1"/>
      <protection hidden="1"/>
    </xf>
    <xf numFmtId="0" fontId="152" fillId="0" borderId="44" xfId="0" applyFont="1" applyFill="1" applyBorder="1" applyAlignment="1" applyProtection="1">
      <alignment horizontal="center" textRotation="90" wrapText="1"/>
      <protection hidden="1"/>
    </xf>
    <xf numFmtId="0" fontId="152" fillId="0" borderId="93" xfId="0" applyFont="1" applyFill="1" applyBorder="1" applyAlignment="1" applyProtection="1">
      <alignment horizontal="center" textRotation="90"/>
      <protection hidden="1"/>
    </xf>
    <xf numFmtId="0" fontId="152" fillId="0" borderId="69" xfId="0" applyFont="1" applyFill="1" applyBorder="1" applyAlignment="1" applyProtection="1">
      <alignment horizontal="center" textRotation="90"/>
      <protection hidden="1"/>
    </xf>
    <xf numFmtId="0" fontId="152" fillId="0" borderId="73" xfId="0" applyFont="1" applyFill="1" applyBorder="1" applyAlignment="1" applyProtection="1">
      <alignment horizontal="center" textRotation="90" wrapText="1"/>
      <protection hidden="1"/>
    </xf>
    <xf numFmtId="0" fontId="9" fillId="0" borderId="0" xfId="1" applyFont="1" applyFill="1" applyAlignment="1" applyProtection="1">
      <alignment horizontal="center"/>
      <protection hidden="1"/>
    </xf>
    <xf numFmtId="180" fontId="157" fillId="0" borderId="11" xfId="1" applyNumberFormat="1" applyFont="1" applyFill="1" applyBorder="1" applyAlignment="1" applyProtection="1">
      <alignment horizontal="center"/>
      <protection hidden="1"/>
    </xf>
    <xf numFmtId="180" fontId="157" fillId="0" borderId="12" xfId="1" applyNumberFormat="1" applyFont="1" applyFill="1" applyBorder="1" applyAlignment="1" applyProtection="1">
      <alignment horizontal="center"/>
      <protection hidden="1"/>
    </xf>
    <xf numFmtId="180" fontId="157" fillId="0" borderId="13" xfId="1" applyNumberFormat="1" applyFont="1" applyFill="1" applyBorder="1" applyAlignment="1" applyProtection="1">
      <alignment horizontal="center"/>
      <protection hidden="1"/>
    </xf>
    <xf numFmtId="0" fontId="156" fillId="0" borderId="41" xfId="0" applyFont="1" applyFill="1" applyBorder="1" applyAlignment="1" applyProtection="1">
      <alignment horizontal="center" vertical="center" wrapText="1"/>
      <protection hidden="1"/>
    </xf>
    <xf numFmtId="0" fontId="156" fillId="0" borderId="40" xfId="0" applyFont="1" applyFill="1" applyBorder="1" applyAlignment="1" applyProtection="1">
      <alignment horizontal="center" vertical="center" wrapText="1"/>
      <protection hidden="1"/>
    </xf>
    <xf numFmtId="0" fontId="156" fillId="0" borderId="17" xfId="0" applyFont="1" applyFill="1" applyBorder="1" applyAlignment="1" applyProtection="1">
      <alignment horizontal="center" vertical="center" wrapText="1"/>
      <protection hidden="1"/>
    </xf>
    <xf numFmtId="0" fontId="156" fillId="0" borderId="31" xfId="0" applyFont="1" applyFill="1" applyBorder="1" applyAlignment="1" applyProtection="1">
      <alignment horizontal="center" vertical="center" wrapText="1"/>
      <protection hidden="1"/>
    </xf>
    <xf numFmtId="0" fontId="156" fillId="0" borderId="35" xfId="0" applyFont="1" applyFill="1" applyBorder="1" applyAlignment="1" applyProtection="1">
      <alignment horizontal="center" vertical="center" wrapText="1"/>
      <protection hidden="1"/>
    </xf>
    <xf numFmtId="0" fontId="156" fillId="0" borderId="58" xfId="0" applyFont="1" applyFill="1" applyBorder="1" applyAlignment="1" applyProtection="1">
      <alignment horizontal="center" vertical="center" wrapText="1"/>
      <protection hidden="1"/>
    </xf>
    <xf numFmtId="0" fontId="169" fillId="0" borderId="7" xfId="0" applyFont="1" applyFill="1" applyBorder="1" applyAlignment="1" applyProtection="1">
      <alignment horizontal="center" vertical="center" textRotation="90" wrapText="1"/>
      <protection hidden="1"/>
    </xf>
    <xf numFmtId="0" fontId="169" fillId="0" borderId="8" xfId="0" applyFont="1" applyFill="1" applyBorder="1" applyAlignment="1" applyProtection="1">
      <alignment horizontal="center" vertical="center" textRotation="90" wrapText="1"/>
      <protection hidden="1"/>
    </xf>
    <xf numFmtId="0" fontId="169" fillId="0" borderId="21" xfId="0" applyFont="1" applyFill="1" applyBorder="1" applyAlignment="1" applyProtection="1">
      <alignment horizontal="center" vertical="center" textRotation="90" wrapText="1"/>
      <protection hidden="1"/>
    </xf>
    <xf numFmtId="180" fontId="73" fillId="0" borderId="2" xfId="1" applyNumberFormat="1" applyFont="1" applyFill="1" applyBorder="1" applyAlignment="1" applyProtection="1">
      <alignment horizontal="left" vertical="top" indent="10"/>
    </xf>
    <xf numFmtId="0" fontId="153" fillId="0" borderId="74" xfId="0" applyFont="1" applyFill="1" applyBorder="1" applyAlignment="1" applyProtection="1">
      <alignment horizontal="center" textRotation="90" shrinkToFit="1"/>
      <protection hidden="1"/>
    </xf>
    <xf numFmtId="0" fontId="152" fillId="0" borderId="5" xfId="0" applyFont="1" applyBorder="1" applyAlignment="1" applyProtection="1">
      <alignment horizontal="center" textRotation="90" shrinkToFit="1"/>
      <protection hidden="1"/>
    </xf>
    <xf numFmtId="0" fontId="152" fillId="0" borderId="70" xfId="0" applyFont="1" applyFill="1" applyBorder="1" applyAlignment="1" applyProtection="1">
      <alignment horizontal="center" textRotation="90" wrapText="1" shrinkToFit="1"/>
      <protection hidden="1"/>
    </xf>
    <xf numFmtId="0" fontId="152" fillId="0" borderId="92" xfId="0" applyFont="1" applyFill="1" applyBorder="1" applyAlignment="1" applyProtection="1">
      <alignment horizontal="center" textRotation="90" wrapText="1"/>
      <protection hidden="1"/>
    </xf>
    <xf numFmtId="0" fontId="152" fillId="0" borderId="6" xfId="0" applyFont="1" applyFill="1" applyBorder="1" applyAlignment="1" applyProtection="1">
      <alignment horizontal="center" textRotation="90" wrapText="1"/>
      <protection hidden="1"/>
    </xf>
    <xf numFmtId="0" fontId="152" fillId="0" borderId="11" xfId="0" applyFont="1" applyFill="1" applyBorder="1" applyAlignment="1" applyProtection="1">
      <alignment horizontal="center" textRotation="90" wrapText="1"/>
      <protection hidden="1"/>
    </xf>
    <xf numFmtId="0" fontId="152" fillId="0" borderId="3" xfId="0" applyFont="1" applyFill="1" applyBorder="1" applyAlignment="1" applyProtection="1">
      <alignment horizontal="center" textRotation="90" wrapText="1"/>
      <protection hidden="1"/>
    </xf>
    <xf numFmtId="0" fontId="152" fillId="0" borderId="9" xfId="0" applyFont="1" applyFill="1" applyBorder="1" applyAlignment="1" applyProtection="1">
      <alignment horizontal="center" textRotation="90" wrapText="1"/>
      <protection hidden="1"/>
    </xf>
    <xf numFmtId="0" fontId="152" fillId="0" borderId="19" xfId="0" applyFont="1" applyFill="1" applyBorder="1" applyAlignment="1" applyProtection="1">
      <alignment horizontal="center" textRotation="90" wrapText="1"/>
      <protection hidden="1"/>
    </xf>
    <xf numFmtId="0" fontId="74" fillId="0" borderId="0" xfId="0" applyFont="1" applyFill="1" applyAlignment="1" applyProtection="1">
      <alignment horizontal="center" vertical="center"/>
      <protection hidden="1"/>
    </xf>
    <xf numFmtId="0" fontId="14" fillId="0" borderId="0" xfId="0" applyFont="1" applyFill="1" applyAlignment="1" applyProtection="1">
      <alignment horizontal="center" vertical="top"/>
      <protection hidden="1"/>
    </xf>
    <xf numFmtId="0" fontId="10" fillId="0" borderId="0" xfId="0" applyFont="1" applyFill="1" applyAlignment="1" applyProtection="1">
      <alignment horizontal="center" vertical="top"/>
      <protection hidden="1"/>
    </xf>
    <xf numFmtId="0" fontId="8" fillId="0" borderId="0" xfId="0" applyFont="1" applyFill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center" vertical="top"/>
      <protection hidden="1"/>
    </xf>
    <xf numFmtId="0" fontId="92" fillId="0" borderId="0" xfId="0" applyFont="1" applyAlignment="1" applyProtection="1">
      <alignment horizontal="center"/>
      <protection hidden="1"/>
    </xf>
    <xf numFmtId="0" fontId="101" fillId="0" borderId="0" xfId="0" applyFont="1" applyAlignment="1" applyProtection="1">
      <alignment horizontal="center"/>
      <protection hidden="1"/>
    </xf>
    <xf numFmtId="0" fontId="133" fillId="0" borderId="0" xfId="0" applyFont="1" applyFill="1" applyAlignment="1" applyProtection="1">
      <alignment horizontal="center" vertical="top"/>
      <protection hidden="1"/>
    </xf>
    <xf numFmtId="0" fontId="152" fillId="0" borderId="29" xfId="0" applyFont="1" applyFill="1" applyBorder="1" applyAlignment="1" applyProtection="1">
      <alignment horizontal="center" textRotation="90" wrapText="1"/>
      <protection hidden="1"/>
    </xf>
    <xf numFmtId="0" fontId="154" fillId="0" borderId="93" xfId="0" applyFont="1" applyFill="1" applyBorder="1" applyAlignment="1" applyProtection="1">
      <alignment horizontal="center" textRotation="90" shrinkToFit="1"/>
      <protection hidden="1"/>
    </xf>
    <xf numFmtId="0" fontId="154" fillId="0" borderId="69" xfId="0" applyFont="1" applyFill="1" applyBorder="1" applyAlignment="1" applyProtection="1">
      <alignment horizontal="center" textRotation="90" shrinkToFit="1"/>
      <protection hidden="1"/>
    </xf>
    <xf numFmtId="0" fontId="154" fillId="0" borderId="59" xfId="0" applyFont="1" applyFill="1" applyBorder="1" applyAlignment="1" applyProtection="1">
      <alignment horizontal="center" textRotation="90" shrinkToFit="1"/>
      <protection hidden="1"/>
    </xf>
    <xf numFmtId="0" fontId="152" fillId="0" borderId="28" xfId="0" applyFont="1" applyFill="1" applyBorder="1" applyAlignment="1" applyProtection="1">
      <alignment horizontal="center" textRotation="90" wrapText="1"/>
      <protection hidden="1"/>
    </xf>
    <xf numFmtId="0" fontId="153" fillId="0" borderId="29" xfId="0" applyFont="1" applyFill="1" applyBorder="1" applyAlignment="1" applyProtection="1">
      <alignment horizontal="center" textRotation="90"/>
      <protection hidden="1"/>
    </xf>
    <xf numFmtId="0" fontId="153" fillId="0" borderId="1" xfId="0" applyFont="1" applyFill="1" applyBorder="1" applyAlignment="1" applyProtection="1">
      <alignment horizontal="center" textRotation="90"/>
      <protection hidden="1"/>
    </xf>
    <xf numFmtId="0" fontId="153" fillId="0" borderId="65" xfId="0" applyFont="1" applyFill="1" applyBorder="1" applyAlignment="1" applyProtection="1">
      <alignment horizontal="center" textRotation="90"/>
      <protection hidden="1"/>
    </xf>
    <xf numFmtId="0" fontId="152" fillId="0" borderId="74" xfId="0" applyFont="1" applyFill="1" applyBorder="1" applyAlignment="1" applyProtection="1">
      <alignment horizontal="center" textRotation="90"/>
      <protection hidden="1"/>
    </xf>
    <xf numFmtId="0" fontId="152" fillId="0" borderId="5" xfId="0" applyFont="1" applyFill="1" applyBorder="1" applyAlignment="1" applyProtection="1">
      <alignment horizontal="center" textRotation="90"/>
      <protection hidden="1"/>
    </xf>
    <xf numFmtId="0" fontId="166" fillId="0" borderId="41" xfId="0" applyFont="1" applyFill="1" applyBorder="1" applyAlignment="1" applyProtection="1">
      <alignment horizontal="center" vertical="center" wrapText="1"/>
      <protection hidden="1"/>
    </xf>
    <xf numFmtId="0" fontId="166" fillId="0" borderId="16" xfId="0" applyFont="1" applyFill="1" applyBorder="1" applyAlignment="1" applyProtection="1">
      <alignment horizontal="center" vertical="center" wrapText="1"/>
      <protection hidden="1"/>
    </xf>
    <xf numFmtId="0" fontId="166" fillId="0" borderId="40" xfId="0" applyFont="1" applyFill="1" applyBorder="1" applyAlignment="1" applyProtection="1">
      <alignment horizontal="center" vertical="center" wrapText="1"/>
      <protection hidden="1"/>
    </xf>
    <xf numFmtId="0" fontId="166" fillId="0" borderId="17" xfId="0" applyFont="1" applyFill="1" applyBorder="1" applyAlignment="1" applyProtection="1">
      <alignment horizontal="center" vertical="center" wrapText="1"/>
      <protection hidden="1"/>
    </xf>
    <xf numFmtId="0" fontId="166" fillId="0" borderId="0" xfId="0" applyFont="1" applyFill="1" applyBorder="1" applyAlignment="1" applyProtection="1">
      <alignment horizontal="center" vertical="center" wrapText="1"/>
      <protection hidden="1"/>
    </xf>
    <xf numFmtId="0" fontId="166" fillId="0" borderId="31" xfId="0" applyFont="1" applyFill="1" applyBorder="1" applyAlignment="1" applyProtection="1">
      <alignment horizontal="center" vertical="center" wrapText="1"/>
      <protection hidden="1"/>
    </xf>
    <xf numFmtId="0" fontId="166" fillId="0" borderId="36" xfId="0" applyFont="1" applyFill="1" applyBorder="1" applyAlignment="1" applyProtection="1">
      <alignment horizontal="center" vertical="center" wrapText="1"/>
      <protection hidden="1"/>
    </xf>
    <xf numFmtId="0" fontId="166" fillId="0" borderId="58" xfId="0" applyFont="1" applyFill="1" applyBorder="1" applyAlignment="1" applyProtection="1">
      <alignment horizontal="center" vertical="center" wrapText="1"/>
      <protection hidden="1"/>
    </xf>
    <xf numFmtId="0" fontId="159" fillId="0" borderId="93" xfId="0" applyFont="1" applyFill="1" applyBorder="1" applyAlignment="1" applyProtection="1">
      <alignment horizontal="center" textRotation="90" shrinkToFit="1"/>
      <protection hidden="1"/>
    </xf>
    <xf numFmtId="0" fontId="159" fillId="0" borderId="69" xfId="0" applyFont="1" applyFill="1" applyBorder="1" applyAlignment="1" applyProtection="1">
      <alignment horizontal="center" textRotation="90" shrinkToFit="1"/>
      <protection hidden="1"/>
    </xf>
    <xf numFmtId="0" fontId="159" fillId="0" borderId="59" xfId="0" applyFont="1" applyFill="1" applyBorder="1" applyAlignment="1" applyProtection="1">
      <alignment horizontal="center" textRotation="90" shrinkToFit="1"/>
      <protection hidden="1"/>
    </xf>
    <xf numFmtId="0" fontId="168" fillId="0" borderId="37" xfId="0" applyFont="1" applyFill="1" applyBorder="1" applyAlignment="1" applyProtection="1">
      <alignment horizontal="center"/>
      <protection hidden="1"/>
    </xf>
    <xf numFmtId="0" fontId="168" fillId="0" borderId="32" xfId="0" applyFont="1" applyFill="1" applyBorder="1" applyAlignment="1" applyProtection="1">
      <alignment horizontal="center"/>
      <protection hidden="1"/>
    </xf>
    <xf numFmtId="0" fontId="168" fillId="0" borderId="38" xfId="0" applyFont="1" applyFill="1" applyBorder="1" applyAlignment="1" applyProtection="1">
      <alignment horizontal="center"/>
      <protection hidden="1"/>
    </xf>
    <xf numFmtId="0" fontId="168" fillId="0" borderId="41" xfId="0" applyFont="1" applyFill="1" applyBorder="1" applyAlignment="1" applyProtection="1">
      <alignment horizontal="center"/>
      <protection hidden="1"/>
    </xf>
    <xf numFmtId="0" fontId="168" fillId="0" borderId="16" xfId="0" applyFont="1" applyFill="1" applyBorder="1" applyAlignment="1" applyProtection="1">
      <alignment horizontal="center"/>
      <protection hidden="1"/>
    </xf>
    <xf numFmtId="0" fontId="168" fillId="0" borderId="40" xfId="0" applyFont="1" applyFill="1" applyBorder="1" applyAlignment="1" applyProtection="1">
      <alignment horizontal="center"/>
      <protection hidden="1"/>
    </xf>
    <xf numFmtId="0" fontId="158" fillId="0" borderId="29" xfId="0" applyFont="1" applyFill="1" applyBorder="1" applyAlignment="1" applyProtection="1">
      <alignment horizontal="center" textRotation="90" wrapText="1"/>
      <protection hidden="1"/>
    </xf>
    <xf numFmtId="0" fontId="170" fillId="0" borderId="29" xfId="0" applyFont="1" applyFill="1" applyBorder="1" applyAlignment="1" applyProtection="1">
      <alignment horizontal="center" textRotation="90" wrapText="1"/>
      <protection hidden="1"/>
    </xf>
    <xf numFmtId="0" fontId="169" fillId="0" borderId="72" xfId="0" applyFont="1" applyFill="1" applyBorder="1" applyAlignment="1" applyProtection="1">
      <alignment horizontal="center" vertical="center" textRotation="90" wrapText="1"/>
      <protection hidden="1"/>
    </xf>
    <xf numFmtId="0" fontId="169" fillId="0" borderId="12" xfId="0" applyFont="1" applyFill="1" applyBorder="1" applyAlignment="1" applyProtection="1">
      <alignment horizontal="center" vertical="center" textRotation="90" wrapText="1"/>
      <protection hidden="1"/>
    </xf>
    <xf numFmtId="0" fontId="169" fillId="0" borderId="75" xfId="0" applyFont="1" applyFill="1" applyBorder="1" applyAlignment="1" applyProtection="1">
      <alignment horizontal="center" vertical="center" textRotation="90" wrapText="1"/>
      <protection hidden="1"/>
    </xf>
    <xf numFmtId="0" fontId="161" fillId="0" borderId="29" xfId="0" applyFont="1" applyFill="1" applyBorder="1" applyAlignment="1" applyProtection="1">
      <alignment horizontal="center" textRotation="90"/>
      <protection hidden="1"/>
    </xf>
    <xf numFmtId="0" fontId="161" fillId="0" borderId="1" xfId="0" applyFont="1" applyFill="1" applyBorder="1" applyAlignment="1" applyProtection="1">
      <alignment horizontal="center" textRotation="90"/>
      <protection hidden="1"/>
    </xf>
    <xf numFmtId="0" fontId="161" fillId="0" borderId="47" xfId="0" applyFont="1" applyFill="1" applyBorder="1" applyAlignment="1" applyProtection="1">
      <alignment horizontal="center" textRotation="90"/>
      <protection hidden="1"/>
    </xf>
    <xf numFmtId="0" fontId="159" fillId="0" borderId="61" xfId="0" applyFont="1" applyFill="1" applyBorder="1" applyAlignment="1" applyProtection="1">
      <alignment horizontal="center" textRotation="90" wrapText="1"/>
      <protection hidden="1"/>
    </xf>
    <xf numFmtId="0" fontId="159" fillId="0" borderId="10" xfId="0" applyFont="1" applyFill="1" applyBorder="1" applyAlignment="1" applyProtection="1">
      <alignment horizontal="center" textRotation="90" wrapText="1"/>
      <protection hidden="1"/>
    </xf>
    <xf numFmtId="0" fontId="170" fillId="0" borderId="92" xfId="0" applyFont="1" applyFill="1" applyBorder="1" applyAlignment="1" applyProtection="1">
      <alignment horizontal="center" textRotation="90" wrapText="1"/>
      <protection hidden="1"/>
    </xf>
    <xf numFmtId="0" fontId="170" fillId="0" borderId="70" xfId="0" applyFont="1" applyFill="1" applyBorder="1" applyAlignment="1" applyProtection="1">
      <alignment horizontal="center" textRotation="90" wrapText="1" shrinkToFit="1"/>
      <protection hidden="1"/>
    </xf>
    <xf numFmtId="0" fontId="152" fillId="0" borderId="50" xfId="0" applyFont="1" applyFill="1" applyBorder="1" applyAlignment="1" applyProtection="1">
      <alignment horizontal="center" textRotation="90" wrapText="1"/>
      <protection hidden="1"/>
    </xf>
    <xf numFmtId="0" fontId="170" fillId="0" borderId="29" xfId="0" applyFont="1" applyFill="1" applyBorder="1" applyAlignment="1" applyProtection="1">
      <alignment horizontal="center" textRotation="90"/>
      <protection hidden="1"/>
    </xf>
    <xf numFmtId="0" fontId="170" fillId="0" borderId="1" xfId="0" applyFont="1" applyFill="1" applyBorder="1" applyAlignment="1" applyProtection="1">
      <alignment horizontal="center" textRotation="90"/>
      <protection hidden="1"/>
    </xf>
    <xf numFmtId="0" fontId="150" fillId="0" borderId="51" xfId="0" applyFont="1" applyFill="1" applyBorder="1" applyAlignment="1" applyProtection="1">
      <alignment horizontal="left" vertical="center"/>
      <protection hidden="1"/>
    </xf>
    <xf numFmtId="0" fontId="150" fillId="0" borderId="47" xfId="0" applyFont="1" applyFill="1" applyBorder="1" applyAlignment="1" applyProtection="1">
      <alignment horizontal="left" vertical="center"/>
      <protection hidden="1"/>
    </xf>
    <xf numFmtId="0" fontId="150" fillId="0" borderId="53" xfId="0" applyFont="1" applyFill="1" applyBorder="1" applyAlignment="1" applyProtection="1">
      <alignment horizontal="left" vertical="center"/>
      <protection hidden="1"/>
    </xf>
    <xf numFmtId="0" fontId="153" fillId="0" borderId="42" xfId="0" applyFont="1" applyFill="1" applyBorder="1" applyAlignment="1" applyProtection="1">
      <alignment horizontal="center" textRotation="90" shrinkToFit="1"/>
      <protection hidden="1"/>
    </xf>
    <xf numFmtId="0" fontId="152" fillId="0" borderId="11" xfId="0" applyFont="1" applyBorder="1" applyAlignment="1" applyProtection="1">
      <alignment horizontal="center" textRotation="90" shrinkToFit="1"/>
      <protection hidden="1"/>
    </xf>
    <xf numFmtId="0" fontId="46" fillId="0" borderId="32" xfId="0" applyFont="1" applyFill="1" applyBorder="1" applyAlignment="1" applyProtection="1">
      <alignment horizontal="center"/>
      <protection locked="0" hidden="1"/>
    </xf>
    <xf numFmtId="0" fontId="46" fillId="0" borderId="36" xfId="0" applyFont="1" applyFill="1" applyBorder="1" applyAlignment="1" applyProtection="1">
      <alignment horizontal="center"/>
      <protection locked="0" hidden="1"/>
    </xf>
    <xf numFmtId="0" fontId="5" fillId="0" borderId="44" xfId="0" applyFont="1" applyBorder="1" applyProtection="1">
      <protection hidden="1"/>
    </xf>
    <xf numFmtId="0" fontId="5" fillId="0" borderId="21" xfId="0" applyFont="1" applyBorder="1" applyProtection="1">
      <protection hidden="1"/>
    </xf>
    <xf numFmtId="1" fontId="65" fillId="0" borderId="0" xfId="0" applyNumberFormat="1" applyFont="1" applyAlignment="1" applyProtection="1">
      <alignment horizontal="right"/>
      <protection hidden="1"/>
    </xf>
    <xf numFmtId="0" fontId="5" fillId="0" borderId="7" xfId="0" applyFont="1" applyBorder="1" applyAlignment="1" applyProtection="1">
      <protection hidden="1"/>
    </xf>
    <xf numFmtId="0" fontId="0" fillId="0" borderId="21" xfId="0" applyBorder="1" applyAlignment="1" applyProtection="1">
      <protection hidden="1"/>
    </xf>
    <xf numFmtId="0" fontId="5" fillId="0" borderId="44" xfId="0" applyFont="1" applyBorder="1" applyAlignment="1" applyProtection="1">
      <protection hidden="1"/>
    </xf>
    <xf numFmtId="0" fontId="5" fillId="0" borderId="21" xfId="0" applyFont="1" applyBorder="1" applyAlignment="1" applyProtection="1">
      <protection hidden="1"/>
    </xf>
    <xf numFmtId="0" fontId="0" fillId="0" borderId="9" xfId="0" applyBorder="1" applyAlignment="1" applyProtection="1">
      <protection hidden="1"/>
    </xf>
    <xf numFmtId="0" fontId="0" fillId="0" borderId="16" xfId="0" applyBorder="1" applyProtection="1">
      <protection hidden="1"/>
    </xf>
    <xf numFmtId="0" fontId="0" fillId="0" borderId="95" xfId="0" applyBorder="1" applyAlignment="1" applyProtection="1">
      <alignment horizontal="center"/>
      <protection hidden="1"/>
    </xf>
    <xf numFmtId="180" fontId="0" fillId="0" borderId="0" xfId="0" applyNumberFormat="1" applyAlignment="1" applyProtection="1">
      <alignment horizontal="center"/>
      <protection hidden="1"/>
    </xf>
    <xf numFmtId="0" fontId="5" fillId="0" borderId="7" xfId="0" applyFont="1" applyBorder="1" applyProtection="1">
      <protection hidden="1"/>
    </xf>
    <xf numFmtId="0" fontId="5" fillId="0" borderId="9" xfId="0" applyFont="1" applyBorder="1" applyProtection="1">
      <protection hidden="1"/>
    </xf>
    <xf numFmtId="0" fontId="0" fillId="0" borderId="0" xfId="0" applyFill="1" applyBorder="1" applyAlignment="1" applyProtection="1">
      <alignment vertical="center" wrapText="1"/>
      <protection hidden="1"/>
    </xf>
    <xf numFmtId="180" fontId="74" fillId="0" borderId="0" xfId="0" applyNumberFormat="1" applyFont="1" applyFill="1" applyBorder="1" applyAlignment="1" applyProtection="1">
      <alignment horizontal="center"/>
      <protection hidden="1"/>
    </xf>
    <xf numFmtId="0" fontId="43" fillId="0" borderId="0" xfId="0" applyFont="1" applyFill="1" applyBorder="1" applyAlignment="1" applyProtection="1">
      <alignment horizontal="center"/>
      <protection hidden="1"/>
    </xf>
    <xf numFmtId="0" fontId="40" fillId="0" borderId="72" xfId="0" applyFont="1" applyFill="1" applyBorder="1" applyAlignment="1" applyProtection="1">
      <alignment horizontal="center" vertical="center"/>
      <protection hidden="1"/>
    </xf>
    <xf numFmtId="0" fontId="0" fillId="0" borderId="72" xfId="0" applyBorder="1" applyAlignment="1" applyProtection="1">
      <alignment vertical="center"/>
      <protection hidden="1"/>
    </xf>
    <xf numFmtId="0" fontId="0" fillId="0" borderId="25" xfId="0" applyBorder="1" applyAlignment="1" applyProtection="1">
      <alignment vertical="center"/>
      <protection hidden="1"/>
    </xf>
    <xf numFmtId="0" fontId="40" fillId="0" borderId="75" xfId="0" applyFont="1" applyFill="1" applyBorder="1" applyAlignment="1" applyProtection="1">
      <alignment horizontal="center" vertical="center"/>
      <protection hidden="1"/>
    </xf>
    <xf numFmtId="0" fontId="40" fillId="0" borderId="4" xfId="0" applyFont="1" applyFill="1" applyBorder="1" applyAlignment="1" applyProtection="1">
      <alignment horizontal="center" vertical="center"/>
      <protection hidden="1"/>
    </xf>
    <xf numFmtId="0" fontId="40" fillId="0" borderId="66" xfId="0" applyFont="1" applyFill="1" applyBorder="1" applyAlignment="1" applyProtection="1">
      <alignment horizontal="center" vertical="center"/>
      <protection hidden="1"/>
    </xf>
    <xf numFmtId="0" fontId="43" fillId="0" borderId="0" xfId="0" applyFont="1" applyFill="1" applyAlignment="1" applyProtection="1">
      <alignment horizontal="center"/>
      <protection hidden="1"/>
    </xf>
    <xf numFmtId="193" fontId="40" fillId="0" borderId="16" xfId="0" applyNumberFormat="1" applyFont="1" applyFill="1" applyBorder="1" applyAlignment="1" applyProtection="1">
      <alignment horizontal="center"/>
      <protection hidden="1"/>
    </xf>
    <xf numFmtId="193" fontId="40" fillId="0" borderId="40" xfId="0" applyNumberFormat="1" applyFont="1" applyFill="1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4" fillId="0" borderId="37" xfId="0" applyFont="1" applyFill="1" applyBorder="1" applyAlignment="1" applyProtection="1">
      <alignment horizontal="center" vertical="center" shrinkToFit="1"/>
      <protection hidden="1"/>
    </xf>
    <xf numFmtId="0" fontId="4" fillId="0" borderId="32" xfId="0" applyFont="1" applyFill="1" applyBorder="1" applyAlignment="1" applyProtection="1">
      <alignment horizontal="center" vertical="center" shrinkToFit="1"/>
      <protection hidden="1"/>
    </xf>
    <xf numFmtId="0" fontId="4" fillId="0" borderId="38" xfId="0" applyFont="1" applyFill="1" applyBorder="1" applyAlignment="1" applyProtection="1">
      <alignment horizontal="center" vertical="center" shrinkToFit="1"/>
      <protection hidden="1"/>
    </xf>
    <xf numFmtId="0" fontId="40" fillId="0" borderId="7" xfId="0" applyFont="1" applyFill="1" applyBorder="1" applyAlignment="1" applyProtection="1">
      <alignment horizontal="center" vertical="center" wrapText="1"/>
      <protection hidden="1"/>
    </xf>
    <xf numFmtId="0" fontId="40" fillId="0" borderId="9" xfId="0" applyFont="1" applyFill="1" applyBorder="1" applyAlignment="1" applyProtection="1">
      <alignment horizontal="center" vertical="center" wrapText="1"/>
      <protection hidden="1"/>
    </xf>
    <xf numFmtId="0" fontId="40" fillId="0" borderId="41" xfId="0" applyFont="1" applyBorder="1" applyAlignment="1" applyProtection="1">
      <alignment horizontal="center" vertical="center" textRotation="90"/>
      <protection hidden="1"/>
    </xf>
    <xf numFmtId="0" fontId="40" fillId="0" borderId="35" xfId="0" applyFont="1" applyBorder="1" applyAlignment="1" applyProtection="1">
      <alignment horizontal="center" vertical="center" textRotation="90"/>
      <protection hidden="1"/>
    </xf>
    <xf numFmtId="0" fontId="40" fillId="0" borderId="7" xfId="0" applyFont="1" applyBorder="1" applyAlignment="1" applyProtection="1">
      <alignment horizontal="center" vertical="center" textRotation="90" wrapText="1"/>
      <protection hidden="1"/>
    </xf>
    <xf numFmtId="0" fontId="40" fillId="0" borderId="8" xfId="0" applyFont="1" applyBorder="1" applyAlignment="1" applyProtection="1">
      <alignment horizontal="center" vertical="center" textRotation="90" wrapText="1"/>
      <protection hidden="1"/>
    </xf>
    <xf numFmtId="0" fontId="102" fillId="0" borderId="36" xfId="0" applyFont="1" applyFill="1" applyBorder="1" applyAlignment="1" applyProtection="1">
      <alignment horizontal="center" vertical="center" shrinkToFit="1"/>
      <protection locked="0" hidden="1"/>
    </xf>
    <xf numFmtId="0" fontId="84" fillId="0" borderId="36" xfId="0" applyFont="1" applyFill="1" applyBorder="1" applyAlignment="1" applyProtection="1">
      <alignment horizontal="center" vertical="center" shrinkToFit="1"/>
      <protection locked="0" hidden="1"/>
    </xf>
    <xf numFmtId="0" fontId="6" fillId="0" borderId="0" xfId="0" applyFont="1" applyFill="1" applyAlignment="1" applyProtection="1">
      <alignment horizontal="left"/>
      <protection hidden="1"/>
    </xf>
    <xf numFmtId="0" fontId="6" fillId="0" borderId="0" xfId="0" applyFont="1" applyFill="1" applyBorder="1" applyAlignment="1" applyProtection="1">
      <alignment horizontal="left"/>
      <protection hidden="1"/>
    </xf>
    <xf numFmtId="0" fontId="18" fillId="0" borderId="0" xfId="1" applyFont="1" applyFill="1" applyBorder="1" applyAlignment="1" applyProtection="1">
      <alignment vertical="center" wrapText="1"/>
      <protection hidden="1"/>
    </xf>
    <xf numFmtId="0" fontId="18" fillId="0" borderId="0" xfId="1" applyFill="1" applyBorder="1" applyAlignment="1" applyProtection="1">
      <alignment vertical="center" wrapText="1"/>
      <protection hidden="1"/>
    </xf>
    <xf numFmtId="0" fontId="0" fillId="0" borderId="41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0" fillId="0" borderId="40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58" xfId="0" applyBorder="1" applyAlignment="1" applyProtection="1">
      <alignment horizontal="center"/>
      <protection hidden="1"/>
    </xf>
    <xf numFmtId="0" fontId="0" fillId="0" borderId="37" xfId="0" applyBorder="1" applyAlignment="1" applyProtection="1">
      <alignment horizontal="center" vertical="center"/>
      <protection hidden="1"/>
    </xf>
    <xf numFmtId="0" fontId="0" fillId="0" borderId="32" xfId="0" applyBorder="1" applyAlignment="1" applyProtection="1">
      <alignment horizontal="center" vertical="center"/>
      <protection hidden="1"/>
    </xf>
    <xf numFmtId="0" fontId="0" fillId="0" borderId="38" xfId="0" applyBorder="1" applyAlignment="1" applyProtection="1">
      <alignment horizontal="center" vertical="center"/>
      <protection hidden="1"/>
    </xf>
    <xf numFmtId="0" fontId="40" fillId="0" borderId="16" xfId="0" applyFont="1" applyFill="1" applyBorder="1" applyAlignment="1" applyProtection="1">
      <alignment horizontal="center"/>
      <protection hidden="1"/>
    </xf>
    <xf numFmtId="180" fontId="47" fillId="0" borderId="0" xfId="0" applyNumberFormat="1" applyFont="1" applyFill="1" applyBorder="1" applyAlignment="1" applyProtection="1">
      <alignment horizontal="center" shrinkToFit="1"/>
      <protection hidden="1"/>
    </xf>
    <xf numFmtId="0" fontId="39" fillId="0" borderId="0" xfId="0" applyFont="1" applyBorder="1" applyAlignment="1" applyProtection="1">
      <alignment horizontal="center" vertical="center" shrinkToFit="1"/>
      <protection locked="0" hidden="1"/>
    </xf>
    <xf numFmtId="0" fontId="9" fillId="0" borderId="0" xfId="0" applyFont="1" applyBorder="1" applyAlignment="1" applyProtection="1">
      <alignment horizontal="center"/>
      <protection hidden="1"/>
    </xf>
    <xf numFmtId="180" fontId="47" fillId="0" borderId="0" xfId="0" applyNumberFormat="1" applyFont="1" applyFill="1" applyAlignment="1" applyProtection="1">
      <alignment horizontal="center"/>
      <protection hidden="1"/>
    </xf>
    <xf numFmtId="0" fontId="65" fillId="0" borderId="0" xfId="0" applyFont="1" applyAlignment="1" applyProtection="1">
      <alignment horizontal="right"/>
      <protection hidden="1"/>
    </xf>
    <xf numFmtId="0" fontId="39" fillId="0" borderId="0" xfId="0" applyFont="1" applyAlignment="1" applyProtection="1">
      <alignment horizontal="center" vertical="top"/>
      <protection locked="0" hidden="1"/>
    </xf>
    <xf numFmtId="0" fontId="9" fillId="0" borderId="0" xfId="0" applyFont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4" fillId="0" borderId="37" xfId="0" applyFont="1" applyFill="1" applyBorder="1" applyAlignment="1" applyProtection="1">
      <alignment horizontal="center"/>
      <protection hidden="1"/>
    </xf>
    <xf numFmtId="0" fontId="4" fillId="0" borderId="32" xfId="0" applyFont="1" applyFill="1" applyBorder="1" applyAlignment="1" applyProtection="1">
      <alignment horizontal="center"/>
      <protection hidden="1"/>
    </xf>
    <xf numFmtId="0" fontId="4" fillId="0" borderId="38" xfId="0" applyFont="1" applyFill="1" applyBorder="1" applyAlignment="1" applyProtection="1">
      <alignment horizontal="center"/>
      <protection hidden="1"/>
    </xf>
    <xf numFmtId="0" fontId="102" fillId="0" borderId="36" xfId="0" applyFont="1" applyFill="1" applyBorder="1" applyAlignment="1" applyProtection="1">
      <alignment horizontal="center" vertical="center"/>
      <protection locked="0" hidden="1"/>
    </xf>
    <xf numFmtId="0" fontId="84" fillId="0" borderId="36" xfId="0" applyFont="1" applyFill="1" applyBorder="1" applyAlignment="1" applyProtection="1">
      <alignment horizontal="center" vertical="center"/>
      <protection locked="0" hidden="1"/>
    </xf>
    <xf numFmtId="0" fontId="40" fillId="0" borderId="2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03" fillId="0" borderId="36" xfId="0" applyFont="1" applyFill="1" applyBorder="1" applyAlignment="1" applyProtection="1">
      <alignment horizontal="center" vertical="center"/>
      <protection locked="0" hidden="1"/>
    </xf>
    <xf numFmtId="0" fontId="104" fillId="0" borderId="36" xfId="0" applyFont="1" applyFill="1" applyBorder="1" applyAlignment="1" applyProtection="1">
      <alignment horizontal="center" vertical="center"/>
      <protection locked="0" hidden="1"/>
    </xf>
    <xf numFmtId="0" fontId="40" fillId="0" borderId="9" xfId="0" applyFont="1" applyFill="1" applyBorder="1" applyAlignment="1" applyProtection="1">
      <alignment horizontal="center" vertical="center"/>
      <protection hidden="1"/>
    </xf>
    <xf numFmtId="0" fontId="40" fillId="0" borderId="7" xfId="0" applyFont="1" applyBorder="1" applyAlignment="1" applyProtection="1">
      <alignment horizontal="center" vertical="center" textRotation="90"/>
      <protection hidden="1"/>
    </xf>
    <xf numFmtId="0" fontId="40" fillId="0" borderId="9" xfId="0" applyFont="1" applyBorder="1" applyAlignment="1" applyProtection="1">
      <alignment horizontal="center" vertical="center" textRotation="90"/>
      <protection hidden="1"/>
    </xf>
    <xf numFmtId="0" fontId="40" fillId="0" borderId="2" xfId="0" applyFont="1" applyFill="1" applyBorder="1" applyAlignment="1" applyProtection="1">
      <alignment horizontal="center" vertical="center"/>
      <protection hidden="1"/>
    </xf>
    <xf numFmtId="0" fontId="40" fillId="0" borderId="16" xfId="0" applyFont="1" applyFill="1" applyBorder="1" applyAlignment="1" applyProtection="1">
      <alignment horizontal="center" shrinkToFit="1"/>
      <protection hidden="1"/>
    </xf>
    <xf numFmtId="0" fontId="0" fillId="0" borderId="17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16" xfId="0" applyFill="1" applyBorder="1" applyProtection="1">
      <protection hidden="1"/>
    </xf>
    <xf numFmtId="0" fontId="0" fillId="0" borderId="95" xfId="0" applyFill="1" applyBorder="1" applyAlignment="1" applyProtection="1">
      <alignment horizontal="center"/>
      <protection hidden="1"/>
    </xf>
    <xf numFmtId="180" fontId="0" fillId="0" borderId="0" xfId="0" applyNumberFormat="1" applyFill="1" applyAlignment="1" applyProtection="1">
      <alignment horizontal="center"/>
      <protection hidden="1"/>
    </xf>
    <xf numFmtId="0" fontId="65" fillId="0" borderId="0" xfId="0" applyFont="1" applyFill="1" applyAlignment="1" applyProtection="1">
      <alignment horizontal="right"/>
      <protection hidden="1"/>
    </xf>
    <xf numFmtId="0" fontId="39" fillId="0" borderId="0" xfId="0" applyFont="1" applyFill="1" applyAlignment="1" applyProtection="1">
      <alignment horizontal="center" vertical="top"/>
      <protection locked="0" hidden="1"/>
    </xf>
    <xf numFmtId="0" fontId="9" fillId="0" borderId="0" xfId="0" applyFont="1" applyFill="1" applyAlignment="1" applyProtection="1">
      <alignment horizontal="center"/>
      <protection hidden="1"/>
    </xf>
    <xf numFmtId="0" fontId="40" fillId="0" borderId="7" xfId="0" applyFont="1" applyFill="1" applyBorder="1" applyAlignment="1" applyProtection="1">
      <alignment horizontal="center" vertical="center" textRotation="90"/>
      <protection hidden="1"/>
    </xf>
    <xf numFmtId="0" fontId="40" fillId="0" borderId="9" xfId="0" applyFont="1" applyFill="1" applyBorder="1" applyAlignment="1" applyProtection="1">
      <alignment horizontal="center" vertical="center" textRotation="90"/>
      <protection hidden="1"/>
    </xf>
    <xf numFmtId="0" fontId="76" fillId="0" borderId="0" xfId="0" applyFont="1" applyAlignment="1">
      <alignment horizontal="center"/>
    </xf>
    <xf numFmtId="0" fontId="135" fillId="0" borderId="0" xfId="0" applyFont="1" applyAlignment="1">
      <alignment horizontal="right"/>
    </xf>
    <xf numFmtId="0" fontId="135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135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76" fillId="0" borderId="0" xfId="0" applyFont="1" applyAlignment="1">
      <alignment horizontal="left"/>
    </xf>
    <xf numFmtId="0" fontId="0" fillId="0" borderId="3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2" fontId="0" fillId="0" borderId="11" xfId="0" applyNumberFormat="1" applyBorder="1" applyAlignment="1">
      <alignment horizontal="center" vertical="center"/>
    </xf>
    <xf numFmtId="172" fontId="0" fillId="0" borderId="13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68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180" fontId="73" fillId="0" borderId="0" xfId="1" applyNumberFormat="1" applyFont="1" applyFill="1" applyBorder="1" applyAlignment="1" applyProtection="1">
      <alignment horizontal="center" vertical="top"/>
      <protection hidden="1"/>
    </xf>
    <xf numFmtId="180" fontId="134" fillId="0" borderId="0" xfId="0" applyNumberFormat="1" applyFont="1" applyFill="1" applyBorder="1" applyAlignment="1" applyProtection="1">
      <alignment horizontal="center" vertical="top"/>
      <protection locked="0" hidden="1"/>
    </xf>
    <xf numFmtId="0" fontId="72" fillId="0" borderId="0" xfId="0" applyFont="1" applyAlignment="1">
      <alignment horizontal="center" vertical="top" wrapText="1"/>
    </xf>
    <xf numFmtId="0" fontId="0" fillId="0" borderId="0" xfId="0" applyAlignment="1">
      <alignment horizontal="left" wrapText="1"/>
    </xf>
    <xf numFmtId="0" fontId="72" fillId="0" borderId="0" xfId="0" applyFont="1" applyBorder="1" applyAlignment="1">
      <alignment horizontal="left"/>
    </xf>
    <xf numFmtId="0" fontId="72" fillId="0" borderId="0" xfId="0" applyFont="1" applyAlignment="1">
      <alignment horizontal="left"/>
    </xf>
    <xf numFmtId="0" fontId="133" fillId="0" borderId="0" xfId="0" applyFont="1" applyAlignment="1" applyProtection="1">
      <alignment horizontal="center"/>
      <protection hidden="1"/>
    </xf>
    <xf numFmtId="0" fontId="13" fillId="0" borderId="0" xfId="0" applyFont="1" applyFill="1" applyAlignment="1" applyProtection="1">
      <alignment horizontal="center"/>
      <protection hidden="1"/>
    </xf>
    <xf numFmtId="0" fontId="135" fillId="0" borderId="12" xfId="0" applyFont="1" applyBorder="1" applyAlignment="1">
      <alignment horizontal="center"/>
    </xf>
    <xf numFmtId="0" fontId="42" fillId="0" borderId="0" xfId="0" applyFont="1" applyAlignment="1">
      <alignment horizontal="center" wrapText="1"/>
    </xf>
    <xf numFmtId="0" fontId="42" fillId="0" borderId="0" xfId="0" applyFont="1" applyAlignment="1">
      <alignment horizontal="center"/>
    </xf>
    <xf numFmtId="0" fontId="79" fillId="0" borderId="0" xfId="0" applyFont="1" applyAlignment="1">
      <alignment horizontal="center" wrapText="1"/>
    </xf>
    <xf numFmtId="0" fontId="79" fillId="0" borderId="0" xfId="0" applyFont="1" applyAlignment="1">
      <alignment horizontal="center"/>
    </xf>
    <xf numFmtId="0" fontId="118" fillId="0" borderId="0" xfId="3" applyFont="1" applyAlignment="1" applyProtection="1">
      <alignment horizontal="center" vertical="center"/>
      <protection locked="0"/>
    </xf>
    <xf numFmtId="0" fontId="119" fillId="0" borderId="0" xfId="3" applyFont="1" applyAlignment="1" applyProtection="1">
      <alignment horizontal="center" vertical="center"/>
    </xf>
    <xf numFmtId="0" fontId="126" fillId="4" borderId="0" xfId="3" applyFont="1" applyFill="1" applyAlignment="1" applyProtection="1">
      <alignment horizontal="center" vertical="center"/>
    </xf>
    <xf numFmtId="0" fontId="126" fillId="4" borderId="0" xfId="3" applyFill="1" applyAlignment="1" applyProtection="1">
      <alignment horizontal="center" vertical="center"/>
    </xf>
    <xf numFmtId="0" fontId="126" fillId="4" borderId="0" xfId="3" quotePrefix="1" applyFont="1" applyFill="1" applyAlignment="1" applyProtection="1">
      <alignment horizontal="center" vertical="center"/>
    </xf>
    <xf numFmtId="0" fontId="121" fillId="0" borderId="1" xfId="3" applyFont="1" applyBorder="1" applyAlignment="1" applyProtection="1">
      <alignment horizontal="center" vertical="center" wrapText="1"/>
    </xf>
    <xf numFmtId="0" fontId="122" fillId="0" borderId="1" xfId="3" applyFont="1" applyBorder="1" applyAlignment="1" applyProtection="1">
      <alignment horizontal="center" vertical="center"/>
    </xf>
    <xf numFmtId="0" fontId="121" fillId="0" borderId="1" xfId="3" applyFont="1" applyBorder="1" applyAlignment="1" applyProtection="1">
      <alignment horizontal="center" vertical="center"/>
    </xf>
    <xf numFmtId="180" fontId="128" fillId="0" borderId="0" xfId="3" applyNumberFormat="1" applyFont="1" applyFill="1" applyAlignment="1" applyProtection="1">
      <alignment horizontal="center" vertical="center"/>
    </xf>
    <xf numFmtId="180" fontId="129" fillId="0" borderId="0" xfId="3" applyNumberFormat="1" applyFont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shrinkToFit="1"/>
      <protection hidden="1"/>
    </xf>
    <xf numFmtId="0" fontId="40" fillId="0" borderId="9" xfId="0" applyFont="1" applyBorder="1" applyAlignment="1" applyProtection="1">
      <alignment horizontal="center" vertical="center" textRotation="90" wrapText="1"/>
      <protection hidden="1"/>
    </xf>
    <xf numFmtId="0" fontId="0" fillId="0" borderId="3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8" xfId="0" applyBorder="1" applyAlignment="1">
      <alignment horizontal="center"/>
    </xf>
  </cellXfs>
  <cellStyles count="5">
    <cellStyle name="Гиперссылка" xfId="1" builtinId="8"/>
    <cellStyle name="Обычный" xfId="0" builtinId="0"/>
    <cellStyle name="Обычный_Osz001" xfId="2"/>
    <cellStyle name="Обычный_Сводная ведомость" xfId="3"/>
    <cellStyle name="Финансовый" xfId="4" builtinId="3"/>
  </cellStyles>
  <dxfs count="52">
    <dxf>
      <font>
        <strike val="0"/>
        <condense val="0"/>
        <extend val="0"/>
        <color indexed="9"/>
      </font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</dxf>
    <dxf>
      <fill>
        <patternFill>
          <bgColor indexed="41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ont>
        <condense val="0"/>
        <extend val="0"/>
        <color indexed="9"/>
      </font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43"/>
      </font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  <fill>
        <patternFill>
          <bgColor indexed="9"/>
        </patternFill>
      </fill>
      <border>
        <left/>
        <right/>
        <top/>
        <bottom/>
      </border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4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'Блок ввода'!$E$43" fmlaRange="'Блок ввода'!$B$40:$B$62" sel="15" val="12"/>
</file>

<file path=xl/ctrlProps/ctrlProp2.xml><?xml version="1.0" encoding="utf-8"?>
<formControlPr xmlns="http://schemas.microsoft.com/office/spreadsheetml/2009/9/main" objectType="Drop" dropStyle="combo" dx="22" fmlaLink="'Блок ввода'!$E$46" fmlaRange="'Блок ввода'!$B$40:$B$62" sel="16" val="15"/>
</file>

<file path=xl/ctrlProps/ctrlProp3.xml><?xml version="1.0" encoding="utf-8"?>
<formControlPr xmlns="http://schemas.microsoft.com/office/spreadsheetml/2009/9/main" objectType="Drop" dropStyle="combo" dx="22" fmlaLink="'Блок ввода'!$E$49" fmlaRange="'Блок ввода'!$B$40:$B$62" sel="16" val="15"/>
</file>

<file path=xl/ctrlProps/ctrlProp4.xml><?xml version="1.0" encoding="utf-8"?>
<formControlPr xmlns="http://schemas.microsoft.com/office/spreadsheetml/2009/9/main" objectType="Drop" dropStyle="combo" dx="22" fmlaLink="'Блок ввода'!$E$52" fmlaRange="'Блок ввода'!$B$40:$B$62" sel="1" val="0"/>
</file>

<file path=xl/ctrlProps/ctrlProp5.xml><?xml version="1.0" encoding="utf-8"?>
<formControlPr xmlns="http://schemas.microsoft.com/office/spreadsheetml/2009/9/main" objectType="Drop" dropStyle="combo" dx="22" fmlaLink="'Блок ввода'!$E$58" fmlaRange="'Блок ввода'!$B$40:$B$62" sel="9" val="8"/>
</file>

<file path=xl/ctrlProps/ctrlProp6.xml><?xml version="1.0" encoding="utf-8"?>
<formControlPr xmlns="http://schemas.microsoft.com/office/spreadsheetml/2009/9/main" objectType="Drop" dropStyle="combo" dx="22" fmlaLink="'Блок ввода'!$E$55" fmlaRange="'Блок ввода'!$B$40:$B$62" sel="19" val="15"/>
</file>

<file path=xl/ctrlProps/ctrlProp7.xml><?xml version="1.0" encoding="utf-8"?>
<formControlPr xmlns="http://schemas.microsoft.com/office/spreadsheetml/2009/9/main" objectType="Drop" dropStyle="combo" dx="22" fmlaLink="'Блок ввода'!$E$76" fmlaRange="'Блок ввода'!$B$68:$B$93" sel="21" val="18"/>
</file>

<file path=xl/ctrlProps/ctrlProp8.xml><?xml version="1.0" encoding="utf-8"?>
<formControlPr xmlns="http://schemas.microsoft.com/office/spreadsheetml/2009/9/main" objectType="Drop" dropStyle="combo" dx="22" fmlaLink="'Блок ввода'!$E$80" fmlaRange="'Блок ввода'!$B$68:$B$93" sel="20" val="18"/>
</file>

<file path=xl/ctrlProps/ctrlProp9.xml><?xml version="1.0" encoding="utf-8"?>
<formControlPr xmlns="http://schemas.microsoft.com/office/spreadsheetml/2009/9/main" objectType="Drop" dropStyle="combo" dx="22" fmlaLink="'Блок ввода'!$E$84" fmlaRange="'Блок ввода'!$B$68:$B$93" sel="22" val="18"/>
</file>

<file path=xl/ctrlProps/ctrlProp10.xml><?xml version="1.0" encoding="utf-8"?>
<formControlPr xmlns="http://schemas.microsoft.com/office/spreadsheetml/2009/9/main" objectType="Drop" dropStyle="combo" dx="22" fmlaLink="'Блок ввода'!$E$88" fmlaRange="'Блок ввода'!$B$68:$B$93" sel="21" val="16"/>
</file>

<file path=xl/ctrlProps/ctrlProp11.xml><?xml version="1.0" encoding="utf-8"?>
<formControlPr xmlns="http://schemas.microsoft.com/office/spreadsheetml/2009/9/main" objectType="Drop" dropStyle="combo" dx="22" fmlaLink="'Блок ввода'!$E$92" fmlaRange="'Блок ввода'!$B$68:$B$93" sel="19" val="18"/>
</file>

<file path=xl/ctrlProps/ctrlProp12.xml><?xml version="1.0" encoding="utf-8"?>
<formControlPr xmlns="http://schemas.microsoft.com/office/spreadsheetml/2009/9/main" objectType="Drop" dropStyle="combo" dx="22" fmlaLink="'Блок ввода'!$E$96" fmlaRange="'Блок ввода'!$B$68:$B$93" sel="1" val="0"/>
</file>

<file path=xl/ctrlProps/ctrlProp13.xml><?xml version="1.0" encoding="utf-8"?>
<formControlPr xmlns="http://schemas.microsoft.com/office/spreadsheetml/2009/9/main" objectType="Drop" dropStyle="combo" dx="22" fmlaLink="'Блок ввода'!$E$100" fmlaRange="'Блок ввода'!$B$68:$B$93" sel="19" val="18"/>
</file>

<file path=xl/ctrlProps/ctrlProp14.xml><?xml version="1.0" encoding="utf-8"?>
<formControlPr xmlns="http://schemas.microsoft.com/office/spreadsheetml/2009/9/main" objectType="Drop" dropStyle="combo" dx="22" fmlaLink="'Блок ввода'!$E$104" fmlaRange="'Блок ввода'!$B$68:$B$93" sel="19" val="18"/>
</file>

<file path=xl/ctrlProps/ctrlProp15.xml><?xml version="1.0" encoding="utf-8"?>
<formControlPr xmlns="http://schemas.microsoft.com/office/spreadsheetml/2009/9/main" objectType="Drop" dropStyle="combo" dx="22" fmlaLink="'Блок ввода'!$E$108" fmlaRange="'Блок ввода'!$B$68:$B$93" sel="4" val="2"/>
</file>

<file path=xl/ctrlProps/ctrlProp16.xml><?xml version="1.0" encoding="utf-8"?>
<formControlPr xmlns="http://schemas.microsoft.com/office/spreadsheetml/2009/9/main" objectType="Drop" dropStyle="combo" dx="22" fmlaLink="'Блок ввода'!$E$112" fmlaRange="'Блок ввода'!$B$68:$B$93" sel="2" val="0"/>
</file>

<file path=xl/ctrlProps/ctrlProp17.xml><?xml version="1.0" encoding="utf-8"?>
<formControlPr xmlns="http://schemas.microsoft.com/office/spreadsheetml/2009/9/main" objectType="Drop" dropStyle="combo" dx="22" fmlaLink="'Блок ввода'!$E$116" fmlaRange="'Блок ввода'!$B$68:$B$93" sel="1" val="0"/>
</file>

<file path=xl/ctrlProps/ctrlProp18.xml><?xml version="1.0" encoding="utf-8"?>
<formControlPr xmlns="http://schemas.microsoft.com/office/spreadsheetml/2009/9/main" objectType="Drop" dropStyle="combo" dx="22" fmlaLink="'Блок ввода'!$E$120" fmlaRange="'Блок ввода'!$B$68:$B$93" sel="1" val="0"/>
</file>

<file path=xl/ctrlProps/ctrlProp19.xml><?xml version="1.0" encoding="utf-8"?>
<formControlPr xmlns="http://schemas.microsoft.com/office/spreadsheetml/2009/9/main" objectType="Drop" dropStyle="combo" dx="22" fmlaLink="'Блок ввода'!$E$148" fmlaRange="'Блок ввода'!$B$138:$B$167" sel="1" val="0"/>
</file>

<file path=xl/ctrlProps/ctrlProp20.xml><?xml version="1.0" encoding="utf-8"?>
<formControlPr xmlns="http://schemas.microsoft.com/office/spreadsheetml/2009/9/main" objectType="Drop" dropStyle="combo" dx="22" fmlaLink="'Блок ввода'!$E$153" fmlaRange="'Блок ввода'!$B$138:$B$169" sel="25" val="21"/>
</file>

<file path=xl/ctrlProps/ctrlProp21.xml><?xml version="1.0" encoding="utf-8"?>
<formControlPr xmlns="http://schemas.microsoft.com/office/spreadsheetml/2009/9/main" objectType="Drop" dropStyle="combo" dx="22" fmlaLink="'Блок ввода'!$E$158" fmlaRange="'Блок ввода'!$B$138:$B$167" sel="1" val="0"/>
</file>

<file path=xl/ctrlProps/ctrlProp22.xml><?xml version="1.0" encoding="utf-8"?>
<formControlPr xmlns="http://schemas.microsoft.com/office/spreadsheetml/2009/9/main" objectType="Drop" dropStyle="combo" dx="22" fmlaLink="'Блок ввода'!$E$163" fmlaRange="'Блок ввода'!$B$138:$B$169" sel="21" val="19"/>
</file>

<file path=xl/ctrlProps/ctrlProp23.xml><?xml version="1.0" encoding="utf-8"?>
<formControlPr xmlns="http://schemas.microsoft.com/office/spreadsheetml/2009/9/main" objectType="Drop" dropStyle="combo" dx="22" fmlaLink="'Блок ввода'!$E$168" fmlaRange="'Блок ввода'!$B$138:$B$167" sel="1" val="0"/>
</file>

<file path=xl/ctrlProps/ctrlProp24.xml><?xml version="1.0" encoding="utf-8"?>
<formControlPr xmlns="http://schemas.microsoft.com/office/spreadsheetml/2009/9/main" objectType="Drop" dropStyle="combo" dx="22" fmlaLink="'Блок ввода'!$E$173" fmlaRange="'Блок ввода'!$B$138:$B$169" sel="21" val="15"/>
</file>

<file path=xl/ctrlProps/ctrlProp25.xml><?xml version="1.0" encoding="utf-8"?>
<formControlPr xmlns="http://schemas.microsoft.com/office/spreadsheetml/2009/9/main" objectType="Drop" dropStyle="combo" dx="22" fmlaLink="'Блок ввода'!$E$178" fmlaRange="'Блок ввода'!$B$138:$B$167" sel="1" val="0"/>
</file>

<file path=xl/ctrlProps/ctrlProp26.xml><?xml version="1.0" encoding="utf-8"?>
<formControlPr xmlns="http://schemas.microsoft.com/office/spreadsheetml/2009/9/main" objectType="Drop" dropStyle="combo" dx="22" fmlaLink="'Блок ввода'!$E$183" fmlaRange="'Блок ввода'!$B$138:$B$169" sel="23" val="19"/>
</file>

<file path=xl/ctrlProps/ctrlProp27.xml><?xml version="1.0" encoding="utf-8"?>
<formControlPr xmlns="http://schemas.microsoft.com/office/spreadsheetml/2009/9/main" objectType="Drop" dropStyle="combo" dx="22" fmlaLink="'Блок ввода'!$E$188" fmlaRange="'Блок ввода'!$B$138:$B$167" sel="1" val="0"/>
</file>

<file path=xl/ctrlProps/ctrlProp28.xml><?xml version="1.0" encoding="utf-8"?>
<formControlPr xmlns="http://schemas.microsoft.com/office/spreadsheetml/2009/9/main" objectType="Drop" dropStyle="combo" dx="22" fmlaLink="'Блок ввода'!$E$193" fmlaRange="'Блок ввода'!$B$138:$B$169" sel="22" val="17"/>
</file>

<file path=xl/ctrlProps/ctrlProp29.xml><?xml version="1.0" encoding="utf-8"?>
<formControlPr xmlns="http://schemas.microsoft.com/office/spreadsheetml/2009/9/main" objectType="Drop" dropStyle="combo" dx="22" fmlaLink="'Блок ввода'!$E$198" fmlaRange="'Блок ввода'!$B$138:$B$167" sel="1" val="0"/>
</file>

<file path=xl/ctrlProps/ctrlProp30.xml><?xml version="1.0" encoding="utf-8"?>
<formControlPr xmlns="http://schemas.microsoft.com/office/spreadsheetml/2009/9/main" objectType="Drop" dropStyle="combo" dx="22" fmlaLink="'Блок ввода'!$E$203" fmlaRange="'Блок ввода'!$B$138:$B$169" sel="21" val="15"/>
</file>

<file path=xl/ctrlProps/ctrlProp31.xml><?xml version="1.0" encoding="utf-8"?>
<formControlPr xmlns="http://schemas.microsoft.com/office/spreadsheetml/2009/9/main" objectType="Drop" dropStyle="combo" dx="22" fmlaLink="'Блок ввода'!$I$148" fmlaRange="'Блок ввода'!$B$177:$B$197" sel="4"/>
</file>

<file path=xl/ctrlProps/ctrlProp32.xml><?xml version="1.0" encoding="utf-8"?>
<formControlPr xmlns="http://schemas.microsoft.com/office/spreadsheetml/2009/9/main" objectType="Drop" dropStyle="combo" dx="22" fmlaLink="'Блок ввода'!$I$153" fmlaRange="'Блок ввода'!$B$177:$B$195" sel="14" val="11"/>
</file>

<file path=xl/ctrlProps/ctrlProp33.xml><?xml version="1.0" encoding="utf-8"?>
<formControlPr xmlns="http://schemas.microsoft.com/office/spreadsheetml/2009/9/main" objectType="Drop" dropStyle="combo" dx="22" fmlaLink="'Блок ввода'!$I$158" fmlaRange="'Блок ввода'!$B$177:$B$197" sel="14" val="12"/>
</file>

<file path=xl/ctrlProps/ctrlProp34.xml><?xml version="1.0" encoding="utf-8"?>
<formControlPr xmlns="http://schemas.microsoft.com/office/spreadsheetml/2009/9/main" objectType="Drop" dropStyle="combo" dx="22" fmlaLink="'Блок ввода'!$I$163" fmlaRange="'Блок ввода'!$B$177:$B$195" sel="1" val="0"/>
</file>

<file path=xl/ctrlProps/ctrlProp35.xml><?xml version="1.0" encoding="utf-8"?>
<formControlPr xmlns="http://schemas.microsoft.com/office/spreadsheetml/2009/9/main" objectType="Drop" dropStyle="combo" dx="22" fmlaLink="'Блок ввода'!$I$168" fmlaRange="'Блок ввода'!$B$177:$B$197" sel="14" val="13"/>
</file>

<file path=xl/ctrlProps/ctrlProp36.xml><?xml version="1.0" encoding="utf-8"?>
<formControlPr xmlns="http://schemas.microsoft.com/office/spreadsheetml/2009/9/main" objectType="Drop" dropStyle="combo" dx="22" fmlaLink="'Блок ввода'!$I$173" fmlaRange="'Блок ввода'!$B$177:$B$195" sel="10" val="7"/>
</file>

<file path=xl/ctrlProps/ctrlProp37.xml><?xml version="1.0" encoding="utf-8"?>
<formControlPr xmlns="http://schemas.microsoft.com/office/spreadsheetml/2009/9/main" objectType="Drop" dropStyle="combo" dx="22" fmlaLink="'Блок ввода'!$I$178" fmlaRange="'Блок ввода'!$B$177:$B$197" sel="11" val="8"/>
</file>

<file path=xl/ctrlProps/ctrlProp38.xml><?xml version="1.0" encoding="utf-8"?>
<formControlPr xmlns="http://schemas.microsoft.com/office/spreadsheetml/2009/9/main" objectType="Drop" dropStyle="combo" dx="22" fmlaLink="'Блок ввода'!$I$183" fmlaRange="'Блок ввода'!$B$177:$B$195" sel="1" val="0"/>
</file>

<file path=xl/ctrlProps/ctrlProp39.xml><?xml version="1.0" encoding="utf-8"?>
<formControlPr xmlns="http://schemas.microsoft.com/office/spreadsheetml/2009/9/main" objectType="Drop" dropStyle="combo" dx="22" fmlaLink="'Блок ввода'!$I$188" fmlaRange="'Блок ввода'!$B$177:$B$197" sel="8" val="6"/>
</file>

<file path=xl/ctrlProps/ctrlProp40.xml><?xml version="1.0" encoding="utf-8"?>
<formControlPr xmlns="http://schemas.microsoft.com/office/spreadsheetml/2009/9/main" objectType="Drop" dropStyle="combo" dx="22" fmlaLink="'Блок ввода'!$I$193" fmlaRange="'Блок ввода'!$B$177:$B$195" sel="10" val="6"/>
</file>

<file path=xl/ctrlProps/ctrlProp41.xml><?xml version="1.0" encoding="utf-8"?>
<formControlPr xmlns="http://schemas.microsoft.com/office/spreadsheetml/2009/9/main" objectType="Drop" dropStyle="combo" dx="22" fmlaLink="'Блок ввода'!$I$198" fmlaRange="'Блок ввода'!$B$177:$B$197" sel="9" val="6"/>
</file>

<file path=xl/ctrlProps/ctrlProp42.xml><?xml version="1.0" encoding="utf-8"?>
<formControlPr xmlns="http://schemas.microsoft.com/office/spreadsheetml/2009/9/main" objectType="Drop" dropStyle="combo" dx="22" fmlaLink="'Блок ввода'!$I$203" fmlaRange="'Блок ввода'!$B$177:$B$195" sel="1" val="0"/>
</file>

<file path=xl/ctrlProps/ctrlProp43.xml><?xml version="1.0" encoding="utf-8"?>
<formControlPr xmlns="http://schemas.microsoft.com/office/spreadsheetml/2009/9/main" objectType="Drop" dropStyle="combo" dx="22" fmlaLink="'Блок ввода'!$N$148" fmlaRange="'Блок ввода'!$U$36:$U$46" sel="4" val="3"/>
</file>

<file path=xl/ctrlProps/ctrlProp44.xml><?xml version="1.0" encoding="utf-8"?>
<formControlPr xmlns="http://schemas.microsoft.com/office/spreadsheetml/2009/9/main" objectType="Drop" dropStyle="combo" dx="22" fmlaLink="'Блок ввода'!$N$153" fmlaRange="'Блок ввода'!$V$36:$V$48" sel="2" val="0"/>
</file>

<file path=xl/ctrlProps/ctrlProp45.xml><?xml version="1.0" encoding="utf-8"?>
<formControlPr xmlns="http://schemas.microsoft.com/office/spreadsheetml/2009/9/main" objectType="Drop" dropStyle="combo" dx="22" fmlaLink="'Блок ввода'!$N$163" fmlaRange="'Блок ввода'!$V$50:$V$62" sel="3" val="0"/>
</file>

<file path=xl/ctrlProps/ctrlProp46.xml><?xml version="1.0" encoding="utf-8"?>
<formControlPr xmlns="http://schemas.microsoft.com/office/spreadsheetml/2009/9/main" objectType="Drop" dropStyle="combo" dx="22" fmlaLink="'Блок ввода'!$N$168" fmlaRange="'Блок ввода'!$U$64:$U$76" sel="6"/>
</file>

<file path=xl/ctrlProps/ctrlProp47.xml><?xml version="1.0" encoding="utf-8"?>
<formControlPr xmlns="http://schemas.microsoft.com/office/spreadsheetml/2009/9/main" objectType="Drop" dropStyle="combo" dx="22" fmlaLink="'Блок ввода'!$N$173" fmlaRange="'Блок ввода'!$V$64:$V$76" sel="1" val="0"/>
</file>

<file path=xl/ctrlProps/ctrlProp48.xml><?xml version="1.0" encoding="utf-8"?>
<formControlPr xmlns="http://schemas.microsoft.com/office/spreadsheetml/2009/9/main" objectType="Drop" dropStyle="combo" dx="22" fmlaLink="'Блок ввода'!$N$178" fmlaRange="'Блок ввода'!$U$78:$U$90" sel="3"/>
</file>

<file path=xl/ctrlProps/ctrlProp49.xml><?xml version="1.0" encoding="utf-8"?>
<formControlPr xmlns="http://schemas.microsoft.com/office/spreadsheetml/2009/9/main" objectType="Drop" dropStyle="combo" dx="22" fmlaLink="'Блок ввода'!$N$183" fmlaRange="'Блок ввода'!$V$78:$V$90" sel="1" val="0"/>
</file>

<file path=xl/ctrlProps/ctrlProp50.xml><?xml version="1.0" encoding="utf-8"?>
<formControlPr xmlns="http://schemas.microsoft.com/office/spreadsheetml/2009/9/main" objectType="Drop" dropStyle="combo" dx="22" fmlaLink="'Блок ввода'!$N$188" fmlaRange="'Блок ввода'!$U$92:$U$104" sel="5"/>
</file>

<file path=xl/ctrlProps/ctrlProp51.xml><?xml version="1.0" encoding="utf-8"?>
<formControlPr xmlns="http://schemas.microsoft.com/office/spreadsheetml/2009/9/main" objectType="Drop" dropStyle="combo" dx="22" fmlaLink="'Блок ввода'!$N$193" fmlaRange="'Блок ввода'!$V$92:$V$104" sel="3" val="0"/>
</file>

<file path=xl/ctrlProps/ctrlProp52.xml><?xml version="1.0" encoding="utf-8"?>
<formControlPr xmlns="http://schemas.microsoft.com/office/spreadsheetml/2009/9/main" objectType="Drop" dropStyle="combo" dx="22" fmlaLink="'Блок ввода'!$N$203" fmlaRange="'Блок ввода'!$V$106:$V$118" sel="2" val="0"/>
</file>

<file path=xl/ctrlProps/ctrlProp53.xml><?xml version="1.0" encoding="utf-8"?>
<formControlPr xmlns="http://schemas.microsoft.com/office/spreadsheetml/2009/9/main" objectType="Drop" dropStyle="combo" dx="22" fmlaLink="'Блок ввода'!$N$198" fmlaRange="'Блок ввода'!$U$106:$U$118" sel="3"/>
</file>

<file path=xl/ctrlProps/ctrlProp54.xml><?xml version="1.0" encoding="utf-8"?>
<formControlPr xmlns="http://schemas.microsoft.com/office/spreadsheetml/2009/9/main" objectType="Drop" dropStyle="combo" dx="22" fmlaLink="'Блок ввода'!$N$158" fmlaRange="'Блок ввода'!$U$50:$U$62" sel="4" val="2"/>
</file>

<file path=xl/ctrlProps/ctrlProp55.xml><?xml version="1.0" encoding="utf-8"?>
<formControlPr xmlns="http://schemas.microsoft.com/office/spreadsheetml/2009/9/main" objectType="Drop" dropStyle="combo" dx="22" fmlaLink="'Блок ввода'!$R$144" fmlaRange="'Блок ввода'!$B$138:$B$156" sel="8" val="0"/>
</file>

<file path=xl/ctrlProps/ctrlProp56.xml><?xml version="1.0" encoding="utf-8"?>
<formControlPr xmlns="http://schemas.microsoft.com/office/spreadsheetml/2009/9/main" objectType="Drop" dropStyle="combo" dx="22" fmlaLink="'Блок ввода'!$E$138" fmlaRange="'Блок ввода'!$B$138:$B$171" sel="30" val="26"/>
</file>

<file path=xl/ctrlProps/ctrlProp57.xml><?xml version="1.0" encoding="utf-8"?>
<formControlPr xmlns="http://schemas.microsoft.com/office/spreadsheetml/2009/9/main" objectType="Drop" dropStyle="combo" dx="22" fmlaLink="'Блок ввода'!$I$138" fmlaRange="'Блок ввода'!$B$177:$B$197" sel="1" val="0"/>
</file>

<file path=xl/ctrlProps/ctrlProp58.xml><?xml version="1.0" encoding="utf-8"?>
<formControlPr xmlns="http://schemas.microsoft.com/office/spreadsheetml/2009/9/main" objectType="Drop" dropLines="6" dropStyle="combo" dx="22" fmlaLink="'Блок ввода'!$N$138" fmlaRange="'Блок ввода'!$U$22:$U$27" sel="6" val="0"/>
</file>

<file path=xl/ctrlProps/ctrlProp59.xml><?xml version="1.0" encoding="utf-8"?>
<formControlPr xmlns="http://schemas.microsoft.com/office/spreadsheetml/2009/9/main" objectType="Drop" dropStyle="combo" dx="22" fmlaLink="'Блок ввода'!$E$40" fmlaRange="'Блок ввода'!$B$40:$B$62" sel="20" val="15"/>
</file>

<file path=xl/ctrlProps/ctrlProp60.xml><?xml version="1.0" encoding="utf-8"?>
<formControlPr xmlns="http://schemas.microsoft.com/office/spreadsheetml/2009/9/main" objectType="Drop" dropStyle="combo" dx="22" fmlaLink="'Блок ввода'!$E$68" fmlaRange="'Блок ввода'!$B$68:$B$93" sel="21" val="17"/>
</file>

<file path=xl/ctrlProps/ctrlProp61.xml><?xml version="1.0" encoding="utf-8"?>
<formControlPr xmlns="http://schemas.microsoft.com/office/spreadsheetml/2009/9/main" objectType="Drop" dropStyle="combo" dx="22" fmlaLink="'Блок ввода'!$E$72" fmlaRange="'Блок ввода'!$B$68:$B$93" sel="22" val="16"/>
</file>

<file path=xl/ctrlProps/ctrlProp62.xml><?xml version="1.0" encoding="utf-8"?>
<formControlPr xmlns="http://schemas.microsoft.com/office/spreadsheetml/2009/9/main" objectType="Drop" dropStyle="combo" dx="22" fmlaLink="'Блок ввода'!$E$143" fmlaRange="'Блок ввода'!$B$138:$B$169" sel="22" val="20"/>
</file>

<file path=xl/ctrlProps/ctrlProp63.xml><?xml version="1.0" encoding="utf-8"?>
<formControlPr xmlns="http://schemas.microsoft.com/office/spreadsheetml/2009/9/main" objectType="Drop" dropStyle="combo" dx="22" fmlaLink="'Блок ввода'!$I$143" fmlaRange="'Блок ввода'!$B$177:$B$195" sel="1" val="8"/>
</file>

<file path=xl/ctrlProps/ctrlProp64.xml><?xml version="1.0" encoding="utf-8"?>
<formControlPr xmlns="http://schemas.microsoft.com/office/spreadsheetml/2009/9/main" objectType="Drop" dropStyle="combo" dx="22" fmlaLink="'Блок ввода'!$N$143" fmlaRange="'Блок ввода'!$V$22:$V$34" sel="3"/>
</file>

<file path=xl/ctrlProps/ctrlProp65.xml><?xml version="1.0" encoding="utf-8"?>
<formControlPr xmlns="http://schemas.microsoft.com/office/spreadsheetml/2009/9/main" objectType="Drop" dropStyle="combo" dx="22" fmlaLink="'Блок ввода'!$R$146" fmlaRange="'Блок ввода'!$P$128:$P$134" sel="1" val="0"/>
</file>

<file path=xl/ctrlProps/ctrlProp66.xml><?xml version="1.0" encoding="utf-8"?>
<formControlPr xmlns="http://schemas.microsoft.com/office/spreadsheetml/2009/9/main" objectType="Drop" dropStyle="combo" dx="22" fmlaLink="'Блок ввода'!$S$144" fmlaRange="'Блок ввода'!$B$177:$B$198" sel="2" val="0"/>
</file>

<file path=xl/ctrlProps/ctrlProp67.xml><?xml version="1.0" encoding="utf-8"?>
<formControlPr xmlns="http://schemas.microsoft.com/office/spreadsheetml/2009/9/main" objectType="Drop" dropStyle="combo" dx="22" fmlaLink="'Блок ввода'!$R$145" fmlaRange="'Блок ввода'!$B$138:$B$156" sel="1" val="0"/>
</file>

<file path=xl/ctrlProps/ctrlProp68.xml><?xml version="1.0" encoding="utf-8"?>
<formControlPr xmlns="http://schemas.microsoft.com/office/spreadsheetml/2009/9/main" objectType="Drop" dropStyle="combo" dx="22" fmlaLink="'Блок ввода'!$S$145" fmlaRange="'Блок ввода'!$B$177:$B$198" sel="14" val="11"/>
</file>

<file path=xl/ctrlProps/ctrlProp69.xml><?xml version="1.0" encoding="utf-8"?>
<formControlPr xmlns="http://schemas.microsoft.com/office/spreadsheetml/2009/9/main" objectType="Drop" dropStyle="combo" dx="22" fmlaLink="'Блок ввода'!$R$157" fmlaRange="'Блок ввода'!$B$138:$B$156" sel="6" val="3"/>
</file>

<file path=xl/ctrlProps/ctrlProp70.xml><?xml version="1.0" encoding="utf-8"?>
<formControlPr xmlns="http://schemas.microsoft.com/office/spreadsheetml/2009/9/main" objectType="Drop" dropStyle="combo" dx="22" fmlaLink="'Блок ввода'!$R$170" fmlaRange="'Блок ввода'!$B$138:$B$156" sel="1" val="0"/>
</file>

<file path=xl/ctrlProps/ctrlProp71.xml><?xml version="1.0" encoding="utf-8"?>
<formControlPr xmlns="http://schemas.microsoft.com/office/spreadsheetml/2009/9/main" objectType="Drop" dropStyle="combo" dx="22" fmlaLink="'Блок ввода'!$R$183" fmlaRange="'Блок ввода'!$B$138:$B$156" sel="1" val="0"/>
</file>

<file path=xl/ctrlProps/ctrlProp72.xml><?xml version="1.0" encoding="utf-8"?>
<formControlPr xmlns="http://schemas.microsoft.com/office/spreadsheetml/2009/9/main" objectType="Drop" dropStyle="combo" dx="22" fmlaLink="'Блок ввода'!$R$213" fmlaRange="'Блок ввода'!$B$138:$B$156" sel="19" val="0"/>
</file>

<file path=xl/ctrlProps/ctrlProp73.xml><?xml version="1.0" encoding="utf-8"?>
<formControlPr xmlns="http://schemas.microsoft.com/office/spreadsheetml/2009/9/main" objectType="Drop" dropStyle="combo" dx="22" fmlaLink="'Блок ввода'!$R$226" fmlaRange="'Блок ввода'!$B$138:$B$156" sel="17" val="11"/>
</file>

<file path=xl/ctrlProps/ctrlProp74.xml><?xml version="1.0" encoding="utf-8"?>
<formControlPr xmlns="http://schemas.microsoft.com/office/spreadsheetml/2009/9/main" objectType="Drop" dropStyle="combo" dx="22" fmlaLink="'Блок ввода'!$R$239" fmlaRange="'Блок ввода'!$B$138:$B$156" sel="17" val="11"/>
</file>

<file path=xl/ctrlProps/ctrlProp75.xml><?xml version="1.0" encoding="utf-8"?>
<formControlPr xmlns="http://schemas.microsoft.com/office/spreadsheetml/2009/9/main" objectType="Drop" dropStyle="combo" dx="22" fmlaLink="'Блок ввода'!$R$158" fmlaRange="'Блок ввода'!$B$138:$B$156" sel="1" val="0"/>
</file>

<file path=xl/ctrlProps/ctrlProp76.xml><?xml version="1.0" encoding="utf-8"?>
<formControlPr xmlns="http://schemas.microsoft.com/office/spreadsheetml/2009/9/main" objectType="Drop" dropStyle="combo" dx="22" fmlaLink="'Блок ввода'!$R$171" fmlaRange="'Блок ввода'!$B$138:$B$156" sel="1" val="0"/>
</file>

<file path=xl/ctrlProps/ctrlProp77.xml><?xml version="1.0" encoding="utf-8"?>
<formControlPr xmlns="http://schemas.microsoft.com/office/spreadsheetml/2009/9/main" objectType="Drop" dropStyle="combo" dx="22" fmlaLink="'Блок ввода'!$R$184" fmlaRange="'Блок ввода'!$B$138:$B$156" sel="1" val="0"/>
</file>

<file path=xl/ctrlProps/ctrlProp78.xml><?xml version="1.0" encoding="utf-8"?>
<formControlPr xmlns="http://schemas.microsoft.com/office/spreadsheetml/2009/9/main" objectType="Drop" dropStyle="combo" dx="22" fmlaLink="'Блок ввода'!$R$214" fmlaRange="'Блок ввода'!$B$138:$B$156" sel="19" val="11"/>
</file>

<file path=xl/ctrlProps/ctrlProp79.xml><?xml version="1.0" encoding="utf-8"?>
<formControlPr xmlns="http://schemas.microsoft.com/office/spreadsheetml/2009/9/main" objectType="Drop" dropStyle="combo" dx="22" fmlaLink="'Блок ввода'!$R$227" fmlaRange="'Блок ввода'!$B$138:$B$156" sel="18" val="11"/>
</file>

<file path=xl/ctrlProps/ctrlProp80.xml><?xml version="1.0" encoding="utf-8"?>
<formControlPr xmlns="http://schemas.microsoft.com/office/spreadsheetml/2009/9/main" objectType="Drop" dropStyle="combo" dx="22" fmlaLink="'Блок ввода'!$R$240" fmlaRange="'Блок ввода'!$B$138:$B$156" sel="18" val="11"/>
</file>

<file path=xl/ctrlProps/ctrlProp81.xml><?xml version="1.0" encoding="utf-8"?>
<formControlPr xmlns="http://schemas.microsoft.com/office/spreadsheetml/2009/9/main" objectType="Drop" dropStyle="combo" dx="22" fmlaLink="'Блок ввода'!$S$157" fmlaRange="'Блок ввода'!$B$177:$B$198" sel="12" val="11"/>
</file>

<file path=xl/ctrlProps/ctrlProp82.xml><?xml version="1.0" encoding="utf-8"?>
<formControlPr xmlns="http://schemas.microsoft.com/office/spreadsheetml/2009/9/main" objectType="Drop" dropStyle="combo" dx="22" fmlaLink="'Блок ввода'!$S$170" fmlaRange="'Блок ввода'!$B$177:$B$198" sel="9" val="2"/>
</file>

<file path=xl/ctrlProps/ctrlProp83.xml><?xml version="1.0" encoding="utf-8"?>
<formControlPr xmlns="http://schemas.microsoft.com/office/spreadsheetml/2009/9/main" objectType="Drop" dropStyle="combo" dx="22" fmlaLink="'Блок ввода'!$S$183" fmlaRange="'Блок ввода'!$B$177:$B$198" sel="14" val="11"/>
</file>

<file path=xl/ctrlProps/ctrlProp84.xml><?xml version="1.0" encoding="utf-8"?>
<formControlPr xmlns="http://schemas.microsoft.com/office/spreadsheetml/2009/9/main" objectType="Drop" dropStyle="combo" dx="22" fmlaLink="'Блок ввода'!$S$213" fmlaRange="'Блок ввода'!$B$177:$B$198" sel="15" val="14"/>
</file>

<file path=xl/ctrlProps/ctrlProp85.xml><?xml version="1.0" encoding="utf-8"?>
<formControlPr xmlns="http://schemas.microsoft.com/office/spreadsheetml/2009/9/main" objectType="Drop" dropStyle="combo" dx="22" fmlaLink="'Блок ввода'!$S$226" fmlaRange="'Блок ввода'!$B$177:$B$198" sel="16" val="11"/>
</file>

<file path=xl/ctrlProps/ctrlProp86.xml><?xml version="1.0" encoding="utf-8"?>
<formControlPr xmlns="http://schemas.microsoft.com/office/spreadsheetml/2009/9/main" objectType="Drop" dropStyle="combo" dx="22" fmlaLink="'Блок ввода'!$S$239" fmlaRange="'Блок ввода'!$B$177:$B$198" sel="8" val="0"/>
</file>

<file path=xl/ctrlProps/ctrlProp87.xml><?xml version="1.0" encoding="utf-8"?>
<formControlPr xmlns="http://schemas.microsoft.com/office/spreadsheetml/2009/9/main" objectType="Drop" dropStyle="combo" dx="22" fmlaLink="'Блок ввода'!$S$158" fmlaRange="'Блок ввода'!$B$177:$B$198" sel="14" val="11"/>
</file>

<file path=xl/ctrlProps/ctrlProp88.xml><?xml version="1.0" encoding="utf-8"?>
<formControlPr xmlns="http://schemas.microsoft.com/office/spreadsheetml/2009/9/main" objectType="Drop" dropStyle="combo" dx="22" fmlaLink="'Блок ввода'!$S$171" fmlaRange="'Блок ввода'!$B$177:$B$198" sel="5" val="0"/>
</file>

<file path=xl/ctrlProps/ctrlProp89.xml><?xml version="1.0" encoding="utf-8"?>
<formControlPr xmlns="http://schemas.microsoft.com/office/spreadsheetml/2009/9/main" objectType="Drop" dropStyle="combo" dx="22" fmlaLink="'Блок ввода'!$S$184" fmlaRange="'Блок ввода'!$B$177:$B$198" sel="12" val="11"/>
</file>

<file path=xl/ctrlProps/ctrlProp90.xml><?xml version="1.0" encoding="utf-8"?>
<formControlPr xmlns="http://schemas.microsoft.com/office/spreadsheetml/2009/9/main" objectType="Drop" dropStyle="combo" dx="22" fmlaLink="'Блок ввода'!$S$214" fmlaRange="'Блок ввода'!$B$177:$B$198" sel="10" val="7"/>
</file>

<file path=xl/ctrlProps/ctrlProp91.xml><?xml version="1.0" encoding="utf-8"?>
<formControlPr xmlns="http://schemas.microsoft.com/office/spreadsheetml/2009/9/main" objectType="Drop" dropStyle="combo" dx="22" fmlaLink="'Блок ввода'!$S$227" fmlaRange="'Блок ввода'!$B$177:$B$198" sel="12" val="11"/>
</file>

<file path=xl/ctrlProps/ctrlProp92.xml><?xml version="1.0" encoding="utf-8"?>
<formControlPr xmlns="http://schemas.microsoft.com/office/spreadsheetml/2009/9/main" objectType="Drop" dropStyle="combo" dx="22" fmlaLink="'Блок ввода'!$S$240" fmlaRange="'Блок ввода'!$B$177:$B$198" sel="7" val="6"/>
</file>

<file path=xl/ctrlProps/ctrlProp93.xml><?xml version="1.0" encoding="utf-8"?>
<formControlPr xmlns="http://schemas.microsoft.com/office/spreadsheetml/2009/9/main" objectType="Drop" dropStyle="combo" dx="22" fmlaLink="'Блок ввода'!$R$159" fmlaRange="'Блок ввода'!$P$128:$P$134" sel="2" val="0"/>
</file>

<file path=xl/ctrlProps/ctrlProp94.xml><?xml version="1.0" encoding="utf-8"?>
<formControlPr xmlns="http://schemas.microsoft.com/office/spreadsheetml/2009/9/main" objectType="Drop" dropStyle="combo" dx="22" fmlaLink="'Блок ввода'!$R$185" fmlaRange="'Блок ввода'!$P$128:$P$134" sel="1" val="0"/>
</file>

<file path=xl/ctrlProps/ctrlProp95.xml><?xml version="1.0" encoding="utf-8"?>
<formControlPr xmlns="http://schemas.microsoft.com/office/spreadsheetml/2009/9/main" objectType="Drop" dropStyle="combo" dx="22" fmlaLink="'Блок ввода'!$R$228" fmlaRange="'Блок ввода'!$P$128:$P$134" sel="1" val="0"/>
</file>

<file path=xl/ctrlProps/ctrlProp96.xml><?xml version="1.0" encoding="utf-8"?>
<formControlPr xmlns="http://schemas.microsoft.com/office/spreadsheetml/2009/9/main" objectType="Drop" dropStyle="combo" dx="22" fmlaLink="'Блок ввода'!$R$241" fmlaRange="'Блок ввода'!$P$128:$P$134" sel="2" val="0"/>
</file>

<file path=xl/ctrlProps/ctrlProp97.xml><?xml version="1.0" encoding="utf-8"?>
<formControlPr xmlns="http://schemas.microsoft.com/office/spreadsheetml/2009/9/main" objectType="Drop" dropStyle="combo" dx="22" fmlaLink="'Блок ввода'!$R$215" fmlaRange="'Блок ввода'!$P$128:$P$134" sel="2" val="0"/>
</file>

<file path=xl/ctrlProps/ctrlProp98.xml><?xml version="1.0" encoding="utf-8"?>
<formControlPr xmlns="http://schemas.microsoft.com/office/spreadsheetml/2009/9/main" objectType="Drop" dropStyle="combo" dx="22" fmlaLink="'Блок ввода'!$R$172" fmlaRange="'Блок ввода'!$P$128:$P$134" sel="1" val="0"/>
</file>

<file path=xl/ctrlProps/ctrlProp99.xml><?xml version="1.0" encoding="utf-8"?>
<formControlPr xmlns="http://schemas.microsoft.com/office/spreadsheetml/2009/9/main" objectType="Spin" dx="15" fmlaLink="$M$2" max="30000" page="10" val="0"/>
</file>

<file path=xl/ctrlProps/ctrlProp100.xml><?xml version="1.0" encoding="utf-8"?>
<formControlPr xmlns="http://schemas.microsoft.com/office/spreadsheetml/2009/9/main" objectType="Spin" dx="15" fmlaLink="$M$2" max="30000" page="10" val="0"/>
</file>

<file path=xl/ctrlProps/ctrlProp101.xml><?xml version="1.0" encoding="utf-8"?>
<formControlPr xmlns="http://schemas.microsoft.com/office/spreadsheetml/2009/9/main" objectType="Spin" dx="15" fmlaLink="$M$2" max="30000" page="10" val="0"/>
</file>

<file path=xl/ctrlProps/ctrlProp102.xml><?xml version="1.0" encoding="utf-8"?>
<formControlPr xmlns="http://schemas.microsoft.com/office/spreadsheetml/2009/9/main" objectType="Spin" dx="15" fmlaLink="$M$2" max="30000" page="10" val="0"/>
</file>

<file path=xl/ctrlProps/ctrlProp103.xml><?xml version="1.0" encoding="utf-8"?>
<formControlPr xmlns="http://schemas.microsoft.com/office/spreadsheetml/2009/9/main" objectType="Spin" dx="15" fmlaLink="$M$2" max="30000" page="10" val="0"/>
</file>

<file path=xl/ctrlProps/ctrlProp104.xml><?xml version="1.0" encoding="utf-8"?>
<formControlPr xmlns="http://schemas.microsoft.com/office/spreadsheetml/2009/9/main" objectType="Spin" dx="15" fmlaLink="$M$2" max="30000" page="10" val="0"/>
</file>

<file path=xl/ctrlProps/ctrlProp105.xml><?xml version="1.0" encoding="utf-8"?>
<formControlPr xmlns="http://schemas.microsoft.com/office/spreadsheetml/2009/9/main" objectType="Spin" dx="15" fmlaLink="$M$2" max="30000" page="10" val="0"/>
</file>

<file path=xl/ctrlProps/ctrlProp106.xml><?xml version="1.0" encoding="utf-8"?>
<formControlPr xmlns="http://schemas.microsoft.com/office/spreadsheetml/2009/9/main" objectType="Spin" dx="16" fmlaLink="$A$263" max="30000" page="10" val="0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2076450</xdr:colOff>
          <xdr:row>0</xdr:row>
          <xdr:rowOff>9525</xdr:rowOff>
        </xdr:from>
        <xdr:to>
          <xdr:col>6</xdr:col>
          <xdr:colOff>2933700</xdr:colOff>
          <xdr:row>0</xdr:row>
          <xdr:rowOff>466725</xdr:rowOff>
        </xdr:to>
        <xdr:sp macro="" textlink="">
          <xdr:nvSpPr>
            <xdr:cNvPr id="30731" name="CommandButton1" hidden="1">
              <a:extLst>
                <a:ext uri="{63B3BB69-23CF-44E3-9099-C40C66FF867C}">
                  <a14:compatExt spid="_x0000_s30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19050</xdr:colOff>
      <xdr:row>2</xdr:row>
      <xdr:rowOff>95250</xdr:rowOff>
    </xdr:to>
    <xdr:sp macro="" textlink="">
      <xdr:nvSpPr>
        <xdr:cNvPr id="1440" name="Rectangle 359"/>
        <xdr:cNvSpPr>
          <a:spLocks noChangeArrowheads="1"/>
        </xdr:cNvSpPr>
      </xdr:nvSpPr>
      <xdr:spPr bwMode="auto">
        <a:xfrm>
          <a:off x="0" y="0"/>
          <a:ext cx="3124200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40</xdr:row>
          <xdr:rowOff>19050</xdr:rowOff>
        </xdr:from>
        <xdr:to>
          <xdr:col>0</xdr:col>
          <xdr:colOff>2647950</xdr:colOff>
          <xdr:row>40</xdr:row>
          <xdr:rowOff>219075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53</xdr:row>
          <xdr:rowOff>9525</xdr:rowOff>
        </xdr:from>
        <xdr:to>
          <xdr:col>0</xdr:col>
          <xdr:colOff>2647950</xdr:colOff>
          <xdr:row>53</xdr:row>
          <xdr:rowOff>209550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66</xdr:row>
          <xdr:rowOff>9525</xdr:rowOff>
        </xdr:from>
        <xdr:to>
          <xdr:col>0</xdr:col>
          <xdr:colOff>2647950</xdr:colOff>
          <xdr:row>66</xdr:row>
          <xdr:rowOff>209550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96</xdr:row>
          <xdr:rowOff>9525</xdr:rowOff>
        </xdr:from>
        <xdr:to>
          <xdr:col>0</xdr:col>
          <xdr:colOff>2647950</xdr:colOff>
          <xdr:row>96</xdr:row>
          <xdr:rowOff>209550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122</xdr:row>
          <xdr:rowOff>9525</xdr:rowOff>
        </xdr:from>
        <xdr:to>
          <xdr:col>0</xdr:col>
          <xdr:colOff>2647950</xdr:colOff>
          <xdr:row>122</xdr:row>
          <xdr:rowOff>209550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109</xdr:row>
          <xdr:rowOff>9525</xdr:rowOff>
        </xdr:from>
        <xdr:to>
          <xdr:col>0</xdr:col>
          <xdr:colOff>2647950</xdr:colOff>
          <xdr:row>109</xdr:row>
          <xdr:rowOff>209550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41</xdr:row>
          <xdr:rowOff>28575</xdr:rowOff>
        </xdr:from>
        <xdr:to>
          <xdr:col>0</xdr:col>
          <xdr:colOff>2647950</xdr:colOff>
          <xdr:row>41</xdr:row>
          <xdr:rowOff>228600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42</xdr:row>
          <xdr:rowOff>28575</xdr:rowOff>
        </xdr:from>
        <xdr:to>
          <xdr:col>0</xdr:col>
          <xdr:colOff>2647950</xdr:colOff>
          <xdr:row>42</xdr:row>
          <xdr:rowOff>228600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54</xdr:row>
          <xdr:rowOff>28575</xdr:rowOff>
        </xdr:from>
        <xdr:to>
          <xdr:col>0</xdr:col>
          <xdr:colOff>2647950</xdr:colOff>
          <xdr:row>54</xdr:row>
          <xdr:rowOff>228600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55</xdr:row>
          <xdr:rowOff>28575</xdr:rowOff>
        </xdr:from>
        <xdr:to>
          <xdr:col>0</xdr:col>
          <xdr:colOff>2647950</xdr:colOff>
          <xdr:row>55</xdr:row>
          <xdr:rowOff>228600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67</xdr:row>
          <xdr:rowOff>28575</xdr:rowOff>
        </xdr:from>
        <xdr:to>
          <xdr:col>0</xdr:col>
          <xdr:colOff>2647950</xdr:colOff>
          <xdr:row>67</xdr:row>
          <xdr:rowOff>228600</xdr:rowOff>
        </xdr:to>
        <xdr:sp macro="" textlink="">
          <xdr:nvSpPr>
            <xdr:cNvPr id="1047" name="Drop Dow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68</xdr:row>
          <xdr:rowOff>28575</xdr:rowOff>
        </xdr:from>
        <xdr:to>
          <xdr:col>0</xdr:col>
          <xdr:colOff>2647950</xdr:colOff>
          <xdr:row>68</xdr:row>
          <xdr:rowOff>228600</xdr:rowOff>
        </xdr:to>
        <xdr:sp macro="" textlink="">
          <xdr:nvSpPr>
            <xdr:cNvPr id="1048" name="Drop Dow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97</xdr:row>
          <xdr:rowOff>19050</xdr:rowOff>
        </xdr:from>
        <xdr:to>
          <xdr:col>0</xdr:col>
          <xdr:colOff>2647950</xdr:colOff>
          <xdr:row>97</xdr:row>
          <xdr:rowOff>219075</xdr:rowOff>
        </xdr:to>
        <xdr:sp macro="" textlink="">
          <xdr:nvSpPr>
            <xdr:cNvPr id="1049" name="Drop Dow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98</xdr:row>
          <xdr:rowOff>19050</xdr:rowOff>
        </xdr:from>
        <xdr:to>
          <xdr:col>0</xdr:col>
          <xdr:colOff>2647950</xdr:colOff>
          <xdr:row>98</xdr:row>
          <xdr:rowOff>219075</xdr:rowOff>
        </xdr:to>
        <xdr:sp macro="" textlink="">
          <xdr:nvSpPr>
            <xdr:cNvPr id="1050" name="Drop Dow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110</xdr:row>
          <xdr:rowOff>28575</xdr:rowOff>
        </xdr:from>
        <xdr:to>
          <xdr:col>0</xdr:col>
          <xdr:colOff>2647950</xdr:colOff>
          <xdr:row>110</xdr:row>
          <xdr:rowOff>228600</xdr:rowOff>
        </xdr:to>
        <xdr:sp macro="" textlink="">
          <xdr:nvSpPr>
            <xdr:cNvPr id="1051" name="Drop Dow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111</xdr:row>
          <xdr:rowOff>28575</xdr:rowOff>
        </xdr:from>
        <xdr:to>
          <xdr:col>0</xdr:col>
          <xdr:colOff>2647950</xdr:colOff>
          <xdr:row>111</xdr:row>
          <xdr:rowOff>228600</xdr:rowOff>
        </xdr:to>
        <xdr:sp macro="" textlink="">
          <xdr:nvSpPr>
            <xdr:cNvPr id="1052" name="Drop Dow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123</xdr:row>
          <xdr:rowOff>28575</xdr:rowOff>
        </xdr:from>
        <xdr:to>
          <xdr:col>0</xdr:col>
          <xdr:colOff>2647950</xdr:colOff>
          <xdr:row>123</xdr:row>
          <xdr:rowOff>228600</xdr:rowOff>
        </xdr:to>
        <xdr:sp macro="" textlink="">
          <xdr:nvSpPr>
            <xdr:cNvPr id="1053" name="Drop Dow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124</xdr:row>
          <xdr:rowOff>28575</xdr:rowOff>
        </xdr:from>
        <xdr:to>
          <xdr:col>0</xdr:col>
          <xdr:colOff>2647950</xdr:colOff>
          <xdr:row>124</xdr:row>
          <xdr:rowOff>228600</xdr:rowOff>
        </xdr:to>
        <xdr:sp macro="" textlink="">
          <xdr:nvSpPr>
            <xdr:cNvPr id="1054" name="Drop Dow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37</xdr:row>
          <xdr:rowOff>19050</xdr:rowOff>
        </xdr:from>
        <xdr:to>
          <xdr:col>0</xdr:col>
          <xdr:colOff>2647950</xdr:colOff>
          <xdr:row>37</xdr:row>
          <xdr:rowOff>219075</xdr:rowOff>
        </xdr:to>
        <xdr:sp macro="" textlink="">
          <xdr:nvSpPr>
            <xdr:cNvPr id="1056" name="Drop Dow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46</xdr:row>
          <xdr:rowOff>19050</xdr:rowOff>
        </xdr:from>
        <xdr:to>
          <xdr:col>0</xdr:col>
          <xdr:colOff>2647950</xdr:colOff>
          <xdr:row>46</xdr:row>
          <xdr:rowOff>219075</xdr:rowOff>
        </xdr:to>
        <xdr:sp macro="" textlink="">
          <xdr:nvSpPr>
            <xdr:cNvPr id="1057" name="Drop Dow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50</xdr:row>
          <xdr:rowOff>28575</xdr:rowOff>
        </xdr:from>
        <xdr:to>
          <xdr:col>0</xdr:col>
          <xdr:colOff>2657475</xdr:colOff>
          <xdr:row>50</xdr:row>
          <xdr:rowOff>228600</xdr:rowOff>
        </xdr:to>
        <xdr:sp macro="" textlink="">
          <xdr:nvSpPr>
            <xdr:cNvPr id="1058" name="Drop Dow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59</xdr:row>
          <xdr:rowOff>19050</xdr:rowOff>
        </xdr:from>
        <xdr:to>
          <xdr:col>0</xdr:col>
          <xdr:colOff>2647950</xdr:colOff>
          <xdr:row>59</xdr:row>
          <xdr:rowOff>219075</xdr:rowOff>
        </xdr:to>
        <xdr:sp macro="" textlink="">
          <xdr:nvSpPr>
            <xdr:cNvPr id="1059" name="Drop Dow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63</xdr:row>
          <xdr:rowOff>19050</xdr:rowOff>
        </xdr:from>
        <xdr:to>
          <xdr:col>0</xdr:col>
          <xdr:colOff>2647950</xdr:colOff>
          <xdr:row>63</xdr:row>
          <xdr:rowOff>219075</xdr:rowOff>
        </xdr:to>
        <xdr:sp macro="" textlink="">
          <xdr:nvSpPr>
            <xdr:cNvPr id="1060" name="Drop Dow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72</xdr:row>
          <xdr:rowOff>19050</xdr:rowOff>
        </xdr:from>
        <xdr:to>
          <xdr:col>0</xdr:col>
          <xdr:colOff>2647950</xdr:colOff>
          <xdr:row>72</xdr:row>
          <xdr:rowOff>219075</xdr:rowOff>
        </xdr:to>
        <xdr:sp macro="" textlink="">
          <xdr:nvSpPr>
            <xdr:cNvPr id="1061" name="Drop Dow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93</xdr:row>
          <xdr:rowOff>19050</xdr:rowOff>
        </xdr:from>
        <xdr:to>
          <xdr:col>0</xdr:col>
          <xdr:colOff>2647950</xdr:colOff>
          <xdr:row>93</xdr:row>
          <xdr:rowOff>219075</xdr:rowOff>
        </xdr:to>
        <xdr:sp macro="" textlink="">
          <xdr:nvSpPr>
            <xdr:cNvPr id="1062" name="Drop Dow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102</xdr:row>
          <xdr:rowOff>19050</xdr:rowOff>
        </xdr:from>
        <xdr:to>
          <xdr:col>0</xdr:col>
          <xdr:colOff>2647950</xdr:colOff>
          <xdr:row>102</xdr:row>
          <xdr:rowOff>219075</xdr:rowOff>
        </xdr:to>
        <xdr:sp macro="" textlink="">
          <xdr:nvSpPr>
            <xdr:cNvPr id="1063" name="Drop Dow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106</xdr:row>
          <xdr:rowOff>19050</xdr:rowOff>
        </xdr:from>
        <xdr:to>
          <xdr:col>0</xdr:col>
          <xdr:colOff>2647950</xdr:colOff>
          <xdr:row>106</xdr:row>
          <xdr:rowOff>219075</xdr:rowOff>
        </xdr:to>
        <xdr:sp macro="" textlink="">
          <xdr:nvSpPr>
            <xdr:cNvPr id="1064" name="Drop Dow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115</xdr:row>
          <xdr:rowOff>19050</xdr:rowOff>
        </xdr:from>
        <xdr:to>
          <xdr:col>0</xdr:col>
          <xdr:colOff>2647950</xdr:colOff>
          <xdr:row>115</xdr:row>
          <xdr:rowOff>219075</xdr:rowOff>
        </xdr:to>
        <xdr:sp macro="" textlink="">
          <xdr:nvSpPr>
            <xdr:cNvPr id="1065" name="Drop Dow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119</xdr:row>
          <xdr:rowOff>19050</xdr:rowOff>
        </xdr:from>
        <xdr:to>
          <xdr:col>0</xdr:col>
          <xdr:colOff>2647950</xdr:colOff>
          <xdr:row>119</xdr:row>
          <xdr:rowOff>219075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128</xdr:row>
          <xdr:rowOff>19050</xdr:rowOff>
        </xdr:from>
        <xdr:to>
          <xdr:col>0</xdr:col>
          <xdr:colOff>2647950</xdr:colOff>
          <xdr:row>128</xdr:row>
          <xdr:rowOff>219075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37</xdr:row>
          <xdr:rowOff>285750</xdr:rowOff>
        </xdr:from>
        <xdr:to>
          <xdr:col>0</xdr:col>
          <xdr:colOff>2647950</xdr:colOff>
          <xdr:row>38</xdr:row>
          <xdr:rowOff>180975</xdr:rowOff>
        </xdr:to>
        <xdr:sp macro="" textlink="">
          <xdr:nvSpPr>
            <xdr:cNvPr id="1070" name="Drop Dow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47</xdr:row>
          <xdr:rowOff>38100</xdr:rowOff>
        </xdr:from>
        <xdr:to>
          <xdr:col>0</xdr:col>
          <xdr:colOff>2647950</xdr:colOff>
          <xdr:row>47</xdr:row>
          <xdr:rowOff>238125</xdr:rowOff>
        </xdr:to>
        <xdr:sp macro="" textlink="">
          <xdr:nvSpPr>
            <xdr:cNvPr id="1073" name="Drop Dow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51</xdr:row>
          <xdr:rowOff>28575</xdr:rowOff>
        </xdr:from>
        <xdr:to>
          <xdr:col>0</xdr:col>
          <xdr:colOff>2647950</xdr:colOff>
          <xdr:row>51</xdr:row>
          <xdr:rowOff>228600</xdr:rowOff>
        </xdr:to>
        <xdr:sp macro="" textlink="">
          <xdr:nvSpPr>
            <xdr:cNvPr id="1074" name="Drop Dow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60</xdr:row>
          <xdr:rowOff>38100</xdr:rowOff>
        </xdr:from>
        <xdr:to>
          <xdr:col>0</xdr:col>
          <xdr:colOff>2647950</xdr:colOff>
          <xdr:row>60</xdr:row>
          <xdr:rowOff>238125</xdr:rowOff>
        </xdr:to>
        <xdr:sp macro="" textlink="">
          <xdr:nvSpPr>
            <xdr:cNvPr id="1075" name="Drop Dow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64</xdr:row>
          <xdr:rowOff>38100</xdr:rowOff>
        </xdr:from>
        <xdr:to>
          <xdr:col>0</xdr:col>
          <xdr:colOff>2647950</xdr:colOff>
          <xdr:row>64</xdr:row>
          <xdr:rowOff>238125</xdr:rowOff>
        </xdr:to>
        <xdr:sp macro="" textlink="">
          <xdr:nvSpPr>
            <xdr:cNvPr id="1076" name="Drop Dow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73</xdr:row>
          <xdr:rowOff>38100</xdr:rowOff>
        </xdr:from>
        <xdr:to>
          <xdr:col>0</xdr:col>
          <xdr:colOff>2647950</xdr:colOff>
          <xdr:row>73</xdr:row>
          <xdr:rowOff>238125</xdr:rowOff>
        </xdr:to>
        <xdr:sp macro="" textlink="">
          <xdr:nvSpPr>
            <xdr:cNvPr id="1077" name="Drop Dow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94</xdr:row>
          <xdr:rowOff>38100</xdr:rowOff>
        </xdr:from>
        <xdr:to>
          <xdr:col>0</xdr:col>
          <xdr:colOff>2647950</xdr:colOff>
          <xdr:row>94</xdr:row>
          <xdr:rowOff>238125</xdr:rowOff>
        </xdr:to>
        <xdr:sp macro="" textlink="">
          <xdr:nvSpPr>
            <xdr:cNvPr id="1078" name="Drop Dow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103</xdr:row>
          <xdr:rowOff>38100</xdr:rowOff>
        </xdr:from>
        <xdr:to>
          <xdr:col>0</xdr:col>
          <xdr:colOff>2647950</xdr:colOff>
          <xdr:row>103</xdr:row>
          <xdr:rowOff>238125</xdr:rowOff>
        </xdr:to>
        <xdr:sp macro="" textlink="">
          <xdr:nvSpPr>
            <xdr:cNvPr id="1079" name="Drop Dow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107</xdr:row>
          <xdr:rowOff>38100</xdr:rowOff>
        </xdr:from>
        <xdr:to>
          <xdr:col>0</xdr:col>
          <xdr:colOff>2647950</xdr:colOff>
          <xdr:row>107</xdr:row>
          <xdr:rowOff>238125</xdr:rowOff>
        </xdr:to>
        <xdr:sp macro="" textlink="">
          <xdr:nvSpPr>
            <xdr:cNvPr id="1080" name="Drop Dow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116</xdr:row>
          <xdr:rowOff>38100</xdr:rowOff>
        </xdr:from>
        <xdr:to>
          <xdr:col>0</xdr:col>
          <xdr:colOff>2647950</xdr:colOff>
          <xdr:row>116</xdr:row>
          <xdr:rowOff>238125</xdr:rowOff>
        </xdr:to>
        <xdr:sp macro="" textlink="">
          <xdr:nvSpPr>
            <xdr:cNvPr id="1081" name="Drop Dow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120</xdr:row>
          <xdr:rowOff>38100</xdr:rowOff>
        </xdr:from>
        <xdr:to>
          <xdr:col>0</xdr:col>
          <xdr:colOff>2647950</xdr:colOff>
          <xdr:row>120</xdr:row>
          <xdr:rowOff>238125</xdr:rowOff>
        </xdr:to>
        <xdr:sp macro="" textlink="">
          <xdr:nvSpPr>
            <xdr:cNvPr id="1082" name="Drop Down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129</xdr:row>
          <xdr:rowOff>38100</xdr:rowOff>
        </xdr:from>
        <xdr:to>
          <xdr:col>0</xdr:col>
          <xdr:colOff>2647950</xdr:colOff>
          <xdr:row>129</xdr:row>
          <xdr:rowOff>238125</xdr:rowOff>
        </xdr:to>
        <xdr:sp macro="" textlink="">
          <xdr:nvSpPr>
            <xdr:cNvPr id="1083" name="Drop Down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39</xdr:row>
          <xdr:rowOff>19050</xdr:rowOff>
        </xdr:from>
        <xdr:to>
          <xdr:col>0</xdr:col>
          <xdr:colOff>2647950</xdr:colOff>
          <xdr:row>39</xdr:row>
          <xdr:rowOff>219075</xdr:rowOff>
        </xdr:to>
        <xdr:sp macro="" textlink="">
          <xdr:nvSpPr>
            <xdr:cNvPr id="1085" name="Drop Down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48</xdr:row>
          <xdr:rowOff>19050</xdr:rowOff>
        </xdr:from>
        <xdr:to>
          <xdr:col>0</xdr:col>
          <xdr:colOff>2647950</xdr:colOff>
          <xdr:row>48</xdr:row>
          <xdr:rowOff>219075</xdr:rowOff>
        </xdr:to>
        <xdr:sp macro="" textlink="">
          <xdr:nvSpPr>
            <xdr:cNvPr id="1086" name="Drop Down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61</xdr:row>
          <xdr:rowOff>19050</xdr:rowOff>
        </xdr:from>
        <xdr:to>
          <xdr:col>0</xdr:col>
          <xdr:colOff>2647950</xdr:colOff>
          <xdr:row>61</xdr:row>
          <xdr:rowOff>219075</xdr:rowOff>
        </xdr:to>
        <xdr:sp macro="" textlink="">
          <xdr:nvSpPr>
            <xdr:cNvPr id="1087" name="Drop Dow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65</xdr:row>
          <xdr:rowOff>19050</xdr:rowOff>
        </xdr:from>
        <xdr:to>
          <xdr:col>0</xdr:col>
          <xdr:colOff>2647950</xdr:colOff>
          <xdr:row>65</xdr:row>
          <xdr:rowOff>219075</xdr:rowOff>
        </xdr:to>
        <xdr:sp macro="" textlink="">
          <xdr:nvSpPr>
            <xdr:cNvPr id="1088" name="Drop Dow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74</xdr:row>
          <xdr:rowOff>19050</xdr:rowOff>
        </xdr:from>
        <xdr:to>
          <xdr:col>0</xdr:col>
          <xdr:colOff>2647950</xdr:colOff>
          <xdr:row>74</xdr:row>
          <xdr:rowOff>219075</xdr:rowOff>
        </xdr:to>
        <xdr:sp macro="" textlink="">
          <xdr:nvSpPr>
            <xdr:cNvPr id="1089" name="Drop Dow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95</xdr:row>
          <xdr:rowOff>19050</xdr:rowOff>
        </xdr:from>
        <xdr:to>
          <xdr:col>0</xdr:col>
          <xdr:colOff>2647950</xdr:colOff>
          <xdr:row>95</xdr:row>
          <xdr:rowOff>219075</xdr:rowOff>
        </xdr:to>
        <xdr:sp macro="" textlink="">
          <xdr:nvSpPr>
            <xdr:cNvPr id="1090" name="Drop Dow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104</xdr:row>
          <xdr:rowOff>19050</xdr:rowOff>
        </xdr:from>
        <xdr:to>
          <xdr:col>0</xdr:col>
          <xdr:colOff>2647950</xdr:colOff>
          <xdr:row>104</xdr:row>
          <xdr:rowOff>219075</xdr:rowOff>
        </xdr:to>
        <xdr:sp macro="" textlink="">
          <xdr:nvSpPr>
            <xdr:cNvPr id="1091" name="Drop Dow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108</xdr:row>
          <xdr:rowOff>19050</xdr:rowOff>
        </xdr:from>
        <xdr:to>
          <xdr:col>0</xdr:col>
          <xdr:colOff>2647950</xdr:colOff>
          <xdr:row>108</xdr:row>
          <xdr:rowOff>219075</xdr:rowOff>
        </xdr:to>
        <xdr:sp macro="" textlink="">
          <xdr:nvSpPr>
            <xdr:cNvPr id="1092" name="Drop Dow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117</xdr:row>
          <xdr:rowOff>19050</xdr:rowOff>
        </xdr:from>
        <xdr:to>
          <xdr:col>0</xdr:col>
          <xdr:colOff>2647950</xdr:colOff>
          <xdr:row>117</xdr:row>
          <xdr:rowOff>219075</xdr:rowOff>
        </xdr:to>
        <xdr:sp macro="" textlink="">
          <xdr:nvSpPr>
            <xdr:cNvPr id="1093" name="Drop Dow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130</xdr:row>
          <xdr:rowOff>19050</xdr:rowOff>
        </xdr:from>
        <xdr:to>
          <xdr:col>0</xdr:col>
          <xdr:colOff>2647950</xdr:colOff>
          <xdr:row>130</xdr:row>
          <xdr:rowOff>219075</xdr:rowOff>
        </xdr:to>
        <xdr:sp macro="" textlink="">
          <xdr:nvSpPr>
            <xdr:cNvPr id="1094" name="Drop Down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121</xdr:row>
          <xdr:rowOff>19050</xdr:rowOff>
        </xdr:from>
        <xdr:to>
          <xdr:col>0</xdr:col>
          <xdr:colOff>2647950</xdr:colOff>
          <xdr:row>121</xdr:row>
          <xdr:rowOff>219075</xdr:rowOff>
        </xdr:to>
        <xdr:sp macro="" textlink="">
          <xdr:nvSpPr>
            <xdr:cNvPr id="1095" name="Drop Dow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52</xdr:row>
          <xdr:rowOff>19050</xdr:rowOff>
        </xdr:from>
        <xdr:to>
          <xdr:col>0</xdr:col>
          <xdr:colOff>2647950</xdr:colOff>
          <xdr:row>52</xdr:row>
          <xdr:rowOff>219075</xdr:rowOff>
        </xdr:to>
        <xdr:sp macro="" textlink="">
          <xdr:nvSpPr>
            <xdr:cNvPr id="1096" name="Drop Dow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30</xdr:row>
          <xdr:rowOff>28575</xdr:rowOff>
        </xdr:from>
        <xdr:to>
          <xdr:col>0</xdr:col>
          <xdr:colOff>1247775</xdr:colOff>
          <xdr:row>30</xdr:row>
          <xdr:rowOff>228600</xdr:rowOff>
        </xdr:to>
        <xdr:sp macro="" textlink="">
          <xdr:nvSpPr>
            <xdr:cNvPr id="1098" name="Drop Dow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24</xdr:row>
          <xdr:rowOff>19050</xdr:rowOff>
        </xdr:from>
        <xdr:to>
          <xdr:col>0</xdr:col>
          <xdr:colOff>2647950</xdr:colOff>
          <xdr:row>24</xdr:row>
          <xdr:rowOff>219075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25</xdr:row>
          <xdr:rowOff>57150</xdr:rowOff>
        </xdr:from>
        <xdr:to>
          <xdr:col>0</xdr:col>
          <xdr:colOff>2647950</xdr:colOff>
          <xdr:row>25</xdr:row>
          <xdr:rowOff>257175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26</xdr:row>
          <xdr:rowOff>19050</xdr:rowOff>
        </xdr:from>
        <xdr:to>
          <xdr:col>0</xdr:col>
          <xdr:colOff>2647950</xdr:colOff>
          <xdr:row>26</xdr:row>
          <xdr:rowOff>219075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27</xdr:row>
          <xdr:rowOff>19050</xdr:rowOff>
        </xdr:from>
        <xdr:to>
          <xdr:col>0</xdr:col>
          <xdr:colOff>2647950</xdr:colOff>
          <xdr:row>27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27</xdr:row>
          <xdr:rowOff>295275</xdr:rowOff>
        </xdr:from>
        <xdr:to>
          <xdr:col>0</xdr:col>
          <xdr:colOff>2647950</xdr:colOff>
          <xdr:row>28</xdr:row>
          <xdr:rowOff>190500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29</xdr:row>
          <xdr:rowOff>9525</xdr:rowOff>
        </xdr:from>
        <xdr:to>
          <xdr:col>0</xdr:col>
          <xdr:colOff>2647950</xdr:colOff>
          <xdr:row>29</xdr:row>
          <xdr:rowOff>209550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33</xdr:row>
          <xdr:rowOff>19050</xdr:rowOff>
        </xdr:from>
        <xdr:to>
          <xdr:col>0</xdr:col>
          <xdr:colOff>2647950</xdr:colOff>
          <xdr:row>33</xdr:row>
          <xdr:rowOff>219075</xdr:rowOff>
        </xdr:to>
        <xdr:sp macro="" textlink="">
          <xdr:nvSpPr>
            <xdr:cNvPr id="1055" name="Drop Dow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34</xdr:row>
          <xdr:rowOff>38100</xdr:rowOff>
        </xdr:from>
        <xdr:to>
          <xdr:col>0</xdr:col>
          <xdr:colOff>2647950</xdr:colOff>
          <xdr:row>34</xdr:row>
          <xdr:rowOff>238125</xdr:rowOff>
        </xdr:to>
        <xdr:sp macro="" textlink="">
          <xdr:nvSpPr>
            <xdr:cNvPr id="1068" name="Drop Dow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35</xdr:row>
          <xdr:rowOff>19050</xdr:rowOff>
        </xdr:from>
        <xdr:to>
          <xdr:col>0</xdr:col>
          <xdr:colOff>2647950</xdr:colOff>
          <xdr:row>35</xdr:row>
          <xdr:rowOff>219075</xdr:rowOff>
        </xdr:to>
        <xdr:sp macro="" textlink="">
          <xdr:nvSpPr>
            <xdr:cNvPr id="1084" name="Drop Down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32</xdr:row>
          <xdr:rowOff>38100</xdr:rowOff>
        </xdr:from>
        <xdr:to>
          <xdr:col>0</xdr:col>
          <xdr:colOff>2647950</xdr:colOff>
          <xdr:row>32</xdr:row>
          <xdr:rowOff>238125</xdr:rowOff>
        </xdr:to>
        <xdr:sp macro="" textlink="">
          <xdr:nvSpPr>
            <xdr:cNvPr id="1100" name="Drop Dow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30</xdr:row>
          <xdr:rowOff>38100</xdr:rowOff>
        </xdr:from>
        <xdr:to>
          <xdr:col>0</xdr:col>
          <xdr:colOff>2647950</xdr:colOff>
          <xdr:row>30</xdr:row>
          <xdr:rowOff>238125</xdr:rowOff>
        </xdr:to>
        <xdr:sp macro="" textlink="">
          <xdr:nvSpPr>
            <xdr:cNvPr id="1101" name="Drop Dow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31</xdr:row>
          <xdr:rowOff>28575</xdr:rowOff>
        </xdr:from>
        <xdr:to>
          <xdr:col>0</xdr:col>
          <xdr:colOff>1247775</xdr:colOff>
          <xdr:row>31</xdr:row>
          <xdr:rowOff>228600</xdr:rowOff>
        </xdr:to>
        <xdr:sp macro="" textlink="">
          <xdr:nvSpPr>
            <xdr:cNvPr id="1102" name="Drop Dow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31</xdr:row>
          <xdr:rowOff>38100</xdr:rowOff>
        </xdr:from>
        <xdr:to>
          <xdr:col>0</xdr:col>
          <xdr:colOff>2647950</xdr:colOff>
          <xdr:row>31</xdr:row>
          <xdr:rowOff>238125</xdr:rowOff>
        </xdr:to>
        <xdr:sp macro="" textlink="">
          <xdr:nvSpPr>
            <xdr:cNvPr id="1103" name="Drop Dow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43</xdr:row>
          <xdr:rowOff>28575</xdr:rowOff>
        </xdr:from>
        <xdr:to>
          <xdr:col>0</xdr:col>
          <xdr:colOff>1247775</xdr:colOff>
          <xdr:row>43</xdr:row>
          <xdr:rowOff>228600</xdr:rowOff>
        </xdr:to>
        <xdr:sp macro="" textlink="">
          <xdr:nvSpPr>
            <xdr:cNvPr id="1104" name="Drop Dow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56</xdr:row>
          <xdr:rowOff>28575</xdr:rowOff>
        </xdr:from>
        <xdr:to>
          <xdr:col>0</xdr:col>
          <xdr:colOff>1247775</xdr:colOff>
          <xdr:row>56</xdr:row>
          <xdr:rowOff>228600</xdr:rowOff>
        </xdr:to>
        <xdr:sp macro="" textlink="">
          <xdr:nvSpPr>
            <xdr:cNvPr id="1105" name="Drop Dow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69</xdr:row>
          <xdr:rowOff>28575</xdr:rowOff>
        </xdr:from>
        <xdr:to>
          <xdr:col>0</xdr:col>
          <xdr:colOff>1247775</xdr:colOff>
          <xdr:row>69</xdr:row>
          <xdr:rowOff>228600</xdr:rowOff>
        </xdr:to>
        <xdr:sp macro="" textlink="">
          <xdr:nvSpPr>
            <xdr:cNvPr id="1106" name="Drop Dow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99</xdr:row>
          <xdr:rowOff>28575</xdr:rowOff>
        </xdr:from>
        <xdr:to>
          <xdr:col>0</xdr:col>
          <xdr:colOff>1247775</xdr:colOff>
          <xdr:row>99</xdr:row>
          <xdr:rowOff>228600</xdr:rowOff>
        </xdr:to>
        <xdr:sp macro="" textlink="">
          <xdr:nvSpPr>
            <xdr:cNvPr id="1107" name="Drop Dow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112</xdr:row>
          <xdr:rowOff>28575</xdr:rowOff>
        </xdr:from>
        <xdr:to>
          <xdr:col>0</xdr:col>
          <xdr:colOff>1247775</xdr:colOff>
          <xdr:row>112</xdr:row>
          <xdr:rowOff>228600</xdr:rowOff>
        </xdr:to>
        <xdr:sp macro="" textlink="">
          <xdr:nvSpPr>
            <xdr:cNvPr id="1108" name="Drop Dow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125</xdr:row>
          <xdr:rowOff>28575</xdr:rowOff>
        </xdr:from>
        <xdr:to>
          <xdr:col>0</xdr:col>
          <xdr:colOff>1247775</xdr:colOff>
          <xdr:row>125</xdr:row>
          <xdr:rowOff>228600</xdr:rowOff>
        </xdr:to>
        <xdr:sp macro="" textlink="">
          <xdr:nvSpPr>
            <xdr:cNvPr id="1109" name="Drop Dow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44</xdr:row>
          <xdr:rowOff>28575</xdr:rowOff>
        </xdr:from>
        <xdr:to>
          <xdr:col>0</xdr:col>
          <xdr:colOff>1247775</xdr:colOff>
          <xdr:row>44</xdr:row>
          <xdr:rowOff>228600</xdr:rowOff>
        </xdr:to>
        <xdr:sp macro="" textlink="">
          <xdr:nvSpPr>
            <xdr:cNvPr id="1110" name="Drop Down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57</xdr:row>
          <xdr:rowOff>28575</xdr:rowOff>
        </xdr:from>
        <xdr:to>
          <xdr:col>0</xdr:col>
          <xdr:colOff>1247775</xdr:colOff>
          <xdr:row>57</xdr:row>
          <xdr:rowOff>228600</xdr:rowOff>
        </xdr:to>
        <xdr:sp macro="" textlink="">
          <xdr:nvSpPr>
            <xdr:cNvPr id="1111" name="Drop Dow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70</xdr:row>
          <xdr:rowOff>28575</xdr:rowOff>
        </xdr:from>
        <xdr:to>
          <xdr:col>0</xdr:col>
          <xdr:colOff>1247775</xdr:colOff>
          <xdr:row>70</xdr:row>
          <xdr:rowOff>228600</xdr:rowOff>
        </xdr:to>
        <xdr:sp macro="" textlink="">
          <xdr:nvSpPr>
            <xdr:cNvPr id="1112" name="Drop Down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100</xdr:row>
          <xdr:rowOff>28575</xdr:rowOff>
        </xdr:from>
        <xdr:to>
          <xdr:col>0</xdr:col>
          <xdr:colOff>1247775</xdr:colOff>
          <xdr:row>100</xdr:row>
          <xdr:rowOff>228600</xdr:rowOff>
        </xdr:to>
        <xdr:sp macro="" textlink="">
          <xdr:nvSpPr>
            <xdr:cNvPr id="1113" name="Drop Down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113</xdr:row>
          <xdr:rowOff>28575</xdr:rowOff>
        </xdr:from>
        <xdr:to>
          <xdr:col>0</xdr:col>
          <xdr:colOff>1247775</xdr:colOff>
          <xdr:row>113</xdr:row>
          <xdr:rowOff>228600</xdr:rowOff>
        </xdr:to>
        <xdr:sp macro="" textlink="">
          <xdr:nvSpPr>
            <xdr:cNvPr id="1114" name="Drop Dow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126</xdr:row>
          <xdr:rowOff>28575</xdr:rowOff>
        </xdr:from>
        <xdr:to>
          <xdr:col>0</xdr:col>
          <xdr:colOff>1247775</xdr:colOff>
          <xdr:row>126</xdr:row>
          <xdr:rowOff>228600</xdr:rowOff>
        </xdr:to>
        <xdr:sp macro="" textlink="">
          <xdr:nvSpPr>
            <xdr:cNvPr id="1115" name="Drop Dow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43</xdr:row>
          <xdr:rowOff>38100</xdr:rowOff>
        </xdr:from>
        <xdr:to>
          <xdr:col>0</xdr:col>
          <xdr:colOff>2647950</xdr:colOff>
          <xdr:row>43</xdr:row>
          <xdr:rowOff>238125</xdr:rowOff>
        </xdr:to>
        <xdr:sp macro="" textlink="">
          <xdr:nvSpPr>
            <xdr:cNvPr id="1116" name="Drop Dow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56</xdr:row>
          <xdr:rowOff>38100</xdr:rowOff>
        </xdr:from>
        <xdr:to>
          <xdr:col>0</xdr:col>
          <xdr:colOff>2647950</xdr:colOff>
          <xdr:row>56</xdr:row>
          <xdr:rowOff>238125</xdr:rowOff>
        </xdr:to>
        <xdr:sp macro="" textlink="">
          <xdr:nvSpPr>
            <xdr:cNvPr id="1117" name="Drop Dow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69</xdr:row>
          <xdr:rowOff>38100</xdr:rowOff>
        </xdr:from>
        <xdr:to>
          <xdr:col>0</xdr:col>
          <xdr:colOff>2647950</xdr:colOff>
          <xdr:row>69</xdr:row>
          <xdr:rowOff>238125</xdr:rowOff>
        </xdr:to>
        <xdr:sp macro="" textlink="">
          <xdr:nvSpPr>
            <xdr:cNvPr id="1118" name="Drop Dow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99</xdr:row>
          <xdr:rowOff>38100</xdr:rowOff>
        </xdr:from>
        <xdr:to>
          <xdr:col>0</xdr:col>
          <xdr:colOff>2647950</xdr:colOff>
          <xdr:row>99</xdr:row>
          <xdr:rowOff>238125</xdr:rowOff>
        </xdr:to>
        <xdr:sp macro="" textlink="">
          <xdr:nvSpPr>
            <xdr:cNvPr id="1119" name="Drop Dow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112</xdr:row>
          <xdr:rowOff>38100</xdr:rowOff>
        </xdr:from>
        <xdr:to>
          <xdr:col>0</xdr:col>
          <xdr:colOff>2647950</xdr:colOff>
          <xdr:row>112</xdr:row>
          <xdr:rowOff>238125</xdr:rowOff>
        </xdr:to>
        <xdr:sp macro="" textlink="">
          <xdr:nvSpPr>
            <xdr:cNvPr id="1120" name="Drop Down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125</xdr:row>
          <xdr:rowOff>38100</xdr:rowOff>
        </xdr:from>
        <xdr:to>
          <xdr:col>0</xdr:col>
          <xdr:colOff>2647950</xdr:colOff>
          <xdr:row>125</xdr:row>
          <xdr:rowOff>238125</xdr:rowOff>
        </xdr:to>
        <xdr:sp macro="" textlink="">
          <xdr:nvSpPr>
            <xdr:cNvPr id="1121" name="Drop Down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44</xdr:row>
          <xdr:rowOff>38100</xdr:rowOff>
        </xdr:from>
        <xdr:to>
          <xdr:col>0</xdr:col>
          <xdr:colOff>2647950</xdr:colOff>
          <xdr:row>44</xdr:row>
          <xdr:rowOff>238125</xdr:rowOff>
        </xdr:to>
        <xdr:sp macro="" textlink="">
          <xdr:nvSpPr>
            <xdr:cNvPr id="1122" name="Drop Down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57</xdr:row>
          <xdr:rowOff>38100</xdr:rowOff>
        </xdr:from>
        <xdr:to>
          <xdr:col>0</xdr:col>
          <xdr:colOff>2647950</xdr:colOff>
          <xdr:row>57</xdr:row>
          <xdr:rowOff>238125</xdr:rowOff>
        </xdr:to>
        <xdr:sp macro="" textlink="">
          <xdr:nvSpPr>
            <xdr:cNvPr id="1123" name="Drop Down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70</xdr:row>
          <xdr:rowOff>38100</xdr:rowOff>
        </xdr:from>
        <xdr:to>
          <xdr:col>0</xdr:col>
          <xdr:colOff>2647950</xdr:colOff>
          <xdr:row>70</xdr:row>
          <xdr:rowOff>238125</xdr:rowOff>
        </xdr:to>
        <xdr:sp macro="" textlink="">
          <xdr:nvSpPr>
            <xdr:cNvPr id="1124" name="Drop Dow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100</xdr:row>
          <xdr:rowOff>38100</xdr:rowOff>
        </xdr:from>
        <xdr:to>
          <xdr:col>0</xdr:col>
          <xdr:colOff>2647950</xdr:colOff>
          <xdr:row>100</xdr:row>
          <xdr:rowOff>238125</xdr:rowOff>
        </xdr:to>
        <xdr:sp macro="" textlink="">
          <xdr:nvSpPr>
            <xdr:cNvPr id="1125" name="Drop Dow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113</xdr:row>
          <xdr:rowOff>38100</xdr:rowOff>
        </xdr:from>
        <xdr:to>
          <xdr:col>0</xdr:col>
          <xdr:colOff>2647950</xdr:colOff>
          <xdr:row>113</xdr:row>
          <xdr:rowOff>238125</xdr:rowOff>
        </xdr:to>
        <xdr:sp macro="" textlink="">
          <xdr:nvSpPr>
            <xdr:cNvPr id="1126" name="Drop Down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126</xdr:row>
          <xdr:rowOff>38100</xdr:rowOff>
        </xdr:from>
        <xdr:to>
          <xdr:col>0</xdr:col>
          <xdr:colOff>2647950</xdr:colOff>
          <xdr:row>126</xdr:row>
          <xdr:rowOff>238125</xdr:rowOff>
        </xdr:to>
        <xdr:sp macro="" textlink="">
          <xdr:nvSpPr>
            <xdr:cNvPr id="1127" name="Drop Down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45</xdr:row>
          <xdr:rowOff>28575</xdr:rowOff>
        </xdr:from>
        <xdr:to>
          <xdr:col>0</xdr:col>
          <xdr:colOff>2647950</xdr:colOff>
          <xdr:row>45</xdr:row>
          <xdr:rowOff>228600</xdr:rowOff>
        </xdr:to>
        <xdr:sp macro="" textlink="">
          <xdr:nvSpPr>
            <xdr:cNvPr id="1129" name="Drop Down 10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71</xdr:row>
          <xdr:rowOff>28575</xdr:rowOff>
        </xdr:from>
        <xdr:to>
          <xdr:col>0</xdr:col>
          <xdr:colOff>2647950</xdr:colOff>
          <xdr:row>71</xdr:row>
          <xdr:rowOff>228600</xdr:rowOff>
        </xdr:to>
        <xdr:sp macro="" textlink="">
          <xdr:nvSpPr>
            <xdr:cNvPr id="1130" name="Drop Dow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114</xdr:row>
          <xdr:rowOff>28575</xdr:rowOff>
        </xdr:from>
        <xdr:to>
          <xdr:col>0</xdr:col>
          <xdr:colOff>2647950</xdr:colOff>
          <xdr:row>114</xdr:row>
          <xdr:rowOff>228600</xdr:rowOff>
        </xdr:to>
        <xdr:sp macro="" textlink="">
          <xdr:nvSpPr>
            <xdr:cNvPr id="1131" name="Drop Down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127</xdr:row>
          <xdr:rowOff>28575</xdr:rowOff>
        </xdr:from>
        <xdr:to>
          <xdr:col>0</xdr:col>
          <xdr:colOff>2647950</xdr:colOff>
          <xdr:row>127</xdr:row>
          <xdr:rowOff>228600</xdr:rowOff>
        </xdr:to>
        <xdr:sp macro="" textlink="">
          <xdr:nvSpPr>
            <xdr:cNvPr id="1132" name="Drop Down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101</xdr:row>
          <xdr:rowOff>28575</xdr:rowOff>
        </xdr:from>
        <xdr:to>
          <xdr:col>0</xdr:col>
          <xdr:colOff>2647950</xdr:colOff>
          <xdr:row>101</xdr:row>
          <xdr:rowOff>228600</xdr:rowOff>
        </xdr:to>
        <xdr:sp macro="" textlink="">
          <xdr:nvSpPr>
            <xdr:cNvPr id="1133" name="Drop Down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58</xdr:row>
          <xdr:rowOff>28575</xdr:rowOff>
        </xdr:from>
        <xdr:to>
          <xdr:col>0</xdr:col>
          <xdr:colOff>2647950</xdr:colOff>
          <xdr:row>58</xdr:row>
          <xdr:rowOff>228600</xdr:rowOff>
        </xdr:to>
        <xdr:sp macro="" textlink="">
          <xdr:nvSpPr>
            <xdr:cNvPr id="1134" name="Drop Down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123825</xdr:colOff>
      <xdr:row>0</xdr:row>
      <xdr:rowOff>57150</xdr:rowOff>
    </xdr:from>
    <xdr:to>
      <xdr:col>0</xdr:col>
      <xdr:colOff>2057400</xdr:colOff>
      <xdr:row>19</xdr:row>
      <xdr:rowOff>571500</xdr:rowOff>
    </xdr:to>
    <xdr:sp macro="" textlink="">
      <xdr:nvSpPr>
        <xdr:cNvPr id="1441" name="AutoShape 180"/>
        <xdr:cNvSpPr>
          <a:spLocks noChangeArrowheads="1"/>
        </xdr:cNvSpPr>
      </xdr:nvSpPr>
      <xdr:spPr bwMode="auto">
        <a:xfrm>
          <a:off x="123825" y="57150"/>
          <a:ext cx="1933575" cy="3486150"/>
        </a:xfrm>
        <a:prstGeom prst="roundRect">
          <a:avLst>
            <a:gd name="adj" fmla="val 1007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38100" cmpd="dbl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238125</xdr:colOff>
      <xdr:row>7</xdr:row>
      <xdr:rowOff>57150</xdr:rowOff>
    </xdr:from>
    <xdr:to>
      <xdr:col>0</xdr:col>
      <xdr:colOff>1914525</xdr:colOff>
      <xdr:row>11</xdr:row>
      <xdr:rowOff>200025</xdr:rowOff>
    </xdr:to>
    <xdr:sp macro="" textlink="">
      <xdr:nvSpPr>
        <xdr:cNvPr id="1442" name="AutoShape 185"/>
        <xdr:cNvSpPr>
          <a:spLocks noChangeArrowheads="1"/>
        </xdr:cNvSpPr>
      </xdr:nvSpPr>
      <xdr:spPr bwMode="auto">
        <a:xfrm>
          <a:off x="238125" y="1457325"/>
          <a:ext cx="1676400" cy="476250"/>
        </a:xfrm>
        <a:prstGeom prst="roundRect">
          <a:avLst>
            <a:gd name="adj" fmla="val 10074"/>
          </a:avLst>
        </a:prstGeom>
        <a:noFill/>
        <a:ln w="38100" cmpd="dbl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12</xdr:row>
          <xdr:rowOff>171450</xdr:rowOff>
        </xdr:from>
        <xdr:to>
          <xdr:col>0</xdr:col>
          <xdr:colOff>1695450</xdr:colOff>
          <xdr:row>13</xdr:row>
          <xdr:rowOff>190500</xdr:rowOff>
        </xdr:to>
        <xdr:sp macro="" textlink="">
          <xdr:nvSpPr>
            <xdr:cNvPr id="1219" name="CommandButton3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14</xdr:row>
          <xdr:rowOff>219075</xdr:rowOff>
        </xdr:from>
        <xdr:to>
          <xdr:col>0</xdr:col>
          <xdr:colOff>1695450</xdr:colOff>
          <xdr:row>18</xdr:row>
          <xdr:rowOff>238125</xdr:rowOff>
        </xdr:to>
        <xdr:sp macro="" textlink="">
          <xdr:nvSpPr>
            <xdr:cNvPr id="1220" name="CommandButton4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13</xdr:row>
          <xdr:rowOff>190500</xdr:rowOff>
        </xdr:from>
        <xdr:to>
          <xdr:col>0</xdr:col>
          <xdr:colOff>1695450</xdr:colOff>
          <xdr:row>14</xdr:row>
          <xdr:rowOff>209550</xdr:rowOff>
        </xdr:to>
        <xdr:sp macro="" textlink="">
          <xdr:nvSpPr>
            <xdr:cNvPr id="1221" name="CommandButton5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18</xdr:row>
          <xdr:rowOff>228600</xdr:rowOff>
        </xdr:from>
        <xdr:to>
          <xdr:col>0</xdr:col>
          <xdr:colOff>1695450</xdr:colOff>
          <xdr:row>19</xdr:row>
          <xdr:rowOff>247650</xdr:rowOff>
        </xdr:to>
        <xdr:sp macro="" textlink="">
          <xdr:nvSpPr>
            <xdr:cNvPr id="1222" name="CommandButton6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7</xdr:row>
          <xdr:rowOff>152400</xdr:rowOff>
        </xdr:from>
        <xdr:to>
          <xdr:col>0</xdr:col>
          <xdr:colOff>1838325</xdr:colOff>
          <xdr:row>11</xdr:row>
          <xdr:rowOff>114300</xdr:rowOff>
        </xdr:to>
        <xdr:sp macro="" textlink="">
          <xdr:nvSpPr>
            <xdr:cNvPr id="1223" name="CommandButton7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228600</xdr:colOff>
      <xdr:row>1</xdr:row>
      <xdr:rowOff>9525</xdr:rowOff>
    </xdr:from>
    <xdr:to>
      <xdr:col>47</xdr:col>
      <xdr:colOff>47625</xdr:colOff>
      <xdr:row>5</xdr:row>
      <xdr:rowOff>152400</xdr:rowOff>
    </xdr:to>
    <xdr:sp macro="" textlink="">
      <xdr:nvSpPr>
        <xdr:cNvPr id="1224" name="Text Box 200"/>
        <xdr:cNvSpPr txBox="1">
          <a:spLocks noChangeArrowheads="1"/>
        </xdr:cNvSpPr>
      </xdr:nvSpPr>
      <xdr:spPr bwMode="auto">
        <a:xfrm>
          <a:off x="11229975" y="419100"/>
          <a:ext cx="96107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82296" tIns="59436" rIns="0" bIns="0" anchor="t" upright="1"/>
        <a:lstStyle/>
        <a:p>
          <a:pPr algn="l" rtl="0">
            <a:defRPr sz="1000"/>
          </a:pPr>
          <a:r>
            <a:rPr lang="ru-RU" sz="3600" b="1" i="0" u="none" strike="noStrike" baseline="0">
              <a:solidFill>
                <a:srgbClr val="000000"/>
              </a:solidFill>
              <a:latin typeface="Bookman Old Style"/>
            </a:rPr>
            <a:t>РАСКЛАДКА                 ПРОДУКТОВ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342900</xdr:colOff>
          <xdr:row>3</xdr:row>
          <xdr:rowOff>152400</xdr:rowOff>
        </xdr:from>
        <xdr:to>
          <xdr:col>0</xdr:col>
          <xdr:colOff>1866900</xdr:colOff>
          <xdr:row>5</xdr:row>
          <xdr:rowOff>123825</xdr:rowOff>
        </xdr:to>
        <xdr:sp macro="" textlink="">
          <xdr:nvSpPr>
            <xdr:cNvPr id="1271" name="CommandButton2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349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342900</xdr:colOff>
          <xdr:row>5</xdr:row>
          <xdr:rowOff>171450</xdr:rowOff>
        </xdr:from>
        <xdr:to>
          <xdr:col>0</xdr:col>
          <xdr:colOff>1866900</xdr:colOff>
          <xdr:row>6</xdr:row>
          <xdr:rowOff>161925</xdr:rowOff>
        </xdr:to>
        <xdr:sp macro="" textlink="">
          <xdr:nvSpPr>
            <xdr:cNvPr id="1272" name="CommandButton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34925" algn="ctr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0</xdr:row>
          <xdr:rowOff>114300</xdr:rowOff>
        </xdr:from>
        <xdr:to>
          <xdr:col>0</xdr:col>
          <xdr:colOff>1438275</xdr:colOff>
          <xdr:row>3</xdr:row>
          <xdr:rowOff>66675</xdr:rowOff>
        </xdr:to>
        <xdr:sp macro="" textlink="">
          <xdr:nvSpPr>
            <xdr:cNvPr id="1359" name="CommandButton1" hidden="1">
              <a:extLst>
                <a:ext uri="{63B3BB69-23CF-44E3-9099-C40C66FF867C}">
                  <a14:compatExt spid="_x0000_s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0</xdr:row>
          <xdr:rowOff>104775</xdr:rowOff>
        </xdr:from>
        <xdr:to>
          <xdr:col>13</xdr:col>
          <xdr:colOff>466725</xdr:colOff>
          <xdr:row>2</xdr:row>
          <xdr:rowOff>104775</xdr:rowOff>
        </xdr:to>
        <xdr:sp macro="" textlink="">
          <xdr:nvSpPr>
            <xdr:cNvPr id="13314" name="Spinner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171450</xdr:colOff>
      <xdr:row>1</xdr:row>
      <xdr:rowOff>0</xdr:rowOff>
    </xdr:from>
    <xdr:to>
      <xdr:col>11</xdr:col>
      <xdr:colOff>447675</xdr:colOff>
      <xdr:row>2</xdr:row>
      <xdr:rowOff>0</xdr:rowOff>
    </xdr:to>
    <xdr:sp macro="[0]!Общевойсковой" textlink="">
      <xdr:nvSpPr>
        <xdr:cNvPr id="13328" name="AutoShape 16"/>
        <xdr:cNvSpPr>
          <a:spLocks noChangeArrowheads="1"/>
        </xdr:cNvSpPr>
      </xdr:nvSpPr>
      <xdr:spPr bwMode="auto">
        <a:xfrm>
          <a:off x="9620250" y="171450"/>
          <a:ext cx="276225" cy="2667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/>
        <a:lstStyle/>
        <a:p>
          <a:endParaRPr lang="ru-RU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3</xdr:row>
          <xdr:rowOff>19050</xdr:rowOff>
        </xdr:from>
        <xdr:to>
          <xdr:col>13</xdr:col>
          <xdr:colOff>514350</xdr:colOff>
          <xdr:row>4</xdr:row>
          <xdr:rowOff>95250</xdr:rowOff>
        </xdr:to>
        <xdr:sp macro="" textlink="">
          <xdr:nvSpPr>
            <xdr:cNvPr id="13385" name="CommandButton1" hidden="1">
              <a:extLst>
                <a:ext uri="{63B3BB69-23CF-44E3-9099-C40C66FF867C}">
                  <a14:compatExt spid="_x0000_s13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0</xdr:row>
          <xdr:rowOff>104775</xdr:rowOff>
        </xdr:from>
        <xdr:to>
          <xdr:col>13</xdr:col>
          <xdr:colOff>466725</xdr:colOff>
          <xdr:row>2</xdr:row>
          <xdr:rowOff>104775</xdr:rowOff>
        </xdr:to>
        <xdr:sp macro="" textlink="">
          <xdr:nvSpPr>
            <xdr:cNvPr id="14340" name="Spinner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152400</xdr:colOff>
      <xdr:row>1</xdr:row>
      <xdr:rowOff>0</xdr:rowOff>
    </xdr:from>
    <xdr:to>
      <xdr:col>11</xdr:col>
      <xdr:colOff>428625</xdr:colOff>
      <xdr:row>2</xdr:row>
      <xdr:rowOff>0</xdr:rowOff>
    </xdr:to>
    <xdr:sp macro="[0]!Общевойсковой" textlink="">
      <xdr:nvSpPr>
        <xdr:cNvPr id="14349" name="AutoShape 13"/>
        <xdr:cNvSpPr>
          <a:spLocks noChangeArrowheads="1"/>
        </xdr:cNvSpPr>
      </xdr:nvSpPr>
      <xdr:spPr bwMode="auto">
        <a:xfrm>
          <a:off x="9601200" y="171450"/>
          <a:ext cx="276225" cy="2667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/>
        <a:lstStyle/>
        <a:p>
          <a:endParaRPr lang="ru-RU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3</xdr:row>
          <xdr:rowOff>19050</xdr:rowOff>
        </xdr:from>
        <xdr:to>
          <xdr:col>13</xdr:col>
          <xdr:colOff>523875</xdr:colOff>
          <xdr:row>4</xdr:row>
          <xdr:rowOff>95250</xdr:rowOff>
        </xdr:to>
        <xdr:sp macro="" textlink="">
          <xdr:nvSpPr>
            <xdr:cNvPr id="14394" name="CommandButton1" hidden="1">
              <a:extLst>
                <a:ext uri="{63B3BB69-23CF-44E3-9099-C40C66FF867C}">
                  <a14:compatExt spid="_x0000_s1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0</xdr:row>
          <xdr:rowOff>95250</xdr:rowOff>
        </xdr:from>
        <xdr:to>
          <xdr:col>13</xdr:col>
          <xdr:colOff>466725</xdr:colOff>
          <xdr:row>2</xdr:row>
          <xdr:rowOff>85725</xdr:rowOff>
        </xdr:to>
        <xdr:sp macro="" textlink="">
          <xdr:nvSpPr>
            <xdr:cNvPr id="15362" name="Spinner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180975</xdr:colOff>
      <xdr:row>1</xdr:row>
      <xdr:rowOff>0</xdr:rowOff>
    </xdr:from>
    <xdr:to>
      <xdr:col>11</xdr:col>
      <xdr:colOff>457200</xdr:colOff>
      <xdr:row>1</xdr:row>
      <xdr:rowOff>304800</xdr:rowOff>
    </xdr:to>
    <xdr:sp macro="[0]!Общевойсковой" textlink="">
      <xdr:nvSpPr>
        <xdr:cNvPr id="15375" name="AutoShape 15"/>
        <xdr:cNvSpPr>
          <a:spLocks noChangeArrowheads="1"/>
        </xdr:cNvSpPr>
      </xdr:nvSpPr>
      <xdr:spPr bwMode="auto">
        <a:xfrm>
          <a:off x="9629775" y="171450"/>
          <a:ext cx="276225" cy="2667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/>
        <a:lstStyle/>
        <a:p>
          <a:endParaRPr lang="ru-RU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3</xdr:row>
          <xdr:rowOff>0</xdr:rowOff>
        </xdr:from>
        <xdr:to>
          <xdr:col>13</xdr:col>
          <xdr:colOff>523875</xdr:colOff>
          <xdr:row>4</xdr:row>
          <xdr:rowOff>76200</xdr:rowOff>
        </xdr:to>
        <xdr:sp macro="" textlink="">
          <xdr:nvSpPr>
            <xdr:cNvPr id="15419" name="CommandButton1" hidden="1">
              <a:extLst>
                <a:ext uri="{63B3BB69-23CF-44E3-9099-C40C66FF867C}">
                  <a14:compatExt spid="_x0000_s15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0</xdr:row>
          <xdr:rowOff>76200</xdr:rowOff>
        </xdr:from>
        <xdr:to>
          <xdr:col>13</xdr:col>
          <xdr:colOff>466725</xdr:colOff>
          <xdr:row>2</xdr:row>
          <xdr:rowOff>76200</xdr:rowOff>
        </xdr:to>
        <xdr:sp macro="" textlink="">
          <xdr:nvSpPr>
            <xdr:cNvPr id="16386" name="Spinner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152400</xdr:colOff>
      <xdr:row>1</xdr:row>
      <xdr:rowOff>0</xdr:rowOff>
    </xdr:from>
    <xdr:to>
      <xdr:col>11</xdr:col>
      <xdr:colOff>428625</xdr:colOff>
      <xdr:row>2</xdr:row>
      <xdr:rowOff>0</xdr:rowOff>
    </xdr:to>
    <xdr:sp macro="[0]!Общевойсковой" textlink="">
      <xdr:nvSpPr>
        <xdr:cNvPr id="16397" name="AutoShape 13"/>
        <xdr:cNvSpPr>
          <a:spLocks noChangeArrowheads="1"/>
        </xdr:cNvSpPr>
      </xdr:nvSpPr>
      <xdr:spPr bwMode="auto">
        <a:xfrm>
          <a:off x="9601200" y="171450"/>
          <a:ext cx="276225" cy="2667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/>
        <a:lstStyle/>
        <a:p>
          <a:endParaRPr lang="ru-RU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3</xdr:row>
          <xdr:rowOff>0</xdr:rowOff>
        </xdr:from>
        <xdr:to>
          <xdr:col>13</xdr:col>
          <xdr:colOff>523875</xdr:colOff>
          <xdr:row>4</xdr:row>
          <xdr:rowOff>76200</xdr:rowOff>
        </xdr:to>
        <xdr:sp macro="" textlink="">
          <xdr:nvSpPr>
            <xdr:cNvPr id="16431" name="CommandButton1" hidden="1">
              <a:extLst>
                <a:ext uri="{63B3BB69-23CF-44E3-9099-C40C66FF867C}">
                  <a14:compatExt spid="_x0000_s16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0</xdr:row>
          <xdr:rowOff>95250</xdr:rowOff>
        </xdr:from>
        <xdr:to>
          <xdr:col>13</xdr:col>
          <xdr:colOff>466725</xdr:colOff>
          <xdr:row>2</xdr:row>
          <xdr:rowOff>85725</xdr:rowOff>
        </xdr:to>
        <xdr:sp macro="" textlink="">
          <xdr:nvSpPr>
            <xdr:cNvPr id="17410" name="Spinner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142875</xdr:colOff>
      <xdr:row>1</xdr:row>
      <xdr:rowOff>0</xdr:rowOff>
    </xdr:from>
    <xdr:to>
      <xdr:col>11</xdr:col>
      <xdr:colOff>419100</xdr:colOff>
      <xdr:row>2</xdr:row>
      <xdr:rowOff>0</xdr:rowOff>
    </xdr:to>
    <xdr:sp macro="[0]!Общевойсковой" textlink="">
      <xdr:nvSpPr>
        <xdr:cNvPr id="17420" name="AutoShape 12"/>
        <xdr:cNvSpPr>
          <a:spLocks noChangeArrowheads="1"/>
        </xdr:cNvSpPr>
      </xdr:nvSpPr>
      <xdr:spPr bwMode="auto">
        <a:xfrm>
          <a:off x="9591675" y="171450"/>
          <a:ext cx="276225" cy="2667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/>
        <a:lstStyle/>
        <a:p>
          <a:endParaRPr lang="ru-RU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3</xdr:row>
          <xdr:rowOff>0</xdr:rowOff>
        </xdr:from>
        <xdr:to>
          <xdr:col>13</xdr:col>
          <xdr:colOff>523875</xdr:colOff>
          <xdr:row>4</xdr:row>
          <xdr:rowOff>76200</xdr:rowOff>
        </xdr:to>
        <xdr:sp macro="" textlink="">
          <xdr:nvSpPr>
            <xdr:cNvPr id="17456" name="CommandButton1" hidden="1">
              <a:extLst>
                <a:ext uri="{63B3BB69-23CF-44E3-9099-C40C66FF867C}">
                  <a14:compatExt spid="_x0000_s17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0</xdr:row>
          <xdr:rowOff>104775</xdr:rowOff>
        </xdr:from>
        <xdr:to>
          <xdr:col>13</xdr:col>
          <xdr:colOff>476250</xdr:colOff>
          <xdr:row>2</xdr:row>
          <xdr:rowOff>95250</xdr:rowOff>
        </xdr:to>
        <xdr:sp macro="" textlink="">
          <xdr:nvSpPr>
            <xdr:cNvPr id="18434" name="Spinner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152400</xdr:colOff>
      <xdr:row>1</xdr:row>
      <xdr:rowOff>0</xdr:rowOff>
    </xdr:from>
    <xdr:to>
      <xdr:col>11</xdr:col>
      <xdr:colOff>428625</xdr:colOff>
      <xdr:row>2</xdr:row>
      <xdr:rowOff>0</xdr:rowOff>
    </xdr:to>
    <xdr:sp macro="[0]!Общевойсковой" textlink="">
      <xdr:nvSpPr>
        <xdr:cNvPr id="18459" name="AutoShape 27"/>
        <xdr:cNvSpPr>
          <a:spLocks noChangeArrowheads="1"/>
        </xdr:cNvSpPr>
      </xdr:nvSpPr>
      <xdr:spPr bwMode="auto">
        <a:xfrm>
          <a:off x="9601200" y="171450"/>
          <a:ext cx="276225" cy="2667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/>
        <a:lstStyle/>
        <a:p>
          <a:endParaRPr lang="ru-RU"/>
        </a:p>
      </xdr:txBody>
    </xdr:sp>
    <xdr:clientData/>
  </xdr:twoCellAnchor>
  <xdr:twoCellAnchor>
    <xdr:from>
      <xdr:col>11</xdr:col>
      <xdr:colOff>9525</xdr:colOff>
      <xdr:row>0</xdr:row>
      <xdr:rowOff>76200</xdr:rowOff>
    </xdr:from>
    <xdr:to>
      <xdr:col>13</xdr:col>
      <xdr:colOff>28575</xdr:colOff>
      <xdr:row>4</xdr:row>
      <xdr:rowOff>152400</xdr:rowOff>
    </xdr:to>
    <xdr:sp macro="" textlink="">
      <xdr:nvSpPr>
        <xdr:cNvPr id="18505" name="Rectangle 29"/>
        <xdr:cNvSpPr>
          <a:spLocks noChangeArrowheads="1"/>
        </xdr:cNvSpPr>
      </xdr:nvSpPr>
      <xdr:spPr bwMode="auto">
        <a:xfrm>
          <a:off x="9458325" y="76200"/>
          <a:ext cx="1209675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00" mc:Ignorable="a14" a14:legacySpreadsheetColorIndex="13">
                  <a:alpha val="0"/>
                </a:srgbClr>
              </a:solidFill>
            </a14:hiddenFill>
          </a:ext>
          <a:ext uri="{91240B29-F687-4F45-9708-019B960494DF}">
            <a14:hiddenLine xmlns:a14="http://schemas.microsoft.com/office/drawing/2010/main" w="38100" cmpd="dbl">
              <a:solidFill>
                <a:srgbClr xmlns:mc="http://schemas.openxmlformats.org/markup-compatibility/2006" val="FF0000" mc:Ignorable="a14" a14:legacySpreadsheetColorIndex="1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3</xdr:row>
          <xdr:rowOff>0</xdr:rowOff>
        </xdr:from>
        <xdr:to>
          <xdr:col>13</xdr:col>
          <xdr:colOff>523875</xdr:colOff>
          <xdr:row>4</xdr:row>
          <xdr:rowOff>76200</xdr:rowOff>
        </xdr:to>
        <xdr:sp macro="" textlink="">
          <xdr:nvSpPr>
            <xdr:cNvPr id="18499" name="CommandButton1" hidden="1">
              <a:extLst>
                <a:ext uri="{63B3BB69-23CF-44E3-9099-C40C66FF867C}">
                  <a14:compatExt spid="_x0000_s18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0</xdr:row>
          <xdr:rowOff>104775</xdr:rowOff>
        </xdr:from>
        <xdr:to>
          <xdr:col>13</xdr:col>
          <xdr:colOff>466725</xdr:colOff>
          <xdr:row>2</xdr:row>
          <xdr:rowOff>104775</xdr:rowOff>
        </xdr:to>
        <xdr:sp macro="" textlink="">
          <xdr:nvSpPr>
            <xdr:cNvPr id="19459" name="Spinner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152400</xdr:colOff>
      <xdr:row>1</xdr:row>
      <xdr:rowOff>0</xdr:rowOff>
    </xdr:from>
    <xdr:to>
      <xdr:col>11</xdr:col>
      <xdr:colOff>428625</xdr:colOff>
      <xdr:row>1</xdr:row>
      <xdr:rowOff>304800</xdr:rowOff>
    </xdr:to>
    <xdr:sp macro="[0]!Общевойсковой" textlink="">
      <xdr:nvSpPr>
        <xdr:cNvPr id="19484" name="AutoShape 28"/>
        <xdr:cNvSpPr>
          <a:spLocks noChangeArrowheads="1"/>
        </xdr:cNvSpPr>
      </xdr:nvSpPr>
      <xdr:spPr bwMode="auto">
        <a:xfrm>
          <a:off x="9601200" y="171450"/>
          <a:ext cx="276225" cy="2667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/>
        <a:lstStyle/>
        <a:p>
          <a:endParaRPr lang="ru-RU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3</xdr:row>
          <xdr:rowOff>0</xdr:rowOff>
        </xdr:from>
        <xdr:to>
          <xdr:col>13</xdr:col>
          <xdr:colOff>514350</xdr:colOff>
          <xdr:row>4</xdr:row>
          <xdr:rowOff>76200</xdr:rowOff>
        </xdr:to>
        <xdr:sp macro="" textlink="">
          <xdr:nvSpPr>
            <xdr:cNvPr id="19520" name="CommandButton1" hidden="1">
              <a:extLst>
                <a:ext uri="{63B3BB69-23CF-44E3-9099-C40C66FF867C}">
                  <a14:compatExt spid="_x0000_s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123825</xdr:colOff>
          <xdr:row>1</xdr:row>
          <xdr:rowOff>133350</xdr:rowOff>
        </xdr:from>
        <xdr:to>
          <xdr:col>3</xdr:col>
          <xdr:colOff>38100</xdr:colOff>
          <xdr:row>3</xdr:row>
          <xdr:rowOff>76200</xdr:rowOff>
        </xdr:to>
        <xdr:sp macro="" textlink="">
          <xdr:nvSpPr>
            <xdr:cNvPr id="29699" name="CommandButton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262</xdr:row>
          <xdr:rowOff>28575</xdr:rowOff>
        </xdr:from>
        <xdr:to>
          <xdr:col>0</xdr:col>
          <xdr:colOff>809625</xdr:colOff>
          <xdr:row>264</xdr:row>
          <xdr:rowOff>9525</xdr:rowOff>
        </xdr:to>
        <xdr:sp macro="" textlink="">
          <xdr:nvSpPr>
            <xdr:cNvPr id="24577" name="Spinner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.xml"/><Relationship Id="rId117" Type="http://schemas.openxmlformats.org/officeDocument/2006/relationships/ctrlProp" Target="../ctrlProps/ctrlProp96.xml"/><Relationship Id="rId21" Type="http://schemas.openxmlformats.org/officeDocument/2006/relationships/image" Target="../media/image9.emf"/><Relationship Id="rId42" Type="http://schemas.openxmlformats.org/officeDocument/2006/relationships/ctrlProp" Target="../ctrlProps/ctrlProp21.xml"/><Relationship Id="rId47" Type="http://schemas.openxmlformats.org/officeDocument/2006/relationships/ctrlProp" Target="../ctrlProps/ctrlProp26.xml"/><Relationship Id="rId63" Type="http://schemas.openxmlformats.org/officeDocument/2006/relationships/ctrlProp" Target="../ctrlProps/ctrlProp42.xml"/><Relationship Id="rId68" Type="http://schemas.openxmlformats.org/officeDocument/2006/relationships/ctrlProp" Target="../ctrlProps/ctrlProp47.xml"/><Relationship Id="rId84" Type="http://schemas.openxmlformats.org/officeDocument/2006/relationships/ctrlProp" Target="../ctrlProps/ctrlProp63.xml"/><Relationship Id="rId89" Type="http://schemas.openxmlformats.org/officeDocument/2006/relationships/ctrlProp" Target="../ctrlProps/ctrlProp68.xml"/><Relationship Id="rId112" Type="http://schemas.openxmlformats.org/officeDocument/2006/relationships/ctrlProp" Target="../ctrlProps/ctrlProp91.xml"/><Relationship Id="rId16" Type="http://schemas.openxmlformats.org/officeDocument/2006/relationships/control" Target="../activeX/activeX7.xml"/><Relationship Id="rId107" Type="http://schemas.openxmlformats.org/officeDocument/2006/relationships/ctrlProp" Target="../ctrlProps/ctrlProp86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3.xml"/><Relationship Id="rId32" Type="http://schemas.openxmlformats.org/officeDocument/2006/relationships/ctrlProp" Target="../ctrlProps/ctrlProp11.xml"/><Relationship Id="rId37" Type="http://schemas.openxmlformats.org/officeDocument/2006/relationships/ctrlProp" Target="../ctrlProps/ctrlProp16.xml"/><Relationship Id="rId40" Type="http://schemas.openxmlformats.org/officeDocument/2006/relationships/ctrlProp" Target="../ctrlProps/ctrlProp19.xml"/><Relationship Id="rId45" Type="http://schemas.openxmlformats.org/officeDocument/2006/relationships/ctrlProp" Target="../ctrlProps/ctrlProp24.xml"/><Relationship Id="rId53" Type="http://schemas.openxmlformats.org/officeDocument/2006/relationships/ctrlProp" Target="../ctrlProps/ctrlProp32.xml"/><Relationship Id="rId58" Type="http://schemas.openxmlformats.org/officeDocument/2006/relationships/ctrlProp" Target="../ctrlProps/ctrlProp37.xml"/><Relationship Id="rId66" Type="http://schemas.openxmlformats.org/officeDocument/2006/relationships/ctrlProp" Target="../ctrlProps/ctrlProp45.xml"/><Relationship Id="rId74" Type="http://schemas.openxmlformats.org/officeDocument/2006/relationships/ctrlProp" Target="../ctrlProps/ctrlProp53.xml"/><Relationship Id="rId79" Type="http://schemas.openxmlformats.org/officeDocument/2006/relationships/ctrlProp" Target="../ctrlProps/ctrlProp58.xml"/><Relationship Id="rId87" Type="http://schemas.openxmlformats.org/officeDocument/2006/relationships/ctrlProp" Target="../ctrlProps/ctrlProp66.xml"/><Relationship Id="rId102" Type="http://schemas.openxmlformats.org/officeDocument/2006/relationships/ctrlProp" Target="../ctrlProps/ctrlProp81.xml"/><Relationship Id="rId110" Type="http://schemas.openxmlformats.org/officeDocument/2006/relationships/ctrlProp" Target="../ctrlProps/ctrlProp89.xml"/><Relationship Id="rId115" Type="http://schemas.openxmlformats.org/officeDocument/2006/relationships/ctrlProp" Target="../ctrlProps/ctrlProp94.xml"/><Relationship Id="rId5" Type="http://schemas.openxmlformats.org/officeDocument/2006/relationships/vmlDrawing" Target="../drawings/vmlDrawing2.vml"/><Relationship Id="rId61" Type="http://schemas.openxmlformats.org/officeDocument/2006/relationships/ctrlProp" Target="../ctrlProps/ctrlProp40.xml"/><Relationship Id="rId82" Type="http://schemas.openxmlformats.org/officeDocument/2006/relationships/ctrlProp" Target="../ctrlProps/ctrlProp61.xml"/><Relationship Id="rId90" Type="http://schemas.openxmlformats.org/officeDocument/2006/relationships/ctrlProp" Target="../ctrlProps/ctrlProp69.xml"/><Relationship Id="rId95" Type="http://schemas.openxmlformats.org/officeDocument/2006/relationships/ctrlProp" Target="../ctrlProps/ctrlProp74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Relationship Id="rId27" Type="http://schemas.openxmlformats.org/officeDocument/2006/relationships/ctrlProp" Target="../ctrlProps/ctrlProp6.xml"/><Relationship Id="rId30" Type="http://schemas.openxmlformats.org/officeDocument/2006/relationships/ctrlProp" Target="../ctrlProps/ctrlProp9.xml"/><Relationship Id="rId35" Type="http://schemas.openxmlformats.org/officeDocument/2006/relationships/ctrlProp" Target="../ctrlProps/ctrlProp14.xml"/><Relationship Id="rId43" Type="http://schemas.openxmlformats.org/officeDocument/2006/relationships/ctrlProp" Target="../ctrlProps/ctrlProp22.xml"/><Relationship Id="rId48" Type="http://schemas.openxmlformats.org/officeDocument/2006/relationships/ctrlProp" Target="../ctrlProps/ctrlProp27.xml"/><Relationship Id="rId56" Type="http://schemas.openxmlformats.org/officeDocument/2006/relationships/ctrlProp" Target="../ctrlProps/ctrlProp35.xml"/><Relationship Id="rId64" Type="http://schemas.openxmlformats.org/officeDocument/2006/relationships/ctrlProp" Target="../ctrlProps/ctrlProp43.xml"/><Relationship Id="rId69" Type="http://schemas.openxmlformats.org/officeDocument/2006/relationships/ctrlProp" Target="../ctrlProps/ctrlProp48.xml"/><Relationship Id="rId77" Type="http://schemas.openxmlformats.org/officeDocument/2006/relationships/ctrlProp" Target="../ctrlProps/ctrlProp56.xml"/><Relationship Id="rId100" Type="http://schemas.openxmlformats.org/officeDocument/2006/relationships/ctrlProp" Target="../ctrlProps/ctrlProp79.xml"/><Relationship Id="rId105" Type="http://schemas.openxmlformats.org/officeDocument/2006/relationships/ctrlProp" Target="../ctrlProps/ctrlProp84.xml"/><Relationship Id="rId113" Type="http://schemas.openxmlformats.org/officeDocument/2006/relationships/ctrlProp" Target="../ctrlProps/ctrlProp92.xml"/><Relationship Id="rId118" Type="http://schemas.openxmlformats.org/officeDocument/2006/relationships/ctrlProp" Target="../ctrlProps/ctrlProp97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0.xml"/><Relationship Id="rId72" Type="http://schemas.openxmlformats.org/officeDocument/2006/relationships/ctrlProp" Target="../ctrlProps/ctrlProp51.xml"/><Relationship Id="rId80" Type="http://schemas.openxmlformats.org/officeDocument/2006/relationships/ctrlProp" Target="../ctrlProps/ctrlProp59.xml"/><Relationship Id="rId85" Type="http://schemas.openxmlformats.org/officeDocument/2006/relationships/ctrlProp" Target="../ctrlProps/ctrlProp64.xml"/><Relationship Id="rId93" Type="http://schemas.openxmlformats.org/officeDocument/2006/relationships/ctrlProp" Target="../ctrlProps/ctrlProp72.xml"/><Relationship Id="rId98" Type="http://schemas.openxmlformats.org/officeDocument/2006/relationships/ctrlProp" Target="../ctrlProps/ctrlProp77.xml"/><Relationship Id="rId3" Type="http://schemas.openxmlformats.org/officeDocument/2006/relationships/printerSettings" Target="../printerSettings/printerSettings4.bin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4.xml"/><Relationship Id="rId33" Type="http://schemas.openxmlformats.org/officeDocument/2006/relationships/ctrlProp" Target="../ctrlProps/ctrlProp12.xml"/><Relationship Id="rId38" Type="http://schemas.openxmlformats.org/officeDocument/2006/relationships/ctrlProp" Target="../ctrlProps/ctrlProp17.xml"/><Relationship Id="rId46" Type="http://schemas.openxmlformats.org/officeDocument/2006/relationships/ctrlProp" Target="../ctrlProps/ctrlProp25.xml"/><Relationship Id="rId59" Type="http://schemas.openxmlformats.org/officeDocument/2006/relationships/ctrlProp" Target="../ctrlProps/ctrlProp38.xml"/><Relationship Id="rId67" Type="http://schemas.openxmlformats.org/officeDocument/2006/relationships/ctrlProp" Target="../ctrlProps/ctrlProp46.xml"/><Relationship Id="rId103" Type="http://schemas.openxmlformats.org/officeDocument/2006/relationships/ctrlProp" Target="../ctrlProps/ctrlProp82.xml"/><Relationship Id="rId108" Type="http://schemas.openxmlformats.org/officeDocument/2006/relationships/ctrlProp" Target="../ctrlProps/ctrlProp87.xml"/><Relationship Id="rId116" Type="http://schemas.openxmlformats.org/officeDocument/2006/relationships/ctrlProp" Target="../ctrlProps/ctrlProp95.xml"/><Relationship Id="rId20" Type="http://schemas.openxmlformats.org/officeDocument/2006/relationships/control" Target="../activeX/activeX9.xml"/><Relationship Id="rId41" Type="http://schemas.openxmlformats.org/officeDocument/2006/relationships/ctrlProp" Target="../ctrlProps/ctrlProp20.xml"/><Relationship Id="rId54" Type="http://schemas.openxmlformats.org/officeDocument/2006/relationships/ctrlProp" Target="../ctrlProps/ctrlProp33.xml"/><Relationship Id="rId62" Type="http://schemas.openxmlformats.org/officeDocument/2006/relationships/ctrlProp" Target="../ctrlProps/ctrlProp41.xml"/><Relationship Id="rId70" Type="http://schemas.openxmlformats.org/officeDocument/2006/relationships/ctrlProp" Target="../ctrlProps/ctrlProp49.xml"/><Relationship Id="rId75" Type="http://schemas.openxmlformats.org/officeDocument/2006/relationships/ctrlProp" Target="../ctrlProps/ctrlProp54.xml"/><Relationship Id="rId83" Type="http://schemas.openxmlformats.org/officeDocument/2006/relationships/ctrlProp" Target="../ctrlProps/ctrlProp62.xml"/><Relationship Id="rId88" Type="http://schemas.openxmlformats.org/officeDocument/2006/relationships/ctrlProp" Target="../ctrlProps/ctrlProp67.xml"/><Relationship Id="rId91" Type="http://schemas.openxmlformats.org/officeDocument/2006/relationships/ctrlProp" Target="../ctrlProps/ctrlProp70.xml"/><Relationship Id="rId96" Type="http://schemas.openxmlformats.org/officeDocument/2006/relationships/ctrlProp" Target="../ctrlProps/ctrlProp75.xml"/><Relationship Id="rId11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28" Type="http://schemas.openxmlformats.org/officeDocument/2006/relationships/ctrlProp" Target="../ctrlProps/ctrlProp7.xml"/><Relationship Id="rId36" Type="http://schemas.openxmlformats.org/officeDocument/2006/relationships/ctrlProp" Target="../ctrlProps/ctrlProp15.xml"/><Relationship Id="rId49" Type="http://schemas.openxmlformats.org/officeDocument/2006/relationships/ctrlProp" Target="../ctrlProps/ctrlProp28.xml"/><Relationship Id="rId57" Type="http://schemas.openxmlformats.org/officeDocument/2006/relationships/ctrlProp" Target="../ctrlProps/ctrlProp36.xml"/><Relationship Id="rId106" Type="http://schemas.openxmlformats.org/officeDocument/2006/relationships/ctrlProp" Target="../ctrlProps/ctrlProp85.xml"/><Relationship Id="rId114" Type="http://schemas.openxmlformats.org/officeDocument/2006/relationships/ctrlProp" Target="../ctrlProps/ctrlProp93.xml"/><Relationship Id="rId119" Type="http://schemas.openxmlformats.org/officeDocument/2006/relationships/ctrlProp" Target="../ctrlProps/ctrlProp98.xml"/><Relationship Id="rId10" Type="http://schemas.openxmlformats.org/officeDocument/2006/relationships/control" Target="../activeX/activeX4.xml"/><Relationship Id="rId31" Type="http://schemas.openxmlformats.org/officeDocument/2006/relationships/ctrlProp" Target="../ctrlProps/ctrlProp10.xml"/><Relationship Id="rId44" Type="http://schemas.openxmlformats.org/officeDocument/2006/relationships/ctrlProp" Target="../ctrlProps/ctrlProp23.xml"/><Relationship Id="rId52" Type="http://schemas.openxmlformats.org/officeDocument/2006/relationships/ctrlProp" Target="../ctrlProps/ctrlProp31.xml"/><Relationship Id="rId60" Type="http://schemas.openxmlformats.org/officeDocument/2006/relationships/ctrlProp" Target="../ctrlProps/ctrlProp39.xml"/><Relationship Id="rId65" Type="http://schemas.openxmlformats.org/officeDocument/2006/relationships/ctrlProp" Target="../ctrlProps/ctrlProp44.xml"/><Relationship Id="rId73" Type="http://schemas.openxmlformats.org/officeDocument/2006/relationships/ctrlProp" Target="../ctrlProps/ctrlProp52.xml"/><Relationship Id="rId78" Type="http://schemas.openxmlformats.org/officeDocument/2006/relationships/ctrlProp" Target="../ctrlProps/ctrlProp57.xml"/><Relationship Id="rId81" Type="http://schemas.openxmlformats.org/officeDocument/2006/relationships/ctrlProp" Target="../ctrlProps/ctrlProp60.xml"/><Relationship Id="rId86" Type="http://schemas.openxmlformats.org/officeDocument/2006/relationships/ctrlProp" Target="../ctrlProps/ctrlProp65.xml"/><Relationship Id="rId94" Type="http://schemas.openxmlformats.org/officeDocument/2006/relationships/ctrlProp" Target="../ctrlProps/ctrlProp73.xml"/><Relationship Id="rId99" Type="http://schemas.openxmlformats.org/officeDocument/2006/relationships/ctrlProp" Target="../ctrlProps/ctrlProp78.xml"/><Relationship Id="rId101" Type="http://schemas.openxmlformats.org/officeDocument/2006/relationships/ctrlProp" Target="../ctrlProps/ctrlProp80.xml"/><Relationship Id="rId4" Type="http://schemas.openxmlformats.org/officeDocument/2006/relationships/drawing" Target="../drawings/drawing2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trlProp" Target="../ctrlProps/ctrlProp18.xml"/><Relationship Id="rId109" Type="http://schemas.openxmlformats.org/officeDocument/2006/relationships/ctrlProp" Target="../ctrlProps/ctrlProp88.xml"/><Relationship Id="rId34" Type="http://schemas.openxmlformats.org/officeDocument/2006/relationships/ctrlProp" Target="../ctrlProps/ctrlProp13.xml"/><Relationship Id="rId50" Type="http://schemas.openxmlformats.org/officeDocument/2006/relationships/ctrlProp" Target="../ctrlProps/ctrlProp29.xml"/><Relationship Id="rId55" Type="http://schemas.openxmlformats.org/officeDocument/2006/relationships/ctrlProp" Target="../ctrlProps/ctrlProp34.xml"/><Relationship Id="rId76" Type="http://schemas.openxmlformats.org/officeDocument/2006/relationships/ctrlProp" Target="../ctrlProps/ctrlProp55.xml"/><Relationship Id="rId97" Type="http://schemas.openxmlformats.org/officeDocument/2006/relationships/ctrlProp" Target="../ctrlProps/ctrlProp76.xml"/><Relationship Id="rId104" Type="http://schemas.openxmlformats.org/officeDocument/2006/relationships/ctrlProp" Target="../ctrlProps/ctrlProp83.xml"/><Relationship Id="rId120" Type="http://schemas.openxmlformats.org/officeDocument/2006/relationships/comments" Target="../comments2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50.xml"/><Relationship Id="rId92" Type="http://schemas.openxmlformats.org/officeDocument/2006/relationships/ctrlProp" Target="../ctrlProps/ctrlProp71.xml"/><Relationship Id="rId2" Type="http://schemas.openxmlformats.org/officeDocument/2006/relationships/hyperlink" Target="&#1056;&#1072;&#1089;&#1082;&#1083;&#1072;&#1076;&#1082;&#1072;%20&#1087;&#1088;&#1086;&#1076;&#1091;&#1082;&#1090;&#1086;&#1074;(&#1083;&#1077;&#1095;).XLS" TargetMode="External"/><Relationship Id="rId2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99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0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01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trlProp" Target="../ctrlProps/ctrlProp102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trlProp" Target="../ctrlProps/ctrlProp103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image" Target="../media/image14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trlProp" Target="../ctrlProps/ctrlProp104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ctrlProp" Target="../ctrlProps/ctrlProp105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0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autoPageBreaks="0"/>
  </sheetPr>
  <dimension ref="A1:BP2079"/>
  <sheetViews>
    <sheetView showZeros="0" zoomScale="80" zoomScaleNormal="130" zoomScaleSheetLayoutView="100" workbookViewId="0"/>
  </sheetViews>
  <sheetFormatPr defaultRowHeight="12" x14ac:dyDescent="0.2"/>
  <cols>
    <col min="1" max="1" width="9.42578125" style="414" customWidth="1"/>
    <col min="2" max="2" width="15.28515625" style="414" customWidth="1"/>
    <col min="3" max="3" width="11.42578125" style="414" customWidth="1"/>
    <col min="4" max="4" width="14.28515625" style="414" customWidth="1"/>
    <col min="5" max="5" width="3" style="414" customWidth="1"/>
    <col min="6" max="6" width="25" style="414" customWidth="1"/>
    <col min="7" max="7" width="46" style="414" customWidth="1"/>
    <col min="8" max="8" width="33.5703125" style="414" customWidth="1"/>
    <col min="9" max="9" width="10.85546875" style="414" customWidth="1"/>
    <col min="10" max="10" width="4.7109375" style="414" customWidth="1"/>
    <col min="11" max="11" width="5.42578125" style="414" customWidth="1"/>
    <col min="12" max="12" width="6.7109375" style="414" customWidth="1"/>
    <col min="13" max="13" width="13.7109375" style="414" customWidth="1"/>
    <col min="14" max="14" width="35.28515625" style="414" customWidth="1"/>
    <col min="15" max="15" width="22.42578125" style="410" customWidth="1"/>
    <col min="16" max="16" width="42" style="410" customWidth="1"/>
    <col min="17" max="17" width="16.42578125" style="410" customWidth="1"/>
    <col min="18" max="18" width="18.140625" style="414" customWidth="1"/>
    <col min="19" max="19" width="5" style="414" customWidth="1"/>
    <col min="20" max="20" width="9.140625" style="414"/>
    <col min="21" max="21" width="45.7109375" style="414" customWidth="1"/>
    <col min="22" max="22" width="45.85546875" style="414" customWidth="1"/>
    <col min="23" max="23" width="9.140625" style="414"/>
    <col min="24" max="24" width="34.7109375" style="414" customWidth="1"/>
    <col min="25" max="25" width="14.7109375" style="414" customWidth="1"/>
    <col min="26" max="26" width="9.140625" style="414"/>
    <col min="27" max="27" width="41.5703125" style="414" customWidth="1"/>
    <col min="28" max="29" width="9.140625" style="414"/>
    <col min="30" max="30" width="24.5703125" style="414" customWidth="1"/>
    <col min="31" max="32" width="9.140625" style="414"/>
    <col min="33" max="33" width="18.42578125" style="414" customWidth="1"/>
    <col min="34" max="34" width="9.28515625" style="414" customWidth="1"/>
    <col min="35" max="35" width="24.7109375" style="414" customWidth="1"/>
    <col min="36" max="37" width="8.42578125" style="414" customWidth="1"/>
    <col min="38" max="16384" width="9.140625" style="414"/>
  </cols>
  <sheetData>
    <row r="1" spans="1:68" ht="38.25" customHeight="1" x14ac:dyDescent="0.2">
      <c r="A1" s="410">
        <v>2</v>
      </c>
      <c r="B1" s="410"/>
      <c r="C1" s="410"/>
      <c r="D1" s="410"/>
      <c r="E1" s="410"/>
      <c r="F1" s="411"/>
      <c r="G1" s="828">
        <v>3</v>
      </c>
      <c r="H1" s="410"/>
      <c r="I1" s="410"/>
      <c r="J1" s="410"/>
      <c r="K1" s="410"/>
      <c r="L1" s="410"/>
      <c r="M1" s="410"/>
      <c r="N1" s="1222" t="str">
        <f>I2</f>
        <v>00000</v>
      </c>
      <c r="O1" s="410">
        <f ca="1">WEEKDAY(I6,2)</f>
        <v>7</v>
      </c>
      <c r="P1" s="413" t="s">
        <v>614</v>
      </c>
      <c r="Q1" s="823">
        <v>1</v>
      </c>
      <c r="R1" s="410">
        <v>0</v>
      </c>
      <c r="S1" s="410"/>
      <c r="T1" s="410"/>
      <c r="U1" s="410"/>
      <c r="V1" s="410"/>
      <c r="W1" s="410"/>
      <c r="X1" s="410">
        <v>0</v>
      </c>
      <c r="Y1" s="410"/>
      <c r="Z1" s="410">
        <f>Z136</f>
        <v>3</v>
      </c>
      <c r="AA1" s="410"/>
      <c r="AB1" s="410"/>
      <c r="AC1" s="410"/>
      <c r="AD1" s="410"/>
      <c r="AE1" s="410"/>
      <c r="AF1" s="410"/>
      <c r="AG1" s="410"/>
      <c r="AH1" s="410"/>
      <c r="AI1" s="410"/>
      <c r="AJ1" s="410"/>
      <c r="AK1" s="410"/>
      <c r="BP1" s="473"/>
    </row>
    <row r="2" spans="1:68" ht="19.5" customHeight="1" x14ac:dyDescent="0.2">
      <c r="A2" s="415"/>
      <c r="B2" s="416"/>
      <c r="C2" s="410"/>
      <c r="D2" s="1261" t="str">
        <f>IF(F2=9,"СЕНТЯБРЬ",IF(F2=10,"ОКТЯБРЬ",IF(F2=11,"НОЯБРЬ",IF(F2=12,"ДЕКАБРЬ",IF(F2=1,"ЯНВАРЬ",IF(F2=2,"ФЕВРАЛЬ",IF(AND(F2&gt;=3,F2&lt;=7),"С 1 МАРТА",IF(F2=8,"АВГУСТ"))))))))</f>
        <v>ОКТЯБРЬ</v>
      </c>
      <c r="E2" s="410"/>
      <c r="F2" s="417">
        <f>MONTH(I4)</f>
        <v>10</v>
      </c>
      <c r="G2" s="842">
        <v>1</v>
      </c>
      <c r="H2" s="419"/>
      <c r="I2" s="1263" t="s">
        <v>609</v>
      </c>
      <c r="J2" s="1263"/>
      <c r="K2" s="1263"/>
      <c r="L2" s="1263"/>
      <c r="M2" s="1263"/>
      <c r="N2" s="421"/>
      <c r="O2" s="410">
        <f>P1*7654321+8</f>
        <v>137777786</v>
      </c>
      <c r="P2" s="422" t="s">
        <v>612</v>
      </c>
      <c r="R2" s="410"/>
      <c r="S2" s="410"/>
      <c r="T2" s="410"/>
      <c r="U2" s="410"/>
      <c r="V2" s="410"/>
      <c r="W2" s="410"/>
      <c r="X2" s="410"/>
      <c r="Y2" s="410"/>
      <c r="Z2" s="410" t="s">
        <v>461</v>
      </c>
      <c r="AA2" s="410" t="s">
        <v>462</v>
      </c>
      <c r="AB2" s="410"/>
      <c r="AC2" s="410"/>
      <c r="AD2" s="410"/>
      <c r="AE2" s="410"/>
      <c r="AF2" s="410"/>
      <c r="AG2" s="410"/>
      <c r="AH2" s="410"/>
      <c r="AI2" s="410"/>
      <c r="AJ2" s="410"/>
      <c r="AK2" s="410"/>
    </row>
    <row r="3" spans="1:68" ht="15" customHeight="1" x14ac:dyDescent="0.25">
      <c r="A3" s="410" t="b">
        <v>1</v>
      </c>
      <c r="B3" s="410"/>
      <c r="C3" s="423"/>
      <c r="D3" s="1261"/>
      <c r="E3" s="410"/>
      <c r="F3" s="410"/>
      <c r="G3" s="410"/>
      <c r="H3" s="410"/>
      <c r="I3" s="410"/>
      <c r="J3" s="410"/>
      <c r="K3" s="410"/>
      <c r="L3" s="424"/>
      <c r="M3" s="410"/>
      <c r="N3" s="425"/>
      <c r="R3" s="410"/>
      <c r="S3" s="410"/>
      <c r="T3" s="410"/>
      <c r="U3" s="410"/>
      <c r="V3" s="410"/>
      <c r="W3" s="410"/>
      <c r="X3" s="410"/>
      <c r="Y3" s="410"/>
      <c r="Z3" s="410"/>
      <c r="AA3" s="412"/>
      <c r="AB3" s="1267"/>
      <c r="AC3" s="1267"/>
      <c r="AD3" s="410"/>
      <c r="AE3" s="410"/>
      <c r="AF3" s="410"/>
      <c r="AG3" s="410"/>
      <c r="AH3" s="410"/>
      <c r="AI3" s="410"/>
      <c r="AJ3" s="410"/>
      <c r="AK3" s="410"/>
    </row>
    <row r="4" spans="1:68" ht="18.75" customHeight="1" x14ac:dyDescent="0.25">
      <c r="A4" s="410"/>
      <c r="B4" s="1273" t="s">
        <v>51</v>
      </c>
      <c r="C4" s="1273"/>
      <c r="D4" s="814">
        <f>IF($D$2="ЯНВАРЬ",0.65,IF($D$2="ФЕВРАЛЬ",0.65,IF($D$2="С 1 МАРТА",0.6,IF($D$2="АВГУСТ",0.8,IF($D$2="СЕНТЯБРЬ",0.75,IF($D$2="ОКТЯБРЬ",0.75,IF($D$2="НОЯБРЬ",0.7,IF($D$2="ДЕКАБРЬ",0.7))))))))</f>
        <v>0.75</v>
      </c>
      <c r="E4" s="410"/>
      <c r="F4" s="417"/>
      <c r="G4" s="827"/>
      <c r="H4" s="410"/>
      <c r="I4" s="1264">
        <f>IF(A4=TRUE,F7,C274+31000)</f>
        <v>40091</v>
      </c>
      <c r="J4" s="1264"/>
      <c r="K4" s="1264"/>
      <c r="L4" s="1264"/>
      <c r="M4" s="1264"/>
      <c r="N4" s="1264"/>
      <c r="O4" s="417" t="s">
        <v>119</v>
      </c>
      <c r="P4" s="417"/>
      <c r="R4" s="410"/>
      <c r="S4" s="417"/>
      <c r="T4" s="410"/>
      <c r="U4" s="410"/>
      <c r="V4" s="426">
        <f>'Раскладка продуктов'!C25</f>
        <v>40091</v>
      </c>
      <c r="W4" s="410" t="s">
        <v>460</v>
      </c>
      <c r="X4" s="410" t="s">
        <v>56</v>
      </c>
      <c r="Y4" s="426"/>
      <c r="Z4" s="410">
        <v>1</v>
      </c>
      <c r="AA4" s="412" t="s">
        <v>463</v>
      </c>
      <c r="AB4" s="1267"/>
      <c r="AC4" s="1267"/>
      <c r="AD4" s="410"/>
      <c r="AE4" s="410"/>
      <c r="AF4" s="410"/>
      <c r="AG4" s="410"/>
      <c r="AH4" s="410"/>
      <c r="AI4" s="378" t="s">
        <v>365</v>
      </c>
      <c r="AJ4" s="410"/>
      <c r="AK4" s="410"/>
    </row>
    <row r="5" spans="1:68" ht="12.75" customHeight="1" x14ac:dyDescent="0.2">
      <c r="A5" s="410"/>
      <c r="B5" s="1268" t="s">
        <v>52</v>
      </c>
      <c r="C5" s="1268"/>
      <c r="D5" s="815">
        <f>IF($D$2="ЯНВАРЬ",0.85,IF($D$2="ФЕВРАЛЬ",0.85,IF($D$2="С 1 МАРТА",0.78,IF($D$2="АВГУСТ",1.04,IF($D$2="СЕНТЯБРЬ",0.98,IF($D$2="ОКТЯБРЬ",0.98,IF($D$2="НОЯБРЬ",0.91,IF($D$2="ДЕКАБРЬ",0.91))))))))</f>
        <v>0.98</v>
      </c>
      <c r="E5" s="410"/>
      <c r="F5" s="428"/>
      <c r="G5" s="826"/>
      <c r="H5" s="417"/>
      <c r="I5" s="1265" t="str">
        <f>CHOOSE(WEEKDAY(I4,2),"ПОНЕДЕЛЬНИК","ВТОРНИК","СРЕДА","ЧЕТВЕРГ","ПЯТНИЦА","СУББОТА","ВОСКРЕСЕНЬЕ")</f>
        <v>ПОНЕДЕЛЬНИК</v>
      </c>
      <c r="J5" s="1265"/>
      <c r="K5" s="1265"/>
      <c r="L5" s="1265"/>
      <c r="M5" s="1265"/>
      <c r="N5" s="1265"/>
      <c r="R5" s="410"/>
      <c r="S5" s="410" t="str">
        <f>IF(T5=1,"Варка","")</f>
        <v>Варка</v>
      </c>
      <c r="T5" s="410">
        <v>1</v>
      </c>
      <c r="U5" s="410"/>
      <c r="V5" s="426">
        <f t="shared" ref="V5:V10" si="0">V4+1</f>
        <v>40092</v>
      </c>
      <c r="W5" s="410" t="s">
        <v>460</v>
      </c>
      <c r="X5" s="410" t="s">
        <v>42</v>
      </c>
      <c r="Y5" s="410"/>
      <c r="Z5" s="410">
        <v>1</v>
      </c>
      <c r="AA5" s="412" t="s">
        <v>464</v>
      </c>
      <c r="AB5" s="1267"/>
      <c r="AC5" s="1267"/>
      <c r="AD5" s="410"/>
      <c r="AE5" s="410"/>
      <c r="AF5" s="410"/>
      <c r="AG5" s="410"/>
      <c r="AH5" s="410"/>
      <c r="AI5" s="378" t="s">
        <v>366</v>
      </c>
      <c r="AJ5" s="410"/>
      <c r="AK5" s="410"/>
    </row>
    <row r="6" spans="1:68" ht="13.5" customHeight="1" x14ac:dyDescent="0.2">
      <c r="A6" s="410"/>
      <c r="B6" s="1268" t="s">
        <v>247</v>
      </c>
      <c r="C6" s="1268"/>
      <c r="D6" s="815"/>
      <c r="E6" s="410"/>
      <c r="F6" s="428"/>
      <c r="G6" s="428"/>
      <c r="H6" s="410"/>
      <c r="I6" s="1266">
        <f ca="1">TODAY()</f>
        <v>45116</v>
      </c>
      <c r="J6" s="1266"/>
      <c r="K6" s="1266"/>
      <c r="L6" s="1266"/>
      <c r="M6" s="1266"/>
      <c r="N6" s="1266"/>
      <c r="R6" s="410"/>
      <c r="S6" s="410" t="str">
        <f>IF(T6=1,"Жаренье","")</f>
        <v>Жаренье</v>
      </c>
      <c r="T6" s="410">
        <v>1</v>
      </c>
      <c r="U6" s="410"/>
      <c r="V6" s="426">
        <f t="shared" si="0"/>
        <v>40093</v>
      </c>
      <c r="W6" s="410" t="s">
        <v>460</v>
      </c>
      <c r="X6" s="410" t="s">
        <v>57</v>
      </c>
      <c r="Y6" s="410"/>
      <c r="Z6" s="410">
        <v>1</v>
      </c>
      <c r="AA6" s="412" t="s">
        <v>517</v>
      </c>
      <c r="AB6" s="1267">
        <v>1</v>
      </c>
      <c r="AC6" s="1267"/>
      <c r="AD6" s="410"/>
      <c r="AE6" s="410"/>
      <c r="AF6" s="410"/>
      <c r="AG6" s="410"/>
      <c r="AH6" s="410"/>
      <c r="AI6" s="378" t="s">
        <v>367</v>
      </c>
      <c r="AJ6" s="410"/>
      <c r="AK6" s="410"/>
    </row>
    <row r="7" spans="1:68" ht="19.5" customHeight="1" x14ac:dyDescent="0.2">
      <c r="A7" s="410"/>
      <c r="B7" s="1268" t="s">
        <v>48</v>
      </c>
      <c r="C7" s="1268"/>
      <c r="D7" s="815">
        <f>IF($D$2="ЯНВАРЬ",0.7,IF($D$2="ФЕВРАЛЬ",0.7,IF($D$2="С 1 МАРТА",0.7,IF($D$2="АВГУСТ",0.74,IF($D$2="СЕНТЯБРЬ",0.74,IF($D$2="ОКТЯБРЬ",0.74,IF($D$2="НОЯБРЬ",0.74,IF($D$2="ДЕКАБРЬ",0.74))))))))</f>
        <v>0.74</v>
      </c>
      <c r="E7" s="410"/>
      <c r="F7" s="429"/>
      <c r="G7" s="410"/>
      <c r="H7" s="410"/>
      <c r="I7" s="430" t="str">
        <f ca="1">CHOOSE(WEEKDAY(I6,2),"ПОНЕДЕЛЬНИК","ВТОРНИК","СРЕДА","ЧЕТВЕРГ","ПЯТНИЦА","СУББОТА","ВОСКРЕСЕНЬЕ")</f>
        <v>ВОСКРЕСЕНЬЕ</v>
      </c>
      <c r="J7" s="430"/>
      <c r="K7" s="430"/>
      <c r="L7" s="430">
        <f>DAY(I4)</f>
        <v>5</v>
      </c>
      <c r="M7" s="430">
        <f>MONTH(I4)</f>
        <v>10</v>
      </c>
      <c r="N7" s="430">
        <f>YEAR(I4)</f>
        <v>2009</v>
      </c>
      <c r="O7" s="431"/>
      <c r="R7" s="410"/>
      <c r="S7" s="410" t="str">
        <f>IF(T7=1,"Тушенье","")</f>
        <v>Тушенье</v>
      </c>
      <c r="T7" s="410">
        <v>1</v>
      </c>
      <c r="U7" s="410"/>
      <c r="V7" s="426">
        <f t="shared" si="0"/>
        <v>40094</v>
      </c>
      <c r="W7" s="410" t="s">
        <v>460</v>
      </c>
      <c r="X7" s="410" t="s">
        <v>43</v>
      </c>
      <c r="Y7" s="410"/>
      <c r="Z7" s="410">
        <v>1</v>
      </c>
      <c r="AA7" s="412" t="s">
        <v>506</v>
      </c>
      <c r="AB7" s="1267"/>
      <c r="AC7" s="1267"/>
      <c r="AD7" s="410"/>
      <c r="AE7" s="410"/>
      <c r="AF7" s="410"/>
      <c r="AG7" s="410"/>
      <c r="AH7" s="410"/>
      <c r="AI7" s="378" t="s">
        <v>368</v>
      </c>
      <c r="AJ7" s="410"/>
      <c r="AK7" s="410"/>
    </row>
    <row r="8" spans="1:68" ht="15.75" customHeight="1" x14ac:dyDescent="0.2">
      <c r="A8" s="410"/>
      <c r="B8" s="1268" t="s">
        <v>53</v>
      </c>
      <c r="C8" s="1268"/>
      <c r="D8" s="815">
        <f>IF($D$2="ЯНВАРЬ",0.71,IF($D$2="ФЕВРАЛЬ",0.71,IF($D$2="С 1 МАРТА",0.71,IF($D$2="АВГУСТ",0.76,IF($D$2="СЕНТЯБРЬ",0.76,IF($D$2="ОКТЯБРЬ",0.76,IF($D$2="НОЯБРЬ",0.76,IF($D$2="ДЕКАБРЬ",0.76))))))))</f>
        <v>0.76</v>
      </c>
      <c r="E8" s="410"/>
      <c r="F8" s="820" t="s">
        <v>592</v>
      </c>
      <c r="G8" s="1258" t="s">
        <v>430</v>
      </c>
      <c r="H8" s="1258"/>
      <c r="I8" s="1258"/>
      <c r="J8" s="1258"/>
      <c r="K8" s="1258"/>
      <c r="L8" s="1258"/>
      <c r="M8" s="1262" t="s">
        <v>392</v>
      </c>
      <c r="N8" s="1262"/>
      <c r="O8" s="432" t="s">
        <v>444</v>
      </c>
      <c r="R8" s="410"/>
      <c r="S8" s="410"/>
      <c r="T8" s="410"/>
      <c r="U8" s="410"/>
      <c r="V8" s="426">
        <f t="shared" si="0"/>
        <v>40095</v>
      </c>
      <c r="W8" s="410" t="s">
        <v>460</v>
      </c>
      <c r="X8" s="410" t="s">
        <v>58</v>
      </c>
      <c r="Y8" s="410"/>
      <c r="Z8" s="410">
        <v>1</v>
      </c>
      <c r="AA8" s="412" t="s">
        <v>507</v>
      </c>
      <c r="AB8" s="1267"/>
      <c r="AC8" s="1267"/>
      <c r="AD8" s="410"/>
      <c r="AE8" s="410"/>
      <c r="AF8" s="410"/>
      <c r="AG8" s="410"/>
      <c r="AH8" s="410"/>
      <c r="AI8" s="378" t="s">
        <v>369</v>
      </c>
      <c r="AJ8" s="410"/>
      <c r="AK8" s="410"/>
    </row>
    <row r="9" spans="1:68" ht="15.75" customHeight="1" x14ac:dyDescent="0.2">
      <c r="A9" s="410"/>
      <c r="B9" s="1268" t="s">
        <v>246</v>
      </c>
      <c r="C9" s="1268"/>
      <c r="D9" s="815">
        <f>IF($D$2="ЯНВАРЬ",0.72,IF($D$2="ФЕВРАЛЬ",0.72,IF($D$2="С 1 МАРТА",0.72,IF($D$2="АВГУСТ",0.72,IF($D$2="СЕНТЯБРЬ",0.72,IF($D$2="ОКТЯБРЬ",0.72,IF($D$2="НОЯБРЬ",0.72,IF($D$2="ДЕКАБРЬ",0.72))))))))</f>
        <v>0.72</v>
      </c>
      <c r="E9" s="1262"/>
      <c r="F9" s="1262"/>
      <c r="G9" s="817" t="s">
        <v>398</v>
      </c>
      <c r="H9" s="447"/>
      <c r="I9" s="447"/>
      <c r="J9" s="447"/>
      <c r="K9" s="447"/>
      <c r="L9" s="447"/>
      <c r="M9" s="1262" t="s">
        <v>393</v>
      </c>
      <c r="N9" s="1262"/>
      <c r="O9" s="432" t="s">
        <v>445</v>
      </c>
      <c r="R9" s="410"/>
      <c r="S9" s="410"/>
      <c r="T9" s="410"/>
      <c r="U9" s="410"/>
      <c r="V9" s="426">
        <f t="shared" si="0"/>
        <v>40096</v>
      </c>
      <c r="W9" s="410" t="s">
        <v>460</v>
      </c>
      <c r="X9" s="410" t="s">
        <v>59</v>
      </c>
      <c r="Y9" s="410"/>
      <c r="Z9" s="410">
        <v>1</v>
      </c>
      <c r="AA9" s="412" t="s">
        <v>508</v>
      </c>
      <c r="AB9" s="1267"/>
      <c r="AC9" s="1267"/>
      <c r="AD9" s="410"/>
      <c r="AE9" s="410"/>
      <c r="AF9" s="410"/>
      <c r="AG9" s="410"/>
      <c r="AH9" s="410"/>
      <c r="AI9" s="378" t="s">
        <v>370</v>
      </c>
      <c r="AJ9" s="410"/>
      <c r="AK9" s="410"/>
    </row>
    <row r="10" spans="1:68" ht="15.75" customHeight="1" x14ac:dyDescent="0.2">
      <c r="A10" s="410"/>
      <c r="B10" s="1268" t="s">
        <v>178</v>
      </c>
      <c r="C10" s="1268"/>
      <c r="D10" s="815">
        <f>IF($D$2="ЯНВАРЬ",0.84,IF($D$2="ФЕВРАЛЬ",0.84,IF($D$2="С 1 МАРТА",0.84,IF($D$2="АВГУСТ",0.84,IF($D$2="СЕНТЯБРЬ",0.84,IF($D$2="ОКТЯБРЬ",0.84,IF($D$2="НОЯБРЬ",0.84,IF($D$2="ДЕКАБРЬ",0.84))))))))</f>
        <v>0.84</v>
      </c>
      <c r="E10" s="1262"/>
      <c r="F10" s="1262"/>
      <c r="G10" s="818" t="s">
        <v>401</v>
      </c>
      <c r="H10" s="816"/>
      <c r="I10" s="816"/>
      <c r="J10" s="816"/>
      <c r="K10" s="816"/>
      <c r="L10" s="816"/>
      <c r="M10" s="1262" t="s">
        <v>399</v>
      </c>
      <c r="N10" s="1262"/>
      <c r="O10" s="1254" t="s">
        <v>613</v>
      </c>
      <c r="P10" s="410" t="s">
        <v>613</v>
      </c>
      <c r="R10" s="410"/>
      <c r="S10" s="410"/>
      <c r="T10" s="410"/>
      <c r="U10" s="410"/>
      <c r="V10" s="426">
        <f t="shared" si="0"/>
        <v>40097</v>
      </c>
      <c r="W10" s="410" t="s">
        <v>460</v>
      </c>
      <c r="X10" s="410" t="s">
        <v>60</v>
      </c>
      <c r="Y10" s="410"/>
      <c r="Z10" s="410">
        <v>1</v>
      </c>
      <c r="AA10" s="412"/>
      <c r="AB10" s="1267"/>
      <c r="AC10" s="1267"/>
      <c r="AD10" s="410"/>
      <c r="AE10" s="410"/>
      <c r="AF10" s="410"/>
      <c r="AG10" s="410"/>
      <c r="AH10" s="410"/>
      <c r="AI10" s="378" t="s">
        <v>371</v>
      </c>
      <c r="AJ10" s="410"/>
      <c r="AK10" s="410"/>
    </row>
    <row r="11" spans="1:68" ht="15.75" customHeight="1" x14ac:dyDescent="0.2">
      <c r="A11" s="417"/>
      <c r="B11" s="1268" t="s">
        <v>176</v>
      </c>
      <c r="C11" s="1268"/>
      <c r="D11" s="815">
        <v>0.9</v>
      </c>
      <c r="E11" s="410"/>
      <c r="F11" s="410"/>
      <c r="G11" s="817" t="s">
        <v>397</v>
      </c>
      <c r="H11" s="447"/>
      <c r="I11" s="447"/>
      <c r="J11" s="447"/>
      <c r="K11" s="447"/>
      <c r="L11" s="447"/>
      <c r="M11" s="1262" t="s">
        <v>399</v>
      </c>
      <c r="N11" s="1262"/>
      <c r="O11" s="432" t="s">
        <v>446</v>
      </c>
      <c r="P11" s="825"/>
      <c r="R11" s="410"/>
      <c r="S11" s="410"/>
      <c r="T11" s="410"/>
      <c r="U11" s="410"/>
      <c r="V11" s="433"/>
      <c r="W11" s="410"/>
      <c r="X11" s="410"/>
      <c r="Y11" s="410"/>
      <c r="Z11" s="410">
        <v>1</v>
      </c>
      <c r="AA11" s="410"/>
      <c r="AB11" s="410"/>
      <c r="AC11" s="410"/>
      <c r="AD11" s="410"/>
      <c r="AE11" s="410"/>
      <c r="AF11" s="410"/>
      <c r="AG11" s="410"/>
      <c r="AH11" s="410"/>
      <c r="AI11" s="378" t="s">
        <v>372</v>
      </c>
      <c r="AJ11" s="410"/>
      <c r="AK11" s="410"/>
    </row>
    <row r="12" spans="1:68" ht="15.75" customHeight="1" x14ac:dyDescent="0.2">
      <c r="A12" s="410"/>
      <c r="B12" s="1268" t="s">
        <v>39</v>
      </c>
      <c r="C12" s="1268"/>
      <c r="D12" s="815"/>
      <c r="E12" s="410"/>
      <c r="F12" s="410"/>
      <c r="G12" s="817" t="s">
        <v>168</v>
      </c>
      <c r="H12" s="447"/>
      <c r="I12" s="447"/>
      <c r="J12" s="447"/>
      <c r="K12" s="447"/>
      <c r="L12" s="447"/>
      <c r="M12" s="1262" t="s">
        <v>215</v>
      </c>
      <c r="N12" s="1262"/>
      <c r="O12" s="432" t="s">
        <v>451</v>
      </c>
      <c r="R12" s="410"/>
      <c r="S12" s="410"/>
      <c r="T12" s="410"/>
      <c r="U12" s="410"/>
      <c r="V12" s="410" t="s">
        <v>528</v>
      </c>
      <c r="W12" s="410"/>
      <c r="X12" s="410"/>
      <c r="Y12" s="410"/>
      <c r="Z12" s="410">
        <f>SUM(Z4:Z11)</f>
        <v>8</v>
      </c>
      <c r="AA12" s="410" t="str">
        <f>CONCATENATE(AA4,", ",AA5,", ",AA6,", ",AA7,", ",AA8,", ",AA9,". ")</f>
        <v xml:space="preserve">начальник столовой, инструктор-повар (старший повар), повара -  чел., 11111111111111111, 222222222222222222, 33333333333333333. </v>
      </c>
      <c r="AB12" s="410"/>
      <c r="AC12" s="410"/>
      <c r="AD12" s="410"/>
      <c r="AE12" s="410"/>
      <c r="AF12" s="410"/>
      <c r="AG12" s="410"/>
      <c r="AH12" s="410"/>
      <c r="AI12" s="378" t="s">
        <v>373</v>
      </c>
      <c r="AJ12" s="410"/>
      <c r="AK12" s="410"/>
    </row>
    <row r="13" spans="1:68" ht="15.75" customHeight="1" x14ac:dyDescent="0.2">
      <c r="A13" s="410"/>
      <c r="B13" s="1268" t="s">
        <v>36</v>
      </c>
      <c r="C13" s="1268"/>
      <c r="D13" s="815"/>
      <c r="E13" s="410"/>
      <c r="F13" s="410"/>
      <c r="G13" s="819" t="s">
        <v>233</v>
      </c>
      <c r="H13" s="434">
        <f>'Раскладка продуктов'!CD134</f>
        <v>1710.7142857142858</v>
      </c>
      <c r="I13" s="434"/>
      <c r="J13" s="418"/>
      <c r="K13" s="418"/>
      <c r="L13" s="418"/>
      <c r="M13" s="1262" t="s">
        <v>568</v>
      </c>
      <c r="N13" s="1262"/>
      <c r="O13" s="432" t="s">
        <v>447</v>
      </c>
      <c r="R13" s="410"/>
      <c r="S13" s="410" t="s">
        <v>514</v>
      </c>
      <c r="T13" s="410"/>
      <c r="U13" s="410"/>
      <c r="V13" s="410" t="s">
        <v>509</v>
      </c>
      <c r="W13" s="410" t="s">
        <v>510</v>
      </c>
      <c r="X13" s="410"/>
      <c r="Y13" s="410"/>
      <c r="Z13" s="410" t="s">
        <v>531</v>
      </c>
      <c r="AA13" s="435" t="s">
        <v>530</v>
      </c>
      <c r="AB13" s="410"/>
      <c r="AC13" s="410"/>
      <c r="AD13" s="410"/>
      <c r="AE13" s="410"/>
      <c r="AF13" s="410"/>
      <c r="AG13" s="410"/>
      <c r="AH13" s="410"/>
      <c r="AI13" s="378" t="s">
        <v>374</v>
      </c>
      <c r="AJ13" s="410"/>
      <c r="AK13" s="410"/>
    </row>
    <row r="14" spans="1:68" ht="15.75" customHeight="1" x14ac:dyDescent="0.2">
      <c r="A14" s="410"/>
      <c r="B14" s="1269" t="s">
        <v>423</v>
      </c>
      <c r="C14" s="1269"/>
      <c r="D14" s="815"/>
      <c r="E14" s="410"/>
      <c r="F14" s="410"/>
      <c r="G14" s="819" t="s">
        <v>348</v>
      </c>
      <c r="H14" s="434"/>
      <c r="I14" s="418"/>
      <c r="J14" s="418"/>
      <c r="K14" s="418"/>
      <c r="L14" s="418"/>
      <c r="M14" s="1262" t="s">
        <v>215</v>
      </c>
      <c r="N14" s="1262"/>
      <c r="O14" s="432" t="s">
        <v>448</v>
      </c>
      <c r="R14" s="410"/>
      <c r="S14" s="410"/>
      <c r="T14" s="410"/>
      <c r="U14" s="410"/>
      <c r="V14" s="410"/>
      <c r="W14" s="410" t="s">
        <v>516</v>
      </c>
      <c r="X14" s="410"/>
      <c r="Y14" s="410"/>
      <c r="Z14" s="410" t="s">
        <v>532</v>
      </c>
      <c r="AA14" s="435" t="s">
        <v>73</v>
      </c>
      <c r="AB14" s="410"/>
      <c r="AC14" s="410"/>
      <c r="AD14" s="410"/>
      <c r="AE14" s="410"/>
      <c r="AF14" s="410"/>
      <c r="AG14" s="410"/>
      <c r="AH14" s="410"/>
      <c r="AI14" s="788"/>
      <c r="AJ14" s="410"/>
      <c r="AK14" s="410"/>
    </row>
    <row r="15" spans="1:68" ht="15.75" customHeight="1" x14ac:dyDescent="0.2">
      <c r="A15" s="410"/>
      <c r="B15" s="1269" t="s">
        <v>424</v>
      </c>
      <c r="C15" s="1269"/>
      <c r="D15" s="815"/>
      <c r="E15" s="410"/>
      <c r="F15" s="410"/>
      <c r="G15" s="819" t="s">
        <v>349</v>
      </c>
      <c r="H15" s="434"/>
      <c r="I15" s="418"/>
      <c r="J15" s="418"/>
      <c r="K15" s="418"/>
      <c r="L15" s="418"/>
      <c r="M15" s="1262" t="s">
        <v>351</v>
      </c>
      <c r="N15" s="1262"/>
      <c r="O15" s="432" t="s">
        <v>449</v>
      </c>
      <c r="R15" s="410"/>
      <c r="S15" s="410"/>
      <c r="T15" s="410"/>
      <c r="U15" s="410" t="s">
        <v>504</v>
      </c>
      <c r="V15" s="410" t="s">
        <v>505</v>
      </c>
      <c r="W15" s="410" t="s">
        <v>504</v>
      </c>
      <c r="X15" s="410"/>
      <c r="Y15" s="410"/>
      <c r="Z15" s="410">
        <v>600</v>
      </c>
      <c r="AA15" s="410" t="s">
        <v>75</v>
      </c>
      <c r="AB15" s="410" t="str">
        <f>CONCATENATE(AA15,", ",AA16)</f>
        <v>Борщ, Суп карт.с макарон.издел.</v>
      </c>
      <c r="AC15" s="410"/>
      <c r="AD15" s="410"/>
      <c r="AE15" s="410"/>
      <c r="AF15" s="410"/>
      <c r="AG15" s="410"/>
      <c r="AH15" s="410"/>
      <c r="AI15" s="788"/>
      <c r="AJ15" s="410"/>
      <c r="AK15" s="410"/>
    </row>
    <row r="16" spans="1:68" ht="12" customHeight="1" x14ac:dyDescent="0.2">
      <c r="A16" s="410"/>
      <c r="B16" s="1281"/>
      <c r="C16" s="1281"/>
      <c r="D16" s="427"/>
      <c r="E16" s="410"/>
      <c r="F16" s="410"/>
      <c r="G16" s="819" t="s">
        <v>350</v>
      </c>
      <c r="H16" s="434"/>
      <c r="I16" s="418"/>
      <c r="J16" s="418"/>
      <c r="K16" s="418"/>
      <c r="L16" s="418"/>
      <c r="M16" s="1262" t="s">
        <v>256</v>
      </c>
      <c r="N16" s="1262"/>
      <c r="O16" s="432" t="s">
        <v>352</v>
      </c>
      <c r="Q16" s="410" t="s">
        <v>586</v>
      </c>
      <c r="R16" s="410"/>
      <c r="S16" s="410"/>
      <c r="T16" s="410"/>
      <c r="U16" s="410" t="str">
        <f>IF(W22=1,U15,V15)</f>
        <v>Отличное</v>
      </c>
      <c r="V16" s="410"/>
      <c r="W16" s="410"/>
      <c r="X16" s="410"/>
      <c r="Y16" s="410"/>
      <c r="Z16" s="410">
        <v>600</v>
      </c>
      <c r="AA16" s="410" t="s">
        <v>81</v>
      </c>
      <c r="AB16" s="410"/>
      <c r="AC16" s="410"/>
      <c r="AD16" s="410"/>
      <c r="AE16" s="410"/>
      <c r="AF16" s="410"/>
      <c r="AG16" s="410"/>
      <c r="AH16" s="410"/>
      <c r="AI16" s="788"/>
      <c r="AJ16" s="410"/>
      <c r="AK16" s="410"/>
    </row>
    <row r="17" spans="1:37" ht="15.75" customHeight="1" x14ac:dyDescent="0.2">
      <c r="A17" s="410"/>
      <c r="B17" s="822">
        <f ca="1">IF(G4=1,0,C17-G5)</f>
        <v>45116</v>
      </c>
      <c r="C17" s="437">
        <f ca="1">TODAY()</f>
        <v>45116</v>
      </c>
      <c r="D17" s="427"/>
      <c r="E17" s="438"/>
      <c r="F17" s="410"/>
      <c r="G17" s="439"/>
      <c r="H17" s="439">
        <v>1575</v>
      </c>
      <c r="I17" s="439"/>
      <c r="J17" s="407"/>
      <c r="K17" s="407"/>
      <c r="L17" s="407"/>
      <c r="M17" s="407"/>
      <c r="N17" s="407"/>
      <c r="O17" s="407"/>
      <c r="P17" s="410" t="s">
        <v>587</v>
      </c>
      <c r="Q17" s="1180">
        <v>425</v>
      </c>
      <c r="R17" s="410"/>
      <c r="S17" s="410"/>
      <c r="T17" s="410"/>
      <c r="U17" s="410"/>
      <c r="V17" s="410" t="s">
        <v>502</v>
      </c>
      <c r="W17" s="410"/>
      <c r="X17" s="410"/>
      <c r="Y17" s="410"/>
      <c r="Z17" s="410">
        <v>333</v>
      </c>
      <c r="AA17" s="410" t="s">
        <v>533</v>
      </c>
      <c r="AB17" s="410" t="str">
        <f>CONCATENATE(AA17," ",AA18)</f>
        <v xml:space="preserve">Мясо отвар. с соусом  с кашей ячневой рас,   Мясо отвар. с соусом   с  гороховым пюре,  </v>
      </c>
      <c r="AC17" s="410"/>
      <c r="AD17" s="410"/>
      <c r="AE17" s="410"/>
      <c r="AF17" s="410"/>
      <c r="AG17" s="410"/>
      <c r="AH17" s="410"/>
      <c r="AI17" s="788"/>
      <c r="AJ17" s="410"/>
      <c r="AK17" s="410"/>
    </row>
    <row r="18" spans="1:37" ht="14.25" customHeight="1" x14ac:dyDescent="0.2">
      <c r="A18" s="410"/>
      <c r="B18" s="427"/>
      <c r="C18" s="427"/>
      <c r="D18" s="427"/>
      <c r="E18" s="438"/>
      <c r="F18" s="410"/>
      <c r="G18" s="439"/>
      <c r="H18" s="439"/>
      <c r="I18" s="407"/>
      <c r="J18" s="407"/>
      <c r="K18" s="407"/>
      <c r="L18" s="407"/>
      <c r="M18" s="407"/>
      <c r="N18" s="407"/>
      <c r="O18" s="407"/>
      <c r="P18" s="410" t="s">
        <v>588</v>
      </c>
      <c r="Q18" s="1180">
        <v>150</v>
      </c>
      <c r="R18" s="410"/>
      <c r="S18" s="410"/>
      <c r="T18" s="410"/>
      <c r="U18" s="410"/>
      <c r="V18" s="410"/>
      <c r="W18" s="410"/>
      <c r="X18" s="410"/>
      <c r="Y18" s="410"/>
      <c r="Z18" s="410" t="s">
        <v>535</v>
      </c>
      <c r="AA18" s="410" t="s">
        <v>534</v>
      </c>
      <c r="AB18" s="410"/>
      <c r="AC18" s="410"/>
      <c r="AD18" s="410"/>
      <c r="AE18" s="410"/>
      <c r="AF18" s="410"/>
      <c r="AG18" s="410"/>
      <c r="AH18" s="410"/>
      <c r="AI18" s="788"/>
      <c r="AJ18" s="410"/>
      <c r="AK18" s="410"/>
    </row>
    <row r="19" spans="1:37" ht="14.25" customHeight="1" x14ac:dyDescent="0.2">
      <c r="A19" s="410"/>
      <c r="B19" s="427"/>
      <c r="C19" s="427"/>
      <c r="D19" s="427"/>
      <c r="E19" s="438"/>
      <c r="F19" s="410"/>
      <c r="G19" s="439"/>
      <c r="H19" s="439"/>
      <c r="I19" s="407" t="s">
        <v>353</v>
      </c>
      <c r="J19" s="407"/>
      <c r="K19" s="407"/>
      <c r="L19" s="407"/>
      <c r="M19" s="407"/>
      <c r="N19" s="407"/>
      <c r="O19" s="407"/>
      <c r="P19" s="410" t="s">
        <v>590</v>
      </c>
      <c r="Q19" s="1180">
        <v>275</v>
      </c>
      <c r="R19" s="410"/>
      <c r="S19" s="410"/>
      <c r="T19" s="410"/>
      <c r="U19" s="410" t="str">
        <f>IF(W21=1,V19,W19)</f>
        <v>Проверка знаний поваров порядка приготовления пищи</v>
      </c>
      <c r="V19" s="410" t="s">
        <v>515</v>
      </c>
      <c r="W19" s="410" t="s">
        <v>529</v>
      </c>
      <c r="X19" s="410"/>
      <c r="Y19" s="410"/>
      <c r="Z19" s="410">
        <v>250</v>
      </c>
      <c r="AA19" s="435" t="s">
        <v>106</v>
      </c>
      <c r="AB19" s="410"/>
      <c r="AC19" s="410"/>
      <c r="AD19" s="410"/>
      <c r="AE19" s="410"/>
      <c r="AF19" s="410"/>
      <c r="AG19" s="410"/>
      <c r="AH19" s="410"/>
      <c r="AI19" s="788"/>
      <c r="AJ19" s="410"/>
      <c r="AK19" s="410"/>
    </row>
    <row r="20" spans="1:37" ht="14.25" customHeight="1" x14ac:dyDescent="0.2">
      <c r="A20" s="410"/>
      <c r="B20" s="427"/>
      <c r="C20" s="427"/>
      <c r="D20" s="427"/>
      <c r="E20" s="438"/>
      <c r="F20" s="410" t="s">
        <v>504</v>
      </c>
      <c r="G20" s="812">
        <v>0</v>
      </c>
      <c r="H20" s="824" t="str">
        <f>IF(G20=1,"Время работы данной копии программы вышел. Необходима регистрация.",IF(G20=2,"Для дальнейшей работы необходима регистрация. Если Вы регистрировали свою копию - введите ключ еще раз.",IF(G20=3,"Внимание! После трех неверных попыток ввести ключ активации программа будет заблокирована","РАСКЛАДКА ПРОДУКТОВ 3.0")))</f>
        <v>РАСКЛАДКА ПРОДУКТОВ 3.0</v>
      </c>
      <c r="I20" s="407"/>
      <c r="J20" s="407"/>
      <c r="K20" s="407"/>
      <c r="L20" s="407"/>
      <c r="M20" s="407"/>
      <c r="N20" s="407"/>
      <c r="O20" s="407"/>
      <c r="P20" s="410" t="s">
        <v>591</v>
      </c>
      <c r="Q20" s="1180">
        <v>375</v>
      </c>
      <c r="R20" s="410"/>
      <c r="S20" s="410"/>
      <c r="T20" s="410"/>
      <c r="U20" s="410"/>
      <c r="V20" s="410"/>
      <c r="W20" s="410" t="s">
        <v>42</v>
      </c>
      <c r="X20" s="410"/>
      <c r="Y20" s="410"/>
      <c r="Z20" s="410" t="s">
        <v>537</v>
      </c>
      <c r="AA20" s="440" t="s">
        <v>536</v>
      </c>
      <c r="AB20" s="410"/>
      <c r="AC20" s="410"/>
      <c r="AD20" s="410"/>
      <c r="AE20" s="410"/>
      <c r="AF20" s="410"/>
      <c r="AG20" s="410"/>
      <c r="AH20" s="410"/>
      <c r="AI20" s="788"/>
      <c r="AJ20" s="410"/>
      <c r="AK20" s="410"/>
    </row>
    <row r="21" spans="1:37" ht="15" customHeight="1" x14ac:dyDescent="0.2">
      <c r="A21" s="410">
        <v>1</v>
      </c>
      <c r="B21" s="821" t="s">
        <v>501</v>
      </c>
      <c r="C21" s="441"/>
      <c r="D21" s="442"/>
      <c r="E21" s="442"/>
      <c r="F21" s="418" t="s">
        <v>504</v>
      </c>
      <c r="G21" s="813">
        <v>0</v>
      </c>
      <c r="H21" s="441" t="str">
        <f>IF(G21=0,"Осталось 2 попытки.",IF(G21=1,"Осталось 1 попытка.",IF(G21=2,"Осталось 0 попыток. Программа будет заблокирована","У Вас больше нет попыток.")))</f>
        <v>Осталось 2 попытки.</v>
      </c>
      <c r="I21" s="410">
        <v>0</v>
      </c>
      <c r="J21" s="410"/>
      <c r="K21" s="410"/>
      <c r="L21" s="410"/>
      <c r="M21" s="410"/>
      <c r="N21" s="410"/>
      <c r="P21" s="410" t="s">
        <v>589</v>
      </c>
      <c r="Q21" s="1180">
        <v>425</v>
      </c>
      <c r="R21" s="410"/>
      <c r="S21" s="410"/>
      <c r="T21" s="410"/>
      <c r="U21" s="410"/>
      <c r="V21" s="410" t="s">
        <v>504</v>
      </c>
      <c r="W21" s="410">
        <v>0</v>
      </c>
      <c r="X21" s="410"/>
      <c r="Y21" s="410"/>
      <c r="Z21" s="410"/>
      <c r="AB21" s="410"/>
      <c r="AC21" s="410"/>
      <c r="AD21" s="410"/>
      <c r="AE21" s="410"/>
      <c r="AF21" s="410"/>
      <c r="AG21" s="410"/>
      <c r="AH21" s="410"/>
      <c r="AI21" s="410"/>
      <c r="AJ21" s="410"/>
      <c r="AK21" s="410"/>
    </row>
    <row r="22" spans="1:37" s="444" customFormat="1" ht="14.45" customHeight="1" x14ac:dyDescent="0.2">
      <c r="A22" s="417"/>
      <c r="B22" s="1258"/>
      <c r="C22" s="1258"/>
      <c r="D22" s="417"/>
      <c r="E22" s="417"/>
      <c r="F22" s="418"/>
      <c r="G22" s="428"/>
      <c r="H22" s="443">
        <v>750</v>
      </c>
      <c r="I22" s="418"/>
      <c r="J22" s="418"/>
      <c r="K22" s="418"/>
      <c r="L22" s="418"/>
      <c r="M22" s="407"/>
      <c r="N22" s="407"/>
      <c r="O22" s="407"/>
      <c r="P22" s="407"/>
      <c r="Q22" s="407"/>
      <c r="R22" s="407"/>
      <c r="S22" s="407"/>
      <c r="T22" s="407"/>
      <c r="U22" s="440" t="s">
        <v>603</v>
      </c>
      <c r="V22" s="407" t="s">
        <v>615</v>
      </c>
      <c r="W22" s="407">
        <v>0</v>
      </c>
      <c r="X22" s="407"/>
      <c r="Y22" s="407"/>
      <c r="Z22" s="407"/>
      <c r="AB22" s="407"/>
      <c r="AC22" s="407"/>
      <c r="AD22" s="407"/>
      <c r="AE22" s="407"/>
      <c r="AF22" s="407"/>
      <c r="AG22" s="407"/>
      <c r="AH22" s="407"/>
      <c r="AI22" s="407"/>
      <c r="AJ22" s="407"/>
      <c r="AK22" s="407"/>
    </row>
    <row r="23" spans="1:37" s="444" customFormat="1" ht="14.45" customHeight="1" x14ac:dyDescent="0.2">
      <c r="A23" s="418"/>
      <c r="B23" s="445">
        <f ca="1">TODAY()</f>
        <v>45116</v>
      </c>
      <c r="C23" s="418"/>
      <c r="D23" s="428">
        <f>G23</f>
        <v>13</v>
      </c>
      <c r="E23" s="407"/>
      <c r="F23" s="428"/>
      <c r="G23" s="427">
        <v>13</v>
      </c>
      <c r="H23" s="446">
        <v>750</v>
      </c>
      <c r="I23" s="407" t="s">
        <v>428</v>
      </c>
      <c r="J23" s="407"/>
      <c r="K23" s="407"/>
      <c r="L23" s="427">
        <f>IF(I23="Лука",D23/2,D23/4)</f>
        <v>3.25</v>
      </c>
      <c r="M23" s="428"/>
      <c r="N23" s="407"/>
      <c r="O23" s="447"/>
      <c r="P23" s="417"/>
      <c r="Q23" s="417"/>
      <c r="R23" s="417"/>
      <c r="S23" s="417"/>
      <c r="T23" s="407"/>
      <c r="U23" s="440" t="s">
        <v>602</v>
      </c>
      <c r="V23" s="407" t="str">
        <f>CONCATENATE(" хлеб, масло, сахар, чай, яйцо",R106)</f>
        <v xml:space="preserve"> хлеб, масло, сахар, чай, яйцо</v>
      </c>
      <c r="W23" s="407">
        <v>1</v>
      </c>
      <c r="X23" s="407"/>
      <c r="Y23" s="407"/>
      <c r="Z23" s="407"/>
      <c r="AA23" s="407"/>
      <c r="AB23" s="407"/>
      <c r="AC23" s="407"/>
      <c r="AD23" s="407"/>
      <c r="AE23" s="407"/>
      <c r="AF23" s="407"/>
      <c r="AG23" s="407"/>
      <c r="AH23" s="407"/>
      <c r="AI23" s="407"/>
      <c r="AJ23" s="407"/>
      <c r="AK23" s="407"/>
    </row>
    <row r="24" spans="1:37" s="444" customFormat="1" ht="14.45" customHeight="1" x14ac:dyDescent="0.2">
      <c r="A24" s="418"/>
      <c r="B24" s="407"/>
      <c r="C24" s="407"/>
      <c r="D24" s="407"/>
      <c r="E24" s="407"/>
      <c r="F24" s="407"/>
      <c r="G24" s="428"/>
      <c r="H24" s="428"/>
      <c r="I24" s="407"/>
      <c r="J24" s="407"/>
      <c r="K24" s="407"/>
      <c r="L24" s="407"/>
      <c r="M24" s="407"/>
      <c r="N24" s="428"/>
      <c r="O24" s="418"/>
      <c r="P24" s="417"/>
      <c r="Q24" s="417"/>
      <c r="R24" s="448"/>
      <c r="S24" s="448"/>
      <c r="T24" s="407"/>
      <c r="U24" s="440" t="s">
        <v>601</v>
      </c>
      <c r="V24" s="407" t="str">
        <f>CONCATENATE(" хлеб, масло, сахар, чай, омлет",R106)</f>
        <v xml:space="preserve"> хлеб, масло, сахар, чай, омлет</v>
      </c>
      <c r="W24" s="407" t="s">
        <v>504</v>
      </c>
      <c r="X24" s="407"/>
      <c r="Y24" s="407"/>
      <c r="Z24" s="407"/>
      <c r="AA24" s="407"/>
      <c r="AB24" s="407"/>
      <c r="AC24" s="407"/>
      <c r="AD24" s="407"/>
      <c r="AE24" s="407"/>
      <c r="AF24" s="407"/>
      <c r="AG24" s="407"/>
      <c r="AH24" s="407"/>
      <c r="AI24" s="407"/>
      <c r="AJ24" s="407"/>
      <c r="AK24" s="407"/>
    </row>
    <row r="25" spans="1:37" s="444" customFormat="1" ht="14.45" customHeight="1" x14ac:dyDescent="0.2">
      <c r="A25" s="418">
        <v>0</v>
      </c>
      <c r="B25" s="449"/>
      <c r="C25" s="450">
        <f>'Раскладка продуктов'!A37</f>
        <v>2075</v>
      </c>
      <c r="D25" s="418"/>
      <c r="E25" s="418"/>
      <c r="F25" s="866">
        <v>2</v>
      </c>
      <c r="G25" s="451"/>
      <c r="H25" s="452"/>
      <c r="I25" s="428">
        <f>'Раскладка продуктов'!AX37</f>
        <v>1</v>
      </c>
      <c r="J25" s="418"/>
      <c r="K25" s="418"/>
      <c r="L25" s="452">
        <f>'Раскладка продуктов'!AZ37</f>
        <v>330</v>
      </c>
      <c r="M25" s="452">
        <f>'Раскладка продуктов'!BA37</f>
        <v>0</v>
      </c>
      <c r="N25" s="418"/>
      <c r="O25" s="418"/>
      <c r="P25" s="408"/>
      <c r="Q25" s="418"/>
      <c r="R25" s="418"/>
      <c r="S25" s="418"/>
      <c r="T25" s="418"/>
      <c r="U25" s="440" t="s">
        <v>604</v>
      </c>
      <c r="V25" s="410" t="str">
        <f>CONCATENATE(" хлеб, масло, сахар, чай, молоко",R106)</f>
        <v xml:space="preserve"> хлеб, масло, сахар, чай, молоко</v>
      </c>
      <c r="W25" s="407"/>
      <c r="X25" s="407"/>
      <c r="Y25" s="407"/>
      <c r="Z25" s="407"/>
      <c r="AA25" s="407"/>
      <c r="AB25" s="407"/>
      <c r="AC25" s="407"/>
      <c r="AD25" s="407"/>
      <c r="AE25" s="407"/>
      <c r="AF25" s="407"/>
      <c r="AG25" s="407"/>
      <c r="AH25" s="407"/>
      <c r="AI25" s="407"/>
      <c r="AJ25" s="407"/>
      <c r="AK25" s="407"/>
    </row>
    <row r="26" spans="1:37" s="444" customFormat="1" ht="14.45" customHeight="1" x14ac:dyDescent="0.2">
      <c r="A26" s="418">
        <v>0</v>
      </c>
      <c r="B26" s="437"/>
      <c r="C26" s="450">
        <f>'Раскладка продуктов'!A50</f>
        <v>1650</v>
      </c>
      <c r="D26" s="418"/>
      <c r="E26" s="418"/>
      <c r="F26" s="418"/>
      <c r="G26" s="451"/>
      <c r="H26" s="452">
        <v>1</v>
      </c>
      <c r="I26" s="428">
        <f>'Раскладка продуктов'!AX50</f>
        <v>1.25</v>
      </c>
      <c r="J26" s="428"/>
      <c r="K26" s="428"/>
      <c r="L26" s="453">
        <f>'Раскладка продуктов'!AZ50</f>
        <v>190</v>
      </c>
      <c r="M26" s="453">
        <f>'Раскладка продуктов'!BA50</f>
        <v>0</v>
      </c>
      <c r="N26" s="447"/>
      <c r="O26" s="447"/>
      <c r="P26" s="408"/>
      <c r="Q26" s="418"/>
      <c r="R26" s="418"/>
      <c r="S26" s="418"/>
      <c r="T26" s="418"/>
      <c r="U26" s="440" t="s">
        <v>603</v>
      </c>
      <c r="V26" s="407"/>
      <c r="W26" s="407"/>
      <c r="X26" s="407"/>
      <c r="Y26" s="407"/>
      <c r="Z26" s="407">
        <v>0</v>
      </c>
      <c r="AA26" s="407"/>
      <c r="AB26" s="407"/>
      <c r="AC26" s="407"/>
      <c r="AD26" s="407"/>
      <c r="AE26" s="407"/>
      <c r="AF26" s="407"/>
      <c r="AG26" s="407"/>
      <c r="AH26" s="407"/>
      <c r="AI26" s="407"/>
      <c r="AJ26" s="407"/>
      <c r="AK26" s="407"/>
    </row>
    <row r="27" spans="1:37" s="444" customFormat="1" ht="14.45" customHeight="1" x14ac:dyDescent="0.2">
      <c r="A27" s="418">
        <v>0</v>
      </c>
      <c r="B27" s="437"/>
      <c r="C27" s="450">
        <f>'Раскладка продуктов'!A63</f>
        <v>1650</v>
      </c>
      <c r="D27" s="418"/>
      <c r="E27" s="418"/>
      <c r="F27" s="418"/>
      <c r="G27" s="451"/>
      <c r="H27" s="452">
        <f>IF(H26=1,1745,1750)</f>
        <v>1745</v>
      </c>
      <c r="I27" s="428">
        <f>'Раскладка продуктов'!AX63</f>
        <v>1</v>
      </c>
      <c r="J27" s="428"/>
      <c r="K27" s="428"/>
      <c r="L27" s="428">
        <f>'Раскладка продуктов'!AZ63</f>
        <v>330</v>
      </c>
      <c r="M27" s="428">
        <f>'Раскладка продуктов'!BA63</f>
        <v>0</v>
      </c>
      <c r="N27" s="431"/>
      <c r="O27" s="431"/>
      <c r="P27" s="408"/>
      <c r="Q27" s="418"/>
      <c r="R27" s="418"/>
      <c r="S27" s="418"/>
      <c r="T27" s="418"/>
      <c r="U27" s="440" t="s">
        <v>602</v>
      </c>
      <c r="V27" s="407"/>
      <c r="W27" s="407"/>
      <c r="X27" s="407"/>
      <c r="Y27" s="407"/>
      <c r="Z27" s="407"/>
      <c r="AA27" s="407"/>
      <c r="AB27" s="407"/>
      <c r="AC27" s="407"/>
      <c r="AD27" s="407"/>
      <c r="AE27" s="407"/>
      <c r="AF27" s="407"/>
      <c r="AG27" s="407"/>
      <c r="AH27" s="407"/>
      <c r="AI27" s="407"/>
      <c r="AJ27" s="407"/>
      <c r="AK27" s="407"/>
    </row>
    <row r="28" spans="1:37" s="444" customFormat="1" ht="14.45" customHeight="1" x14ac:dyDescent="0.2">
      <c r="A28" s="418">
        <v>0</v>
      </c>
      <c r="B28" s="437"/>
      <c r="C28" s="450">
        <f>'Раскладка продуктов'!A76</f>
        <v>1650</v>
      </c>
      <c r="D28" s="418"/>
      <c r="E28" s="418"/>
      <c r="F28" s="418"/>
      <c r="G28" s="451"/>
      <c r="H28" s="452"/>
      <c r="I28" s="428">
        <f>'Раскладка продуктов'!AX76</f>
        <v>1</v>
      </c>
      <c r="J28" s="428"/>
      <c r="K28" s="428"/>
      <c r="L28" s="453">
        <f>'Раскладка продуктов'!AZ76</f>
        <v>50</v>
      </c>
      <c r="M28" s="453">
        <f>'Раскладка продуктов'!BA76</f>
        <v>0</v>
      </c>
      <c r="N28" s="1260"/>
      <c r="O28" s="1260"/>
      <c r="P28" s="413">
        <v>2</v>
      </c>
      <c r="Q28" s="418"/>
      <c r="R28" s="418"/>
      <c r="S28" s="418"/>
      <c r="T28" s="418"/>
      <c r="U28" s="440"/>
      <c r="V28" s="407"/>
      <c r="W28" s="407"/>
      <c r="X28" s="407"/>
      <c r="Y28" s="407"/>
      <c r="Z28" s="407">
        <v>2</v>
      </c>
      <c r="AA28" s="407" t="s">
        <v>382</v>
      </c>
      <c r="AB28" s="407"/>
      <c r="AC28" s="407"/>
      <c r="AD28" s="407"/>
      <c r="AE28" s="407"/>
      <c r="AF28" s="407"/>
      <c r="AG28" s="407"/>
      <c r="AH28" s="407"/>
      <c r="AI28" s="407"/>
      <c r="AJ28" s="407"/>
      <c r="AK28" s="407"/>
    </row>
    <row r="29" spans="1:37" ht="14.45" customHeight="1" x14ac:dyDescent="0.2">
      <c r="A29" s="417">
        <v>0</v>
      </c>
      <c r="B29" s="437"/>
      <c r="C29" s="450">
        <f>'Раскладка продуктов'!A106</f>
        <v>1650</v>
      </c>
      <c r="D29" s="418"/>
      <c r="E29" s="418"/>
      <c r="F29" s="418"/>
      <c r="G29" s="451"/>
      <c r="H29" s="452"/>
      <c r="I29" s="428">
        <f>'Раскладка продуктов'!AX106</f>
        <v>1</v>
      </c>
      <c r="J29" s="431"/>
      <c r="K29" s="431"/>
      <c r="L29" s="428">
        <f>'Раскладка продуктов'!AZ106</f>
        <v>50</v>
      </c>
      <c r="M29" s="428">
        <f>'Раскладка продуктов'!BA106</f>
        <v>0</v>
      </c>
      <c r="N29" s="1260"/>
      <c r="O29" s="1260"/>
      <c r="P29" s="413" t="str">
        <f>IF(P28=0,P30,IF(P28=1,P31,IF(P28=2,P32,IF(P28=3,P33,IF(P28=4,P34,IF(P28=5,P35,IF(P28=6,P36,IF(P28=7,P37))))))))</f>
        <v xml:space="preserve"> - килька в том. соусе  </v>
      </c>
      <c r="Q29" s="418"/>
      <c r="R29" s="418"/>
      <c r="S29" s="417"/>
      <c r="T29" s="417"/>
      <c r="U29" s="440"/>
      <c r="V29" s="410"/>
      <c r="W29" s="410"/>
      <c r="X29" s="410"/>
      <c r="Y29" s="410"/>
      <c r="Z29" s="410"/>
      <c r="AA29" s="410" t="s">
        <v>383</v>
      </c>
      <c r="AB29" s="410"/>
      <c r="AC29" s="410"/>
      <c r="AD29" s="410"/>
      <c r="AE29" s="410"/>
      <c r="AF29" s="410"/>
      <c r="AG29" s="410"/>
      <c r="AH29" s="410"/>
      <c r="AI29" s="410"/>
      <c r="AJ29" s="410"/>
      <c r="AK29" s="410"/>
    </row>
    <row r="30" spans="1:37" ht="14.45" customHeight="1" x14ac:dyDescent="0.2">
      <c r="A30" s="417">
        <v>0</v>
      </c>
      <c r="B30" s="437"/>
      <c r="C30" s="450">
        <f>'Раскладка продуктов'!A119</f>
        <v>1650</v>
      </c>
      <c r="D30" s="418"/>
      <c r="E30" s="418"/>
      <c r="F30" s="418"/>
      <c r="G30" s="451"/>
      <c r="H30" s="452"/>
      <c r="I30" s="428">
        <f>'Раскладка продуктов'!AX119</f>
        <v>1</v>
      </c>
      <c r="J30" s="431"/>
      <c r="K30" s="431"/>
      <c r="L30" s="428">
        <f>'Раскладка продуктов'!AZ119</f>
        <v>50</v>
      </c>
      <c r="M30" s="428">
        <f>'Раскладка продуктов'!BA119</f>
        <v>0</v>
      </c>
      <c r="N30" s="431"/>
      <c r="O30" s="431"/>
      <c r="P30" s="413" t="s">
        <v>452</v>
      </c>
      <c r="Q30" s="418"/>
      <c r="R30" s="418"/>
      <c r="S30" s="417"/>
      <c r="T30" s="417"/>
      <c r="U30" s="410"/>
      <c r="V30" s="410"/>
      <c r="W30" s="410"/>
      <c r="X30" s="410"/>
      <c r="Y30" s="410"/>
      <c r="Z30" s="410"/>
      <c r="AA30" s="410" t="s">
        <v>384</v>
      </c>
      <c r="AB30" s="410"/>
      <c r="AC30" s="410"/>
      <c r="AD30" s="410"/>
      <c r="AE30" s="410"/>
      <c r="AF30" s="410"/>
      <c r="AG30" s="410"/>
      <c r="AH30" s="410"/>
      <c r="AI30" s="410"/>
      <c r="AJ30" s="410"/>
      <c r="AK30" s="410"/>
    </row>
    <row r="31" spans="1:37" ht="14.45" customHeight="1" x14ac:dyDescent="0.2">
      <c r="A31" s="417">
        <v>0</v>
      </c>
      <c r="B31" s="437"/>
      <c r="C31" s="450">
        <f>'Раскладка продуктов'!A132</f>
        <v>1650</v>
      </c>
      <c r="D31" s="418"/>
      <c r="E31" s="418"/>
      <c r="F31" s="418"/>
      <c r="G31" s="451"/>
      <c r="H31" s="452"/>
      <c r="I31" s="428">
        <f>'Раскладка продуктов'!AX132</f>
        <v>1</v>
      </c>
      <c r="J31" s="431"/>
      <c r="K31" s="431"/>
      <c r="L31" s="428">
        <f>'Раскладка продуктов'!AZ132</f>
        <v>50</v>
      </c>
      <c r="M31" s="428">
        <f>'Раскладка продуктов'!BA132</f>
        <v>0</v>
      </c>
      <c r="N31" s="431"/>
      <c r="O31" s="431"/>
      <c r="P31" s="413" t="s">
        <v>396</v>
      </c>
      <c r="Q31" s="418"/>
      <c r="R31" s="418"/>
      <c r="S31" s="417"/>
      <c r="T31" s="417"/>
      <c r="U31" s="410"/>
      <c r="V31" s="410"/>
      <c r="W31" s="410"/>
      <c r="X31" s="410"/>
      <c r="Y31" s="410"/>
      <c r="Z31" s="410"/>
      <c r="AA31" s="410" t="s">
        <v>385</v>
      </c>
      <c r="AB31" s="410"/>
      <c r="AC31" s="410"/>
      <c r="AD31" s="410"/>
      <c r="AE31" s="410"/>
      <c r="AF31" s="410"/>
      <c r="AG31" s="410"/>
      <c r="AH31" s="410"/>
      <c r="AI31" s="410"/>
      <c r="AJ31" s="410"/>
      <c r="AK31" s="410"/>
    </row>
    <row r="32" spans="1:37" ht="14.45" customHeight="1" x14ac:dyDescent="0.2">
      <c r="A32" s="417"/>
      <c r="B32" s="454"/>
      <c r="C32" s="450"/>
      <c r="D32" s="454"/>
      <c r="E32" s="454"/>
      <c r="F32" s="403"/>
      <c r="G32" s="451">
        <v>0</v>
      </c>
      <c r="H32" s="452"/>
      <c r="I32" s="455">
        <f>I25+I26+I27+I28+I29+I30+I31</f>
        <v>7.25</v>
      </c>
      <c r="J32" s="431"/>
      <c r="K32" s="431"/>
      <c r="L32" s="456">
        <f>'Раскладка продуктов'!AZ133</f>
        <v>1050</v>
      </c>
      <c r="M32" s="456">
        <f>'Раскладка продуктов'!BA133</f>
        <v>0</v>
      </c>
      <c r="N32" s="431"/>
      <c r="O32" s="431"/>
      <c r="P32" s="438" t="s">
        <v>453</v>
      </c>
      <c r="Q32" s="447"/>
      <c r="R32" s="438"/>
      <c r="S32" s="410"/>
      <c r="T32" s="410"/>
      <c r="U32" s="410"/>
      <c r="V32" s="410"/>
      <c r="W32" s="410"/>
      <c r="X32" s="410"/>
      <c r="Y32" s="410"/>
      <c r="Z32" s="410"/>
      <c r="AA32" s="410">
        <v>0</v>
      </c>
      <c r="AB32" s="410"/>
      <c r="AC32" s="410"/>
      <c r="AD32" s="410"/>
      <c r="AE32" s="410"/>
      <c r="AF32" s="410"/>
      <c r="AG32" s="410"/>
      <c r="AH32" s="410"/>
      <c r="AI32" s="410"/>
      <c r="AJ32" s="410"/>
      <c r="AK32" s="410"/>
    </row>
    <row r="33" spans="1:64" ht="14.45" customHeight="1" x14ac:dyDescent="0.2">
      <c r="A33" s="410"/>
      <c r="B33" s="1280"/>
      <c r="C33" s="1280"/>
      <c r="D33" s="1280"/>
      <c r="E33" s="1280"/>
      <c r="F33" s="407"/>
      <c r="G33" s="407"/>
      <c r="H33" s="427"/>
      <c r="I33" s="427"/>
      <c r="J33" s="404"/>
      <c r="K33" s="404"/>
      <c r="L33" s="456"/>
      <c r="M33" s="428"/>
      <c r="N33" s="1277"/>
      <c r="O33" s="1277"/>
      <c r="P33" s="410" t="s">
        <v>394</v>
      </c>
      <c r="R33" s="410"/>
      <c r="S33" s="410"/>
      <c r="T33" s="410"/>
      <c r="U33" s="410"/>
      <c r="V33" s="410" t="s">
        <v>197</v>
      </c>
      <c r="W33" s="410"/>
      <c r="X33" s="410"/>
      <c r="Y33" s="410"/>
      <c r="Z33" s="410"/>
      <c r="AA33" s="410"/>
      <c r="AB33" s="410"/>
      <c r="AC33" s="410"/>
      <c r="AD33" s="410"/>
      <c r="AE33" s="410"/>
      <c r="AF33" s="410"/>
      <c r="AG33" s="410"/>
      <c r="AH33" s="410"/>
      <c r="AI33" s="410"/>
      <c r="AJ33" s="410"/>
      <c r="AK33" s="410"/>
    </row>
    <row r="34" spans="1:64" ht="14.45" customHeight="1" x14ac:dyDescent="0.2">
      <c r="A34" s="410">
        <v>2</v>
      </c>
      <c r="B34" s="1279"/>
      <c r="C34" s="1279"/>
      <c r="D34" s="1279"/>
      <c r="E34" s="1279"/>
      <c r="F34" s="410">
        <f>'Раскладка продуктов'!AD133</f>
        <v>0</v>
      </c>
      <c r="G34" s="410"/>
      <c r="H34" s="404"/>
      <c r="I34" s="427"/>
      <c r="J34" s="427"/>
      <c r="K34" s="427"/>
      <c r="L34" s="428">
        <v>1050</v>
      </c>
      <c r="M34" s="428"/>
      <c r="N34" s="1255"/>
      <c r="O34" s="1255"/>
      <c r="P34" s="410" t="s">
        <v>395</v>
      </c>
      <c r="R34" s="410"/>
      <c r="S34" s="410"/>
      <c r="T34" s="410"/>
      <c r="U34" s="410"/>
      <c r="V34" s="410" t="s">
        <v>197</v>
      </c>
      <c r="W34" s="410"/>
      <c r="X34" s="410"/>
      <c r="Y34" s="404" t="s">
        <v>189</v>
      </c>
      <c r="Z34" s="404" t="s">
        <v>190</v>
      </c>
      <c r="AA34" s="404" t="s">
        <v>191</v>
      </c>
      <c r="AB34" s="404" t="s">
        <v>192</v>
      </c>
      <c r="AC34" s="404" t="s">
        <v>193</v>
      </c>
      <c r="AD34" s="404" t="s">
        <v>194</v>
      </c>
      <c r="AE34" s="404" t="s">
        <v>195</v>
      </c>
      <c r="AF34" s="410"/>
      <c r="AG34" s="410"/>
      <c r="AH34" s="410"/>
      <c r="AI34" s="410"/>
      <c r="AJ34" s="410"/>
      <c r="AK34" s="410"/>
    </row>
    <row r="35" spans="1:64" ht="14.45" customHeight="1" x14ac:dyDescent="0.2">
      <c r="A35" s="410">
        <v>0</v>
      </c>
      <c r="B35" s="1278"/>
      <c r="C35" s="1278"/>
      <c r="D35" s="1278"/>
      <c r="E35" s="1278"/>
      <c r="F35" s="410">
        <f>'Раскладка продуктов'!AF133</f>
        <v>210</v>
      </c>
      <c r="G35" s="410"/>
      <c r="H35" s="404"/>
      <c r="I35" s="404"/>
      <c r="J35" s="404"/>
      <c r="K35" s="404"/>
      <c r="L35" s="431"/>
      <c r="M35" s="427"/>
      <c r="N35" s="1255"/>
      <c r="O35" s="1255"/>
      <c r="P35" s="407" t="s">
        <v>426</v>
      </c>
      <c r="Q35" s="407"/>
      <c r="R35" s="407"/>
      <c r="S35" s="410"/>
      <c r="T35" s="410"/>
      <c r="U35" s="410"/>
      <c r="V35" s="410"/>
      <c r="W35" s="410"/>
      <c r="X35" s="410"/>
      <c r="Y35" s="410">
        <v>1</v>
      </c>
      <c r="Z35" s="410">
        <v>1</v>
      </c>
      <c r="AA35" s="410">
        <v>1</v>
      </c>
      <c r="AB35" s="410">
        <v>1</v>
      </c>
      <c r="AC35" s="410">
        <v>1</v>
      </c>
      <c r="AD35" s="410">
        <v>1</v>
      </c>
      <c r="AE35" s="410">
        <v>1</v>
      </c>
      <c r="AF35" s="410"/>
      <c r="AG35" s="410"/>
      <c r="AH35" s="410"/>
      <c r="AI35" s="410"/>
      <c r="AJ35" s="410"/>
      <c r="AK35" s="410"/>
    </row>
    <row r="36" spans="1:64" ht="14.45" customHeight="1" x14ac:dyDescent="0.2">
      <c r="A36" s="410">
        <v>0</v>
      </c>
      <c r="B36" s="1274">
        <f>'Раскладка продуктов'!AG133</f>
        <v>410</v>
      </c>
      <c r="C36" s="1274"/>
      <c r="D36" s="1274"/>
      <c r="E36" s="1274"/>
      <c r="F36" s="407">
        <f>'Раскладка продуктов'!AE133</f>
        <v>315</v>
      </c>
      <c r="G36" s="405"/>
      <c r="H36" s="409">
        <v>0</v>
      </c>
      <c r="I36" s="410"/>
      <c r="J36" s="410"/>
      <c r="K36" s="410"/>
      <c r="L36" s="417">
        <v>0</v>
      </c>
      <c r="M36" s="410"/>
      <c r="N36" s="407"/>
      <c r="O36" s="427"/>
      <c r="P36" s="407" t="s">
        <v>197</v>
      </c>
      <c r="Q36" s="407"/>
      <c r="R36" s="407"/>
      <c r="S36" s="410"/>
      <c r="T36" s="410"/>
      <c r="U36" s="407" t="s">
        <v>593</v>
      </c>
      <c r="V36" s="407" t="str">
        <f>CONCATENATE(" хлеб, масло, сахар, чай ",R107)</f>
        <v xml:space="preserve"> хлеб, масло, сахар, чай , булочка</v>
      </c>
      <c r="W36" s="410"/>
      <c r="X36" s="410"/>
      <c r="Y36" s="410">
        <v>0</v>
      </c>
      <c r="Z36" s="410">
        <v>0</v>
      </c>
      <c r="AA36" s="410">
        <v>0</v>
      </c>
      <c r="AB36" s="410">
        <v>0</v>
      </c>
      <c r="AC36" s="410">
        <v>0</v>
      </c>
      <c r="AD36" s="410">
        <v>0</v>
      </c>
      <c r="AE36" s="410">
        <v>0</v>
      </c>
      <c r="AF36" s="410"/>
      <c r="AG36" s="410"/>
      <c r="AH36" s="410"/>
      <c r="AI36" s="410"/>
      <c r="AJ36" s="410"/>
      <c r="AK36" s="410"/>
    </row>
    <row r="37" spans="1:64" ht="14.45" customHeight="1" x14ac:dyDescent="0.2">
      <c r="A37" s="410">
        <v>0</v>
      </c>
      <c r="B37" s="1259" t="str">
        <f>IF(B213=2,"Концентрат круп.","Овсяная")</f>
        <v>Овсяная</v>
      </c>
      <c r="C37" s="1259"/>
      <c r="D37" s="1259"/>
      <c r="E37" s="410"/>
      <c r="F37" s="410"/>
      <c r="G37" s="410"/>
      <c r="H37" s="407"/>
      <c r="I37" s="410">
        <v>0</v>
      </c>
      <c r="J37" s="410"/>
      <c r="K37" s="410"/>
      <c r="L37" s="410"/>
      <c r="M37" s="410"/>
      <c r="N37" s="407"/>
      <c r="O37" s="457"/>
      <c r="P37" s="457" t="s">
        <v>197</v>
      </c>
      <c r="Q37" s="457"/>
      <c r="R37" s="457"/>
      <c r="S37" s="410"/>
      <c r="T37" s="410"/>
      <c r="U37" s="407" t="s">
        <v>594</v>
      </c>
      <c r="V37" s="407" t="str">
        <f>CONCATENATE(" хлеб, масло, сахар, чай, яйцо",R107)</f>
        <v xml:space="preserve"> хлеб, масло, сахар, чай, яйцо, булочка</v>
      </c>
      <c r="W37" s="410"/>
      <c r="X37" s="410"/>
      <c r="Y37" s="410"/>
      <c r="Z37" s="410"/>
      <c r="AA37" s="410"/>
      <c r="AB37" s="410"/>
      <c r="AC37" s="410"/>
      <c r="AD37" s="410"/>
      <c r="AE37" s="410"/>
      <c r="AF37" s="410"/>
      <c r="AG37" s="410">
        <f>'Раскладка продуктов'!AG37</f>
        <v>60</v>
      </c>
      <c r="AH37" s="410"/>
      <c r="AI37" s="410"/>
      <c r="AJ37" s="410"/>
      <c r="AK37" s="410"/>
    </row>
    <row r="38" spans="1:64" ht="14.45" customHeight="1" x14ac:dyDescent="0.2">
      <c r="A38" s="410"/>
      <c r="B38" s="410">
        <v>0</v>
      </c>
      <c r="C38" s="410"/>
      <c r="D38" s="410"/>
      <c r="E38" s="410"/>
      <c r="F38" s="410"/>
      <c r="G38" s="438"/>
      <c r="H38" s="438"/>
      <c r="I38" s="438"/>
      <c r="J38" s="410"/>
      <c r="K38" s="410"/>
      <c r="L38" s="410"/>
      <c r="M38" s="410"/>
      <c r="N38" s="457"/>
      <c r="O38" s="457"/>
      <c r="P38" s="457" t="s">
        <v>197</v>
      </c>
      <c r="Q38" s="457"/>
      <c r="R38" s="457"/>
      <c r="S38" s="410"/>
      <c r="T38" s="410"/>
      <c r="U38" s="407" t="s">
        <v>595</v>
      </c>
      <c r="V38" s="407" t="str">
        <f>CONCATENATE(" хлеб, масло, сахар, чай, омлет",R107)</f>
        <v xml:space="preserve"> хлеб, масло, сахар, чай, омлет, булочка</v>
      </c>
      <c r="W38" s="410"/>
      <c r="X38" s="410"/>
      <c r="Y38" s="410">
        <v>0</v>
      </c>
      <c r="Z38" s="410">
        <v>0</v>
      </c>
      <c r="AA38" s="410">
        <v>0</v>
      </c>
      <c r="AB38" s="410">
        <v>0</v>
      </c>
      <c r="AC38" s="410">
        <v>0</v>
      </c>
      <c r="AD38" s="410">
        <v>0</v>
      </c>
      <c r="AE38" s="410">
        <v>0</v>
      </c>
      <c r="AF38" s="410"/>
      <c r="AG38" s="410"/>
      <c r="AH38" s="410"/>
      <c r="AI38" s="410"/>
      <c r="AJ38" s="410"/>
      <c r="AK38" s="410"/>
    </row>
    <row r="39" spans="1:64" ht="14.45" customHeight="1" x14ac:dyDescent="0.2">
      <c r="A39" s="410">
        <v>0</v>
      </c>
      <c r="B39" s="410"/>
      <c r="C39" s="410"/>
      <c r="D39" s="410"/>
      <c r="E39" s="410"/>
      <c r="F39" s="410"/>
      <c r="G39" s="410"/>
      <c r="H39" s="410"/>
      <c r="I39" s="410"/>
      <c r="J39" s="410"/>
      <c r="K39" s="410"/>
      <c r="L39" s="410"/>
      <c r="M39" s="410"/>
      <c r="N39" s="405"/>
      <c r="O39" s="427"/>
      <c r="P39" s="427"/>
      <c r="Q39" s="427"/>
      <c r="R39" s="427"/>
      <c r="S39" s="410"/>
      <c r="T39" s="410"/>
      <c r="U39" s="407" t="s">
        <v>596</v>
      </c>
      <c r="V39" s="410" t="str">
        <f>CONCATENATE(" хлеб, масло, сахар, чай, молоко",R107)</f>
        <v xml:space="preserve"> хлеб, масло, сахар, чай, молоко, булочка</v>
      </c>
      <c r="W39" s="410"/>
      <c r="X39" s="410"/>
      <c r="Y39" s="410">
        <v>0</v>
      </c>
      <c r="Z39" s="410"/>
      <c r="AA39" s="410"/>
      <c r="AB39" s="410"/>
      <c r="AC39" s="410"/>
      <c r="AD39" s="410"/>
      <c r="AE39" s="410"/>
      <c r="AF39" s="410"/>
      <c r="AG39" s="410"/>
      <c r="AH39" s="410"/>
      <c r="AI39" s="410"/>
      <c r="AJ39" s="410"/>
      <c r="AK39" s="410"/>
    </row>
    <row r="40" spans="1:64" ht="14.45" customHeight="1" x14ac:dyDescent="0.2">
      <c r="A40" s="404">
        <v>1</v>
      </c>
      <c r="B40" s="410" t="s">
        <v>63</v>
      </c>
      <c r="C40" s="410"/>
      <c r="D40" s="410"/>
      <c r="E40" s="410">
        <v>20</v>
      </c>
      <c r="F40" s="410"/>
      <c r="G40" s="410" t="str">
        <f>IF(E40=1,B$40,IF(E40=2,B$41,IF(E40=3,B$42,IF(E40=4,B$43,IF(E40=5,B$44,IF(E40=6,B$45,IF(E40=7,B$46,IF(E40=8,B$47,""))))))))</f>
        <v/>
      </c>
      <c r="H40" s="410" t="str">
        <f>IF(E40=17,B$56,IF(E40=18,B$57,IF(E40=19,B$58,IF(E40=20,B$59,IF(E40=21,B$60,IF(E40=22,B$61,IF(E40=23,B$62,"")))))))</f>
        <v>Салат из св. моркови</v>
      </c>
      <c r="I40" s="410"/>
      <c r="J40" s="410"/>
      <c r="K40" s="410"/>
      <c r="L40" s="410"/>
      <c r="M40" s="410"/>
      <c r="N40" s="407"/>
      <c r="O40" s="407"/>
      <c r="P40" s="407"/>
      <c r="Q40" s="407"/>
      <c r="R40" s="407"/>
      <c r="S40" s="410"/>
      <c r="T40" s="410"/>
      <c r="U40" s="407" t="s">
        <v>597</v>
      </c>
      <c r="V40" s="407"/>
      <c r="W40" s="410"/>
      <c r="X40" s="410"/>
      <c r="Y40" s="1180">
        <v>0</v>
      </c>
      <c r="Z40" s="1180">
        <v>0</v>
      </c>
      <c r="AA40" s="1180">
        <v>0</v>
      </c>
      <c r="AB40" s="1180">
        <v>0</v>
      </c>
      <c r="AC40" s="1180">
        <v>0</v>
      </c>
      <c r="AD40" s="1180">
        <v>0</v>
      </c>
      <c r="AE40" s="1180">
        <v>0</v>
      </c>
      <c r="AF40" s="410"/>
      <c r="AG40" s="410"/>
      <c r="AH40" s="410"/>
      <c r="AI40" s="410"/>
      <c r="AJ40" s="404">
        <v>1</v>
      </c>
      <c r="AK40" s="404">
        <v>2</v>
      </c>
      <c r="AL40" s="404">
        <v>3</v>
      </c>
      <c r="AM40" s="404">
        <v>4</v>
      </c>
      <c r="AN40" s="404">
        <v>5</v>
      </c>
      <c r="AO40" s="404">
        <v>6</v>
      </c>
      <c r="AP40" s="404">
        <v>7</v>
      </c>
      <c r="AQ40" s="404">
        <v>8</v>
      </c>
      <c r="AR40" s="404">
        <v>9</v>
      </c>
      <c r="AS40" s="404">
        <v>10</v>
      </c>
      <c r="AT40" s="404">
        <v>11</v>
      </c>
      <c r="AU40" s="404">
        <v>12</v>
      </c>
      <c r="AV40" s="404">
        <v>13</v>
      </c>
      <c r="AW40" s="404">
        <v>14</v>
      </c>
      <c r="AX40" s="404">
        <v>15</v>
      </c>
      <c r="AY40" s="404">
        <v>16</v>
      </c>
      <c r="AZ40" s="404">
        <v>17</v>
      </c>
      <c r="BA40" s="404">
        <v>18</v>
      </c>
      <c r="BB40" s="404">
        <v>19</v>
      </c>
      <c r="BC40" s="404">
        <v>20</v>
      </c>
      <c r="BD40" s="404">
        <v>21</v>
      </c>
      <c r="BE40" s="404">
        <v>22</v>
      </c>
      <c r="BF40" s="404">
        <v>23</v>
      </c>
      <c r="BG40" s="404">
        <v>24</v>
      </c>
      <c r="BH40" s="404">
        <v>25</v>
      </c>
      <c r="BI40" s="404"/>
      <c r="BJ40" s="404"/>
      <c r="BK40" s="404"/>
      <c r="BL40" s="404"/>
    </row>
    <row r="41" spans="1:64" ht="14.45" customHeight="1" x14ac:dyDescent="0.2">
      <c r="A41" s="404">
        <f>A40+1</f>
        <v>2</v>
      </c>
      <c r="B41" s="410" t="s">
        <v>121</v>
      </c>
      <c r="C41" s="410"/>
      <c r="D41" s="410"/>
      <c r="E41" s="410"/>
      <c r="F41" s="410"/>
      <c r="G41" s="410" t="str">
        <f>IF(E40=9,B$48,IF(E40=10,B$49,IF(E40=11,B$50,IF(E40=12,B$51,IF(E40=13,B$52,IF(E40=14,B$53,IF(E40=15,B$54,IF(E40=16,B$55," "))))))))</f>
        <v xml:space="preserve"> </v>
      </c>
      <c r="H41" s="410"/>
      <c r="I41" s="410"/>
      <c r="J41" s="410"/>
      <c r="K41" s="410"/>
      <c r="L41" s="410"/>
      <c r="M41" s="410"/>
      <c r="N41" s="407"/>
      <c r="O41" s="407"/>
      <c r="P41" s="407"/>
      <c r="Q41" s="407"/>
      <c r="R41" s="407"/>
      <c r="S41" s="410"/>
      <c r="T41" s="410"/>
      <c r="U41" s="407" t="s">
        <v>598</v>
      </c>
      <c r="V41" s="407"/>
      <c r="W41" s="410"/>
      <c r="X41" s="410"/>
      <c r="Y41" s="410"/>
      <c r="Z41" s="410"/>
      <c r="AA41" s="410"/>
      <c r="AB41" s="410"/>
      <c r="AC41" s="410"/>
      <c r="AD41" s="410"/>
      <c r="AE41" s="410"/>
      <c r="AF41" s="410"/>
      <c r="AG41" s="410"/>
      <c r="AH41" s="410"/>
      <c r="AI41" s="410">
        <v>1</v>
      </c>
      <c r="AJ41" s="404">
        <f>IF($E$40=1,1,0)</f>
        <v>0</v>
      </c>
      <c r="AK41" s="404">
        <f>IF($E$40=2,1,0)</f>
        <v>0</v>
      </c>
      <c r="AL41" s="404">
        <f>IF($E$40=3,1,0)</f>
        <v>0</v>
      </c>
      <c r="AM41" s="404">
        <f>IF($E$40=4,1,0)</f>
        <v>0</v>
      </c>
      <c r="AN41" s="404">
        <f>IF($E$40=5,1,0)</f>
        <v>0</v>
      </c>
      <c r="AO41" s="404">
        <f>IF($E$40=6,1,0)</f>
        <v>0</v>
      </c>
      <c r="AP41" s="404">
        <f>IF($E$40=7,1,0)</f>
        <v>0</v>
      </c>
      <c r="AQ41" s="404">
        <f>IF($E$40=8,1,0)</f>
        <v>0</v>
      </c>
      <c r="AR41" s="404">
        <f>IF($E$40=9,1,0)</f>
        <v>0</v>
      </c>
      <c r="AS41" s="404">
        <f>IF($E$40=10,1,0)</f>
        <v>0</v>
      </c>
      <c r="AT41" s="404">
        <f>IF($E$40=11,1,0)</f>
        <v>0</v>
      </c>
      <c r="AU41" s="404">
        <f>IF($E$40=12,1,0)</f>
        <v>0</v>
      </c>
      <c r="AV41" s="404">
        <f>IF($E$40=13,1,0)</f>
        <v>0</v>
      </c>
      <c r="AW41" s="404">
        <f>IF($E$40=14,1,0)</f>
        <v>0</v>
      </c>
      <c r="AX41" s="404">
        <f>IF($E$40=15,1,0)</f>
        <v>0</v>
      </c>
      <c r="AY41" s="404">
        <f>IF($E$40=16,1,0)</f>
        <v>0</v>
      </c>
      <c r="AZ41" s="404">
        <f>IF($E$40=17,1,0)</f>
        <v>0</v>
      </c>
      <c r="BA41" s="404">
        <f>IF($E$40=18,1,0)</f>
        <v>0</v>
      </c>
      <c r="BB41" s="404">
        <f>IF($E$40=19,1,0)</f>
        <v>0</v>
      </c>
      <c r="BC41" s="404">
        <f>IF($E$40=20,1,0)</f>
        <v>1</v>
      </c>
      <c r="BD41" s="404">
        <f>IF($E$40=21,1,0)</f>
        <v>0</v>
      </c>
      <c r="BE41" s="404">
        <f>IF($E$40=22,1,0)</f>
        <v>0</v>
      </c>
      <c r="BF41" s="404">
        <f>IF($E$40=23,1,0)</f>
        <v>0</v>
      </c>
      <c r="BG41" s="404">
        <f>IF($E$40=24,1,0)</f>
        <v>0</v>
      </c>
      <c r="BH41" s="404">
        <f>IF($E$40=25,1,0)</f>
        <v>0</v>
      </c>
      <c r="BI41" s="410"/>
      <c r="BJ41" s="410"/>
      <c r="BK41" s="410"/>
      <c r="BL41" s="410"/>
    </row>
    <row r="42" spans="1:64" ht="14.45" customHeight="1" x14ac:dyDescent="0.2">
      <c r="A42" s="404">
        <f t="shared" ref="A42:A60" si="1">A41+1</f>
        <v>3</v>
      </c>
      <c r="B42" s="410" t="s">
        <v>64</v>
      </c>
      <c r="C42" s="410"/>
      <c r="D42" s="410"/>
      <c r="E42" s="410"/>
      <c r="F42" s="410"/>
      <c r="G42" s="843" t="str">
        <f>IF(E40&lt;8.1,G40,IF(E40&gt;16.1,H40,G41))</f>
        <v>Салат из св. моркови</v>
      </c>
      <c r="H42" s="458"/>
      <c r="I42" s="410"/>
      <c r="J42" s="410"/>
      <c r="K42" s="410"/>
      <c r="L42" s="410"/>
      <c r="M42" s="410"/>
      <c r="N42" s="410"/>
      <c r="R42" s="410"/>
      <c r="S42" s="410"/>
      <c r="T42" s="410"/>
      <c r="U42" s="407" t="s">
        <v>599</v>
      </c>
      <c r="V42" s="407"/>
      <c r="W42" s="410"/>
      <c r="X42" s="410"/>
      <c r="Y42" s="410"/>
      <c r="Z42" s="410"/>
      <c r="AA42" s="407"/>
      <c r="AB42" s="410"/>
      <c r="AC42" s="410"/>
      <c r="AD42" s="410"/>
      <c r="AE42" s="410"/>
      <c r="AF42" s="410"/>
      <c r="AG42" s="410"/>
      <c r="AH42" s="410"/>
      <c r="AI42" s="410">
        <v>2</v>
      </c>
      <c r="AJ42" s="404">
        <f>IF($E$43=1,1,0)</f>
        <v>0</v>
      </c>
      <c r="AK42" s="404">
        <f>IF($E$43=2,1,0)</f>
        <v>0</v>
      </c>
      <c r="AL42" s="404">
        <f>IF($E$43=3,1,0)</f>
        <v>0</v>
      </c>
      <c r="AM42" s="404">
        <f>IF($E$43=4,1,0)</f>
        <v>0</v>
      </c>
      <c r="AN42" s="404">
        <f>IF($E$43=5,1,0)</f>
        <v>0</v>
      </c>
      <c r="AO42" s="404">
        <f>IF($E$43=6,1,0)</f>
        <v>0</v>
      </c>
      <c r="AP42" s="404">
        <f>IF($E$43=7,1,0)</f>
        <v>0</v>
      </c>
      <c r="AQ42" s="404">
        <f>IF($E$43=8,1,0)</f>
        <v>0</v>
      </c>
      <c r="AR42" s="404">
        <f>IF($E$43=9,1,0)</f>
        <v>0</v>
      </c>
      <c r="AS42" s="404">
        <f>IF($E$43=10,1,0)</f>
        <v>0</v>
      </c>
      <c r="AT42" s="404">
        <f>IF($E$43=11,1,0)</f>
        <v>0</v>
      </c>
      <c r="AU42" s="404">
        <f>IF($E$43=12,1,0)</f>
        <v>0</v>
      </c>
      <c r="AV42" s="404">
        <f>IF($E$43=13,1,0)</f>
        <v>0</v>
      </c>
      <c r="AW42" s="404">
        <f>IF($E$43=14,1,0)</f>
        <v>0</v>
      </c>
      <c r="AX42" s="404">
        <f>IF($E$43=15,1,0)</f>
        <v>1</v>
      </c>
      <c r="AY42" s="404">
        <f>IF($E$43=16,1,0)</f>
        <v>0</v>
      </c>
      <c r="AZ42" s="404">
        <f>IF($E$43=17,1,0)</f>
        <v>0</v>
      </c>
      <c r="BA42" s="404">
        <f>IF($E$43=18,1,0)</f>
        <v>0</v>
      </c>
      <c r="BB42" s="404">
        <f>IF($E$43=19,1,0)</f>
        <v>0</v>
      </c>
      <c r="BC42" s="404">
        <f>IF($E$43=20,1,0)</f>
        <v>0</v>
      </c>
      <c r="BD42" s="404">
        <f>IF($E$43=21,1,0)</f>
        <v>0</v>
      </c>
      <c r="BE42" s="404">
        <f>IF($E$43=22,1,0)</f>
        <v>0</v>
      </c>
      <c r="BF42" s="404">
        <f>IF($E$43=23,1,0)</f>
        <v>0</v>
      </c>
      <c r="BG42" s="404">
        <f>IF($E$43=24,1,0)</f>
        <v>0</v>
      </c>
      <c r="BH42" s="404">
        <f>IF($E$43=25,1,0)</f>
        <v>0</v>
      </c>
      <c r="BI42" s="410"/>
      <c r="BJ42" s="410"/>
      <c r="BK42" s="410"/>
      <c r="BL42" s="410"/>
    </row>
    <row r="43" spans="1:64" ht="14.45" customHeight="1" x14ac:dyDescent="0.2">
      <c r="A43" s="404">
        <f t="shared" si="1"/>
        <v>4</v>
      </c>
      <c r="B43" s="410" t="s">
        <v>65</v>
      </c>
      <c r="C43" s="410"/>
      <c r="D43" s="410"/>
      <c r="E43" s="410">
        <v>15</v>
      </c>
      <c r="F43" s="410"/>
      <c r="G43" s="410" t="str">
        <f>IF(E43=1,B$40,IF(E43=2,B$41,IF(E43=3,B$42,IF(E43=4,B$43,IF(E43=5,B$44,IF(E43=6,B$45,IF(E43=7,B$46,IF(E43=8,B$47,""))))))))</f>
        <v/>
      </c>
      <c r="H43" s="410" t="str">
        <f>IF(E43=17,B$56,IF(E43=18,B$57,IF(E43=19,B$58,IF(E43=20,B$59,IF(E43=21,B$60,IF(E43=22,B$61,IF(E43=23,B$62,"")))))))</f>
        <v/>
      </c>
      <c r="I43" s="410"/>
      <c r="J43" s="410"/>
      <c r="K43" s="410"/>
      <c r="L43" s="410"/>
      <c r="M43" s="410"/>
      <c r="N43" s="410"/>
      <c r="R43" s="410"/>
      <c r="S43" s="410"/>
      <c r="T43" s="410"/>
      <c r="U43" s="407" t="s">
        <v>600</v>
      </c>
      <c r="V43" s="410"/>
      <c r="W43" s="410"/>
      <c r="X43" s="410"/>
      <c r="Y43" s="410"/>
      <c r="Z43" s="410"/>
      <c r="AA43" s="407"/>
      <c r="AB43" s="410"/>
      <c r="AC43" s="410"/>
      <c r="AD43" s="410"/>
      <c r="AE43" s="410"/>
      <c r="AF43" s="410"/>
      <c r="AG43" s="410"/>
      <c r="AH43" s="410"/>
      <c r="AI43" s="410">
        <v>3</v>
      </c>
      <c r="AJ43" s="404">
        <f>IF(E46=1,1,0)</f>
        <v>0</v>
      </c>
      <c r="AK43" s="404">
        <f>IF(E46=2,1,0)</f>
        <v>0</v>
      </c>
      <c r="AL43" s="404">
        <f>IF(E46=3,1,0)</f>
        <v>0</v>
      </c>
      <c r="AM43" s="404">
        <f>IF(E46=4,1,0)</f>
        <v>0</v>
      </c>
      <c r="AN43" s="404">
        <f>IF(E46=5,1,0)</f>
        <v>0</v>
      </c>
      <c r="AO43" s="404">
        <f>IF(E46=6,1,0)</f>
        <v>0</v>
      </c>
      <c r="AP43" s="404">
        <f>IF(E46=7,1,0)</f>
        <v>0</v>
      </c>
      <c r="AQ43" s="404">
        <f>IF(E46=8,1,0)</f>
        <v>0</v>
      </c>
      <c r="AR43" s="404">
        <f>IF(E46=9,1,0)</f>
        <v>0</v>
      </c>
      <c r="AS43" s="404">
        <f>IF(E46=10,1,0)</f>
        <v>0</v>
      </c>
      <c r="AT43" s="404">
        <f>IF(E46=11,1,0)</f>
        <v>0</v>
      </c>
      <c r="AU43" s="404">
        <f>IF(E46=12,1,0)</f>
        <v>0</v>
      </c>
      <c r="AV43" s="404">
        <f>IF(E46=13,1,0)</f>
        <v>0</v>
      </c>
      <c r="AW43" s="404">
        <f>IF(E46=14,1,0)</f>
        <v>0</v>
      </c>
      <c r="AX43" s="404">
        <f>IF(E46=15,1,0)</f>
        <v>0</v>
      </c>
      <c r="AY43" s="404">
        <f>IF(E46=16,1,0)</f>
        <v>1</v>
      </c>
      <c r="AZ43" s="404">
        <f>IF(E46=17,1,0)</f>
        <v>0</v>
      </c>
      <c r="BA43" s="404">
        <f>IF(E46=18,1,0)</f>
        <v>0</v>
      </c>
      <c r="BB43" s="404">
        <f>IF(E46=19,1,0)</f>
        <v>0</v>
      </c>
      <c r="BC43" s="404">
        <f>IF(E46=20,1,0)</f>
        <v>0</v>
      </c>
      <c r="BD43" s="404">
        <f>IF(E46=21,1,0)</f>
        <v>0</v>
      </c>
      <c r="BE43" s="404">
        <f>IF(E46=22,1,0)</f>
        <v>0</v>
      </c>
      <c r="BF43" s="404">
        <f>IF(E46=42,1,0)</f>
        <v>0</v>
      </c>
      <c r="BG43" s="404">
        <f>IF(E46=24,1,0)</f>
        <v>0</v>
      </c>
      <c r="BH43" s="404">
        <f>IF(E46=25,1,0)</f>
        <v>0</v>
      </c>
      <c r="BI43" s="410"/>
      <c r="BJ43" s="410"/>
      <c r="BK43" s="410"/>
      <c r="BL43" s="410"/>
    </row>
    <row r="44" spans="1:64" ht="14.45" customHeight="1" x14ac:dyDescent="0.2">
      <c r="A44" s="404">
        <f t="shared" si="1"/>
        <v>5</v>
      </c>
      <c r="B44" s="410" t="s">
        <v>277</v>
      </c>
      <c r="C44" s="410"/>
      <c r="D44" s="410"/>
      <c r="E44" s="410"/>
      <c r="F44" s="410"/>
      <c r="G44" s="410" t="str">
        <f>IF(E43=9,B$48,IF(E43=10,B$49,IF(E43=11,B$50,IF(E43=12,B$51,IF(E43=13,B$52,IF(E43=14,B$53,IF(E43=15,B$54,IF(E43=16,B$55," "))))))))</f>
        <v>Салат из свежих огурцов</v>
      </c>
      <c r="H44" s="410"/>
      <c r="I44" s="410"/>
      <c r="J44" s="410"/>
      <c r="K44" s="410"/>
      <c r="L44" s="410"/>
      <c r="M44" s="410"/>
      <c r="N44" s="410"/>
      <c r="R44" s="410"/>
      <c r="S44" s="410"/>
      <c r="T44" s="410"/>
      <c r="U44" s="410"/>
      <c r="V44" s="410"/>
      <c r="W44" s="410"/>
      <c r="X44" s="410"/>
      <c r="Y44" s="410"/>
      <c r="Z44" s="410"/>
      <c r="AA44" s="407"/>
      <c r="AB44" s="410"/>
      <c r="AC44" s="410"/>
      <c r="AD44" s="410"/>
      <c r="AE44" s="410"/>
      <c r="AF44" s="410"/>
      <c r="AG44" s="410"/>
      <c r="AH44" s="410"/>
      <c r="AI44" s="410">
        <v>4</v>
      </c>
      <c r="AJ44" s="404">
        <f>IF(E49=1,1,0)</f>
        <v>0</v>
      </c>
      <c r="AK44" s="404">
        <f>IF(E49=2,1,0)</f>
        <v>0</v>
      </c>
      <c r="AL44" s="404">
        <f>IF(E49=3,1,0)</f>
        <v>0</v>
      </c>
      <c r="AM44" s="404">
        <f>IF(E49=4,1,0)</f>
        <v>0</v>
      </c>
      <c r="AN44" s="404">
        <f>IF(E49=5,1,0)</f>
        <v>0</v>
      </c>
      <c r="AO44" s="404">
        <f>IF(E49=6,1,0)</f>
        <v>0</v>
      </c>
      <c r="AP44" s="404">
        <f>IF(E49=7,1,0)</f>
        <v>0</v>
      </c>
      <c r="AQ44" s="404">
        <f>IF(E49=8,1,0)</f>
        <v>0</v>
      </c>
      <c r="AR44" s="404">
        <f>IF(E49=9,1,0)</f>
        <v>0</v>
      </c>
      <c r="AS44" s="404">
        <f>IF(E49=10,1,0)</f>
        <v>0</v>
      </c>
      <c r="AT44" s="404">
        <f>IF(E49=11,1,0)</f>
        <v>0</v>
      </c>
      <c r="AU44" s="404">
        <f>IF(E49=12,1,0)</f>
        <v>0</v>
      </c>
      <c r="AV44" s="404">
        <f>IF(E49=13,1,0)</f>
        <v>0</v>
      </c>
      <c r="AW44" s="404">
        <f>IF(E49=14,1,0)</f>
        <v>0</v>
      </c>
      <c r="AX44" s="404">
        <f>IF(E49=15,1,0)</f>
        <v>0</v>
      </c>
      <c r="AY44" s="404">
        <f>IF(E49=16,1,0)</f>
        <v>1</v>
      </c>
      <c r="AZ44" s="404">
        <f>IF(E49=17,1,0)</f>
        <v>0</v>
      </c>
      <c r="BA44" s="404">
        <f>IF(E49=18,1,0)</f>
        <v>0</v>
      </c>
      <c r="BB44" s="404">
        <f>IF(E49=19,1,0)</f>
        <v>0</v>
      </c>
      <c r="BC44" s="404">
        <f>IF(E49=20,1,0)</f>
        <v>0</v>
      </c>
      <c r="BD44" s="404">
        <f>IF(E49=21,1,0)</f>
        <v>0</v>
      </c>
      <c r="BE44" s="404">
        <f>IF(E49=22,1,0)</f>
        <v>0</v>
      </c>
      <c r="BF44" s="404">
        <f>IF(E49=42,1,0)</f>
        <v>0</v>
      </c>
      <c r="BG44" s="404">
        <f>IF(E49=24,1,0)</f>
        <v>0</v>
      </c>
      <c r="BH44" s="404">
        <f>IF(E49=25,1,0)</f>
        <v>0</v>
      </c>
      <c r="BI44" s="410"/>
      <c r="BJ44" s="410"/>
      <c r="BK44" s="410"/>
      <c r="BL44" s="410"/>
    </row>
    <row r="45" spans="1:64" ht="14.45" customHeight="1" x14ac:dyDescent="0.2">
      <c r="A45" s="404">
        <f t="shared" si="1"/>
        <v>6</v>
      </c>
      <c r="B45" s="410" t="s">
        <v>66</v>
      </c>
      <c r="C45" s="410"/>
      <c r="D45" s="410"/>
      <c r="E45" s="410"/>
      <c r="F45" s="410"/>
      <c r="G45" s="843" t="str">
        <f>IF(E43&lt;8.1,G43,IF(E43&gt;16.1,H43,G44))</f>
        <v>Салат из свежих огурцов</v>
      </c>
      <c r="H45" s="458"/>
      <c r="I45" s="410"/>
      <c r="J45" s="410"/>
      <c r="K45" s="410"/>
      <c r="L45" s="410"/>
      <c r="M45" s="410"/>
      <c r="N45" s="410"/>
      <c r="R45" s="410"/>
      <c r="S45" s="410"/>
      <c r="T45" s="410"/>
      <c r="U45" s="410"/>
      <c r="V45" s="410"/>
      <c r="W45" s="410"/>
      <c r="X45" s="410"/>
      <c r="Y45" s="410"/>
      <c r="Z45" s="410"/>
      <c r="AA45" s="407"/>
      <c r="AB45" s="410"/>
      <c r="AC45" s="410"/>
      <c r="AD45" s="410"/>
      <c r="AE45" s="410"/>
      <c r="AF45" s="410"/>
      <c r="AG45" s="410"/>
      <c r="AH45" s="410"/>
      <c r="AI45" s="410">
        <v>5</v>
      </c>
      <c r="AJ45" s="404">
        <f>IF(E52=1,1,0)</f>
        <v>1</v>
      </c>
      <c r="AK45" s="404">
        <f>IF(E52=2,1,0)</f>
        <v>0</v>
      </c>
      <c r="AL45" s="404">
        <f>IF(E52=3,1,0)</f>
        <v>0</v>
      </c>
      <c r="AM45" s="404">
        <f>IF(E52=4,1,0)</f>
        <v>0</v>
      </c>
      <c r="AN45" s="404">
        <f>IF(E52=5,1,0)</f>
        <v>0</v>
      </c>
      <c r="AO45" s="404">
        <f>IF(E52=6,1,0)</f>
        <v>0</v>
      </c>
      <c r="AP45" s="404">
        <f>IF(E52=7,1,0)</f>
        <v>0</v>
      </c>
      <c r="AQ45" s="404">
        <f>IF(E52=8,1,0)</f>
        <v>0</v>
      </c>
      <c r="AR45" s="404">
        <f>IF(E52=9,1,0)</f>
        <v>0</v>
      </c>
      <c r="AS45" s="404">
        <f>IF(E52=10,1,0)</f>
        <v>0</v>
      </c>
      <c r="AT45" s="404">
        <f>IF(E52=11,1,0)</f>
        <v>0</v>
      </c>
      <c r="AU45" s="404">
        <f>IF(E52=12,1,0)</f>
        <v>0</v>
      </c>
      <c r="AV45" s="404">
        <f>IF(E52=13,1,0)</f>
        <v>0</v>
      </c>
      <c r="AW45" s="404">
        <f>IF(E52=14,1,0)</f>
        <v>0</v>
      </c>
      <c r="AX45" s="404">
        <f>IF(E52=15,1,0)</f>
        <v>0</v>
      </c>
      <c r="AY45" s="404">
        <f>IF(E52=16,1,0)</f>
        <v>0</v>
      </c>
      <c r="AZ45" s="404">
        <f>IF(E52=17,1,0)</f>
        <v>0</v>
      </c>
      <c r="BA45" s="404">
        <f>IF(E52=18,1,0)</f>
        <v>0</v>
      </c>
      <c r="BB45" s="404">
        <f>IF(E52=19,1,0)</f>
        <v>0</v>
      </c>
      <c r="BC45" s="404">
        <f>IF(E52=20,1,0)</f>
        <v>0</v>
      </c>
      <c r="BD45" s="404">
        <f>IF(E52=21,1,0)</f>
        <v>0</v>
      </c>
      <c r="BE45" s="404">
        <f>IF(E52=22,1,0)</f>
        <v>0</v>
      </c>
      <c r="BF45" s="404">
        <f>IF(E52=42,1,0)</f>
        <v>0</v>
      </c>
      <c r="BG45" s="404">
        <f>IF(E52=24,1,0)</f>
        <v>0</v>
      </c>
      <c r="BH45" s="404">
        <f>IF(E52=25,1,0)</f>
        <v>0</v>
      </c>
      <c r="BI45" s="410"/>
      <c r="BJ45" s="410"/>
      <c r="BK45" s="410"/>
      <c r="BL45" s="410"/>
    </row>
    <row r="46" spans="1:64" ht="14.45" customHeight="1" x14ac:dyDescent="0.2">
      <c r="A46" s="404">
        <f t="shared" si="1"/>
        <v>7</v>
      </c>
      <c r="B46" s="410" t="s">
        <v>67</v>
      </c>
      <c r="C46" s="410"/>
      <c r="D46" s="410"/>
      <c r="E46" s="410">
        <v>16</v>
      </c>
      <c r="F46" s="410"/>
      <c r="G46" s="410" t="str">
        <f>IF(E46=1,B$40,IF(E46=2,B$41,IF(E46=3,B$42,IF(E46=4,B$43,IF(E46=5,B$44,IF(E46=6,B$45,IF(E46=7,B$46,IF(E46=8,B$47,""))))))))</f>
        <v/>
      </c>
      <c r="H46" s="410" t="str">
        <f>IF(E46=17,B$56,IF(E46=18,B$57,IF(E46=19,B$58,IF(E46=20,B$59,IF(E46=21,B$60,IF(E46=22,B$61,IF(E46=23,B$62,"")))))))</f>
        <v/>
      </c>
      <c r="I46" s="410"/>
      <c r="J46" s="410"/>
      <c r="K46" s="410"/>
      <c r="L46" s="410"/>
      <c r="M46" s="410"/>
      <c r="N46" s="410"/>
      <c r="R46" s="410"/>
      <c r="S46" s="410"/>
      <c r="T46" s="410"/>
      <c r="U46" s="410"/>
      <c r="V46" s="410"/>
      <c r="W46" s="410"/>
      <c r="X46" s="410"/>
      <c r="Y46" s="410"/>
      <c r="Z46" s="410"/>
      <c r="AA46" s="407"/>
      <c r="AB46" s="410"/>
      <c r="AC46" s="410"/>
      <c r="AD46" s="410"/>
      <c r="AE46" s="410"/>
      <c r="AF46" s="410"/>
      <c r="AG46" s="410"/>
      <c r="AH46" s="410"/>
      <c r="AI46" s="410">
        <v>6</v>
      </c>
      <c r="AJ46" s="404">
        <f>IF(E55=1,1,0)</f>
        <v>0</v>
      </c>
      <c r="AK46" s="404">
        <f>IF(E55=2,1,0)</f>
        <v>0</v>
      </c>
      <c r="AL46" s="404">
        <f>IF(E55=3,1,0)</f>
        <v>0</v>
      </c>
      <c r="AM46" s="404">
        <f>IF(E55=4,1,0)</f>
        <v>0</v>
      </c>
      <c r="AN46" s="404">
        <f>IF(E55=5,1,0)</f>
        <v>0</v>
      </c>
      <c r="AO46" s="404">
        <f>IF(E55=6,1,0)</f>
        <v>0</v>
      </c>
      <c r="AP46" s="404">
        <f>IF(E55=7,1,0)</f>
        <v>0</v>
      </c>
      <c r="AQ46" s="404">
        <f>IF(E55=8,1,0)</f>
        <v>0</v>
      </c>
      <c r="AR46" s="404">
        <f>IF(E55=9,1,0)</f>
        <v>0</v>
      </c>
      <c r="AS46" s="404">
        <f>IF(E55=10,1,0)</f>
        <v>0</v>
      </c>
      <c r="AT46" s="404">
        <f>IF(E55=11,1,0)</f>
        <v>0</v>
      </c>
      <c r="AU46" s="404">
        <f>IF(E55=12,1,0)</f>
        <v>0</v>
      </c>
      <c r="AV46" s="404">
        <f>IF(E55=13,1,0)</f>
        <v>0</v>
      </c>
      <c r="AW46" s="404">
        <f>IF(E55=14,1,0)</f>
        <v>0</v>
      </c>
      <c r="AX46" s="404">
        <f>IF(E55=15,1,0)</f>
        <v>0</v>
      </c>
      <c r="AY46" s="404">
        <f>IF(E55=16,1,0)</f>
        <v>0</v>
      </c>
      <c r="AZ46" s="404">
        <f>IF(E55=17,1,0)</f>
        <v>0</v>
      </c>
      <c r="BA46" s="404">
        <f>IF(E55=18,1,0)</f>
        <v>0</v>
      </c>
      <c r="BB46" s="404">
        <f>IF(E55=19,1,0)</f>
        <v>1</v>
      </c>
      <c r="BC46" s="404">
        <f>IF(E55=20,1,0)</f>
        <v>0</v>
      </c>
      <c r="BD46" s="404">
        <f>IF(E55=21,1,0)</f>
        <v>0</v>
      </c>
      <c r="BE46" s="404">
        <f>IF(E55=22,1,0)</f>
        <v>0</v>
      </c>
      <c r="BF46" s="404">
        <f>IF(E55=42,1,0)</f>
        <v>0</v>
      </c>
      <c r="BG46" s="404">
        <f>IF(E55=24,1,0)</f>
        <v>0</v>
      </c>
      <c r="BH46" s="404">
        <f>IF(E55=25,1,0)</f>
        <v>0</v>
      </c>
      <c r="BI46" s="410"/>
      <c r="BJ46" s="410"/>
      <c r="BK46" s="410"/>
      <c r="BL46" s="410"/>
    </row>
    <row r="47" spans="1:64" ht="14.45" customHeight="1" x14ac:dyDescent="0.2">
      <c r="A47" s="404">
        <f t="shared" si="1"/>
        <v>8</v>
      </c>
      <c r="B47" s="410" t="s">
        <v>68</v>
      </c>
      <c r="C47" s="410"/>
      <c r="D47" s="410"/>
      <c r="E47" s="410"/>
      <c r="F47" s="410"/>
      <c r="G47" s="410" t="str">
        <f>IF(E46=9,B$48,IF(E46=10,B$49,IF(E46=11,B$50,IF(E46=12,B$51,IF(E46=13,B$52,IF(E46=14,B$53,IF(E46=15,B$54,IF(E46=16,B$55," "))))))))</f>
        <v>Винегрет с сельдью</v>
      </c>
      <c r="H47" s="410"/>
      <c r="I47" s="410"/>
      <c r="J47" s="410"/>
      <c r="K47" s="410"/>
      <c r="L47" s="410"/>
      <c r="M47" s="410"/>
      <c r="N47" s="410"/>
      <c r="R47" s="410"/>
      <c r="S47" s="410"/>
      <c r="T47" s="410"/>
      <c r="U47" s="410"/>
      <c r="V47" s="410" t="s">
        <v>197</v>
      </c>
      <c r="W47" s="410"/>
      <c r="X47" s="410"/>
      <c r="Y47" s="410"/>
      <c r="Z47" s="410"/>
      <c r="AA47" s="407"/>
      <c r="AB47" s="410"/>
      <c r="AC47" s="410"/>
      <c r="AD47" s="410"/>
      <c r="AE47" s="410"/>
      <c r="AF47" s="410"/>
      <c r="AG47" s="410"/>
      <c r="AH47" s="410"/>
      <c r="AI47" s="410">
        <v>7</v>
      </c>
      <c r="AJ47" s="404">
        <f>IF(E58=1,1,0)</f>
        <v>0</v>
      </c>
      <c r="AK47" s="404">
        <f>IF(E58=2,1,0)</f>
        <v>0</v>
      </c>
      <c r="AL47" s="404">
        <f>IF(E58=3,1,0)</f>
        <v>0</v>
      </c>
      <c r="AM47" s="404">
        <f>IF(E58=4,1,0)</f>
        <v>0</v>
      </c>
      <c r="AN47" s="404">
        <f>IF(E58=5,1,0)</f>
        <v>0</v>
      </c>
      <c r="AO47" s="404">
        <f>IF(E58=6,1,0)</f>
        <v>0</v>
      </c>
      <c r="AP47" s="404">
        <f>IF(E58=7,1,0)</f>
        <v>0</v>
      </c>
      <c r="AQ47" s="404">
        <f>IF(E58=8,1,0)</f>
        <v>0</v>
      </c>
      <c r="AR47" s="404">
        <f>IF(E58=9,1,0)</f>
        <v>1</v>
      </c>
      <c r="AS47" s="404">
        <f>IF(E58=10,1,0)</f>
        <v>0</v>
      </c>
      <c r="AT47" s="404">
        <f>IF(E58=11,1,0)</f>
        <v>0</v>
      </c>
      <c r="AU47" s="404">
        <f>IF(E58=12,1,0)</f>
        <v>0</v>
      </c>
      <c r="AV47" s="404">
        <f>IF(E58=13,1,0)</f>
        <v>0</v>
      </c>
      <c r="AW47" s="404">
        <f>IF(E58=14,1,0)</f>
        <v>0</v>
      </c>
      <c r="AX47" s="404">
        <f>IF(E58=15,1,0)</f>
        <v>0</v>
      </c>
      <c r="AY47" s="404">
        <f>IF(E58=16,1,0)</f>
        <v>0</v>
      </c>
      <c r="AZ47" s="404">
        <f>IF(E58=17,1,0)</f>
        <v>0</v>
      </c>
      <c r="BA47" s="404">
        <f>IF(E58=18,1,0)</f>
        <v>0</v>
      </c>
      <c r="BB47" s="404">
        <f>IF(E58=19,1,0)</f>
        <v>0</v>
      </c>
      <c r="BC47" s="404">
        <f>IF(E58=20,1,0)</f>
        <v>0</v>
      </c>
      <c r="BD47" s="404">
        <f>IF(E58=21,1,0)</f>
        <v>0</v>
      </c>
      <c r="BE47" s="404">
        <f>IF(E58=22,1,0)</f>
        <v>0</v>
      </c>
      <c r="BF47" s="404">
        <f>IF(E58=42,1,0)</f>
        <v>0</v>
      </c>
      <c r="BG47" s="404">
        <f>IF(E58=24,1,0)</f>
        <v>0</v>
      </c>
      <c r="BH47" s="404">
        <f>IF(E58=25,1,0)</f>
        <v>0</v>
      </c>
      <c r="BI47" s="410"/>
      <c r="BJ47" s="410"/>
      <c r="BK47" s="410"/>
      <c r="BL47" s="410"/>
    </row>
    <row r="48" spans="1:64" ht="14.45" customHeight="1" x14ac:dyDescent="0.2">
      <c r="A48" s="404">
        <f t="shared" si="1"/>
        <v>9</v>
      </c>
      <c r="B48" s="410" t="s">
        <v>69</v>
      </c>
      <c r="C48" s="410"/>
      <c r="D48" s="410"/>
      <c r="E48" s="410"/>
      <c r="F48" s="410"/>
      <c r="G48" s="843" t="str">
        <f>IF(E46&lt;8.1,G46,IF(E46&gt;16.1,H46,G47))</f>
        <v>Винегрет с сельдью</v>
      </c>
      <c r="H48" s="458"/>
      <c r="I48" s="410"/>
      <c r="J48" s="410"/>
      <c r="K48" s="410"/>
      <c r="L48" s="410"/>
      <c r="M48" s="410"/>
      <c r="N48" s="410"/>
      <c r="R48" s="410"/>
      <c r="S48" s="410"/>
      <c r="T48" s="410"/>
      <c r="U48" s="410"/>
      <c r="V48" s="410" t="s">
        <v>197</v>
      </c>
      <c r="W48" s="410"/>
      <c r="X48" s="410"/>
      <c r="Y48" s="410"/>
      <c r="Z48" s="410"/>
      <c r="AA48" s="407"/>
      <c r="AB48" s="410"/>
      <c r="AC48" s="410"/>
      <c r="AD48" s="410"/>
      <c r="AE48" s="410"/>
      <c r="AF48" s="410"/>
      <c r="AG48" s="410"/>
      <c r="AH48" s="410"/>
      <c r="AI48" s="410"/>
      <c r="AJ48" s="431">
        <f>SUM(AJ41:AJ47)</f>
        <v>1</v>
      </c>
      <c r="AK48" s="431">
        <f t="shared" ref="AK48:BH48" si="2">SUM(AK41:AK47)</f>
        <v>0</v>
      </c>
      <c r="AL48" s="431">
        <f t="shared" si="2"/>
        <v>0</v>
      </c>
      <c r="AM48" s="431">
        <f t="shared" si="2"/>
        <v>0</v>
      </c>
      <c r="AN48" s="431">
        <f t="shared" si="2"/>
        <v>0</v>
      </c>
      <c r="AO48" s="431">
        <f t="shared" si="2"/>
        <v>0</v>
      </c>
      <c r="AP48" s="431">
        <f t="shared" si="2"/>
        <v>0</v>
      </c>
      <c r="AQ48" s="431">
        <f t="shared" si="2"/>
        <v>0</v>
      </c>
      <c r="AR48" s="431">
        <f t="shared" si="2"/>
        <v>1</v>
      </c>
      <c r="AS48" s="431">
        <f t="shared" si="2"/>
        <v>0</v>
      </c>
      <c r="AT48" s="431">
        <f t="shared" si="2"/>
        <v>0</v>
      </c>
      <c r="AU48" s="431">
        <f t="shared" si="2"/>
        <v>0</v>
      </c>
      <c r="AV48" s="431">
        <f t="shared" si="2"/>
        <v>0</v>
      </c>
      <c r="AW48" s="431">
        <f t="shared" si="2"/>
        <v>0</v>
      </c>
      <c r="AX48" s="431">
        <f t="shared" si="2"/>
        <v>1</v>
      </c>
      <c r="AY48" s="431">
        <f t="shared" si="2"/>
        <v>2</v>
      </c>
      <c r="AZ48" s="431">
        <f t="shared" si="2"/>
        <v>0</v>
      </c>
      <c r="BA48" s="431">
        <f t="shared" si="2"/>
        <v>0</v>
      </c>
      <c r="BB48" s="431">
        <f t="shared" si="2"/>
        <v>1</v>
      </c>
      <c r="BC48" s="431">
        <f t="shared" si="2"/>
        <v>1</v>
      </c>
      <c r="BD48" s="431">
        <f t="shared" si="2"/>
        <v>0</v>
      </c>
      <c r="BE48" s="431">
        <f t="shared" si="2"/>
        <v>0</v>
      </c>
      <c r="BF48" s="431">
        <f t="shared" si="2"/>
        <v>0</v>
      </c>
      <c r="BG48" s="431">
        <f t="shared" si="2"/>
        <v>0</v>
      </c>
      <c r="BH48" s="431">
        <f t="shared" si="2"/>
        <v>0</v>
      </c>
      <c r="BI48" s="410"/>
      <c r="BJ48" s="410"/>
      <c r="BK48" s="410"/>
      <c r="BL48" s="410"/>
    </row>
    <row r="49" spans="1:64" x14ac:dyDescent="0.2">
      <c r="A49" s="404">
        <f t="shared" si="1"/>
        <v>10</v>
      </c>
      <c r="B49" s="410" t="s">
        <v>70</v>
      </c>
      <c r="C49" s="410"/>
      <c r="D49" s="410"/>
      <c r="E49" s="410">
        <v>16</v>
      </c>
      <c r="F49" s="410"/>
      <c r="G49" s="410" t="str">
        <f>IF(E49=1,B$40,IF(E49=2,B$41,IF(E49=3,B$42,IF(E49=4,B$43,IF(E49=5,B$44,IF(E49=6,B$45,IF(E49=7,B$46,IF(E49=8,B$47,""))))))))</f>
        <v/>
      </c>
      <c r="H49" s="410" t="str">
        <f>IF(E49=17,B$56,IF(E49=18,B$57,IF(E49=19,B$58,IF(E49=20,B$59,IF(E49=21,B$60,IF(E49=22,B$61,IF(E49=23,B$62,"")))))))</f>
        <v/>
      </c>
      <c r="I49" s="410"/>
      <c r="J49" s="410"/>
      <c r="K49" s="410"/>
      <c r="L49" s="410"/>
      <c r="M49" s="410"/>
      <c r="N49" s="410"/>
      <c r="R49" s="410"/>
      <c r="S49" s="410"/>
      <c r="T49" s="410"/>
      <c r="U49" s="410"/>
      <c r="V49" s="410"/>
      <c r="W49" s="410"/>
      <c r="X49" s="410"/>
      <c r="Y49" s="410"/>
      <c r="Z49" s="410"/>
      <c r="AA49" s="407"/>
      <c r="AB49" s="410"/>
      <c r="AC49" s="410"/>
      <c r="AD49" s="410"/>
      <c r="AE49" s="410"/>
      <c r="AF49" s="410"/>
      <c r="AG49" s="410"/>
      <c r="AH49" s="410"/>
      <c r="AI49" s="410"/>
      <c r="AJ49" s="410"/>
      <c r="AK49" s="410"/>
      <c r="AL49" s="410"/>
      <c r="AM49" s="410"/>
      <c r="AN49" s="410"/>
      <c r="AO49" s="410"/>
      <c r="AP49" s="410"/>
      <c r="AQ49" s="410"/>
      <c r="AR49" s="410"/>
      <c r="AS49" s="410"/>
      <c r="AT49" s="410"/>
      <c r="AU49" s="410"/>
      <c r="AV49" s="410"/>
      <c r="AW49" s="410"/>
      <c r="AX49" s="410"/>
      <c r="AY49" s="410"/>
      <c r="AZ49" s="410"/>
      <c r="BA49" s="410"/>
      <c r="BB49" s="410"/>
      <c r="BC49" s="410"/>
      <c r="BD49" s="410"/>
      <c r="BE49" s="410"/>
      <c r="BF49" s="410"/>
      <c r="BG49" s="410"/>
      <c r="BH49" s="410"/>
      <c r="BI49" s="410"/>
      <c r="BJ49" s="410"/>
      <c r="BK49" s="410"/>
      <c r="BL49" s="410"/>
    </row>
    <row r="50" spans="1:64" x14ac:dyDescent="0.2">
      <c r="A50" s="404">
        <f t="shared" si="1"/>
        <v>11</v>
      </c>
      <c r="B50" s="410" t="s">
        <v>71</v>
      </c>
      <c r="C50" s="410"/>
      <c r="D50" s="410"/>
      <c r="E50" s="410"/>
      <c r="F50" s="410"/>
      <c r="G50" s="410" t="str">
        <f>IF(E49=9,B$48,IF(E49=10,B$49,IF(E49=11,B$50,IF(E49=12,B$51,IF(E49=13,B$52,IF(E49=14,B$53,IF(E49=15,B$54,IF(E49=16,B$55," "))))))))</f>
        <v>Винегрет с сельдью</v>
      </c>
      <c r="H50" s="410"/>
      <c r="I50" s="410"/>
      <c r="J50" s="410"/>
      <c r="K50" s="410"/>
      <c r="L50" s="410"/>
      <c r="M50" s="410"/>
      <c r="N50" s="410"/>
      <c r="R50" s="410"/>
      <c r="S50" s="410"/>
      <c r="T50" s="410"/>
      <c r="U50" s="407" t="s">
        <v>593</v>
      </c>
      <c r="V50" s="407" t="str">
        <f>CONCATENATE(" хлеб, масло, сахар, чай ",R108)</f>
        <v xml:space="preserve"> хлеб, масло, сахар, чай </v>
      </c>
      <c r="W50" s="410"/>
      <c r="X50" s="410"/>
      <c r="Y50" s="410"/>
      <c r="Z50" s="410"/>
      <c r="AA50" s="407"/>
      <c r="AB50" s="410"/>
      <c r="AC50" s="410"/>
      <c r="AD50" s="410"/>
      <c r="AE50" s="410"/>
      <c r="AF50" s="410"/>
      <c r="AG50" s="410">
        <f>'Раскладка продуктов'!AG50</f>
        <v>50</v>
      </c>
      <c r="AH50" s="410"/>
      <c r="AI50" s="410"/>
      <c r="AJ50" s="404"/>
      <c r="AK50" s="404"/>
      <c r="AL50" s="404"/>
      <c r="AM50" s="404"/>
      <c r="AN50" s="404"/>
      <c r="AO50" s="404"/>
      <c r="AP50" s="404"/>
      <c r="AQ50" s="404"/>
      <c r="AR50" s="404"/>
      <c r="AS50" s="404"/>
      <c r="AT50" s="404"/>
      <c r="AU50" s="404"/>
      <c r="AV50" s="404"/>
      <c r="AW50" s="404"/>
      <c r="AX50" s="404"/>
      <c r="AY50" s="404"/>
      <c r="AZ50" s="404"/>
      <c r="BA50" s="404"/>
      <c r="BB50" s="404"/>
      <c r="BC50" s="404"/>
      <c r="BD50" s="404"/>
      <c r="BE50" s="404"/>
      <c r="BF50" s="404"/>
      <c r="BG50" s="404"/>
      <c r="BH50" s="404"/>
      <c r="BI50" s="410"/>
      <c r="BJ50" s="410"/>
      <c r="BK50" s="410"/>
      <c r="BL50" s="410"/>
    </row>
    <row r="51" spans="1:64" x14ac:dyDescent="0.2">
      <c r="A51" s="404">
        <f t="shared" si="1"/>
        <v>12</v>
      </c>
      <c r="B51" s="410" t="s">
        <v>72</v>
      </c>
      <c r="C51" s="410"/>
      <c r="D51" s="410"/>
      <c r="E51" s="410"/>
      <c r="F51" s="410"/>
      <c r="G51" s="843" t="str">
        <f>IF(E49&lt;8.1,G49,IF(E49&gt;16.1,H49,G50))</f>
        <v>Винегрет с сельдью</v>
      </c>
      <c r="H51" s="458"/>
      <c r="I51" s="410"/>
      <c r="J51" s="410"/>
      <c r="K51" s="410"/>
      <c r="L51" s="410"/>
      <c r="M51" s="410"/>
      <c r="N51" s="410"/>
      <c r="R51" s="410"/>
      <c r="S51" s="410"/>
      <c r="T51" s="410"/>
      <c r="U51" s="407" t="s">
        <v>594</v>
      </c>
      <c r="V51" s="407" t="str">
        <f>CONCATENATE(" хлеб, масло, сахар, чай, яйцо",R108)</f>
        <v xml:space="preserve"> хлеб, масло, сахар, чай, яйцо</v>
      </c>
      <c r="W51" s="410"/>
      <c r="X51" s="410"/>
      <c r="Y51" s="410"/>
      <c r="Z51" s="410"/>
      <c r="AA51" s="407"/>
      <c r="AB51" s="410"/>
      <c r="AC51" s="410"/>
      <c r="AD51" s="410"/>
      <c r="AE51" s="410"/>
      <c r="AF51" s="410"/>
      <c r="AG51" s="410"/>
      <c r="AH51" s="410"/>
      <c r="AI51" s="410"/>
      <c r="AJ51" s="404"/>
      <c r="AK51" s="404"/>
      <c r="AL51" s="404"/>
      <c r="AM51" s="404"/>
      <c r="AN51" s="404"/>
      <c r="AO51" s="404"/>
      <c r="AP51" s="404"/>
      <c r="AQ51" s="404"/>
      <c r="AR51" s="404"/>
      <c r="AS51" s="404"/>
      <c r="AT51" s="404"/>
      <c r="AU51" s="404"/>
      <c r="AV51" s="404"/>
      <c r="AW51" s="404"/>
      <c r="AX51" s="404"/>
      <c r="AY51" s="404"/>
      <c r="AZ51" s="404"/>
      <c r="BA51" s="404"/>
      <c r="BB51" s="404"/>
      <c r="BC51" s="404"/>
      <c r="BD51" s="404"/>
      <c r="BE51" s="404"/>
      <c r="BF51" s="404"/>
      <c r="BG51" s="404"/>
      <c r="BH51" s="404"/>
      <c r="BI51" s="410"/>
      <c r="BJ51" s="410"/>
      <c r="BK51" s="410"/>
      <c r="BL51" s="410"/>
    </row>
    <row r="52" spans="1:64" x14ac:dyDescent="0.2">
      <c r="A52" s="404">
        <f t="shared" si="1"/>
        <v>13</v>
      </c>
      <c r="B52" s="410" t="s">
        <v>73</v>
      </c>
      <c r="C52" s="410"/>
      <c r="D52" s="410"/>
      <c r="E52" s="410">
        <v>1</v>
      </c>
      <c r="F52" s="410"/>
      <c r="G52" s="410" t="str">
        <f>IF(E52=1,B$40,IF(E52=2,B$41,IF(E52=3,B$42,IF(E52=4,B$43,IF(E52=5,B$44,IF(E52=6,B$45,IF(E52=7,B$46,IF(E52=8,B$47,""))))))))</f>
        <v xml:space="preserve">Винегрет </v>
      </c>
      <c r="H52" s="410" t="str">
        <f>IF(E52=17,B$56,IF(E52=18,B$57,IF(E52=19,B$58,IF(E52=20,B$59,IF(E52=21,B$60,IF(E52=22,B$61,IF(E52=23,B$62,"")))))))</f>
        <v/>
      </c>
      <c r="I52" s="410"/>
      <c r="J52" s="410"/>
      <c r="K52" s="410"/>
      <c r="L52" s="410"/>
      <c r="M52" s="410"/>
      <c r="N52" s="410"/>
      <c r="R52" s="410"/>
      <c r="S52" s="410"/>
      <c r="T52" s="410"/>
      <c r="U52" s="407" t="s">
        <v>595</v>
      </c>
      <c r="V52" s="407" t="str">
        <f>CONCATENATE(" хлеб, масло, сахар, чай, омлет",R108)</f>
        <v xml:space="preserve"> хлеб, масло, сахар, чай, омлет</v>
      </c>
      <c r="W52" s="410"/>
      <c r="X52" s="410"/>
      <c r="Y52" s="410"/>
      <c r="Z52" s="410"/>
      <c r="AA52" s="407"/>
      <c r="AB52" s="410"/>
      <c r="AC52" s="410"/>
      <c r="AD52" s="410"/>
      <c r="AE52" s="410"/>
      <c r="AF52" s="410"/>
      <c r="AG52" s="410"/>
      <c r="AH52" s="410"/>
      <c r="AI52" s="410"/>
      <c r="AJ52" s="404"/>
      <c r="AK52" s="404"/>
      <c r="AL52" s="404"/>
      <c r="AM52" s="404"/>
      <c r="AN52" s="404"/>
      <c r="AO52" s="404"/>
      <c r="AP52" s="404"/>
      <c r="AQ52" s="404"/>
      <c r="AR52" s="404"/>
      <c r="AS52" s="404"/>
      <c r="AT52" s="404"/>
      <c r="AU52" s="404"/>
      <c r="AV52" s="404"/>
      <c r="AW52" s="404"/>
      <c r="AX52" s="404"/>
      <c r="AY52" s="404"/>
      <c r="AZ52" s="404"/>
      <c r="BA52" s="404"/>
      <c r="BB52" s="404"/>
      <c r="BC52" s="404"/>
      <c r="BD52" s="404"/>
      <c r="BE52" s="404"/>
      <c r="BF52" s="404"/>
      <c r="BG52" s="404"/>
      <c r="BH52" s="404"/>
      <c r="BI52" s="410"/>
      <c r="BJ52" s="410"/>
      <c r="BK52" s="410"/>
      <c r="BL52" s="410"/>
    </row>
    <row r="53" spans="1:64" x14ac:dyDescent="0.2">
      <c r="A53" s="404">
        <f t="shared" si="1"/>
        <v>14</v>
      </c>
      <c r="B53" s="410" t="s">
        <v>177</v>
      </c>
      <c r="C53" s="410"/>
      <c r="D53" s="410"/>
      <c r="E53" s="410"/>
      <c r="F53" s="410"/>
      <c r="G53" s="410" t="str">
        <f>IF(E52=9,B$48,IF(E52=10,B$49,IF(E52=11,B$50,IF(E52=12,B$51,IF(E52=13,B$52,IF(E52=14,B$53,IF(E52=15,B$54,IF(E52=16,B$55," "))))))))</f>
        <v xml:space="preserve"> </v>
      </c>
      <c r="H53" s="410"/>
      <c r="I53" s="410"/>
      <c r="J53" s="410"/>
      <c r="K53" s="410"/>
      <c r="L53" s="410"/>
      <c r="M53" s="410"/>
      <c r="N53" s="410"/>
      <c r="R53" s="410"/>
      <c r="S53" s="410"/>
      <c r="T53" s="410"/>
      <c r="U53" s="407" t="s">
        <v>596</v>
      </c>
      <c r="V53" s="410" t="str">
        <f>CONCATENATE(" хлеб, масло, сахар, чай, молоко",R108)</f>
        <v xml:space="preserve"> хлеб, масло, сахар, чай, молоко</v>
      </c>
      <c r="W53" s="410"/>
      <c r="X53" s="410"/>
      <c r="Y53" s="410"/>
      <c r="Z53" s="410"/>
      <c r="AA53" s="410"/>
      <c r="AB53" s="410"/>
      <c r="AC53" s="410"/>
      <c r="AD53" s="410"/>
      <c r="AE53" s="410"/>
      <c r="AF53" s="410"/>
      <c r="AG53" s="410"/>
      <c r="AH53" s="410"/>
      <c r="AI53" s="410"/>
      <c r="AJ53" s="404"/>
      <c r="AK53" s="404"/>
      <c r="AL53" s="404"/>
      <c r="AM53" s="404"/>
      <c r="AN53" s="404"/>
      <c r="AO53" s="404"/>
      <c r="AP53" s="404"/>
      <c r="AQ53" s="404"/>
      <c r="AR53" s="404"/>
      <c r="AS53" s="404"/>
      <c r="AT53" s="404"/>
      <c r="AU53" s="404"/>
      <c r="AV53" s="404"/>
      <c r="AW53" s="404"/>
      <c r="AX53" s="404"/>
      <c r="AY53" s="404"/>
      <c r="AZ53" s="404"/>
      <c r="BA53" s="404"/>
      <c r="BB53" s="404"/>
      <c r="BC53" s="404"/>
      <c r="BD53" s="404"/>
      <c r="BE53" s="404"/>
      <c r="BF53" s="404"/>
      <c r="BG53" s="404"/>
      <c r="BH53" s="404"/>
      <c r="BI53" s="410"/>
      <c r="BJ53" s="410"/>
      <c r="BK53" s="410"/>
      <c r="BL53" s="410"/>
    </row>
    <row r="54" spans="1:64" x14ac:dyDescent="0.2">
      <c r="A54" s="404">
        <f t="shared" si="1"/>
        <v>15</v>
      </c>
      <c r="B54" s="410" t="s">
        <v>226</v>
      </c>
      <c r="C54" s="410"/>
      <c r="D54" s="410"/>
      <c r="E54" s="410"/>
      <c r="F54" s="410"/>
      <c r="G54" s="843" t="str">
        <f>IF(E52&lt;8.1,G52,IF(E52&gt;16.1,H52,G53))</f>
        <v xml:space="preserve">Винегрет </v>
      </c>
      <c r="H54" s="458"/>
      <c r="I54" s="410"/>
      <c r="J54" s="410"/>
      <c r="K54" s="410"/>
      <c r="L54" s="410"/>
      <c r="M54" s="410"/>
      <c r="N54" s="410"/>
      <c r="R54" s="410"/>
      <c r="S54" s="410"/>
      <c r="T54" s="410"/>
      <c r="U54" s="407" t="s">
        <v>597</v>
      </c>
      <c r="V54" s="407"/>
      <c r="W54" s="410"/>
      <c r="X54" s="410"/>
      <c r="Y54" s="410"/>
      <c r="Z54" s="410"/>
      <c r="AA54" s="407"/>
      <c r="AB54" s="410"/>
      <c r="AC54" s="410"/>
      <c r="AD54" s="410"/>
      <c r="AE54" s="410"/>
      <c r="AF54" s="410"/>
      <c r="AG54" s="410"/>
      <c r="AH54" s="410"/>
      <c r="AI54" s="410"/>
      <c r="AJ54" s="404"/>
      <c r="AK54" s="404"/>
      <c r="AL54" s="404"/>
      <c r="AM54" s="404"/>
      <c r="AN54" s="404"/>
      <c r="AO54" s="404"/>
      <c r="AP54" s="404"/>
      <c r="AQ54" s="404"/>
      <c r="AR54" s="404"/>
      <c r="AS54" s="404"/>
      <c r="AT54" s="404"/>
      <c r="AU54" s="404"/>
      <c r="AV54" s="404"/>
      <c r="AW54" s="404"/>
      <c r="AX54" s="404"/>
      <c r="AY54" s="404"/>
      <c r="AZ54" s="404"/>
      <c r="BA54" s="404"/>
      <c r="BB54" s="404"/>
      <c r="BC54" s="404"/>
      <c r="BD54" s="404"/>
      <c r="BE54" s="404"/>
      <c r="BF54" s="404"/>
      <c r="BG54" s="404"/>
      <c r="BH54" s="404"/>
      <c r="BI54" s="410"/>
      <c r="BJ54" s="410"/>
      <c r="BK54" s="410"/>
      <c r="BL54" s="410"/>
    </row>
    <row r="55" spans="1:64" x14ac:dyDescent="0.2">
      <c r="A55" s="404">
        <f t="shared" si="1"/>
        <v>16</v>
      </c>
      <c r="B55" s="410" t="s">
        <v>442</v>
      </c>
      <c r="C55" s="410"/>
      <c r="D55" s="410"/>
      <c r="E55" s="410">
        <v>19</v>
      </c>
      <c r="F55" s="410"/>
      <c r="G55" s="410" t="str">
        <f>IF(E55=1,B$40,IF(E55=2,B$41,IF(E55=3,B$42,IF(E55=4,B$43,IF(E55=5,B$44,IF(E55=6,B$45,IF(E55=7,B$46,IF(E55=8,B$47,""))))))))</f>
        <v/>
      </c>
      <c r="H55" s="410" t="str">
        <f>IF(E55=17,B$56,IF(E55=18,B$57,IF(E55=19,B$58,IF(E55=20,B$59,IF(E55=21,B$60,IF(E55=22,B$61,IF(E55=23,B$62,"")))))))</f>
        <v>Салат из свежих помидоров</v>
      </c>
      <c r="I55" s="410"/>
      <c r="J55" s="410"/>
      <c r="K55" s="410"/>
      <c r="L55" s="410"/>
      <c r="M55" s="410"/>
      <c r="N55" s="410"/>
      <c r="R55" s="410"/>
      <c r="S55" s="410"/>
      <c r="T55" s="410"/>
      <c r="U55" s="407" t="s">
        <v>598</v>
      </c>
      <c r="V55" s="407"/>
      <c r="W55" s="410"/>
      <c r="X55" s="410"/>
      <c r="Y55" s="410"/>
      <c r="Z55" s="410"/>
      <c r="AA55" s="407"/>
      <c r="AB55" s="410"/>
      <c r="AC55" s="410"/>
      <c r="AD55" s="410"/>
      <c r="AE55" s="410"/>
      <c r="AF55" s="410"/>
      <c r="AG55" s="410"/>
      <c r="AH55" s="410"/>
      <c r="AI55" s="410"/>
      <c r="AJ55" s="404"/>
      <c r="AK55" s="404"/>
      <c r="AL55" s="404"/>
      <c r="AM55" s="404"/>
      <c r="AN55" s="404"/>
      <c r="AO55" s="404"/>
      <c r="AP55" s="404"/>
      <c r="AQ55" s="404"/>
      <c r="AR55" s="404"/>
      <c r="AS55" s="404"/>
      <c r="AT55" s="404"/>
      <c r="AU55" s="404"/>
      <c r="AV55" s="404"/>
      <c r="AW55" s="404"/>
      <c r="AX55" s="404"/>
      <c r="AY55" s="404"/>
      <c r="AZ55" s="404"/>
      <c r="BA55" s="404"/>
      <c r="BB55" s="404"/>
      <c r="BC55" s="404"/>
      <c r="BD55" s="404"/>
      <c r="BE55" s="404"/>
      <c r="BF55" s="404"/>
      <c r="BG55" s="404"/>
      <c r="BH55" s="404"/>
      <c r="BI55" s="410"/>
      <c r="BJ55" s="410"/>
      <c r="BK55" s="410"/>
      <c r="BL55" s="410"/>
    </row>
    <row r="56" spans="1:64" x14ac:dyDescent="0.2">
      <c r="A56" s="404">
        <f t="shared" si="1"/>
        <v>17</v>
      </c>
      <c r="B56" s="410" t="s">
        <v>216</v>
      </c>
      <c r="C56" s="410"/>
      <c r="D56" s="410"/>
      <c r="E56" s="410"/>
      <c r="F56" s="410"/>
      <c r="G56" s="410" t="str">
        <f>IF(E55=9,B$48,IF(E55=10,B$49,IF(E55=11,B$50,IF(E55=12,B$51,IF(E55=13,B$52,IF(E55=14,B$53,IF(E55=15,B$54,IF(E55=16,B$55," "))))))))</f>
        <v xml:space="preserve"> </v>
      </c>
      <c r="H56" s="410"/>
      <c r="I56" s="410"/>
      <c r="J56" s="410"/>
      <c r="K56" s="410"/>
      <c r="L56" s="410"/>
      <c r="M56" s="410"/>
      <c r="N56" s="410"/>
      <c r="R56" s="410"/>
      <c r="S56" s="410"/>
      <c r="T56" s="410"/>
      <c r="U56" s="407" t="s">
        <v>599</v>
      </c>
      <c r="V56" s="407"/>
      <c r="W56" s="410"/>
      <c r="X56" s="410"/>
      <c r="Y56" s="410"/>
      <c r="Z56" s="410"/>
      <c r="AA56" s="407"/>
      <c r="AB56" s="410"/>
      <c r="AC56" s="410"/>
      <c r="AD56" s="410"/>
      <c r="AE56" s="410"/>
      <c r="AF56" s="410"/>
      <c r="AG56" s="410"/>
      <c r="AH56" s="410"/>
      <c r="AI56" s="410"/>
      <c r="AJ56" s="404"/>
      <c r="AK56" s="404"/>
      <c r="AL56" s="404"/>
      <c r="AM56" s="404"/>
      <c r="AN56" s="404"/>
      <c r="AO56" s="404"/>
      <c r="AP56" s="404"/>
      <c r="AQ56" s="404"/>
      <c r="AR56" s="404"/>
      <c r="AS56" s="404"/>
      <c r="AT56" s="404"/>
      <c r="AU56" s="404"/>
      <c r="AV56" s="404"/>
      <c r="AW56" s="404"/>
      <c r="AX56" s="404"/>
      <c r="AY56" s="404"/>
      <c r="AZ56" s="404"/>
      <c r="BA56" s="404"/>
      <c r="BB56" s="404"/>
      <c r="BC56" s="404"/>
      <c r="BD56" s="404"/>
      <c r="BE56" s="404"/>
      <c r="BF56" s="404"/>
      <c r="BG56" s="404"/>
      <c r="BH56" s="404"/>
      <c r="BI56" s="410"/>
      <c r="BJ56" s="410"/>
      <c r="BK56" s="410"/>
      <c r="BL56" s="410"/>
    </row>
    <row r="57" spans="1:64" x14ac:dyDescent="0.2">
      <c r="A57" s="404">
        <f t="shared" si="1"/>
        <v>18</v>
      </c>
      <c r="B57" s="410" t="s">
        <v>224</v>
      </c>
      <c r="C57" s="410"/>
      <c r="D57" s="410"/>
      <c r="E57" s="410"/>
      <c r="F57" s="410"/>
      <c r="G57" s="843" t="str">
        <f>IF(E55&lt;8.1,G55,IF(E55&gt;16.1,H55,G56))</f>
        <v>Салат из свежих помидоров</v>
      </c>
      <c r="H57" s="458"/>
      <c r="I57" s="410"/>
      <c r="J57" s="410"/>
      <c r="K57" s="410"/>
      <c r="L57" s="410"/>
      <c r="M57" s="410"/>
      <c r="N57" s="410"/>
      <c r="R57" s="410"/>
      <c r="S57" s="410"/>
      <c r="T57" s="410"/>
      <c r="U57" s="407" t="s">
        <v>600</v>
      </c>
      <c r="V57" s="410"/>
      <c r="W57" s="410"/>
      <c r="X57" s="410"/>
      <c r="Y57" s="410"/>
      <c r="Z57" s="410"/>
      <c r="AA57" s="407"/>
      <c r="AB57" s="410"/>
      <c r="AC57" s="410"/>
      <c r="AD57" s="410"/>
      <c r="AE57" s="410"/>
      <c r="AF57" s="410"/>
      <c r="AG57" s="410"/>
      <c r="AH57" s="410"/>
      <c r="AI57" s="410"/>
      <c r="AJ57" s="404"/>
      <c r="AK57" s="404"/>
      <c r="AL57" s="404"/>
      <c r="AM57" s="404"/>
      <c r="AN57" s="404"/>
      <c r="AO57" s="404"/>
      <c r="AP57" s="404"/>
      <c r="AQ57" s="404"/>
      <c r="AR57" s="404"/>
      <c r="AS57" s="404"/>
      <c r="AT57" s="404"/>
      <c r="AU57" s="404"/>
      <c r="AV57" s="404"/>
      <c r="AW57" s="404"/>
      <c r="AX57" s="404"/>
      <c r="AY57" s="404"/>
      <c r="AZ57" s="404"/>
      <c r="BA57" s="404"/>
      <c r="BB57" s="404"/>
      <c r="BC57" s="404"/>
      <c r="BD57" s="404"/>
      <c r="BE57" s="404"/>
      <c r="BF57" s="404"/>
      <c r="BG57" s="404"/>
      <c r="BH57" s="404"/>
      <c r="BI57" s="410"/>
      <c r="BJ57" s="410"/>
      <c r="BK57" s="410"/>
      <c r="BL57" s="410"/>
    </row>
    <row r="58" spans="1:64" x14ac:dyDescent="0.2">
      <c r="A58" s="404">
        <f t="shared" si="1"/>
        <v>19</v>
      </c>
      <c r="B58" s="410" t="s">
        <v>232</v>
      </c>
      <c r="C58" s="410"/>
      <c r="D58" s="410"/>
      <c r="E58" s="410">
        <v>9</v>
      </c>
      <c r="F58" s="410"/>
      <c r="G58" s="410" t="str">
        <f>IF(E58=1,B$40,IF(E58=2,B$41,IF(E58=3,B$42,IF(E58=4,B$43,IF(E58=5,B$44,IF(E58=6,B$45,IF(E58=7,B$46,IF(E58=8,B$47,""))))))))</f>
        <v/>
      </c>
      <c r="H58" s="410" t="str">
        <f>IF(E58=17,B$56,IF(E58=18,B$57,IF(E58=19,B$58,IF(E58=20,B$59,IF(E58=21,B$60,IF(E58=22,B$61,IF(E58=23,B$62,"")))))))</f>
        <v/>
      </c>
      <c r="I58" s="410"/>
      <c r="J58" s="410"/>
      <c r="K58" s="410"/>
      <c r="L58" s="410"/>
      <c r="M58" s="410"/>
      <c r="N58" s="410"/>
      <c r="R58" s="410"/>
      <c r="S58" s="410"/>
      <c r="T58" s="410"/>
      <c r="U58" s="410"/>
      <c r="V58" s="410"/>
      <c r="W58" s="410"/>
      <c r="X58" s="410"/>
      <c r="Y58" s="410"/>
      <c r="Z58" s="410"/>
      <c r="AA58" s="407"/>
      <c r="AB58" s="410"/>
      <c r="AC58" s="410"/>
      <c r="AD58" s="410"/>
      <c r="AE58" s="410"/>
      <c r="AF58" s="410"/>
      <c r="AG58" s="410"/>
      <c r="AH58" s="410"/>
      <c r="AI58" s="410"/>
      <c r="AJ58" s="404"/>
      <c r="AK58" s="404"/>
      <c r="AL58" s="404"/>
      <c r="AM58" s="404"/>
      <c r="AN58" s="404"/>
      <c r="AO58" s="404"/>
      <c r="AP58" s="404"/>
      <c r="AQ58" s="404"/>
      <c r="AR58" s="404"/>
      <c r="AS58" s="404"/>
      <c r="AT58" s="404"/>
      <c r="AU58" s="404"/>
      <c r="AV58" s="404"/>
      <c r="AW58" s="404"/>
      <c r="AX58" s="404"/>
      <c r="AY58" s="404"/>
      <c r="AZ58" s="404"/>
      <c r="BA58" s="404"/>
      <c r="BB58" s="404"/>
      <c r="BC58" s="404"/>
      <c r="BD58" s="404"/>
      <c r="BE58" s="404"/>
      <c r="BF58" s="404"/>
      <c r="BG58" s="404"/>
      <c r="BH58" s="404"/>
      <c r="BI58" s="410"/>
      <c r="BJ58" s="410"/>
      <c r="BK58" s="410"/>
      <c r="BL58" s="410"/>
    </row>
    <row r="59" spans="1:64" x14ac:dyDescent="0.2">
      <c r="A59" s="404">
        <f t="shared" si="1"/>
        <v>20</v>
      </c>
      <c r="B59" s="410" t="s">
        <v>254</v>
      </c>
      <c r="C59" s="410"/>
      <c r="D59" s="410"/>
      <c r="E59" s="410"/>
      <c r="F59" s="410"/>
      <c r="G59" s="410" t="str">
        <f>IF(E58=9,B$48,IF(E58=10,B$49,IF(E58=11,B$50,IF(E58=12,B$51,IF(E58=13,B$52,IF(E58=14,B$53,IF(E58=15,B$54,IF(E58=16,B$55," "))))))))</f>
        <v>Салат из сол.огурцов с луком</v>
      </c>
      <c r="H59" s="410"/>
      <c r="I59" s="410"/>
      <c r="J59" s="410"/>
      <c r="K59" s="410"/>
      <c r="L59" s="410"/>
      <c r="M59" s="410"/>
      <c r="N59" s="410"/>
      <c r="R59" s="410"/>
      <c r="S59" s="410"/>
      <c r="T59" s="410"/>
      <c r="U59" s="410"/>
      <c r="V59" s="410"/>
      <c r="W59" s="410"/>
      <c r="X59" s="410"/>
      <c r="Y59" s="410"/>
      <c r="Z59" s="410"/>
      <c r="AA59" s="407"/>
      <c r="AB59" s="410"/>
      <c r="AC59" s="410"/>
      <c r="AD59" s="410"/>
      <c r="AE59" s="410"/>
      <c r="AF59" s="410"/>
      <c r="AG59" s="410"/>
      <c r="AH59" s="410"/>
      <c r="AI59" s="410"/>
      <c r="AJ59" s="404"/>
      <c r="AK59" s="404"/>
      <c r="AL59" s="404"/>
      <c r="AM59" s="404"/>
      <c r="AN59" s="404"/>
      <c r="AO59" s="404"/>
      <c r="AP59" s="404"/>
      <c r="AQ59" s="404"/>
      <c r="AR59" s="404"/>
      <c r="AS59" s="404"/>
      <c r="AT59" s="404"/>
      <c r="AU59" s="404"/>
      <c r="AV59" s="404"/>
      <c r="AW59" s="404"/>
      <c r="AX59" s="404"/>
      <c r="AY59" s="404"/>
      <c r="AZ59" s="404"/>
      <c r="BA59" s="404"/>
      <c r="BB59" s="404"/>
      <c r="BC59" s="404"/>
      <c r="BD59" s="404"/>
      <c r="BE59" s="404"/>
      <c r="BF59" s="404"/>
      <c r="BG59" s="404"/>
      <c r="BH59" s="404"/>
      <c r="BI59" s="410"/>
      <c r="BJ59" s="410"/>
      <c r="BK59" s="410"/>
      <c r="BL59" s="410"/>
    </row>
    <row r="60" spans="1:64" x14ac:dyDescent="0.2">
      <c r="A60" s="404">
        <f t="shared" si="1"/>
        <v>21</v>
      </c>
      <c r="B60" s="410" t="s">
        <v>380</v>
      </c>
      <c r="C60" s="410"/>
      <c r="D60" s="410"/>
      <c r="E60" s="410"/>
      <c r="F60" s="410"/>
      <c r="G60" s="843" t="str">
        <f>IF(E58&lt;8.1,G58,IF(E58&gt;16.1,H58,G59))</f>
        <v>Салат из сол.огурцов с луком</v>
      </c>
      <c r="H60" s="458"/>
      <c r="I60" s="410"/>
      <c r="J60" s="410"/>
      <c r="K60" s="410"/>
      <c r="L60" s="410"/>
      <c r="M60" s="410"/>
      <c r="N60" s="410"/>
      <c r="R60" s="410"/>
      <c r="S60" s="410"/>
      <c r="T60" s="410"/>
      <c r="U60" s="410"/>
      <c r="V60" s="410"/>
      <c r="W60" s="410"/>
      <c r="X60" s="410"/>
      <c r="Y60" s="410"/>
      <c r="Z60" s="410"/>
      <c r="AA60" s="407"/>
      <c r="AB60" s="410"/>
      <c r="AC60" s="410"/>
      <c r="AD60" s="410"/>
      <c r="AE60" s="410"/>
      <c r="AF60" s="410"/>
      <c r="AG60" s="410"/>
      <c r="AH60" s="410"/>
      <c r="AI60" s="410"/>
      <c r="AJ60" s="404"/>
      <c r="AK60" s="404"/>
      <c r="AL60" s="404"/>
      <c r="AM60" s="404"/>
      <c r="AN60" s="404"/>
      <c r="AO60" s="404"/>
      <c r="AP60" s="404"/>
      <c r="AQ60" s="404"/>
      <c r="AR60" s="404"/>
      <c r="AS60" s="404"/>
      <c r="AT60" s="404"/>
      <c r="AU60" s="404"/>
      <c r="AV60" s="404"/>
      <c r="AW60" s="404"/>
      <c r="AX60" s="404"/>
      <c r="AY60" s="404"/>
      <c r="AZ60" s="404"/>
      <c r="BA60" s="404"/>
      <c r="BB60" s="404"/>
      <c r="BC60" s="404"/>
      <c r="BD60" s="404"/>
      <c r="BE60" s="404"/>
      <c r="BF60" s="404"/>
      <c r="BG60" s="404"/>
      <c r="BH60" s="404"/>
      <c r="BI60" s="410"/>
      <c r="BJ60" s="410"/>
      <c r="BK60" s="410"/>
      <c r="BL60" s="410"/>
    </row>
    <row r="61" spans="1:64" x14ac:dyDescent="0.2">
      <c r="A61" s="410"/>
      <c r="B61" s="410"/>
      <c r="C61" s="410"/>
      <c r="D61" s="410"/>
      <c r="E61" s="410"/>
      <c r="F61" s="410"/>
      <c r="G61" s="410"/>
      <c r="H61" s="410"/>
      <c r="I61" s="410"/>
      <c r="J61" s="410"/>
      <c r="K61" s="410"/>
      <c r="L61" s="410"/>
      <c r="M61" s="410"/>
      <c r="N61" s="410"/>
      <c r="R61" s="410"/>
      <c r="S61" s="410"/>
      <c r="T61" s="410"/>
      <c r="U61" s="410"/>
      <c r="V61" s="410" t="s">
        <v>197</v>
      </c>
      <c r="W61" s="410"/>
      <c r="X61" s="410"/>
      <c r="Y61" s="410"/>
      <c r="Z61" s="410"/>
      <c r="AA61" s="407"/>
      <c r="AB61" s="410"/>
      <c r="AC61" s="410"/>
      <c r="AD61" s="410"/>
      <c r="AE61" s="410"/>
      <c r="AF61" s="410"/>
      <c r="AG61" s="410"/>
      <c r="AH61" s="410"/>
      <c r="AI61" s="410"/>
      <c r="AJ61" s="404"/>
      <c r="AK61" s="404"/>
      <c r="AL61" s="404"/>
      <c r="AM61" s="404"/>
      <c r="AN61" s="404"/>
      <c r="AO61" s="404"/>
      <c r="AP61" s="404"/>
      <c r="AQ61" s="404"/>
      <c r="AR61" s="404"/>
      <c r="AS61" s="404"/>
      <c r="AT61" s="404"/>
      <c r="AU61" s="404"/>
      <c r="AV61" s="404"/>
      <c r="AW61" s="404"/>
      <c r="AX61" s="404"/>
      <c r="AY61" s="404"/>
      <c r="AZ61" s="404"/>
      <c r="BA61" s="404"/>
      <c r="BB61" s="404"/>
      <c r="BC61" s="404"/>
      <c r="BD61" s="404"/>
      <c r="BE61" s="404"/>
      <c r="BF61" s="404"/>
      <c r="BG61" s="404"/>
      <c r="BH61" s="404"/>
      <c r="BI61" s="410"/>
      <c r="BJ61" s="410"/>
      <c r="BK61" s="410"/>
      <c r="BL61" s="410"/>
    </row>
    <row r="62" spans="1:64" x14ac:dyDescent="0.2">
      <c r="A62" s="410"/>
      <c r="B62" s="410"/>
      <c r="C62" s="410"/>
      <c r="D62" s="410"/>
      <c r="E62" s="410"/>
      <c r="F62" s="410"/>
      <c r="G62" s="410"/>
      <c r="H62" s="410"/>
      <c r="I62" s="410"/>
      <c r="J62" s="410"/>
      <c r="K62" s="410"/>
      <c r="L62" s="410"/>
      <c r="M62" s="410"/>
      <c r="N62" s="410"/>
      <c r="R62" s="410"/>
      <c r="S62" s="410"/>
      <c r="T62" s="410"/>
      <c r="U62" s="410"/>
      <c r="V62" s="410" t="s">
        <v>197</v>
      </c>
      <c r="W62" s="410"/>
      <c r="X62" s="410"/>
      <c r="Y62" s="410"/>
      <c r="Z62" s="410"/>
      <c r="AA62" s="407"/>
      <c r="AB62" s="410"/>
      <c r="AC62" s="410"/>
      <c r="AD62" s="410"/>
      <c r="AE62" s="410"/>
      <c r="AF62" s="410"/>
      <c r="AG62" s="410"/>
      <c r="AH62" s="410"/>
      <c r="AI62" s="410"/>
      <c r="AJ62" s="404"/>
      <c r="AK62" s="404"/>
      <c r="AL62" s="404"/>
      <c r="AM62" s="404"/>
      <c r="AN62" s="404"/>
      <c r="AO62" s="404"/>
      <c r="AP62" s="404"/>
      <c r="AQ62" s="404"/>
      <c r="AR62" s="404"/>
      <c r="AS62" s="404"/>
      <c r="AT62" s="404"/>
      <c r="AU62" s="404"/>
      <c r="AV62" s="404"/>
      <c r="AW62" s="404"/>
      <c r="AX62" s="404"/>
      <c r="AY62" s="404"/>
      <c r="AZ62" s="404"/>
      <c r="BA62" s="404"/>
      <c r="BB62" s="404"/>
      <c r="BC62" s="404"/>
      <c r="BD62" s="404"/>
      <c r="BE62" s="404"/>
      <c r="BF62" s="404"/>
      <c r="BG62" s="404"/>
      <c r="BH62" s="404"/>
      <c r="BI62" s="410"/>
      <c r="BJ62" s="410"/>
      <c r="BK62" s="410"/>
      <c r="BL62" s="410"/>
    </row>
    <row r="63" spans="1:64" x14ac:dyDescent="0.2">
      <c r="A63" s="410"/>
      <c r="B63" s="410"/>
      <c r="C63" s="410"/>
      <c r="D63" s="410"/>
      <c r="E63" s="410"/>
      <c r="F63" s="410"/>
      <c r="G63" s="410"/>
      <c r="H63" s="410"/>
      <c r="I63" s="410"/>
      <c r="J63" s="410"/>
      <c r="K63" s="410"/>
      <c r="L63" s="410"/>
      <c r="M63" s="410"/>
      <c r="N63" s="410"/>
      <c r="R63" s="410"/>
      <c r="S63" s="410"/>
      <c r="T63" s="410"/>
      <c r="U63" s="410"/>
      <c r="V63" s="410"/>
      <c r="W63" s="410"/>
      <c r="X63" s="410"/>
      <c r="Y63" s="410"/>
      <c r="Z63" s="410"/>
      <c r="AA63" s="407"/>
      <c r="AB63" s="410"/>
      <c r="AC63" s="410"/>
      <c r="AD63" s="410"/>
      <c r="AE63" s="410"/>
      <c r="AF63" s="410"/>
      <c r="AG63" s="410">
        <f>'Раскладка продуктов'!AG63</f>
        <v>60</v>
      </c>
      <c r="AH63" s="410"/>
      <c r="AI63" s="410"/>
      <c r="AJ63" s="404"/>
      <c r="AK63" s="404"/>
      <c r="AL63" s="404"/>
      <c r="AM63" s="404"/>
      <c r="AN63" s="404"/>
      <c r="AO63" s="404"/>
      <c r="AP63" s="404"/>
      <c r="AQ63" s="404"/>
      <c r="AR63" s="404"/>
      <c r="AS63" s="404"/>
      <c r="AT63" s="404"/>
      <c r="AU63" s="404"/>
      <c r="AV63" s="404"/>
      <c r="AW63" s="404"/>
      <c r="AX63" s="404"/>
      <c r="AY63" s="404"/>
      <c r="AZ63" s="404"/>
      <c r="BA63" s="404"/>
      <c r="BB63" s="404"/>
      <c r="BC63" s="404"/>
      <c r="BD63" s="404"/>
      <c r="BE63" s="404"/>
      <c r="BF63" s="404"/>
      <c r="BG63" s="404"/>
      <c r="BH63" s="404"/>
      <c r="BI63" s="410"/>
      <c r="BJ63" s="410"/>
      <c r="BK63" s="410"/>
      <c r="BL63" s="410"/>
    </row>
    <row r="64" spans="1:64" x14ac:dyDescent="0.2">
      <c r="A64" s="410"/>
      <c r="B64" s="410"/>
      <c r="C64" s="410"/>
      <c r="D64" s="410"/>
      <c r="E64" s="410"/>
      <c r="F64" s="410"/>
      <c r="G64" s="410"/>
      <c r="H64" s="410"/>
      <c r="I64" s="410"/>
      <c r="J64" s="410"/>
      <c r="K64" s="410"/>
      <c r="L64" s="410"/>
      <c r="M64" s="410"/>
      <c r="N64" s="410"/>
      <c r="R64" s="410"/>
      <c r="S64" s="410"/>
      <c r="T64" s="410"/>
      <c r="U64" s="407" t="s">
        <v>593</v>
      </c>
      <c r="V64" s="407" t="str">
        <f>CONCATENATE(" хлеб, масло, сахар, чай ",R109)</f>
        <v xml:space="preserve"> хлеб, масло, сахар, чай , булочка</v>
      </c>
      <c r="W64" s="410"/>
      <c r="X64" s="410"/>
      <c r="Y64" s="410"/>
      <c r="Z64" s="410"/>
      <c r="AA64" s="407"/>
      <c r="AB64" s="410"/>
      <c r="AC64" s="410"/>
      <c r="AD64" s="410"/>
      <c r="AE64" s="410"/>
      <c r="AF64" s="410"/>
      <c r="AG64" s="410"/>
      <c r="AH64" s="410"/>
      <c r="AI64" s="410"/>
      <c r="AJ64" s="404"/>
      <c r="AK64" s="404"/>
      <c r="AL64" s="404"/>
      <c r="AM64" s="404"/>
      <c r="AN64" s="404"/>
      <c r="AO64" s="404"/>
      <c r="AP64" s="404"/>
      <c r="AQ64" s="404"/>
      <c r="AR64" s="404"/>
      <c r="AS64" s="404"/>
      <c r="AT64" s="404"/>
      <c r="AU64" s="404"/>
      <c r="AV64" s="404"/>
      <c r="AW64" s="404"/>
      <c r="AX64" s="404"/>
      <c r="AY64" s="404"/>
      <c r="AZ64" s="404"/>
      <c r="BA64" s="404"/>
      <c r="BB64" s="404"/>
      <c r="BC64" s="404"/>
      <c r="BD64" s="404"/>
      <c r="BE64" s="404"/>
      <c r="BF64" s="404"/>
      <c r="BG64" s="404"/>
      <c r="BH64" s="404"/>
      <c r="BI64" s="410"/>
      <c r="BJ64" s="410"/>
      <c r="BK64" s="410"/>
      <c r="BL64" s="410"/>
    </row>
    <row r="65" spans="1:64" x14ac:dyDescent="0.2">
      <c r="A65" s="410"/>
      <c r="B65" s="410"/>
      <c r="C65" s="410"/>
      <c r="D65" s="410"/>
      <c r="E65" s="410"/>
      <c r="F65" s="410"/>
      <c r="G65" s="410"/>
      <c r="H65" s="410"/>
      <c r="I65" s="410"/>
      <c r="J65" s="410"/>
      <c r="K65" s="410"/>
      <c r="L65" s="410"/>
      <c r="M65" s="410"/>
      <c r="N65" s="410"/>
      <c r="R65" s="410"/>
      <c r="S65" s="410"/>
      <c r="T65" s="410"/>
      <c r="U65" s="407" t="s">
        <v>594</v>
      </c>
      <c r="V65" s="407" t="str">
        <f>CONCATENATE(" хлеб, масло, сахар, чай, яйцо",R109)</f>
        <v xml:space="preserve"> хлеб, масло, сахар, чай, яйцо, булочка</v>
      </c>
      <c r="W65" s="410"/>
      <c r="X65" s="410"/>
      <c r="Y65" s="410"/>
      <c r="Z65" s="410"/>
      <c r="AA65" s="410"/>
      <c r="AB65" s="410"/>
      <c r="AC65" s="410"/>
      <c r="AD65" s="410"/>
      <c r="AE65" s="410"/>
      <c r="AF65" s="410"/>
      <c r="AG65" s="410"/>
      <c r="AH65" s="410"/>
      <c r="AI65" s="410"/>
      <c r="AJ65" s="404"/>
      <c r="AK65" s="404"/>
      <c r="AL65" s="404"/>
      <c r="AM65" s="404"/>
      <c r="AN65" s="404"/>
      <c r="AO65" s="404"/>
      <c r="AP65" s="404"/>
      <c r="AQ65" s="404"/>
      <c r="AR65" s="404"/>
      <c r="AS65" s="404"/>
      <c r="AT65" s="404"/>
      <c r="AU65" s="404"/>
      <c r="AV65" s="404"/>
      <c r="AW65" s="404"/>
      <c r="AX65" s="404"/>
      <c r="AY65" s="404"/>
      <c r="AZ65" s="404"/>
      <c r="BA65" s="404"/>
      <c r="BB65" s="404"/>
      <c r="BC65" s="404"/>
      <c r="BD65" s="404"/>
      <c r="BE65" s="404"/>
      <c r="BF65" s="404"/>
      <c r="BG65" s="404"/>
      <c r="BH65" s="404"/>
      <c r="BI65" s="410"/>
      <c r="BJ65" s="410"/>
      <c r="BK65" s="410"/>
      <c r="BL65" s="410"/>
    </row>
    <row r="66" spans="1:64" x14ac:dyDescent="0.2">
      <c r="A66" s="410"/>
      <c r="B66" s="410"/>
      <c r="C66" s="410"/>
      <c r="D66" s="410"/>
      <c r="E66" s="410"/>
      <c r="F66" s="410"/>
      <c r="G66" s="410"/>
      <c r="H66" s="410"/>
      <c r="I66" s="410"/>
      <c r="J66" s="410"/>
      <c r="K66" s="410"/>
      <c r="L66" s="410"/>
      <c r="M66" s="410"/>
      <c r="N66" s="410"/>
      <c r="R66" s="410"/>
      <c r="S66" s="410"/>
      <c r="T66" s="410"/>
      <c r="U66" s="407" t="s">
        <v>595</v>
      </c>
      <c r="V66" s="407" t="str">
        <f>CONCATENATE(" хлеб, масло, сахар, чай, омлет",R109)</f>
        <v xml:space="preserve"> хлеб, масло, сахар, чай, омлет, булочка</v>
      </c>
      <c r="W66" s="410"/>
      <c r="X66" s="410"/>
      <c r="Y66" s="410"/>
      <c r="Z66" s="410"/>
      <c r="AA66" s="407"/>
      <c r="AB66" s="410"/>
      <c r="AC66" s="410"/>
      <c r="AD66" s="410"/>
      <c r="AE66" s="410"/>
      <c r="AF66" s="410"/>
      <c r="AG66" s="410"/>
      <c r="AH66" s="410"/>
      <c r="AI66" s="459"/>
      <c r="AJ66" s="410"/>
      <c r="AK66" s="410"/>
      <c r="AL66" s="410"/>
      <c r="AM66" s="410"/>
      <c r="AN66" s="410"/>
      <c r="AO66" s="410"/>
      <c r="AP66" s="410"/>
      <c r="AQ66" s="410"/>
      <c r="AR66" s="410"/>
      <c r="AS66" s="410"/>
      <c r="AT66" s="410"/>
      <c r="AU66" s="410"/>
      <c r="AV66" s="410"/>
      <c r="AW66" s="410"/>
      <c r="AX66" s="410"/>
      <c r="AY66" s="410"/>
      <c r="AZ66" s="410"/>
      <c r="BA66" s="410"/>
      <c r="BB66" s="410"/>
      <c r="BC66" s="410"/>
      <c r="BD66" s="410"/>
      <c r="BE66" s="410"/>
      <c r="BF66" s="410"/>
      <c r="BG66" s="410"/>
      <c r="BH66" s="410"/>
      <c r="BI66" s="410"/>
      <c r="BJ66" s="410"/>
      <c r="BK66" s="410"/>
      <c r="BL66" s="410"/>
    </row>
    <row r="67" spans="1:64" ht="12.75" thickBot="1" x14ac:dyDescent="0.25">
      <c r="A67" s="410"/>
      <c r="B67" s="410"/>
      <c r="C67" s="410"/>
      <c r="D67" s="410"/>
      <c r="E67" s="410"/>
      <c r="F67" s="410"/>
      <c r="G67" s="410"/>
      <c r="H67" s="410"/>
      <c r="I67" s="410"/>
      <c r="J67" s="410"/>
      <c r="K67" s="410"/>
      <c r="L67" s="410">
        <f>SUM(L68:L123)</f>
        <v>2.5</v>
      </c>
      <c r="M67" s="410"/>
      <c r="N67" s="410"/>
      <c r="R67" s="410"/>
      <c r="S67" s="410"/>
      <c r="T67" s="410"/>
      <c r="U67" s="407" t="s">
        <v>596</v>
      </c>
      <c r="V67" s="410" t="str">
        <f>CONCATENATE(" хлеб, масло, сахар, чай, молоко",R109)</f>
        <v xml:space="preserve"> хлеб, масло, сахар, чай, молоко, булочка</v>
      </c>
      <c r="W67" s="410"/>
      <c r="X67" s="410"/>
      <c r="Y67" s="410"/>
      <c r="Z67" s="410"/>
      <c r="AA67" s="407"/>
      <c r="AB67" s="410"/>
      <c r="AC67" s="410"/>
      <c r="AD67" s="410"/>
      <c r="AE67" s="410"/>
      <c r="AF67" s="410"/>
      <c r="AG67" s="410"/>
      <c r="AH67" s="410"/>
      <c r="AI67" s="410"/>
      <c r="AJ67" s="410">
        <v>1</v>
      </c>
      <c r="AK67" s="410">
        <v>2</v>
      </c>
      <c r="AL67" s="410">
        <v>3</v>
      </c>
      <c r="AM67" s="410">
        <v>4</v>
      </c>
      <c r="AN67" s="410">
        <v>5</v>
      </c>
      <c r="AO67" s="410">
        <v>6</v>
      </c>
      <c r="AP67" s="410">
        <v>7</v>
      </c>
      <c r="AQ67" s="410">
        <v>8</v>
      </c>
      <c r="AR67" s="410">
        <v>9</v>
      </c>
      <c r="AS67" s="410">
        <v>10</v>
      </c>
      <c r="AT67" s="410">
        <v>11</v>
      </c>
      <c r="AU67" s="410">
        <v>12</v>
      </c>
      <c r="AV67" s="410">
        <v>13</v>
      </c>
      <c r="AW67" s="410">
        <v>14</v>
      </c>
      <c r="AX67" s="410">
        <v>15</v>
      </c>
      <c r="AY67" s="410">
        <v>16</v>
      </c>
      <c r="AZ67" s="410">
        <v>17</v>
      </c>
      <c r="BA67" s="410">
        <v>18</v>
      </c>
      <c r="BB67" s="410">
        <v>19</v>
      </c>
      <c r="BC67" s="410">
        <v>20</v>
      </c>
      <c r="BD67" s="410">
        <v>21</v>
      </c>
      <c r="BE67" s="410">
        <v>22</v>
      </c>
      <c r="BF67" s="410">
        <v>23</v>
      </c>
      <c r="BG67" s="410">
        <v>24</v>
      </c>
      <c r="BH67" s="410">
        <v>25</v>
      </c>
      <c r="BI67" s="410"/>
      <c r="BJ67" s="410"/>
      <c r="BK67" s="410"/>
      <c r="BL67" s="410"/>
    </row>
    <row r="68" spans="1:64" x14ac:dyDescent="0.2">
      <c r="A68" s="845">
        <v>1</v>
      </c>
      <c r="B68" s="846" t="s">
        <v>74</v>
      </c>
      <c r="C68" s="846"/>
      <c r="D68" s="846"/>
      <c r="E68" s="847">
        <v>21</v>
      </c>
      <c r="F68" s="846"/>
      <c r="G68" s="848"/>
      <c r="H68" s="410"/>
      <c r="I68" s="1256" t="s">
        <v>56</v>
      </c>
      <c r="J68" s="410"/>
      <c r="K68" s="410"/>
      <c r="L68" s="410">
        <f>IF(AND(E68&gt;=21,E68&lt;=23),0.5,0)</f>
        <v>0.5</v>
      </c>
      <c r="M68" s="410"/>
      <c r="N68" s="410"/>
      <c r="R68" s="410"/>
      <c r="S68" s="410"/>
      <c r="T68" s="410"/>
      <c r="U68" s="407" t="s">
        <v>597</v>
      </c>
      <c r="V68" s="407"/>
      <c r="W68" s="410"/>
      <c r="X68" s="410"/>
      <c r="Y68" s="410"/>
      <c r="Z68" s="410"/>
      <c r="AA68" s="407"/>
      <c r="AB68" s="410"/>
      <c r="AC68" s="410"/>
      <c r="AD68" s="410"/>
      <c r="AE68" s="410"/>
      <c r="AF68" s="410"/>
      <c r="AG68" s="410"/>
      <c r="AH68" s="410"/>
      <c r="AI68" s="410">
        <v>1</v>
      </c>
      <c r="AJ68" s="404">
        <f>IF(E68=1,1,0)</f>
        <v>0</v>
      </c>
      <c r="AK68" s="404">
        <f>IF(E68=2,1,0)</f>
        <v>0</v>
      </c>
      <c r="AL68" s="404">
        <f>IF(E68=3,1,0)</f>
        <v>0</v>
      </c>
      <c r="AM68" s="404">
        <f>IF(E68=4,1,0)</f>
        <v>0</v>
      </c>
      <c r="AN68" s="404">
        <f>IF(E68=5,1,0)</f>
        <v>0</v>
      </c>
      <c r="AO68" s="404">
        <f>IF(E68=6,1,0)</f>
        <v>0</v>
      </c>
      <c r="AP68" s="404">
        <f>IF(E68=7,1,0)</f>
        <v>0</v>
      </c>
      <c r="AQ68" s="404">
        <f>IF(E68=8,1,0)</f>
        <v>0</v>
      </c>
      <c r="AR68" s="404">
        <f>IF(E68=9,1,0)</f>
        <v>0</v>
      </c>
      <c r="AS68" s="404">
        <f>IF(E68=10,1,0)</f>
        <v>0</v>
      </c>
      <c r="AT68" s="404">
        <f>IF(E68=11,1,0)</f>
        <v>0</v>
      </c>
      <c r="AU68" s="404">
        <f>IF(E68=12,1,0)</f>
        <v>0</v>
      </c>
      <c r="AV68" s="404">
        <f>IF(E68=13,1,0)</f>
        <v>0</v>
      </c>
      <c r="AW68" s="404">
        <f>IF(E68=14,1,0)</f>
        <v>0</v>
      </c>
      <c r="AX68" s="404">
        <f>IF(E68=15,1,0)</f>
        <v>0</v>
      </c>
      <c r="AY68" s="404">
        <f>IF(E68=16,1,0)</f>
        <v>0</v>
      </c>
      <c r="AZ68" s="404">
        <f>IF(E68=17,1,0)</f>
        <v>0</v>
      </c>
      <c r="BA68" s="404">
        <f>IF(E68=18,1,0)</f>
        <v>0</v>
      </c>
      <c r="BB68" s="404">
        <f>IF(E68=19,1,0)</f>
        <v>0</v>
      </c>
      <c r="BC68" s="404">
        <f>IF(E68=20,1,0)</f>
        <v>0</v>
      </c>
      <c r="BD68" s="404">
        <f>IF(E68=21,1,0)</f>
        <v>1</v>
      </c>
      <c r="BE68" s="404">
        <f>IF(E68=22,1,0)</f>
        <v>0</v>
      </c>
      <c r="BF68" s="404">
        <f>IF(E68=23,1,0)</f>
        <v>0</v>
      </c>
      <c r="BG68" s="404">
        <f>IF(E68=24,1,0)</f>
        <v>0</v>
      </c>
      <c r="BH68" s="404">
        <f>IF(E68=25,1,0)</f>
        <v>0</v>
      </c>
      <c r="BI68" s="410"/>
      <c r="BJ68" s="410"/>
      <c r="BK68" s="410"/>
      <c r="BL68" s="410"/>
    </row>
    <row r="69" spans="1:64" x14ac:dyDescent="0.2">
      <c r="A69" s="849">
        <f>A68+1</f>
        <v>2</v>
      </c>
      <c r="B69" s="410" t="s">
        <v>86</v>
      </c>
      <c r="C69" s="410"/>
      <c r="D69" s="410"/>
      <c r="E69" s="410"/>
      <c r="F69" s="410"/>
      <c r="G69" s="850"/>
      <c r="H69" s="410"/>
      <c r="I69" s="1256"/>
      <c r="J69" s="410"/>
      <c r="K69" s="410"/>
      <c r="L69" s="410"/>
      <c r="M69" s="410"/>
      <c r="N69" s="410"/>
      <c r="R69" s="410"/>
      <c r="S69" s="410"/>
      <c r="T69" s="410"/>
      <c r="U69" s="407" t="s">
        <v>598</v>
      </c>
      <c r="V69" s="407"/>
      <c r="W69" s="410"/>
      <c r="X69" s="410"/>
      <c r="Y69" s="410"/>
      <c r="Z69" s="410"/>
      <c r="AA69" s="407"/>
      <c r="AB69" s="410"/>
      <c r="AC69" s="410"/>
      <c r="AD69" s="410"/>
      <c r="AE69" s="410"/>
      <c r="AF69" s="410"/>
      <c r="AG69" s="410"/>
      <c r="AH69" s="410"/>
      <c r="AI69" s="410">
        <v>2</v>
      </c>
      <c r="AJ69" s="404">
        <f>IF(E72=1,1,0)</f>
        <v>0</v>
      </c>
      <c r="AK69" s="404">
        <f>IF(E72=2,1,0)</f>
        <v>0</v>
      </c>
      <c r="AL69" s="404">
        <f>IF(E72=3,1,0)</f>
        <v>0</v>
      </c>
      <c r="AM69" s="404">
        <f>IF(E72=4,1,0)</f>
        <v>0</v>
      </c>
      <c r="AN69" s="404">
        <f>IF(E72=5,1,0)</f>
        <v>0</v>
      </c>
      <c r="AO69" s="404">
        <f>IF(E72=6,1,0)</f>
        <v>0</v>
      </c>
      <c r="AP69" s="404">
        <f>IF(E72=7,1,0)</f>
        <v>0</v>
      </c>
      <c r="AQ69" s="404">
        <f>IF(E72=8,1,0)</f>
        <v>0</v>
      </c>
      <c r="AR69" s="404">
        <f>IF(E72=9,1,0)</f>
        <v>0</v>
      </c>
      <c r="AS69" s="404">
        <f>IF(E72=10,1,0)</f>
        <v>0</v>
      </c>
      <c r="AT69" s="404">
        <f>IF(E72=11,1,0)</f>
        <v>0</v>
      </c>
      <c r="AU69" s="404">
        <f>IF(E72=12,1,0)</f>
        <v>0</v>
      </c>
      <c r="AV69" s="404">
        <f>IF(E72=13,1,0)</f>
        <v>0</v>
      </c>
      <c r="AW69" s="404">
        <f>IF(E72=14,1,0)</f>
        <v>0</v>
      </c>
      <c r="AX69" s="404">
        <f>IF(E72=15,1,0)</f>
        <v>0</v>
      </c>
      <c r="AY69" s="404">
        <f>IF(E72=16,1,0)</f>
        <v>0</v>
      </c>
      <c r="AZ69" s="404">
        <f>IF(E72=17,1,0)</f>
        <v>0</v>
      </c>
      <c r="BA69" s="404">
        <f>IF(E72=18,1,0)</f>
        <v>0</v>
      </c>
      <c r="BB69" s="404">
        <f>IF(E72=19,1,0)</f>
        <v>0</v>
      </c>
      <c r="BC69" s="404">
        <f>IF(E72=20,1,0)</f>
        <v>0</v>
      </c>
      <c r="BD69" s="404">
        <f>IF(E72=21,1,0)</f>
        <v>0</v>
      </c>
      <c r="BE69" s="404">
        <f>IF(E72=22,1,0)</f>
        <v>1</v>
      </c>
      <c r="BF69" s="404">
        <f>IF(E72=23,1,0)</f>
        <v>0</v>
      </c>
      <c r="BG69" s="404">
        <f>IF(E72=24,1,0)</f>
        <v>0</v>
      </c>
      <c r="BH69" s="404">
        <f>IF(E72=25,1,0)</f>
        <v>0</v>
      </c>
      <c r="BI69" s="410"/>
      <c r="BJ69" s="410"/>
      <c r="BK69" s="410"/>
      <c r="BL69" s="410"/>
    </row>
    <row r="70" spans="1:64" x14ac:dyDescent="0.2">
      <c r="A70" s="849">
        <f t="shared" ref="A70:A101" si="3">A69+1</f>
        <v>3</v>
      </c>
      <c r="B70" s="410" t="s">
        <v>85</v>
      </c>
      <c r="C70" s="410"/>
      <c r="D70" s="410"/>
      <c r="E70" s="410"/>
      <c r="F70" s="410"/>
      <c r="G70" s="850"/>
      <c r="H70" s="410"/>
      <c r="I70" s="1256"/>
      <c r="J70" s="410"/>
      <c r="K70" s="410"/>
      <c r="L70" s="410"/>
      <c r="M70" s="410"/>
      <c r="N70" s="410"/>
      <c r="R70" s="410"/>
      <c r="S70" s="410"/>
      <c r="T70" s="410"/>
      <c r="U70" s="407" t="s">
        <v>599</v>
      </c>
      <c r="V70" s="407"/>
      <c r="W70" s="410"/>
      <c r="X70" s="410"/>
      <c r="Y70" s="410"/>
      <c r="Z70" s="410"/>
      <c r="AA70" s="407"/>
      <c r="AB70" s="410"/>
      <c r="AC70" s="410"/>
      <c r="AD70" s="410"/>
      <c r="AE70" s="410"/>
      <c r="AF70" s="410"/>
      <c r="AG70" s="410"/>
      <c r="AH70" s="410"/>
      <c r="AI70" s="410">
        <v>3</v>
      </c>
      <c r="AJ70" s="404">
        <f>IF(E76=1,1,0)</f>
        <v>0</v>
      </c>
      <c r="AK70" s="404">
        <f>IF(E76=2,1,0)</f>
        <v>0</v>
      </c>
      <c r="AL70" s="404">
        <f>IF(E76=3,1,0)</f>
        <v>0</v>
      </c>
      <c r="AM70" s="404">
        <f>IF(E76=4,1,0)</f>
        <v>0</v>
      </c>
      <c r="AN70" s="404">
        <f>IF(E76=5,1,0)</f>
        <v>0</v>
      </c>
      <c r="AO70" s="404">
        <f>IF(E76=6,1,0)</f>
        <v>0</v>
      </c>
      <c r="AP70" s="404">
        <f>IF(E76=7,1,0)</f>
        <v>0</v>
      </c>
      <c r="AQ70" s="404">
        <f>IF(E76=8,1,0)</f>
        <v>0</v>
      </c>
      <c r="AR70" s="404">
        <f>IF(E76=9,1,0)</f>
        <v>0</v>
      </c>
      <c r="AS70" s="404">
        <f>IF(E76=10,1,0)</f>
        <v>0</v>
      </c>
      <c r="AT70" s="404">
        <f>IF(E76=11,1,0)</f>
        <v>0</v>
      </c>
      <c r="AU70" s="404">
        <f>IF(E76=12,1,0)</f>
        <v>0</v>
      </c>
      <c r="AV70" s="404">
        <f>IF(E76=13,1,0)</f>
        <v>0</v>
      </c>
      <c r="AW70" s="404">
        <f>IF(E76=14,1,0)</f>
        <v>0</v>
      </c>
      <c r="AX70" s="404">
        <f>IF(E76=15,1,0)</f>
        <v>0</v>
      </c>
      <c r="AY70" s="404">
        <f>IF(E76=16,1,0)</f>
        <v>0</v>
      </c>
      <c r="AZ70" s="404">
        <f>IF(E76=17,1,0)</f>
        <v>0</v>
      </c>
      <c r="BA70" s="404">
        <f>IF(E76=18,1,0)</f>
        <v>0</v>
      </c>
      <c r="BB70" s="404">
        <f>IF(E76=19,1,0)</f>
        <v>0</v>
      </c>
      <c r="BC70" s="404">
        <f>IF(E76=20,1,0)</f>
        <v>0</v>
      </c>
      <c r="BD70" s="404">
        <f>IF(E76=21,1,0)</f>
        <v>1</v>
      </c>
      <c r="BE70" s="404">
        <f>IF(E76=22,1,0)</f>
        <v>0</v>
      </c>
      <c r="BF70" s="404">
        <f>IF(E76=23,1,0)</f>
        <v>0</v>
      </c>
      <c r="BG70" s="404">
        <f>IF(E76=24,1,0)</f>
        <v>0</v>
      </c>
      <c r="BH70" s="404">
        <f>IF(E76=25,1,0)</f>
        <v>0</v>
      </c>
      <c r="BI70" s="410"/>
      <c r="BJ70" s="410"/>
      <c r="BK70" s="410"/>
      <c r="BL70" s="410"/>
    </row>
    <row r="71" spans="1:64" x14ac:dyDescent="0.2">
      <c r="A71" s="849">
        <f t="shared" si="3"/>
        <v>4</v>
      </c>
      <c r="B71" s="410" t="s">
        <v>84</v>
      </c>
      <c r="C71" s="410"/>
      <c r="D71" s="410"/>
      <c r="E71" s="410"/>
      <c r="F71" s="410"/>
      <c r="G71" s="851" t="s">
        <v>90</v>
      </c>
      <c r="H71" s="458"/>
      <c r="I71" s="1256"/>
      <c r="J71" s="410"/>
      <c r="K71" s="410"/>
      <c r="L71" s="410"/>
      <c r="M71" s="410"/>
      <c r="N71" s="410"/>
      <c r="R71" s="410"/>
      <c r="S71" s="410"/>
      <c r="T71" s="410"/>
      <c r="U71" s="407" t="s">
        <v>600</v>
      </c>
      <c r="V71" s="410"/>
      <c r="W71" s="410"/>
      <c r="X71" s="410"/>
      <c r="Y71" s="410"/>
      <c r="Z71" s="410"/>
      <c r="AA71" s="407"/>
      <c r="AB71" s="410"/>
      <c r="AC71" s="410"/>
      <c r="AD71" s="410"/>
      <c r="AE71" s="410"/>
      <c r="AF71" s="410"/>
      <c r="AG71" s="410"/>
      <c r="AH71" s="410"/>
      <c r="AI71" s="410">
        <v>4</v>
      </c>
      <c r="AJ71" s="404">
        <f>IF(E80=1,1,0)</f>
        <v>0</v>
      </c>
      <c r="AK71" s="404">
        <f>IF(E80=2,1,0)</f>
        <v>0</v>
      </c>
      <c r="AL71" s="404">
        <f>IF(E80=3,1,0)</f>
        <v>0</v>
      </c>
      <c r="AM71" s="404">
        <f>IF(E80=4,1,0)</f>
        <v>0</v>
      </c>
      <c r="AN71" s="404">
        <f>IF(E80=5,1,0)</f>
        <v>0</v>
      </c>
      <c r="AO71" s="404">
        <f>IF(E80=6,1,0)</f>
        <v>0</v>
      </c>
      <c r="AP71" s="404">
        <f>IF(E80=7,1,0)</f>
        <v>0</v>
      </c>
      <c r="AQ71" s="404">
        <f>IF(E80=8,1,0)</f>
        <v>0</v>
      </c>
      <c r="AR71" s="404">
        <f>IF(E80=9,1,0)</f>
        <v>0</v>
      </c>
      <c r="AS71" s="404">
        <f>IF(E80=10,1,0)</f>
        <v>0</v>
      </c>
      <c r="AT71" s="404">
        <f>IF(E80=11,1,0)</f>
        <v>0</v>
      </c>
      <c r="AU71" s="404">
        <f>IF(E80=12,1,0)</f>
        <v>0</v>
      </c>
      <c r="AV71" s="404">
        <f>IF(E80=13,1,0)</f>
        <v>0</v>
      </c>
      <c r="AW71" s="404">
        <f>IF(E80=14,1,0)</f>
        <v>0</v>
      </c>
      <c r="AX71" s="404">
        <f>IF(E80=15,1,0)</f>
        <v>0</v>
      </c>
      <c r="AY71" s="404">
        <f>IF(E80=16,1,0)</f>
        <v>0</v>
      </c>
      <c r="AZ71" s="404">
        <f>IF(E80=17,1,0)</f>
        <v>0</v>
      </c>
      <c r="BA71" s="404">
        <f>IF(E80=18,1,0)</f>
        <v>0</v>
      </c>
      <c r="BB71" s="404">
        <f>IF(E80=19,1,0)</f>
        <v>0</v>
      </c>
      <c r="BC71" s="404">
        <f>IF(E80=20,1,0)</f>
        <v>1</v>
      </c>
      <c r="BD71" s="404">
        <f>IF(E80=21,1,0)</f>
        <v>0</v>
      </c>
      <c r="BE71" s="404">
        <f>IF(E80=22,1,0)</f>
        <v>0</v>
      </c>
      <c r="BF71" s="404">
        <f>IF(E80=23,1,0)</f>
        <v>0</v>
      </c>
      <c r="BG71" s="404">
        <f>IF(E80=24,1,0)</f>
        <v>0</v>
      </c>
      <c r="BH71" s="404">
        <f>IF(E80=25,1,0)</f>
        <v>0</v>
      </c>
      <c r="BI71" s="410"/>
      <c r="BJ71" s="410"/>
      <c r="BK71" s="410"/>
      <c r="BL71" s="410"/>
    </row>
    <row r="72" spans="1:64" x14ac:dyDescent="0.2">
      <c r="A72" s="849">
        <f t="shared" si="3"/>
        <v>5</v>
      </c>
      <c r="B72" s="410" t="s">
        <v>75</v>
      </c>
      <c r="C72" s="410"/>
      <c r="D72" s="410"/>
      <c r="E72" s="435">
        <v>22</v>
      </c>
      <c r="F72" s="410"/>
      <c r="G72" s="850"/>
      <c r="H72" s="410"/>
      <c r="I72" s="1256"/>
      <c r="J72" s="410"/>
      <c r="K72" s="410"/>
      <c r="L72" s="410">
        <f>IF(AND(E72&gt;=21,E72&lt;=23),0.5,0)</f>
        <v>0.5</v>
      </c>
      <c r="M72" s="410"/>
      <c r="N72" s="410"/>
      <c r="R72" s="410"/>
      <c r="S72" s="410"/>
      <c r="T72" s="410"/>
      <c r="U72" s="410"/>
      <c r="V72" s="410"/>
      <c r="W72" s="410"/>
      <c r="X72" s="410"/>
      <c r="Y72" s="410"/>
      <c r="Z72" s="410"/>
      <c r="AA72" s="407"/>
      <c r="AB72" s="410"/>
      <c r="AC72" s="410"/>
      <c r="AD72" s="410"/>
      <c r="AE72" s="410"/>
      <c r="AF72" s="410"/>
      <c r="AG72" s="410"/>
      <c r="AH72" s="410"/>
      <c r="AI72" s="410">
        <v>5</v>
      </c>
      <c r="AJ72" s="404">
        <f>IF(E84=1,1,0)</f>
        <v>0</v>
      </c>
      <c r="AK72" s="404">
        <f>IF(E84=2,1,0)</f>
        <v>0</v>
      </c>
      <c r="AL72" s="404">
        <f>IF(E84=3,1,0)</f>
        <v>0</v>
      </c>
      <c r="AM72" s="404">
        <f>IF(E84=4,1,0)</f>
        <v>0</v>
      </c>
      <c r="AN72" s="404">
        <f>IF(E84=5,1,0)</f>
        <v>0</v>
      </c>
      <c r="AO72" s="404">
        <f>IF(E84=6,1,0)</f>
        <v>0</v>
      </c>
      <c r="AP72" s="404">
        <f>IF(E84=7,1,0)</f>
        <v>0</v>
      </c>
      <c r="AQ72" s="404">
        <f>IF(E84=8,1,0)</f>
        <v>0</v>
      </c>
      <c r="AR72" s="404">
        <f>IF(E84=9,1,0)</f>
        <v>0</v>
      </c>
      <c r="AS72" s="404">
        <f>IF(E84=10,1,0)</f>
        <v>0</v>
      </c>
      <c r="AT72" s="404">
        <f>IF(E84=11,1,0)</f>
        <v>0</v>
      </c>
      <c r="AU72" s="404">
        <f>IF(E84=12,1,0)</f>
        <v>0</v>
      </c>
      <c r="AV72" s="404">
        <f>IF(E84=13,1,0)</f>
        <v>0</v>
      </c>
      <c r="AW72" s="404">
        <f>IF(E84=14,1,0)</f>
        <v>0</v>
      </c>
      <c r="AX72" s="404">
        <f>IF(E84=15,1,0)</f>
        <v>0</v>
      </c>
      <c r="AY72" s="404">
        <f>IF(E84=16,1,0)</f>
        <v>0</v>
      </c>
      <c r="AZ72" s="404">
        <f>IF(E84=17,1,0)</f>
        <v>0</v>
      </c>
      <c r="BA72" s="404">
        <f>IF(E84=18,1,0)</f>
        <v>0</v>
      </c>
      <c r="BB72" s="404">
        <f>IF(E84=19,1,0)</f>
        <v>0</v>
      </c>
      <c r="BC72" s="404">
        <f>IF(E84=20,1,0)</f>
        <v>0</v>
      </c>
      <c r="BD72" s="404">
        <f>IF(E84=21,1,0)</f>
        <v>0</v>
      </c>
      <c r="BE72" s="404">
        <f>IF(E84=22,1,0)</f>
        <v>1</v>
      </c>
      <c r="BF72" s="404">
        <f>IF(E84=23,1,0)</f>
        <v>0</v>
      </c>
      <c r="BG72" s="404">
        <f>IF(E84=24,1,0)</f>
        <v>0</v>
      </c>
      <c r="BH72" s="404">
        <f>IF(E84=25,1,0)</f>
        <v>0</v>
      </c>
      <c r="BI72" s="410"/>
      <c r="BJ72" s="410"/>
      <c r="BK72" s="410"/>
      <c r="BL72" s="410"/>
    </row>
    <row r="73" spans="1:64" x14ac:dyDescent="0.2">
      <c r="A73" s="849">
        <f t="shared" si="3"/>
        <v>6</v>
      </c>
      <c r="B73" s="410" t="s">
        <v>76</v>
      </c>
      <c r="C73" s="410"/>
      <c r="D73" s="410"/>
      <c r="E73" s="410"/>
      <c r="F73" s="410"/>
      <c r="G73" s="850"/>
      <c r="H73" s="410"/>
      <c r="I73" s="1256"/>
      <c r="J73" s="410"/>
      <c r="K73" s="410"/>
      <c r="L73" s="410"/>
      <c r="M73" s="410"/>
      <c r="N73" s="410"/>
      <c r="R73" s="410"/>
      <c r="S73" s="410"/>
      <c r="T73" s="410"/>
      <c r="U73" s="410"/>
      <c r="V73" s="410"/>
      <c r="W73" s="410"/>
      <c r="X73" s="410"/>
      <c r="Y73" s="410"/>
      <c r="Z73" s="410"/>
      <c r="AA73" s="407"/>
      <c r="AB73" s="410"/>
      <c r="AC73" s="410"/>
      <c r="AD73" s="410"/>
      <c r="AE73" s="410"/>
      <c r="AF73" s="410"/>
      <c r="AG73" s="410"/>
      <c r="AH73" s="410"/>
      <c r="AI73" s="410">
        <v>6</v>
      </c>
      <c r="AJ73" s="404">
        <f>IF(E88=1,1,0)</f>
        <v>0</v>
      </c>
      <c r="AK73" s="404">
        <f>IF(E88=2,1,0)</f>
        <v>0</v>
      </c>
      <c r="AL73" s="404">
        <f>IF(E88=3,1,0)</f>
        <v>0</v>
      </c>
      <c r="AM73" s="404">
        <f>IF(E88=4,1,0)</f>
        <v>0</v>
      </c>
      <c r="AN73" s="404">
        <f>IF(E88=5,1,0)</f>
        <v>0</v>
      </c>
      <c r="AO73" s="404">
        <f>IF(E88=6,1,0)</f>
        <v>0</v>
      </c>
      <c r="AP73" s="404">
        <f>IF(E88=7,1,0)</f>
        <v>0</v>
      </c>
      <c r="AQ73" s="404">
        <f>IF(E88=8,1,0)</f>
        <v>0</v>
      </c>
      <c r="AR73" s="404">
        <f>IF(E88=9,1,0)</f>
        <v>0</v>
      </c>
      <c r="AS73" s="404">
        <f>IF(E88=10,1,0)</f>
        <v>0</v>
      </c>
      <c r="AT73" s="404">
        <f>IF(E88=11,1,0)</f>
        <v>0</v>
      </c>
      <c r="AU73" s="404">
        <f>IF(E88=12,1,0)</f>
        <v>0</v>
      </c>
      <c r="AV73" s="404">
        <f>IF(E88=13,1,0)</f>
        <v>0</v>
      </c>
      <c r="AW73" s="404">
        <f>IF(E88=14,1,0)</f>
        <v>0</v>
      </c>
      <c r="AX73" s="404">
        <f>IF(E88=15,1,0)</f>
        <v>0</v>
      </c>
      <c r="AY73" s="404">
        <f>IF(E88=16,1,0)</f>
        <v>0</v>
      </c>
      <c r="AZ73" s="404">
        <f>IF(E88=17,1,0)</f>
        <v>0</v>
      </c>
      <c r="BA73" s="404">
        <f>IF(E88=18,1,0)</f>
        <v>0</v>
      </c>
      <c r="BB73" s="404">
        <f>IF(E88=19,1,0)</f>
        <v>0</v>
      </c>
      <c r="BC73" s="404">
        <f>IF(E88=20,1,0)</f>
        <v>0</v>
      </c>
      <c r="BD73" s="404">
        <f>IF(E88=21,1,0)</f>
        <v>1</v>
      </c>
      <c r="BE73" s="404">
        <f>IF(E88=22,1,0)</f>
        <v>0</v>
      </c>
      <c r="BF73" s="404">
        <f>IF(E88=23,1,0)</f>
        <v>0</v>
      </c>
      <c r="BG73" s="404">
        <f>IF(E88=24,1,0)</f>
        <v>0</v>
      </c>
      <c r="BH73" s="404">
        <f>IF(E88=25,1,0)</f>
        <v>0</v>
      </c>
      <c r="BI73" s="410"/>
      <c r="BJ73" s="410"/>
      <c r="BK73" s="410"/>
      <c r="BL73" s="410"/>
    </row>
    <row r="74" spans="1:64" x14ac:dyDescent="0.2">
      <c r="A74" s="849">
        <f t="shared" si="3"/>
        <v>7</v>
      </c>
      <c r="B74" s="410" t="s">
        <v>77</v>
      </c>
      <c r="C74" s="410"/>
      <c r="D74" s="410"/>
      <c r="E74" s="410"/>
      <c r="F74" s="410"/>
      <c r="G74" s="850"/>
      <c r="H74" s="410"/>
      <c r="I74" s="1256"/>
      <c r="J74" s="410"/>
      <c r="K74" s="410"/>
      <c r="L74" s="410"/>
      <c r="M74" s="410"/>
      <c r="N74" s="410"/>
      <c r="R74" s="410"/>
      <c r="S74" s="410"/>
      <c r="T74" s="410"/>
      <c r="U74" s="410"/>
      <c r="V74" s="410"/>
      <c r="W74" s="1259" t="s">
        <v>101</v>
      </c>
      <c r="X74" s="1259"/>
      <c r="Y74" s="1259"/>
      <c r="Z74" s="410"/>
      <c r="AA74" s="407"/>
      <c r="AB74" s="410"/>
      <c r="AC74" s="410"/>
      <c r="AD74" s="410"/>
      <c r="AE74" s="410"/>
      <c r="AF74" s="410"/>
      <c r="AG74" s="410"/>
      <c r="AH74" s="410"/>
      <c r="AI74" s="410">
        <v>7</v>
      </c>
      <c r="AJ74" s="404">
        <f>IF(E92=1,1,0)</f>
        <v>0</v>
      </c>
      <c r="AK74" s="404">
        <f>IF(E92=2,1,0)</f>
        <v>0</v>
      </c>
      <c r="AL74" s="404">
        <f>IF(E92=3,1,0)</f>
        <v>0</v>
      </c>
      <c r="AM74" s="404">
        <f>IF(E92=4,1,0)</f>
        <v>0</v>
      </c>
      <c r="AN74" s="404">
        <f>IF(E92=5,1,0)</f>
        <v>0</v>
      </c>
      <c r="AO74" s="404">
        <f>IF(E92=6,1,0)</f>
        <v>0</v>
      </c>
      <c r="AP74" s="404">
        <f>IF(E92=7,1,0)</f>
        <v>0</v>
      </c>
      <c r="AQ74" s="404">
        <f>IF(E92=8,1,0)</f>
        <v>0</v>
      </c>
      <c r="AR74" s="404">
        <f>IF(E92=9,1,0)</f>
        <v>0</v>
      </c>
      <c r="AS74" s="404">
        <f>IF(E92=10,1,0)</f>
        <v>0</v>
      </c>
      <c r="AT74" s="404">
        <f>IF(E92=11,1,0)</f>
        <v>0</v>
      </c>
      <c r="AU74" s="404">
        <f>IF(E92=12,1,0)</f>
        <v>0</v>
      </c>
      <c r="AV74" s="404">
        <f>IF(E92=13,1,0)</f>
        <v>0</v>
      </c>
      <c r="AW74" s="404">
        <f>IF(E92=14,1,0)</f>
        <v>0</v>
      </c>
      <c r="AX74" s="404">
        <f>IF(E92=15,1,0)</f>
        <v>0</v>
      </c>
      <c r="AY74" s="404">
        <f>IF(E92=16,1,0)</f>
        <v>0</v>
      </c>
      <c r="AZ74" s="404">
        <f>IF(E92=17,1,0)</f>
        <v>0</v>
      </c>
      <c r="BA74" s="404">
        <f>IF(E92=18,1,0)</f>
        <v>0</v>
      </c>
      <c r="BB74" s="404">
        <f>IF(E92=19,1,0)</f>
        <v>1</v>
      </c>
      <c r="BC74" s="404">
        <f>IF(E92=20,1,0)</f>
        <v>0</v>
      </c>
      <c r="BD74" s="404">
        <f>IF(E92=21,1,0)</f>
        <v>0</v>
      </c>
      <c r="BE74" s="404">
        <f>IF(E92=22,1,0)</f>
        <v>0</v>
      </c>
      <c r="BF74" s="404">
        <f>IF(E92=23,1,0)</f>
        <v>0</v>
      </c>
      <c r="BG74" s="404">
        <f>IF(E92=24,1,0)</f>
        <v>0</v>
      </c>
      <c r="BH74" s="404">
        <f>IF(E92=25,1,0)</f>
        <v>0</v>
      </c>
      <c r="BI74" s="410"/>
      <c r="BJ74" s="410"/>
      <c r="BK74" s="410"/>
      <c r="BL74" s="410"/>
    </row>
    <row r="75" spans="1:64" x14ac:dyDescent="0.2">
      <c r="A75" s="849">
        <f t="shared" si="3"/>
        <v>8</v>
      </c>
      <c r="B75" s="410" t="s">
        <v>78</v>
      </c>
      <c r="C75" s="410"/>
      <c r="D75" s="410"/>
      <c r="E75" s="410"/>
      <c r="F75" s="410"/>
      <c r="G75" s="851" t="s">
        <v>91</v>
      </c>
      <c r="H75" s="458"/>
      <c r="I75" s="1256"/>
      <c r="J75" s="410"/>
      <c r="K75" s="410"/>
      <c r="L75" s="410"/>
      <c r="M75" s="410"/>
      <c r="N75" s="410"/>
      <c r="R75" s="410"/>
      <c r="S75" s="410"/>
      <c r="T75" s="410"/>
      <c r="U75" s="410"/>
      <c r="V75" s="410" t="s">
        <v>197</v>
      </c>
      <c r="W75" s="1259" t="s">
        <v>102</v>
      </c>
      <c r="X75" s="1259"/>
      <c r="Y75" s="1259"/>
      <c r="Z75" s="410"/>
      <c r="AA75" s="407"/>
      <c r="AB75" s="410"/>
      <c r="AC75" s="410"/>
      <c r="AD75" s="410"/>
      <c r="AE75" s="410"/>
      <c r="AF75" s="410"/>
      <c r="AG75" s="410"/>
      <c r="AH75" s="410"/>
      <c r="AI75" s="410">
        <v>1</v>
      </c>
      <c r="AJ75" s="404">
        <f>IF(E96=1,1,0)</f>
        <v>1</v>
      </c>
      <c r="AK75" s="404">
        <f>IF(E96=2,1,0)</f>
        <v>0</v>
      </c>
      <c r="AL75" s="404">
        <f>IF(E96=3,1,0)</f>
        <v>0</v>
      </c>
      <c r="AM75" s="404">
        <f>IF(E96=4,1,0)</f>
        <v>0</v>
      </c>
      <c r="AN75" s="404">
        <f>IF(E96=5,1,0)</f>
        <v>0</v>
      </c>
      <c r="AO75" s="404">
        <f>IF(E96=6,1,0)</f>
        <v>0</v>
      </c>
      <c r="AP75" s="404">
        <f>IF(E96=7,1,0)</f>
        <v>0</v>
      </c>
      <c r="AQ75" s="404">
        <f>IF(E96=8,1,0)</f>
        <v>0</v>
      </c>
      <c r="AR75" s="404">
        <f>IF(E96=9,1,0)</f>
        <v>0</v>
      </c>
      <c r="AS75" s="404">
        <f>IF(E96=10,1,0)</f>
        <v>0</v>
      </c>
      <c r="AT75" s="404">
        <f>IF(E96=11,1,0)</f>
        <v>0</v>
      </c>
      <c r="AU75" s="404">
        <f>IF(E96=12,1,0)</f>
        <v>0</v>
      </c>
      <c r="AV75" s="404">
        <f>IF(E96=13,1,0)</f>
        <v>0</v>
      </c>
      <c r="AW75" s="404">
        <f>IF(E96=14,1,0)</f>
        <v>0</v>
      </c>
      <c r="AX75" s="404">
        <f>IF(E96=15,1,0)</f>
        <v>0</v>
      </c>
      <c r="AY75" s="404">
        <f>IF(E96=16,1,0)</f>
        <v>0</v>
      </c>
      <c r="AZ75" s="404">
        <f>IF(E96=17,1,0)</f>
        <v>0</v>
      </c>
      <c r="BA75" s="404">
        <f>IF(E96=18,1,0)</f>
        <v>0</v>
      </c>
      <c r="BB75" s="404">
        <f>IF(E96=19,1,0)</f>
        <v>0</v>
      </c>
      <c r="BC75" s="404">
        <f>IF(E96=20,1,0)</f>
        <v>0</v>
      </c>
      <c r="BD75" s="404">
        <f>IF(E96=21,1,0)</f>
        <v>0</v>
      </c>
      <c r="BE75" s="404">
        <f>IF(E96=22,1,0)</f>
        <v>0</v>
      </c>
      <c r="BF75" s="404">
        <f>IF(E96=23,1,0)</f>
        <v>0</v>
      </c>
      <c r="BG75" s="404">
        <f>IF(E96=24,1,0)</f>
        <v>0</v>
      </c>
      <c r="BH75" s="404">
        <f>IF(E96=25,1,0)</f>
        <v>0</v>
      </c>
      <c r="BI75" s="410"/>
      <c r="BJ75" s="410"/>
      <c r="BK75" s="410"/>
      <c r="BL75" s="410"/>
    </row>
    <row r="76" spans="1:64" x14ac:dyDescent="0.2">
      <c r="A76" s="849">
        <f t="shared" si="3"/>
        <v>9</v>
      </c>
      <c r="B76" s="410" t="s">
        <v>79</v>
      </c>
      <c r="C76" s="410"/>
      <c r="D76" s="410"/>
      <c r="E76" s="435">
        <v>21</v>
      </c>
      <c r="F76" s="410"/>
      <c r="G76" s="850"/>
      <c r="H76" s="410"/>
      <c r="I76" s="1256" t="s">
        <v>42</v>
      </c>
      <c r="J76" s="410"/>
      <c r="K76" s="410"/>
      <c r="L76" s="410">
        <f>IF(AND(E76&gt;=21,E76&lt;=23),0.5,0)</f>
        <v>0.5</v>
      </c>
      <c r="M76" s="410"/>
      <c r="N76" s="410"/>
      <c r="R76" s="410"/>
      <c r="S76" s="410"/>
      <c r="T76" s="410"/>
      <c r="U76" s="410"/>
      <c r="V76" s="410" t="s">
        <v>197</v>
      </c>
      <c r="W76" s="1259" t="s">
        <v>103</v>
      </c>
      <c r="X76" s="1259"/>
      <c r="Y76" s="1259"/>
      <c r="Z76" s="410"/>
      <c r="AA76" s="407"/>
      <c r="AB76" s="410"/>
      <c r="AC76" s="410"/>
      <c r="AD76" s="410"/>
      <c r="AE76" s="410"/>
      <c r="AF76" s="410"/>
      <c r="AG76" s="410">
        <f>'Раскладка продуктов'!AG76</f>
        <v>60</v>
      </c>
      <c r="AH76" s="410"/>
      <c r="AI76" s="410">
        <v>2</v>
      </c>
      <c r="AJ76" s="404">
        <f>IF(E100=1,1,0)</f>
        <v>0</v>
      </c>
      <c r="AK76" s="404">
        <f>IF(E100=2,1,0)</f>
        <v>0</v>
      </c>
      <c r="AL76" s="404">
        <f>IF(E100=3,1,0)</f>
        <v>0</v>
      </c>
      <c r="AM76" s="404">
        <f>IF(E100=4,1,0)</f>
        <v>0</v>
      </c>
      <c r="AN76" s="404">
        <f>IF(E100=5,1,0)</f>
        <v>0</v>
      </c>
      <c r="AO76" s="404">
        <f>IF(E100=6,1,0)</f>
        <v>0</v>
      </c>
      <c r="AP76" s="404">
        <f>IF(E100=7,1,0)</f>
        <v>0</v>
      </c>
      <c r="AQ76" s="404">
        <f>IF(E100=8,1,0)</f>
        <v>0</v>
      </c>
      <c r="AR76" s="404">
        <f>IF(E100=9,1,0)</f>
        <v>0</v>
      </c>
      <c r="AS76" s="404">
        <f>IF(E100=10,1,0)</f>
        <v>0</v>
      </c>
      <c r="AT76" s="404">
        <f>IF(E100=11,1,0)</f>
        <v>0</v>
      </c>
      <c r="AU76" s="404">
        <f>IF(E100=12,1,0)</f>
        <v>0</v>
      </c>
      <c r="AV76" s="404">
        <f>IF(E100=13,1,0)</f>
        <v>0</v>
      </c>
      <c r="AW76" s="404">
        <f>IF(E100=14,1,0)</f>
        <v>0</v>
      </c>
      <c r="AX76" s="404">
        <f>IF(E100=15,1,0)</f>
        <v>0</v>
      </c>
      <c r="AY76" s="404">
        <f>IF(E100=16,1,0)</f>
        <v>0</v>
      </c>
      <c r="AZ76" s="404">
        <f>IF(E100=17,1,0)</f>
        <v>0</v>
      </c>
      <c r="BA76" s="404">
        <f>IF(E100=18,1,0)</f>
        <v>0</v>
      </c>
      <c r="BB76" s="404">
        <f>IF(E100=19,1,0)</f>
        <v>1</v>
      </c>
      <c r="BC76" s="404">
        <f>IF(E100=20,1,0)</f>
        <v>0</v>
      </c>
      <c r="BD76" s="404">
        <f>IF(E100=21,1,0)</f>
        <v>0</v>
      </c>
      <c r="BE76" s="404">
        <f>IF(E100=22,1,0)</f>
        <v>0</v>
      </c>
      <c r="BF76" s="404">
        <f>IF(E100=23,1,0)</f>
        <v>0</v>
      </c>
      <c r="BG76" s="404">
        <f>IF(E100=24,1,0)</f>
        <v>0</v>
      </c>
      <c r="BH76" s="404">
        <f>IF(E100=25,1,0)</f>
        <v>0</v>
      </c>
      <c r="BI76" s="410"/>
      <c r="BJ76" s="410"/>
      <c r="BK76" s="410"/>
      <c r="BL76" s="410"/>
    </row>
    <row r="77" spans="1:64" x14ac:dyDescent="0.2">
      <c r="A77" s="849">
        <f t="shared" si="3"/>
        <v>10</v>
      </c>
      <c r="B77" s="410" t="s">
        <v>80</v>
      </c>
      <c r="C77" s="410"/>
      <c r="D77" s="410"/>
      <c r="E77" s="410"/>
      <c r="F77" s="410"/>
      <c r="G77" s="850"/>
      <c r="H77" s="410"/>
      <c r="I77" s="1256"/>
      <c r="J77" s="410"/>
      <c r="K77" s="410"/>
      <c r="L77" s="410"/>
      <c r="M77" s="410"/>
      <c r="N77" s="410"/>
      <c r="R77" s="410"/>
      <c r="S77" s="410"/>
      <c r="T77" s="410"/>
      <c r="U77" s="410"/>
      <c r="V77" s="410"/>
      <c r="W77" s="1259" t="s">
        <v>106</v>
      </c>
      <c r="X77" s="1259"/>
      <c r="Y77" s="1259"/>
      <c r="Z77" s="410"/>
      <c r="AA77" s="410"/>
      <c r="AB77" s="410"/>
      <c r="AC77" s="410"/>
      <c r="AD77" s="410"/>
      <c r="AE77" s="410"/>
      <c r="AF77" s="410"/>
      <c r="AG77" s="410"/>
      <c r="AH77" s="410"/>
      <c r="AI77" s="410">
        <v>3</v>
      </c>
      <c r="AJ77" s="404">
        <f>IF(E104=1,1,0)</f>
        <v>0</v>
      </c>
      <c r="AK77" s="404">
        <f>IF(E104=2,1,0)</f>
        <v>0</v>
      </c>
      <c r="AL77" s="404">
        <f>IF(E104=3,1,0)</f>
        <v>0</v>
      </c>
      <c r="AM77" s="404">
        <f>IF(E104=4,1,0)</f>
        <v>0</v>
      </c>
      <c r="AN77" s="404">
        <f>IF(E104=5,1,0)</f>
        <v>0</v>
      </c>
      <c r="AO77" s="404">
        <f>IF(E104=6,1,0)</f>
        <v>0</v>
      </c>
      <c r="AP77" s="404">
        <f>IF(E104=7,1,0)</f>
        <v>0</v>
      </c>
      <c r="AQ77" s="404">
        <f>IF(E104=8,1,0)</f>
        <v>0</v>
      </c>
      <c r="AR77" s="404">
        <f>IF(E104=9,1,0)</f>
        <v>0</v>
      </c>
      <c r="AS77" s="404">
        <f>IF(E104=10,1,0)</f>
        <v>0</v>
      </c>
      <c r="AT77" s="404">
        <f>IF(E104=11,1,0)</f>
        <v>0</v>
      </c>
      <c r="AU77" s="404">
        <f>IF(E104=12,1,0)</f>
        <v>0</v>
      </c>
      <c r="AV77" s="404">
        <f>IF(E104=13,1,0)</f>
        <v>0</v>
      </c>
      <c r="AW77" s="404">
        <f>IF(E104=14,1,0)</f>
        <v>0</v>
      </c>
      <c r="AX77" s="404">
        <f>IF(E104=15,1,0)</f>
        <v>0</v>
      </c>
      <c r="AY77" s="404">
        <f>IF(E104=16,1,0)</f>
        <v>0</v>
      </c>
      <c r="AZ77" s="404">
        <f>IF(E104=17,1,0)</f>
        <v>0</v>
      </c>
      <c r="BA77" s="404">
        <f>IF(E104=18,1,0)</f>
        <v>0</v>
      </c>
      <c r="BB77" s="404">
        <f>IF(E104=19,1,0)</f>
        <v>1</v>
      </c>
      <c r="BC77" s="404">
        <f>IF(E104=20,1,0)</f>
        <v>0</v>
      </c>
      <c r="BD77" s="404">
        <f>IF(E104=21,1,0)</f>
        <v>0</v>
      </c>
      <c r="BE77" s="404">
        <f>IF(E104=22,1,0)</f>
        <v>0</v>
      </c>
      <c r="BF77" s="404">
        <f>IF(E104=23,1,0)</f>
        <v>0</v>
      </c>
      <c r="BG77" s="404">
        <f>IF(E104=24,1,0)</f>
        <v>0</v>
      </c>
      <c r="BH77" s="404">
        <f>IF(E104=25,1,0)</f>
        <v>0</v>
      </c>
      <c r="BI77" s="410"/>
      <c r="BJ77" s="410"/>
      <c r="BK77" s="410"/>
      <c r="BL77" s="410"/>
    </row>
    <row r="78" spans="1:64" x14ac:dyDescent="0.2">
      <c r="A78" s="849">
        <f t="shared" si="3"/>
        <v>11</v>
      </c>
      <c r="B78" s="410" t="s">
        <v>82</v>
      </c>
      <c r="C78" s="410"/>
      <c r="D78" s="410"/>
      <c r="E78" s="410"/>
      <c r="F78" s="410"/>
      <c r="G78" s="850"/>
      <c r="H78" s="410"/>
      <c r="I78" s="1256"/>
      <c r="J78" s="410"/>
      <c r="K78" s="410"/>
      <c r="L78" s="410"/>
      <c r="M78" s="410"/>
      <c r="N78" s="410"/>
      <c r="R78" s="410"/>
      <c r="S78" s="410"/>
      <c r="T78" s="410"/>
      <c r="U78" s="407" t="s">
        <v>593</v>
      </c>
      <c r="V78" s="407" t="str">
        <f>CONCATENATE(" хлеб, масло, сахар, чай ",R110)</f>
        <v xml:space="preserve"> хлеб, масло, сахар, чай </v>
      </c>
      <c r="W78" s="1259" t="s">
        <v>107</v>
      </c>
      <c r="X78" s="1259"/>
      <c r="Y78" s="1259"/>
      <c r="Z78" s="410"/>
      <c r="AA78" s="407"/>
      <c r="AB78" s="410"/>
      <c r="AC78" s="410"/>
      <c r="AD78" s="410"/>
      <c r="AE78" s="410"/>
      <c r="AF78" s="410"/>
      <c r="AG78" s="410"/>
      <c r="AH78" s="410"/>
      <c r="AI78" s="410">
        <v>4</v>
      </c>
      <c r="AJ78" s="404">
        <f>IF(E108=1,1,0)</f>
        <v>0</v>
      </c>
      <c r="AK78" s="404">
        <f>IF(E108=2,1,0)</f>
        <v>0</v>
      </c>
      <c r="AL78" s="404">
        <f>IF(E108=3,1,0)</f>
        <v>0</v>
      </c>
      <c r="AM78" s="404">
        <f>IF(E108=4,1,0)</f>
        <v>1</v>
      </c>
      <c r="AN78" s="404">
        <f>IF(E108=5,1,0)</f>
        <v>0</v>
      </c>
      <c r="AO78" s="404">
        <f>IF(E108=6,1,0)</f>
        <v>0</v>
      </c>
      <c r="AP78" s="404">
        <f>IF(E108=7,1,0)</f>
        <v>0</v>
      </c>
      <c r="AQ78" s="404">
        <f>IF(E108=8,1,0)</f>
        <v>0</v>
      </c>
      <c r="AR78" s="404">
        <f>IF(E108=9,1,0)</f>
        <v>0</v>
      </c>
      <c r="AS78" s="404">
        <f>IF(E108=10,1,0)</f>
        <v>0</v>
      </c>
      <c r="AT78" s="404">
        <f>IF(E108=11,1,0)</f>
        <v>0</v>
      </c>
      <c r="AU78" s="404">
        <f>IF(E108=12,1,0)</f>
        <v>0</v>
      </c>
      <c r="AV78" s="404">
        <f>IF(E108=13,1,0)</f>
        <v>0</v>
      </c>
      <c r="AW78" s="404">
        <f>IF(E108=14,1,0)</f>
        <v>0</v>
      </c>
      <c r="AX78" s="404">
        <f>IF(E108=15,1,0)</f>
        <v>0</v>
      </c>
      <c r="AY78" s="404">
        <f>IF(E108=16,1,0)</f>
        <v>0</v>
      </c>
      <c r="AZ78" s="404">
        <f>IF(E108=17,1,0)</f>
        <v>0</v>
      </c>
      <c r="BA78" s="404">
        <f>IF(E108=18,1,0)</f>
        <v>0</v>
      </c>
      <c r="BB78" s="404">
        <f>IF(E108=19,1,0)</f>
        <v>0</v>
      </c>
      <c r="BC78" s="404">
        <f>IF(E108=20,1,0)</f>
        <v>0</v>
      </c>
      <c r="BD78" s="404">
        <f>IF(E108=21,1,0)</f>
        <v>0</v>
      </c>
      <c r="BE78" s="404">
        <f>IF(E108=22,1,0)</f>
        <v>0</v>
      </c>
      <c r="BF78" s="404">
        <f>IF(E108=23,1,0)</f>
        <v>0</v>
      </c>
      <c r="BG78" s="404">
        <f>IF(E108=24,1,0)</f>
        <v>0</v>
      </c>
      <c r="BH78" s="404">
        <f>IF(E108=25,1,0)</f>
        <v>0</v>
      </c>
      <c r="BI78" s="410"/>
      <c r="BJ78" s="410"/>
      <c r="BK78" s="410"/>
      <c r="BL78" s="410"/>
    </row>
    <row r="79" spans="1:64" x14ac:dyDescent="0.2">
      <c r="A79" s="849">
        <f t="shared" si="3"/>
        <v>12</v>
      </c>
      <c r="B79" s="410" t="s">
        <v>83</v>
      </c>
      <c r="C79" s="410"/>
      <c r="D79" s="410"/>
      <c r="E79" s="410"/>
      <c r="F79" s="410"/>
      <c r="G79" s="851" t="s">
        <v>90</v>
      </c>
      <c r="H79" s="458"/>
      <c r="I79" s="1256"/>
      <c r="J79" s="410"/>
      <c r="K79" s="410"/>
      <c r="L79" s="410"/>
      <c r="M79" s="410"/>
      <c r="N79" s="410"/>
      <c r="R79" s="410"/>
      <c r="S79" s="410"/>
      <c r="T79" s="410"/>
      <c r="U79" s="407" t="s">
        <v>594</v>
      </c>
      <c r="V79" s="407" t="str">
        <f>CONCATENATE(" хлеб, масло, сахар, чай, яйцо",R110)</f>
        <v xml:space="preserve"> хлеб, масло, сахар, чай, яйцо</v>
      </c>
      <c r="W79" s="1259" t="s">
        <v>101</v>
      </c>
      <c r="X79" s="1259"/>
      <c r="Y79" s="1259"/>
      <c r="Z79" s="410"/>
      <c r="AA79" s="407"/>
      <c r="AB79" s="410"/>
      <c r="AC79" s="410"/>
      <c r="AD79" s="410"/>
      <c r="AE79" s="410"/>
      <c r="AF79" s="410"/>
      <c r="AG79" s="410"/>
      <c r="AH79" s="410"/>
      <c r="AI79" s="410">
        <v>5</v>
      </c>
      <c r="AJ79" s="404">
        <f>IF(E112=1,1,0)</f>
        <v>0</v>
      </c>
      <c r="AK79" s="404">
        <f>IF(E112=2,1,0)</f>
        <v>1</v>
      </c>
      <c r="AL79" s="404">
        <f>IF(E112=3,1,0)</f>
        <v>0</v>
      </c>
      <c r="AM79" s="404">
        <f>IF(E112=4,1,0)</f>
        <v>0</v>
      </c>
      <c r="AN79" s="404">
        <f>IF(E112=5,1,0)</f>
        <v>0</v>
      </c>
      <c r="AO79" s="404">
        <f>IF(E112=6,1,0)</f>
        <v>0</v>
      </c>
      <c r="AP79" s="404">
        <f>IF(E112=7,1,0)</f>
        <v>0</v>
      </c>
      <c r="AQ79" s="404">
        <f>IF(E112=8,1,0)</f>
        <v>0</v>
      </c>
      <c r="AR79" s="404">
        <f>IF(E112=9,1,0)</f>
        <v>0</v>
      </c>
      <c r="AS79" s="404">
        <f>IF(E112=10,1,0)</f>
        <v>0</v>
      </c>
      <c r="AT79" s="404">
        <f>IF(E112=11,1,0)</f>
        <v>0</v>
      </c>
      <c r="AU79" s="404">
        <f>IF(E112=12,1,0)</f>
        <v>0</v>
      </c>
      <c r="AV79" s="404">
        <f>IF(E112=13,1,0)</f>
        <v>0</v>
      </c>
      <c r="AW79" s="404">
        <f>IF(E112=14,1,0)</f>
        <v>0</v>
      </c>
      <c r="AX79" s="404">
        <f>IF(E112=15,1,0)</f>
        <v>0</v>
      </c>
      <c r="AY79" s="404">
        <f>IF(E112=16,1,0)</f>
        <v>0</v>
      </c>
      <c r="AZ79" s="404">
        <f>IF(E112=17,1,0)</f>
        <v>0</v>
      </c>
      <c r="BA79" s="404">
        <f>IF(E112=18,1,0)</f>
        <v>0</v>
      </c>
      <c r="BB79" s="404">
        <f>IF(E112=19,1,0)</f>
        <v>0</v>
      </c>
      <c r="BC79" s="404">
        <f>IF(E112=20,1,0)</f>
        <v>0</v>
      </c>
      <c r="BD79" s="404">
        <f>IF(E112=21,1,0)</f>
        <v>0</v>
      </c>
      <c r="BE79" s="404">
        <f>IF(E112=22,1,0)</f>
        <v>0</v>
      </c>
      <c r="BF79" s="404">
        <f>IF(E112=23,1,0)</f>
        <v>0</v>
      </c>
      <c r="BG79" s="404">
        <f>IF(E112=24,1,0)</f>
        <v>0</v>
      </c>
      <c r="BH79" s="404">
        <f>IF(E112=25,1,0)</f>
        <v>0</v>
      </c>
      <c r="BI79" s="410"/>
      <c r="BJ79" s="410"/>
      <c r="BK79" s="410"/>
      <c r="BL79" s="410"/>
    </row>
    <row r="80" spans="1:64" x14ac:dyDescent="0.2">
      <c r="A80" s="849">
        <f t="shared" si="3"/>
        <v>13</v>
      </c>
      <c r="B80" s="410" t="s">
        <v>81</v>
      </c>
      <c r="C80" s="410"/>
      <c r="D80" s="410"/>
      <c r="E80" s="435">
        <v>20</v>
      </c>
      <c r="F80" s="410"/>
      <c r="G80" s="850"/>
      <c r="H80" s="410"/>
      <c r="I80" s="1256"/>
      <c r="J80" s="410"/>
      <c r="K80" s="410"/>
      <c r="L80" s="410">
        <f>IF(AND(E80&gt;=21,E80&lt;=23),0.5,0)</f>
        <v>0</v>
      </c>
      <c r="M80" s="410"/>
      <c r="N80" s="410"/>
      <c r="R80" s="410"/>
      <c r="S80" s="410"/>
      <c r="T80" s="410"/>
      <c r="U80" s="407" t="s">
        <v>595</v>
      </c>
      <c r="V80" s="407" t="str">
        <f>CONCATENATE(" хлеб, масло, сахар, чай, омлет",R110)</f>
        <v xml:space="preserve"> хлеб, масло, сахар, чай, омлет</v>
      </c>
      <c r="W80" s="1259" t="s">
        <v>102</v>
      </c>
      <c r="X80" s="1259"/>
      <c r="Y80" s="1259"/>
      <c r="Z80" s="410"/>
      <c r="AA80" s="407"/>
      <c r="AB80" s="410"/>
      <c r="AC80" s="410"/>
      <c r="AD80" s="410"/>
      <c r="AE80" s="410"/>
      <c r="AF80" s="410"/>
      <c r="AG80" s="410"/>
      <c r="AH80" s="410"/>
      <c r="AI80" s="410">
        <v>6</v>
      </c>
      <c r="AJ80" s="404">
        <f>IF(E116=1,1,0)</f>
        <v>1</v>
      </c>
      <c r="AK80" s="404">
        <f>IF(E116=2,1,0)</f>
        <v>0</v>
      </c>
      <c r="AL80" s="404">
        <f>IF(E116=3,1,0)</f>
        <v>0</v>
      </c>
      <c r="AM80" s="404">
        <f>IF(E116=4,1,0)</f>
        <v>0</v>
      </c>
      <c r="AN80" s="404">
        <f>IF(E116=5,1,0)</f>
        <v>0</v>
      </c>
      <c r="AO80" s="404">
        <f>IF(E116=6,1,0)</f>
        <v>0</v>
      </c>
      <c r="AP80" s="404">
        <f>IF(E116=7,1,0)</f>
        <v>0</v>
      </c>
      <c r="AQ80" s="404">
        <f>IF(E116=8,1,0)</f>
        <v>0</v>
      </c>
      <c r="AR80" s="404">
        <f>IF(E116=9,1,0)</f>
        <v>0</v>
      </c>
      <c r="AS80" s="404">
        <f>IF(E116=10,1,0)</f>
        <v>0</v>
      </c>
      <c r="AT80" s="404">
        <f>IF(E116=11,1,0)</f>
        <v>0</v>
      </c>
      <c r="AU80" s="404">
        <f>IF(E116=12,1,0)</f>
        <v>0</v>
      </c>
      <c r="AV80" s="404">
        <f>IF(E116=13,1,0)</f>
        <v>0</v>
      </c>
      <c r="AW80" s="404">
        <f>IF(E116=14,1,0)</f>
        <v>0</v>
      </c>
      <c r="AX80" s="404">
        <f>IF(E116=15,1,0)</f>
        <v>0</v>
      </c>
      <c r="AY80" s="404">
        <f>IF(E116=16,1,0)</f>
        <v>0</v>
      </c>
      <c r="AZ80" s="404">
        <f>IF(E116=17,1,0)</f>
        <v>0</v>
      </c>
      <c r="BA80" s="404">
        <f>IF(E116=18,1,0)</f>
        <v>0</v>
      </c>
      <c r="BB80" s="404">
        <f>IF(E116=19,1,0)</f>
        <v>0</v>
      </c>
      <c r="BC80" s="404">
        <f>IF(E116=20,1,0)</f>
        <v>0</v>
      </c>
      <c r="BD80" s="404">
        <f>IF(E116=21,1,0)</f>
        <v>0</v>
      </c>
      <c r="BE80" s="404">
        <f>IF(E116=22,1,0)</f>
        <v>0</v>
      </c>
      <c r="BF80" s="404">
        <f>IF(E116=23,1,0)</f>
        <v>0</v>
      </c>
      <c r="BG80" s="404">
        <f>IF(E116=24,1,0)</f>
        <v>0</v>
      </c>
      <c r="BH80" s="404">
        <f>IF(E116=25,1,0)</f>
        <v>0</v>
      </c>
      <c r="BI80" s="410"/>
      <c r="BJ80" s="410"/>
      <c r="BK80" s="410"/>
      <c r="BL80" s="410"/>
    </row>
    <row r="81" spans="1:64" x14ac:dyDescent="0.2">
      <c r="A81" s="849">
        <f t="shared" si="3"/>
        <v>14</v>
      </c>
      <c r="B81" s="410" t="s">
        <v>282</v>
      </c>
      <c r="C81" s="410"/>
      <c r="D81" s="410"/>
      <c r="E81" s="410"/>
      <c r="F81" s="410"/>
      <c r="G81" s="850"/>
      <c r="H81" s="410"/>
      <c r="I81" s="1256"/>
      <c r="J81" s="410"/>
      <c r="K81" s="410"/>
      <c r="L81" s="410"/>
      <c r="M81" s="410"/>
      <c r="N81" s="410"/>
      <c r="R81" s="410"/>
      <c r="S81" s="410"/>
      <c r="T81" s="410"/>
      <c r="U81" s="407" t="s">
        <v>596</v>
      </c>
      <c r="V81" s="410" t="str">
        <f>CONCATENATE(" хлеб, масло, сахар, чай, молоко",R110)</f>
        <v xml:space="preserve"> хлеб, масло, сахар, чай, молоко</v>
      </c>
      <c r="W81" s="1259" t="s">
        <v>103</v>
      </c>
      <c r="X81" s="1259"/>
      <c r="Y81" s="1259"/>
      <c r="Z81" s="410"/>
      <c r="AA81" s="407"/>
      <c r="AB81" s="410"/>
      <c r="AC81" s="410"/>
      <c r="AD81" s="410"/>
      <c r="AE81" s="410"/>
      <c r="AF81" s="410"/>
      <c r="AG81" s="410"/>
      <c r="AH81" s="410"/>
      <c r="AI81" s="410">
        <v>7</v>
      </c>
      <c r="AJ81" s="404">
        <f>IF(E120=1,1,0)</f>
        <v>1</v>
      </c>
      <c r="AK81" s="404">
        <f>IF(E120=2,1,0)</f>
        <v>0</v>
      </c>
      <c r="AL81" s="404">
        <f>IF(E120=3,1,0)</f>
        <v>0</v>
      </c>
      <c r="AM81" s="404">
        <f>IF(E120=4,1,0)</f>
        <v>0</v>
      </c>
      <c r="AN81" s="404">
        <f>IF(E120=5,1,0)</f>
        <v>0</v>
      </c>
      <c r="AO81" s="404">
        <f>IF(E120=6,1,0)</f>
        <v>0</v>
      </c>
      <c r="AP81" s="404">
        <f>IF(E120=7,1,0)</f>
        <v>0</v>
      </c>
      <c r="AQ81" s="404">
        <f>IF(E120=8,1,0)</f>
        <v>0</v>
      </c>
      <c r="AR81" s="404">
        <f>IF(E120=9,1,0)</f>
        <v>0</v>
      </c>
      <c r="AS81" s="404">
        <f>IF(E120=10,1,0)</f>
        <v>0</v>
      </c>
      <c r="AT81" s="404">
        <f>IF(E120=11,1,0)</f>
        <v>0</v>
      </c>
      <c r="AU81" s="404">
        <f>IF(E120=12,1,0)</f>
        <v>0</v>
      </c>
      <c r="AV81" s="404">
        <f>IF(E120=13,1,0)</f>
        <v>0</v>
      </c>
      <c r="AW81" s="404">
        <f>IF(E120=14,1,0)</f>
        <v>0</v>
      </c>
      <c r="AX81" s="404">
        <f>IF(E120=15,1,0)</f>
        <v>0</v>
      </c>
      <c r="AY81" s="404">
        <f>IF(E120=16,1,0)</f>
        <v>0</v>
      </c>
      <c r="AZ81" s="404">
        <f>IF(E120=17,1,0)</f>
        <v>0</v>
      </c>
      <c r="BA81" s="404">
        <f>IF(E120=18,1,0)</f>
        <v>0</v>
      </c>
      <c r="BB81" s="404">
        <f>IF(E120=19,1,0)</f>
        <v>0</v>
      </c>
      <c r="BC81" s="404">
        <f>IF(E120=20,1,0)</f>
        <v>0</v>
      </c>
      <c r="BD81" s="404">
        <f>IF(E120=21,1,0)</f>
        <v>0</v>
      </c>
      <c r="BE81" s="404">
        <f>IF(E120=22,1,0)</f>
        <v>0</v>
      </c>
      <c r="BF81" s="404">
        <f>IF(E120=23,1,0)</f>
        <v>0</v>
      </c>
      <c r="BG81" s="404">
        <f>IF(E120=24,1,0)</f>
        <v>0</v>
      </c>
      <c r="BH81" s="404">
        <f>IF(E120=25,1,0)</f>
        <v>0</v>
      </c>
      <c r="BI81" s="410"/>
      <c r="BJ81" s="410"/>
      <c r="BK81" s="410"/>
      <c r="BL81" s="410"/>
    </row>
    <row r="82" spans="1:64" x14ac:dyDescent="0.2">
      <c r="A82" s="849">
        <f t="shared" si="3"/>
        <v>15</v>
      </c>
      <c r="B82" s="410" t="s">
        <v>87</v>
      </c>
      <c r="C82" s="410"/>
      <c r="D82" s="410"/>
      <c r="E82" s="410"/>
      <c r="F82" s="410"/>
      <c r="G82" s="850"/>
      <c r="H82" s="410"/>
      <c r="I82" s="1256"/>
      <c r="J82" s="410"/>
      <c r="K82" s="410"/>
      <c r="L82" s="410"/>
      <c r="M82" s="410"/>
      <c r="N82" s="410"/>
      <c r="R82" s="410"/>
      <c r="S82" s="410"/>
      <c r="T82" s="410"/>
      <c r="U82" s="407" t="s">
        <v>597</v>
      </c>
      <c r="V82" s="407"/>
      <c r="W82" s="1259" t="s">
        <v>106</v>
      </c>
      <c r="X82" s="1259"/>
      <c r="Y82" s="1259"/>
      <c r="Z82" s="410"/>
      <c r="AA82" s="407"/>
      <c r="AB82" s="410"/>
      <c r="AC82" s="410"/>
      <c r="AD82" s="410"/>
      <c r="AE82" s="410"/>
      <c r="AF82" s="410"/>
      <c r="AG82" s="410"/>
      <c r="AH82" s="410"/>
      <c r="AI82" s="410"/>
      <c r="AJ82" s="431">
        <f>SUM(AJ68:AJ81)</f>
        <v>3</v>
      </c>
      <c r="AK82" s="431">
        <f t="shared" ref="AK82:BH82" si="4">SUM(AK68:AK81)</f>
        <v>1</v>
      </c>
      <c r="AL82" s="431">
        <f t="shared" si="4"/>
        <v>0</v>
      </c>
      <c r="AM82" s="431">
        <f t="shared" si="4"/>
        <v>1</v>
      </c>
      <c r="AN82" s="431">
        <f t="shared" si="4"/>
        <v>0</v>
      </c>
      <c r="AO82" s="431">
        <f t="shared" si="4"/>
        <v>0</v>
      </c>
      <c r="AP82" s="431">
        <f t="shared" si="4"/>
        <v>0</v>
      </c>
      <c r="AQ82" s="431">
        <f t="shared" si="4"/>
        <v>0</v>
      </c>
      <c r="AR82" s="431">
        <f t="shared" si="4"/>
        <v>0</v>
      </c>
      <c r="AS82" s="431">
        <f t="shared" si="4"/>
        <v>0</v>
      </c>
      <c r="AT82" s="431">
        <f t="shared" si="4"/>
        <v>0</v>
      </c>
      <c r="AU82" s="431">
        <f t="shared" si="4"/>
        <v>0</v>
      </c>
      <c r="AV82" s="431">
        <f t="shared" si="4"/>
        <v>0</v>
      </c>
      <c r="AW82" s="431">
        <f t="shared" si="4"/>
        <v>0</v>
      </c>
      <c r="AX82" s="431">
        <f t="shared" si="4"/>
        <v>0</v>
      </c>
      <c r="AY82" s="431">
        <f t="shared" si="4"/>
        <v>0</v>
      </c>
      <c r="AZ82" s="431">
        <f t="shared" si="4"/>
        <v>0</v>
      </c>
      <c r="BA82" s="431">
        <f t="shared" si="4"/>
        <v>0</v>
      </c>
      <c r="BB82" s="431">
        <f t="shared" si="4"/>
        <v>3</v>
      </c>
      <c r="BC82" s="431">
        <f t="shared" si="4"/>
        <v>1</v>
      </c>
      <c r="BD82" s="431">
        <f t="shared" si="4"/>
        <v>3</v>
      </c>
      <c r="BE82" s="431">
        <f t="shared" si="4"/>
        <v>2</v>
      </c>
      <c r="BF82" s="431">
        <f t="shared" si="4"/>
        <v>0</v>
      </c>
      <c r="BG82" s="431">
        <f t="shared" si="4"/>
        <v>0</v>
      </c>
      <c r="BH82" s="431">
        <f t="shared" si="4"/>
        <v>0</v>
      </c>
      <c r="BI82" s="410"/>
      <c r="BJ82" s="410"/>
      <c r="BK82" s="410"/>
      <c r="BL82" s="410"/>
    </row>
    <row r="83" spans="1:64" x14ac:dyDescent="0.2">
      <c r="A83" s="849">
        <f t="shared" si="3"/>
        <v>16</v>
      </c>
      <c r="B83" s="410" t="s">
        <v>283</v>
      </c>
      <c r="C83" s="410"/>
      <c r="D83" s="410"/>
      <c r="E83" s="410"/>
      <c r="F83" s="410"/>
      <c r="G83" s="851" t="s">
        <v>381</v>
      </c>
      <c r="H83" s="458"/>
      <c r="I83" s="1256"/>
      <c r="J83" s="410"/>
      <c r="K83" s="410"/>
      <c r="L83" s="410"/>
      <c r="M83" s="410"/>
      <c r="N83" s="410"/>
      <c r="R83" s="410"/>
      <c r="S83" s="410"/>
      <c r="T83" s="410"/>
      <c r="U83" s="407" t="s">
        <v>598</v>
      </c>
      <c r="V83" s="407"/>
      <c r="W83" s="1259" t="s">
        <v>107</v>
      </c>
      <c r="X83" s="1259"/>
      <c r="Y83" s="1259"/>
      <c r="Z83" s="410"/>
      <c r="AA83" s="407"/>
      <c r="AB83" s="410"/>
      <c r="AC83" s="410"/>
      <c r="AD83" s="410"/>
      <c r="AE83" s="410"/>
      <c r="AF83" s="410"/>
      <c r="AG83" s="410"/>
      <c r="AH83" s="410"/>
      <c r="AI83" s="410"/>
      <c r="AJ83" s="404"/>
      <c r="AK83" s="404"/>
      <c r="AL83" s="404"/>
      <c r="AM83" s="404"/>
      <c r="AN83" s="404"/>
      <c r="AO83" s="404"/>
      <c r="AP83" s="404"/>
      <c r="AQ83" s="404"/>
      <c r="AR83" s="404"/>
      <c r="AS83" s="404"/>
      <c r="AT83" s="404"/>
      <c r="AU83" s="404"/>
      <c r="AV83" s="404"/>
      <c r="AW83" s="404"/>
      <c r="AX83" s="404"/>
      <c r="AY83" s="404"/>
      <c r="AZ83" s="404"/>
      <c r="BA83" s="404"/>
      <c r="BB83" s="404"/>
      <c r="BC83" s="404"/>
      <c r="BD83" s="404"/>
      <c r="BE83" s="404"/>
      <c r="BF83" s="404"/>
      <c r="BG83" s="404"/>
      <c r="BH83" s="404"/>
      <c r="BI83" s="410"/>
      <c r="BJ83" s="410"/>
      <c r="BK83" s="410"/>
      <c r="BL83" s="410"/>
    </row>
    <row r="84" spans="1:64" x14ac:dyDescent="0.2">
      <c r="A84" s="849">
        <f t="shared" si="3"/>
        <v>17</v>
      </c>
      <c r="B84" s="410" t="s">
        <v>88</v>
      </c>
      <c r="C84" s="410"/>
      <c r="D84" s="410"/>
      <c r="E84" s="844">
        <v>22</v>
      </c>
      <c r="F84" s="410"/>
      <c r="G84" s="850"/>
      <c r="H84" s="410"/>
      <c r="I84" s="1256" t="s">
        <v>57</v>
      </c>
      <c r="J84" s="410"/>
      <c r="K84" s="410"/>
      <c r="L84" s="410">
        <f>IF(AND(E84&gt;=21,E84&lt;=23),0.5,0)</f>
        <v>0.5</v>
      </c>
      <c r="M84" s="410"/>
      <c r="N84" s="410"/>
      <c r="R84" s="410"/>
      <c r="S84" s="410"/>
      <c r="T84" s="410"/>
      <c r="U84" s="407" t="s">
        <v>599</v>
      </c>
      <c r="V84" s="407"/>
      <c r="W84" s="1259" t="s">
        <v>101</v>
      </c>
      <c r="X84" s="1259"/>
      <c r="Y84" s="1259"/>
      <c r="Z84" s="410"/>
      <c r="AA84" s="407"/>
      <c r="AB84" s="410"/>
      <c r="AC84" s="410"/>
      <c r="AD84" s="410"/>
      <c r="AE84" s="410"/>
      <c r="AF84" s="410"/>
      <c r="AG84" s="410"/>
      <c r="AH84" s="410"/>
      <c r="AI84" s="410"/>
      <c r="AJ84" s="410"/>
      <c r="AK84" s="410"/>
      <c r="AL84" s="410"/>
      <c r="AM84" s="410"/>
      <c r="AN84" s="410"/>
      <c r="AO84" s="410"/>
      <c r="AP84" s="410"/>
      <c r="AQ84" s="410"/>
      <c r="AR84" s="410"/>
      <c r="AS84" s="410"/>
      <c r="AT84" s="410"/>
      <c r="AU84" s="410"/>
      <c r="AV84" s="410"/>
      <c r="AW84" s="410"/>
      <c r="AX84" s="410"/>
      <c r="AY84" s="410"/>
      <c r="AZ84" s="410"/>
      <c r="BA84" s="410"/>
      <c r="BB84" s="410"/>
      <c r="BC84" s="410"/>
      <c r="BD84" s="410"/>
      <c r="BE84" s="410"/>
      <c r="BF84" s="410"/>
      <c r="BG84" s="410"/>
      <c r="BH84" s="410"/>
      <c r="BI84" s="410"/>
      <c r="BJ84" s="410"/>
      <c r="BK84" s="410"/>
      <c r="BL84" s="410"/>
    </row>
    <row r="85" spans="1:64" x14ac:dyDescent="0.2">
      <c r="A85" s="849">
        <f t="shared" si="3"/>
        <v>18</v>
      </c>
      <c r="B85" s="410" t="s">
        <v>278</v>
      </c>
      <c r="C85" s="410"/>
      <c r="D85" s="410"/>
      <c r="E85" s="410"/>
      <c r="F85" s="410"/>
      <c r="G85" s="850"/>
      <c r="H85" s="410"/>
      <c r="I85" s="1256"/>
      <c r="J85" s="410"/>
      <c r="K85" s="410"/>
      <c r="L85" s="410"/>
      <c r="M85" s="410"/>
      <c r="N85" s="410"/>
      <c r="R85" s="410"/>
      <c r="S85" s="410"/>
      <c r="T85" s="410"/>
      <c r="U85" s="407" t="s">
        <v>600</v>
      </c>
      <c r="V85" s="410"/>
      <c r="W85" s="1259" t="s">
        <v>102</v>
      </c>
      <c r="X85" s="1259"/>
      <c r="Y85" s="1259"/>
      <c r="Z85" s="410"/>
      <c r="AA85" s="407"/>
      <c r="AB85" s="410"/>
      <c r="AC85" s="410"/>
      <c r="AD85" s="410"/>
      <c r="AE85" s="410"/>
      <c r="AF85" s="410"/>
      <c r="AG85" s="410"/>
      <c r="AH85" s="410"/>
      <c r="AI85" s="410"/>
      <c r="AJ85" s="410"/>
      <c r="AK85" s="410"/>
      <c r="AL85" s="410"/>
      <c r="AM85" s="410"/>
      <c r="AN85" s="410"/>
      <c r="AO85" s="410"/>
      <c r="AP85" s="410"/>
      <c r="AQ85" s="410"/>
      <c r="AR85" s="410"/>
      <c r="AS85" s="410"/>
      <c r="AT85" s="410"/>
      <c r="AU85" s="410"/>
      <c r="AV85" s="410"/>
      <c r="AW85" s="410"/>
      <c r="AX85" s="410"/>
      <c r="AY85" s="410"/>
      <c r="AZ85" s="410"/>
      <c r="BA85" s="410"/>
      <c r="BB85" s="410"/>
      <c r="BC85" s="410"/>
      <c r="BD85" s="410"/>
      <c r="BE85" s="410"/>
      <c r="BF85" s="410"/>
      <c r="BG85" s="410"/>
      <c r="BH85" s="410"/>
      <c r="BI85" s="410"/>
      <c r="BJ85" s="410"/>
      <c r="BK85" s="410"/>
      <c r="BL85" s="410"/>
    </row>
    <row r="86" spans="1:64" x14ac:dyDescent="0.2">
      <c r="A86" s="849">
        <f t="shared" si="3"/>
        <v>19</v>
      </c>
      <c r="B86" s="410" t="s">
        <v>89</v>
      </c>
      <c r="C86" s="410"/>
      <c r="D86" s="410"/>
      <c r="E86" s="410"/>
      <c r="F86" s="410"/>
      <c r="G86" s="850"/>
      <c r="H86" s="410"/>
      <c r="I86" s="1256"/>
      <c r="J86" s="410"/>
      <c r="K86" s="410"/>
      <c r="L86" s="410"/>
      <c r="M86" s="410"/>
      <c r="N86" s="410"/>
      <c r="R86" s="410"/>
      <c r="S86" s="410"/>
      <c r="T86" s="410"/>
      <c r="U86" s="410"/>
      <c r="V86" s="410"/>
      <c r="W86" s="1259" t="s">
        <v>103</v>
      </c>
      <c r="X86" s="1259"/>
      <c r="Y86" s="1259"/>
      <c r="Z86" s="410"/>
      <c r="AA86" s="407"/>
      <c r="AB86" s="410"/>
      <c r="AC86" s="410"/>
      <c r="AD86" s="410"/>
      <c r="AE86" s="410"/>
      <c r="AF86" s="410"/>
      <c r="AG86" s="410"/>
      <c r="AH86" s="410"/>
      <c r="AI86" s="410"/>
      <c r="AJ86" s="410"/>
      <c r="AK86" s="410"/>
      <c r="AL86" s="410"/>
      <c r="AM86" s="410"/>
      <c r="AN86" s="410"/>
      <c r="AO86" s="410"/>
      <c r="AP86" s="410"/>
      <c r="AQ86" s="410"/>
      <c r="AR86" s="410"/>
      <c r="AS86" s="410"/>
      <c r="AT86" s="410"/>
      <c r="AU86" s="410"/>
      <c r="AV86" s="410"/>
      <c r="AW86" s="410"/>
      <c r="AX86" s="410"/>
      <c r="AY86" s="410"/>
      <c r="AZ86" s="410"/>
      <c r="BA86" s="410"/>
      <c r="BB86" s="410"/>
      <c r="BC86" s="410"/>
      <c r="BD86" s="410"/>
      <c r="BE86" s="410"/>
      <c r="BF86" s="410"/>
      <c r="BG86" s="410"/>
      <c r="BH86" s="410"/>
      <c r="BI86" s="410"/>
      <c r="BJ86" s="410"/>
      <c r="BK86" s="410"/>
      <c r="BL86" s="410"/>
    </row>
    <row r="87" spans="1:64" x14ac:dyDescent="0.2">
      <c r="A87" s="849">
        <f t="shared" si="3"/>
        <v>20</v>
      </c>
      <c r="B87" s="410" t="s">
        <v>381</v>
      </c>
      <c r="C87" s="410"/>
      <c r="D87" s="410"/>
      <c r="E87" s="410"/>
      <c r="F87" s="410"/>
      <c r="G87" s="852" t="s">
        <v>91</v>
      </c>
      <c r="H87" s="458"/>
      <c r="I87" s="1256"/>
      <c r="J87" s="410"/>
      <c r="K87" s="410"/>
      <c r="L87" s="410"/>
      <c r="M87" s="410"/>
      <c r="N87" s="410"/>
      <c r="R87" s="410"/>
      <c r="S87" s="410"/>
      <c r="T87" s="410"/>
      <c r="U87" s="410"/>
      <c r="V87" s="410"/>
      <c r="W87" s="1259" t="s">
        <v>106</v>
      </c>
      <c r="X87" s="1259"/>
      <c r="Y87" s="1259"/>
      <c r="Z87" s="410"/>
      <c r="AA87" s="407"/>
      <c r="AB87" s="410"/>
      <c r="AC87" s="410"/>
      <c r="AD87" s="410"/>
      <c r="AE87" s="410"/>
      <c r="AF87" s="410"/>
      <c r="AG87" s="410"/>
      <c r="AH87" s="410"/>
      <c r="AI87" s="410"/>
      <c r="AJ87" s="410"/>
      <c r="AK87" s="410"/>
      <c r="AL87" s="410"/>
      <c r="AM87" s="410"/>
      <c r="AN87" s="410"/>
      <c r="AO87" s="410"/>
      <c r="AP87" s="410"/>
      <c r="AQ87" s="410"/>
      <c r="AR87" s="410"/>
      <c r="AS87" s="410"/>
      <c r="AT87" s="410"/>
      <c r="AU87" s="410"/>
      <c r="AV87" s="410"/>
      <c r="AW87" s="410"/>
      <c r="AX87" s="410"/>
      <c r="AY87" s="410"/>
      <c r="AZ87" s="410"/>
      <c r="BA87" s="410"/>
      <c r="BB87" s="410"/>
      <c r="BC87" s="410"/>
      <c r="BD87" s="410"/>
      <c r="BE87" s="410"/>
      <c r="BF87" s="410"/>
      <c r="BG87" s="410"/>
      <c r="BH87" s="410"/>
      <c r="BI87" s="410"/>
      <c r="BJ87" s="410"/>
      <c r="BK87" s="410"/>
      <c r="BL87" s="410"/>
    </row>
    <row r="88" spans="1:64" x14ac:dyDescent="0.2">
      <c r="A88" s="849">
        <f t="shared" si="3"/>
        <v>21</v>
      </c>
      <c r="B88" s="410" t="s">
        <v>90</v>
      </c>
      <c r="C88" s="410"/>
      <c r="D88" s="410"/>
      <c r="E88" s="844">
        <v>21</v>
      </c>
      <c r="F88" s="410"/>
      <c r="G88" s="850"/>
      <c r="H88" s="410"/>
      <c r="I88" s="1256"/>
      <c r="J88" s="410"/>
      <c r="K88" s="410"/>
      <c r="L88" s="410">
        <f>IF(AND(E88&gt;=21,E88&lt;=23),0.5,0)</f>
        <v>0.5</v>
      </c>
      <c r="M88" s="410"/>
      <c r="N88" s="410"/>
      <c r="R88" s="410"/>
      <c r="S88" s="410"/>
      <c r="T88" s="410"/>
      <c r="U88" s="410"/>
      <c r="V88" s="410"/>
      <c r="W88" s="1259" t="s">
        <v>107</v>
      </c>
      <c r="X88" s="1259"/>
      <c r="Y88" s="1259"/>
      <c r="Z88" s="410"/>
      <c r="AA88" s="407"/>
      <c r="AB88" s="410"/>
      <c r="AC88" s="410"/>
      <c r="AD88" s="410"/>
      <c r="AE88" s="410"/>
      <c r="AF88" s="410"/>
      <c r="AG88" s="410"/>
      <c r="AH88" s="410"/>
      <c r="AI88" s="410"/>
      <c r="AJ88" s="410"/>
      <c r="AK88" s="410"/>
      <c r="AL88" s="410"/>
      <c r="AM88" s="410"/>
      <c r="AN88" s="410"/>
      <c r="AO88" s="410"/>
      <c r="AP88" s="410"/>
      <c r="AQ88" s="410"/>
      <c r="AR88" s="410"/>
      <c r="AS88" s="410"/>
      <c r="AT88" s="410"/>
      <c r="AU88" s="410"/>
      <c r="AV88" s="410"/>
      <c r="AW88" s="410"/>
      <c r="AX88" s="410"/>
      <c r="AY88" s="410"/>
      <c r="AZ88" s="410"/>
      <c r="BA88" s="410"/>
      <c r="BB88" s="410"/>
      <c r="BC88" s="410"/>
      <c r="BD88" s="410"/>
      <c r="BE88" s="410"/>
      <c r="BF88" s="410"/>
      <c r="BG88" s="410"/>
      <c r="BH88" s="410"/>
      <c r="BI88" s="410"/>
      <c r="BJ88" s="410"/>
      <c r="BK88" s="410"/>
      <c r="BL88" s="410"/>
    </row>
    <row r="89" spans="1:64" x14ac:dyDescent="0.2">
      <c r="A89" s="849">
        <f t="shared" si="3"/>
        <v>22</v>
      </c>
      <c r="B89" s="410" t="s">
        <v>91</v>
      </c>
      <c r="C89" s="410"/>
      <c r="D89" s="410"/>
      <c r="E89" s="410"/>
      <c r="F89" s="410"/>
      <c r="G89" s="850"/>
      <c r="H89" s="410"/>
      <c r="I89" s="1256"/>
      <c r="J89" s="410"/>
      <c r="K89" s="410"/>
      <c r="L89" s="410"/>
      <c r="M89" s="410"/>
      <c r="N89" s="410"/>
      <c r="R89" s="410"/>
      <c r="S89" s="410"/>
      <c r="T89" s="410"/>
      <c r="U89" s="410"/>
      <c r="V89" s="410" t="s">
        <v>197</v>
      </c>
      <c r="W89" s="1259" t="s">
        <v>101</v>
      </c>
      <c r="X89" s="1259"/>
      <c r="Y89" s="1259"/>
      <c r="Z89" s="410"/>
      <c r="AA89" s="410"/>
      <c r="AB89" s="410"/>
      <c r="AC89" s="410"/>
      <c r="AD89" s="410"/>
      <c r="AE89" s="410"/>
      <c r="AF89" s="410"/>
      <c r="AG89" s="410"/>
      <c r="AH89" s="410"/>
      <c r="AI89" s="410"/>
      <c r="AJ89" s="410"/>
      <c r="AK89" s="410"/>
      <c r="AL89" s="410"/>
      <c r="AM89" s="410"/>
      <c r="AN89" s="410"/>
      <c r="AO89" s="410"/>
      <c r="AP89" s="410"/>
      <c r="AQ89" s="410"/>
      <c r="AR89" s="410"/>
      <c r="AS89" s="410"/>
      <c r="AT89" s="410"/>
      <c r="AU89" s="410"/>
      <c r="AV89" s="410"/>
      <c r="AW89" s="410"/>
      <c r="AX89" s="410"/>
      <c r="AY89" s="410"/>
      <c r="AZ89" s="410"/>
      <c r="BA89" s="410"/>
      <c r="BB89" s="410"/>
      <c r="BC89" s="410"/>
      <c r="BD89" s="410"/>
      <c r="BE89" s="410"/>
      <c r="BF89" s="410"/>
      <c r="BG89" s="410"/>
      <c r="BH89" s="410"/>
      <c r="BI89" s="410"/>
      <c r="BJ89" s="410"/>
      <c r="BK89" s="410"/>
      <c r="BL89" s="410"/>
    </row>
    <row r="90" spans="1:64" x14ac:dyDescent="0.2">
      <c r="A90" s="849">
        <f t="shared" si="3"/>
        <v>23</v>
      </c>
      <c r="B90" s="410" t="s">
        <v>92</v>
      </c>
      <c r="C90" s="410"/>
      <c r="D90" s="410"/>
      <c r="E90" s="410"/>
      <c r="F90" s="410"/>
      <c r="G90" s="850"/>
      <c r="H90" s="410"/>
      <c r="I90" s="1256"/>
      <c r="J90" s="410"/>
      <c r="K90" s="410"/>
      <c r="L90" s="410"/>
      <c r="M90" s="410"/>
      <c r="N90" s="410"/>
      <c r="O90" s="410" t="str">
        <f>IF(A35=0,"Сок, хлеб","Арбуз, хлеб")</f>
        <v>Сок, хлеб</v>
      </c>
      <c r="R90" s="407" t="str">
        <f>IF($I$23="Лука",", лук"," , чеснок")</f>
        <v xml:space="preserve"> , чеснок</v>
      </c>
      <c r="S90" s="410" t="s">
        <v>120</v>
      </c>
      <c r="T90" s="410"/>
      <c r="U90" s="410"/>
      <c r="V90" s="410" t="s">
        <v>197</v>
      </c>
      <c r="W90" s="1259" t="s">
        <v>102</v>
      </c>
      <c r="X90" s="1259"/>
      <c r="Y90" s="1259"/>
      <c r="Z90" s="410"/>
      <c r="AA90" s="407"/>
      <c r="AB90" s="410"/>
      <c r="AC90" s="410"/>
      <c r="AD90" s="410"/>
      <c r="AE90" s="410"/>
      <c r="AF90" s="410"/>
      <c r="AG90" s="410"/>
      <c r="AH90" s="410"/>
      <c r="AI90" s="410"/>
      <c r="AJ90" s="410"/>
      <c r="AK90" s="410"/>
      <c r="AL90" s="410"/>
      <c r="AM90" s="410"/>
      <c r="AN90" s="410"/>
      <c r="AO90" s="410"/>
      <c r="AP90" s="410"/>
      <c r="AQ90" s="410"/>
      <c r="AR90" s="410"/>
      <c r="AS90" s="410"/>
      <c r="AT90" s="410"/>
      <c r="AU90" s="410"/>
      <c r="AV90" s="410"/>
      <c r="AW90" s="410"/>
      <c r="AX90" s="410"/>
      <c r="AY90" s="410"/>
      <c r="AZ90" s="410"/>
      <c r="BA90" s="410"/>
      <c r="BB90" s="410"/>
      <c r="BC90" s="410"/>
      <c r="BD90" s="410"/>
      <c r="BE90" s="410"/>
      <c r="BF90" s="410"/>
      <c r="BG90" s="410"/>
      <c r="BH90" s="410"/>
      <c r="BI90" s="410"/>
      <c r="BJ90" s="410"/>
      <c r="BK90" s="410"/>
      <c r="BL90" s="410"/>
    </row>
    <row r="91" spans="1:64" x14ac:dyDescent="0.2">
      <c r="A91" s="849">
        <f t="shared" si="3"/>
        <v>24</v>
      </c>
      <c r="B91" s="410" t="s">
        <v>264</v>
      </c>
      <c r="C91" s="410"/>
      <c r="D91" s="410"/>
      <c r="E91" s="410"/>
      <c r="F91" s="410"/>
      <c r="G91" s="852" t="s">
        <v>90</v>
      </c>
      <c r="H91" s="458"/>
      <c r="I91" s="1256"/>
      <c r="J91" s="410"/>
      <c r="K91" s="410"/>
      <c r="L91" s="410"/>
      <c r="M91" s="410"/>
      <c r="N91" s="410"/>
      <c r="O91" s="410" t="s">
        <v>101</v>
      </c>
      <c r="R91" s="407"/>
      <c r="S91" s="410" t="s">
        <v>120</v>
      </c>
      <c r="T91" s="410"/>
      <c r="U91" s="410"/>
      <c r="V91" s="410"/>
      <c r="W91" s="1259" t="s">
        <v>103</v>
      </c>
      <c r="X91" s="1259"/>
      <c r="Y91" s="1259"/>
      <c r="Z91" s="410"/>
      <c r="AA91" s="407"/>
      <c r="AB91" s="410"/>
      <c r="AC91" s="410"/>
      <c r="AD91" s="410"/>
      <c r="AE91" s="410"/>
      <c r="AF91" s="410"/>
      <c r="AG91" s="410"/>
      <c r="AH91" s="410"/>
      <c r="AI91" s="410"/>
      <c r="AJ91" s="410"/>
      <c r="AK91" s="410"/>
      <c r="AL91" s="410"/>
      <c r="AM91" s="410"/>
      <c r="AN91" s="410"/>
      <c r="AO91" s="410"/>
      <c r="AP91" s="410"/>
      <c r="AQ91" s="410"/>
      <c r="AR91" s="410"/>
      <c r="AS91" s="410"/>
      <c r="AT91" s="410"/>
      <c r="AU91" s="410"/>
      <c r="AV91" s="410"/>
      <c r="AW91" s="410"/>
      <c r="AX91" s="410"/>
      <c r="AY91" s="410"/>
      <c r="AZ91" s="410"/>
      <c r="BA91" s="410"/>
      <c r="BB91" s="410"/>
      <c r="BC91" s="410"/>
      <c r="BD91" s="410"/>
      <c r="BE91" s="410"/>
      <c r="BF91" s="410"/>
      <c r="BG91" s="410"/>
      <c r="BH91" s="410"/>
      <c r="BI91" s="410"/>
      <c r="BJ91" s="410"/>
      <c r="BK91" s="410"/>
      <c r="BL91" s="410"/>
    </row>
    <row r="92" spans="1:64" x14ac:dyDescent="0.2">
      <c r="A92" s="849">
        <v>25</v>
      </c>
      <c r="B92" s="410" t="s">
        <v>571</v>
      </c>
      <c r="C92" s="410"/>
      <c r="D92" s="410"/>
      <c r="E92" s="844">
        <v>19</v>
      </c>
      <c r="F92" s="410"/>
      <c r="G92" s="850"/>
      <c r="H92" s="410"/>
      <c r="I92" s="1256" t="s">
        <v>43</v>
      </c>
      <c r="J92" s="410"/>
      <c r="K92" s="410"/>
      <c r="L92" s="410">
        <f>IF(AND(E92&gt;=21,E92&lt;=23),0.5,0)</f>
        <v>0</v>
      </c>
      <c r="M92" s="410"/>
      <c r="N92" s="410"/>
      <c r="O92" s="438" t="str">
        <f>IF(AA32=0,"",IF(Z28=1,CONCATENATE("Яблоко,",P96,", хлеб"),IF(Z28=2,CONCATENATE("Апельсины,",P96,", хлеб"),IF(Z28=3,CONCATENATE("Мандарины,",P96,", хлеб"),IF(Z28=4,CONCATENATE("Ягоды,",P96,", хлеб"))))))</f>
        <v/>
      </c>
      <c r="R92" s="407"/>
      <c r="S92" s="410" t="s">
        <v>120</v>
      </c>
      <c r="T92" s="410"/>
      <c r="U92" s="407" t="s">
        <v>593</v>
      </c>
      <c r="V92" s="407" t="str">
        <f>CONCATENATE(" хлеб, масло, сахар, чай ",R111)</f>
        <v xml:space="preserve"> хлеб, масло, сахар, чай , булочка</v>
      </c>
      <c r="W92" s="1259" t="s">
        <v>106</v>
      </c>
      <c r="X92" s="1259"/>
      <c r="Y92" s="1259"/>
      <c r="Z92" s="410"/>
      <c r="AA92" s="407"/>
      <c r="AB92" s="410"/>
      <c r="AC92" s="410"/>
      <c r="AD92" s="410"/>
      <c r="AE92" s="410"/>
      <c r="AF92" s="410"/>
      <c r="AG92" s="410"/>
      <c r="AH92" s="410"/>
      <c r="AI92" s="410"/>
      <c r="AJ92" s="410"/>
      <c r="AK92" s="410"/>
      <c r="AL92" s="410"/>
      <c r="AM92" s="410"/>
      <c r="AN92" s="410"/>
      <c r="AO92" s="410"/>
      <c r="AP92" s="410"/>
      <c r="AQ92" s="410"/>
      <c r="AR92" s="410"/>
      <c r="AS92" s="410"/>
      <c r="AT92" s="410"/>
      <c r="AU92" s="410"/>
      <c r="AV92" s="410"/>
      <c r="AW92" s="410"/>
      <c r="AX92" s="410"/>
      <c r="AY92" s="410"/>
      <c r="AZ92" s="410"/>
      <c r="BA92" s="410"/>
      <c r="BB92" s="410"/>
      <c r="BC92" s="410"/>
      <c r="BD92" s="410"/>
      <c r="BE92" s="410"/>
      <c r="BF92" s="410"/>
      <c r="BG92" s="410"/>
      <c r="BH92" s="410"/>
      <c r="BI92" s="410"/>
      <c r="BJ92" s="410"/>
      <c r="BK92" s="410"/>
      <c r="BL92" s="410"/>
    </row>
    <row r="93" spans="1:64" x14ac:dyDescent="0.2">
      <c r="A93" s="849">
        <f t="shared" si="3"/>
        <v>26</v>
      </c>
      <c r="B93" s="410" t="s">
        <v>572</v>
      </c>
      <c r="C93" s="410"/>
      <c r="D93" s="410"/>
      <c r="E93" s="410"/>
      <c r="F93" s="410"/>
      <c r="G93" s="850"/>
      <c r="H93" s="410"/>
      <c r="I93" s="1256"/>
      <c r="J93" s="410"/>
      <c r="K93" s="410"/>
      <c r="L93" s="410"/>
      <c r="M93" s="410"/>
      <c r="N93" s="410"/>
      <c r="O93" s="410" t="str">
        <f>""</f>
        <v/>
      </c>
      <c r="R93" s="407"/>
      <c r="S93" s="410" t="s">
        <v>120</v>
      </c>
      <c r="T93" s="410"/>
      <c r="U93" s="407" t="s">
        <v>594</v>
      </c>
      <c r="V93" s="407" t="str">
        <f>CONCATENATE(" хлеб, масло, сахар, чай, яйцо",R111)</f>
        <v xml:space="preserve"> хлеб, масло, сахар, чай, яйцо, булочка</v>
      </c>
      <c r="W93" s="1259" t="s">
        <v>107</v>
      </c>
      <c r="X93" s="1259"/>
      <c r="Y93" s="1259"/>
      <c r="Z93" s="410"/>
      <c r="AA93" s="407"/>
      <c r="AB93" s="410"/>
      <c r="AC93" s="410"/>
      <c r="AD93" s="410"/>
      <c r="AE93" s="410"/>
      <c r="AF93" s="410"/>
      <c r="AG93" s="410"/>
      <c r="AH93" s="410"/>
      <c r="AI93" s="410"/>
      <c r="AJ93" s="410"/>
      <c r="AK93" s="410"/>
      <c r="AL93" s="410"/>
      <c r="AM93" s="410"/>
      <c r="AN93" s="410"/>
      <c r="AO93" s="410"/>
      <c r="AP93" s="410"/>
      <c r="AQ93" s="410"/>
      <c r="AR93" s="410"/>
      <c r="AS93" s="410"/>
      <c r="AT93" s="410"/>
      <c r="AU93" s="410"/>
      <c r="AV93" s="410"/>
      <c r="AW93" s="410"/>
      <c r="AX93" s="410"/>
      <c r="AY93" s="410"/>
      <c r="AZ93" s="410"/>
      <c r="BA93" s="410"/>
      <c r="BB93" s="410"/>
      <c r="BC93" s="410"/>
      <c r="BD93" s="410"/>
      <c r="BE93" s="410"/>
      <c r="BF93" s="410"/>
      <c r="BG93" s="410"/>
      <c r="BH93" s="410"/>
      <c r="BI93" s="410"/>
      <c r="BJ93" s="410"/>
      <c r="BK93" s="410"/>
      <c r="BL93" s="410"/>
    </row>
    <row r="94" spans="1:64" x14ac:dyDescent="0.2">
      <c r="A94" s="849">
        <v>26</v>
      </c>
      <c r="B94" s="410"/>
      <c r="C94" s="410"/>
      <c r="D94" s="410"/>
      <c r="E94" s="410"/>
      <c r="F94" s="410"/>
      <c r="G94" s="850"/>
      <c r="H94" s="410"/>
      <c r="I94" s="1256"/>
      <c r="J94" s="410"/>
      <c r="K94" s="410"/>
      <c r="L94" s="410"/>
      <c r="M94" s="410"/>
      <c r="N94" s="410"/>
      <c r="O94" s="410" t="str">
        <f>""</f>
        <v/>
      </c>
      <c r="R94" s="407"/>
      <c r="S94" s="410" t="s">
        <v>120</v>
      </c>
      <c r="T94" s="410"/>
      <c r="U94" s="407" t="s">
        <v>595</v>
      </c>
      <c r="V94" s="407" t="str">
        <f>CONCATENATE(" хлеб, масло, сахар, чай, омлет",R111)</f>
        <v xml:space="preserve"> хлеб, масло, сахар, чай, омлет, булочка</v>
      </c>
      <c r="W94" s="1259" t="s">
        <v>101</v>
      </c>
      <c r="X94" s="1259"/>
      <c r="Y94" s="1259"/>
      <c r="Z94" s="410"/>
      <c r="AA94" s="407"/>
      <c r="AB94" s="410"/>
      <c r="AC94" s="410"/>
      <c r="AD94" s="410"/>
      <c r="AE94" s="410"/>
      <c r="AF94" s="410"/>
      <c r="AG94" s="410"/>
      <c r="AH94" s="410"/>
      <c r="AI94" s="410"/>
      <c r="AJ94" s="410"/>
      <c r="AK94" s="410"/>
      <c r="AL94" s="410"/>
      <c r="AM94" s="410"/>
      <c r="AN94" s="410"/>
      <c r="AO94" s="410"/>
      <c r="AP94" s="410"/>
      <c r="AQ94" s="410"/>
      <c r="AR94" s="410"/>
      <c r="AS94" s="410"/>
      <c r="AT94" s="410"/>
      <c r="AU94" s="410"/>
      <c r="AV94" s="410"/>
      <c r="AW94" s="410"/>
      <c r="AX94" s="410"/>
      <c r="AY94" s="410"/>
      <c r="AZ94" s="410"/>
      <c r="BA94" s="410"/>
      <c r="BB94" s="410"/>
      <c r="BC94" s="410"/>
      <c r="BD94" s="410"/>
      <c r="BE94" s="410"/>
      <c r="BF94" s="410"/>
      <c r="BG94" s="410"/>
      <c r="BH94" s="410"/>
      <c r="BI94" s="410"/>
      <c r="BJ94" s="410"/>
      <c r="BK94" s="410"/>
      <c r="BL94" s="410"/>
    </row>
    <row r="95" spans="1:64" x14ac:dyDescent="0.2">
      <c r="A95" s="849">
        <f t="shared" si="3"/>
        <v>27</v>
      </c>
      <c r="B95" s="410"/>
      <c r="C95" s="410"/>
      <c r="D95" s="410"/>
      <c r="E95" s="410"/>
      <c r="F95" s="410"/>
      <c r="G95" s="852" t="s">
        <v>89</v>
      </c>
      <c r="H95" s="458"/>
      <c r="I95" s="1256"/>
      <c r="J95" s="410"/>
      <c r="K95" s="410"/>
      <c r="L95" s="410"/>
      <c r="M95" s="410"/>
      <c r="N95" s="410"/>
      <c r="O95" s="410" t="str">
        <f>""</f>
        <v/>
      </c>
      <c r="P95" s="438"/>
      <c r="Q95" s="438"/>
      <c r="R95" s="407"/>
      <c r="S95" s="410" t="s">
        <v>120</v>
      </c>
      <c r="T95" s="410"/>
      <c r="U95" s="407" t="s">
        <v>596</v>
      </c>
      <c r="V95" s="410" t="str">
        <f>CONCATENATE(" хлеб, масло, сахар, чай, молоко",R111)</f>
        <v xml:space="preserve"> хлеб, масло, сахар, чай, молоко, булочка</v>
      </c>
      <c r="W95" s="1259" t="s">
        <v>102</v>
      </c>
      <c r="X95" s="1259"/>
      <c r="Y95" s="1259"/>
      <c r="Z95" s="410"/>
      <c r="AA95" s="407"/>
      <c r="AB95" s="410"/>
      <c r="AC95" s="410"/>
      <c r="AD95" s="410"/>
      <c r="AE95" s="410"/>
      <c r="AF95" s="410"/>
      <c r="AG95" s="410"/>
      <c r="AH95" s="410"/>
      <c r="AI95" s="410"/>
      <c r="AJ95" s="410"/>
      <c r="AK95" s="410"/>
      <c r="AL95" s="410"/>
      <c r="AM95" s="410"/>
      <c r="AN95" s="410"/>
      <c r="AO95" s="410"/>
      <c r="AP95" s="410"/>
      <c r="AQ95" s="410"/>
      <c r="AR95" s="410"/>
      <c r="AS95" s="410"/>
      <c r="AT95" s="410"/>
      <c r="AU95" s="410"/>
      <c r="AV95" s="410"/>
      <c r="AW95" s="410"/>
      <c r="AX95" s="410"/>
      <c r="AY95" s="410"/>
      <c r="AZ95" s="410"/>
      <c r="BA95" s="410"/>
      <c r="BB95" s="410"/>
      <c r="BC95" s="410"/>
      <c r="BD95" s="410"/>
      <c r="BE95" s="410"/>
      <c r="BF95" s="410"/>
      <c r="BG95" s="410"/>
      <c r="BH95" s="410"/>
      <c r="BI95" s="410"/>
      <c r="BJ95" s="410"/>
      <c r="BK95" s="410"/>
      <c r="BL95" s="410"/>
    </row>
    <row r="96" spans="1:64" x14ac:dyDescent="0.2">
      <c r="A96" s="849">
        <v>27</v>
      </c>
      <c r="B96" s="410"/>
      <c r="C96" s="410"/>
      <c r="D96" s="410"/>
      <c r="E96" s="844">
        <v>1</v>
      </c>
      <c r="F96" s="410"/>
      <c r="G96" s="850"/>
      <c r="H96" s="410"/>
      <c r="I96" s="1256"/>
      <c r="J96" s="410"/>
      <c r="K96" s="410"/>
      <c r="L96" s="410">
        <f>IF(AND(E96&gt;=21,E96&lt;=23),0.5,0)</f>
        <v>0</v>
      </c>
      <c r="M96" s="410"/>
      <c r="N96" s="410"/>
      <c r="O96" s="410" t="str">
        <f>""</f>
        <v/>
      </c>
      <c r="P96" s="438" t="str">
        <f>IF(A35=0," сок"," арбуз" )</f>
        <v xml:space="preserve"> сок</v>
      </c>
      <c r="Q96" s="438"/>
      <c r="R96" s="407"/>
      <c r="S96" s="410" t="s">
        <v>120</v>
      </c>
      <c r="T96" s="410"/>
      <c r="U96" s="407" t="s">
        <v>597</v>
      </c>
      <c r="V96" s="407"/>
      <c r="W96" s="1259" t="s">
        <v>103</v>
      </c>
      <c r="X96" s="1259"/>
      <c r="Y96" s="1259"/>
      <c r="Z96" s="410"/>
      <c r="AA96" s="407"/>
      <c r="AB96" s="410"/>
      <c r="AC96" s="410"/>
      <c r="AD96" s="410"/>
      <c r="AE96" s="410"/>
      <c r="AF96" s="410"/>
      <c r="AG96" s="410"/>
      <c r="AH96" s="410"/>
      <c r="AI96" s="410"/>
      <c r="AJ96" s="410"/>
      <c r="AK96" s="410"/>
      <c r="AL96" s="410"/>
      <c r="AM96" s="410"/>
      <c r="AN96" s="410"/>
      <c r="AO96" s="410"/>
      <c r="AP96" s="410"/>
      <c r="AQ96" s="410"/>
      <c r="AR96" s="410"/>
      <c r="AS96" s="410"/>
      <c r="AT96" s="410"/>
      <c r="AU96" s="410"/>
      <c r="AV96" s="410"/>
      <c r="AW96" s="410"/>
      <c r="AX96" s="410"/>
      <c r="AY96" s="410"/>
      <c r="AZ96" s="410"/>
      <c r="BA96" s="410"/>
      <c r="BB96" s="410"/>
      <c r="BC96" s="410"/>
      <c r="BD96" s="410"/>
      <c r="BE96" s="410"/>
      <c r="BF96" s="410"/>
      <c r="BG96" s="410"/>
      <c r="BH96" s="410"/>
      <c r="BI96" s="410"/>
      <c r="BJ96" s="410"/>
      <c r="BK96" s="410"/>
      <c r="BL96" s="410"/>
    </row>
    <row r="97" spans="1:64" x14ac:dyDescent="0.2">
      <c r="A97" s="849">
        <f t="shared" si="3"/>
        <v>28</v>
      </c>
      <c r="B97" s="410"/>
      <c r="C97" s="410"/>
      <c r="D97" s="410"/>
      <c r="E97" s="410"/>
      <c r="F97" s="410"/>
      <c r="G97" s="850"/>
      <c r="H97" s="410"/>
      <c r="I97" s="1256"/>
      <c r="J97" s="410"/>
      <c r="K97" s="410"/>
      <c r="L97" s="410"/>
      <c r="M97" s="410"/>
      <c r="N97" s="410"/>
      <c r="O97" s="410" t="str">
        <f>""</f>
        <v/>
      </c>
      <c r="P97" s="407"/>
      <c r="Q97" s="407"/>
      <c r="R97" s="407"/>
      <c r="S97" s="410" t="s">
        <v>120</v>
      </c>
      <c r="T97" s="410"/>
      <c r="U97" s="407" t="s">
        <v>598</v>
      </c>
      <c r="V97" s="407"/>
      <c r="W97" s="1259" t="s">
        <v>106</v>
      </c>
      <c r="X97" s="1259"/>
      <c r="Y97" s="1259"/>
      <c r="Z97" s="410"/>
      <c r="AA97" s="407"/>
      <c r="AB97" s="410"/>
      <c r="AC97" s="410"/>
      <c r="AD97" s="410"/>
      <c r="AE97" s="410"/>
      <c r="AF97" s="410"/>
      <c r="AG97" s="410"/>
      <c r="AH97" s="410"/>
      <c r="AI97" s="410"/>
      <c r="AJ97" s="410"/>
      <c r="AK97" s="410"/>
      <c r="AL97" s="410"/>
      <c r="AM97" s="410"/>
      <c r="AN97" s="410"/>
      <c r="AO97" s="410"/>
      <c r="AP97" s="410"/>
      <c r="AQ97" s="410"/>
      <c r="AR97" s="410"/>
      <c r="AS97" s="410"/>
      <c r="AT97" s="410"/>
      <c r="AU97" s="410"/>
      <c r="AV97" s="410"/>
      <c r="AW97" s="410"/>
      <c r="AX97" s="410"/>
      <c r="AY97" s="410"/>
      <c r="AZ97" s="410"/>
      <c r="BA97" s="410"/>
      <c r="BB97" s="410"/>
      <c r="BC97" s="410"/>
      <c r="BD97" s="410"/>
      <c r="BE97" s="410"/>
      <c r="BF97" s="410"/>
      <c r="BG97" s="410"/>
      <c r="BH97" s="410"/>
      <c r="BI97" s="410"/>
      <c r="BJ97" s="410"/>
      <c r="BK97" s="410"/>
      <c r="BL97" s="410"/>
    </row>
    <row r="98" spans="1:64" x14ac:dyDescent="0.2">
      <c r="A98" s="849">
        <v>28</v>
      </c>
      <c r="B98" s="410"/>
      <c r="C98" s="410"/>
      <c r="D98" s="410"/>
      <c r="E98" s="410"/>
      <c r="F98" s="410"/>
      <c r="G98" s="850"/>
      <c r="H98" s="410"/>
      <c r="I98" s="1256"/>
      <c r="J98" s="410"/>
      <c r="K98" s="410"/>
      <c r="L98" s="410"/>
      <c r="M98" s="410"/>
      <c r="N98" s="410"/>
      <c r="O98" s="410" t="str">
        <f>""</f>
        <v/>
      </c>
      <c r="P98" s="438"/>
      <c r="Q98" s="438"/>
      <c r="R98" s="407"/>
      <c r="S98" s="410"/>
      <c r="T98" s="410"/>
      <c r="U98" s="407" t="s">
        <v>599</v>
      </c>
      <c r="V98" s="407"/>
      <c r="W98" s="1259" t="s">
        <v>107</v>
      </c>
      <c r="X98" s="1259"/>
      <c r="Y98" s="1259"/>
      <c r="Z98" s="410"/>
      <c r="AA98" s="407"/>
      <c r="AB98" s="410"/>
      <c r="AC98" s="410"/>
      <c r="AD98" s="410"/>
      <c r="AE98" s="410"/>
      <c r="AF98" s="410"/>
      <c r="AG98" s="410"/>
      <c r="AH98" s="410"/>
      <c r="AI98" s="410"/>
      <c r="AJ98" s="410"/>
      <c r="AK98" s="410"/>
      <c r="AL98" s="410"/>
      <c r="AM98" s="410"/>
      <c r="AN98" s="410"/>
      <c r="AO98" s="410"/>
      <c r="AP98" s="410"/>
      <c r="AQ98" s="410"/>
      <c r="AR98" s="410"/>
      <c r="AS98" s="410"/>
      <c r="AT98" s="410"/>
      <c r="AU98" s="410"/>
      <c r="AV98" s="410"/>
      <c r="AW98" s="410"/>
      <c r="AX98" s="410"/>
      <c r="AY98" s="410"/>
      <c r="AZ98" s="410"/>
      <c r="BA98" s="410"/>
      <c r="BB98" s="410"/>
      <c r="BC98" s="410"/>
      <c r="BD98" s="410"/>
      <c r="BE98" s="410"/>
      <c r="BF98" s="410"/>
      <c r="BG98" s="410"/>
      <c r="BH98" s="410"/>
      <c r="BI98" s="410"/>
      <c r="BJ98" s="410"/>
      <c r="BK98" s="410"/>
      <c r="BL98" s="410"/>
    </row>
    <row r="99" spans="1:64" x14ac:dyDescent="0.2">
      <c r="A99" s="849">
        <f t="shared" si="3"/>
        <v>29</v>
      </c>
      <c r="B99" s="410"/>
      <c r="C99" s="410"/>
      <c r="D99" s="410"/>
      <c r="E99" s="410"/>
      <c r="F99" s="410"/>
      <c r="G99" s="852" t="s">
        <v>74</v>
      </c>
      <c r="H99" s="458"/>
      <c r="I99" s="1256"/>
      <c r="J99" s="410"/>
      <c r="K99" s="410"/>
      <c r="L99" s="410"/>
      <c r="M99" s="410"/>
      <c r="N99" s="410"/>
      <c r="O99" s="410" t="str">
        <f>""</f>
        <v/>
      </c>
      <c r="P99" s="438"/>
      <c r="Q99" s="438"/>
      <c r="R99" s="410"/>
      <c r="S99" s="410"/>
      <c r="T99" s="410"/>
      <c r="U99" s="407" t="s">
        <v>600</v>
      </c>
      <c r="V99" s="410"/>
      <c r="W99" s="1259" t="s">
        <v>101</v>
      </c>
      <c r="X99" s="1259"/>
      <c r="Y99" s="1259"/>
      <c r="Z99" s="410"/>
      <c r="AA99" s="407"/>
      <c r="AB99" s="410"/>
      <c r="AC99" s="410"/>
      <c r="AD99" s="410"/>
      <c r="AE99" s="410"/>
      <c r="AF99" s="410"/>
      <c r="AG99" s="410"/>
      <c r="AH99" s="410"/>
      <c r="AI99" s="410"/>
      <c r="AJ99" s="410"/>
      <c r="AK99" s="410"/>
      <c r="AL99" s="410"/>
      <c r="AM99" s="410"/>
      <c r="AN99" s="410"/>
      <c r="AO99" s="410"/>
      <c r="AP99" s="410"/>
      <c r="AQ99" s="410"/>
      <c r="AR99" s="410"/>
      <c r="AS99" s="410"/>
      <c r="AT99" s="410"/>
      <c r="AU99" s="410"/>
      <c r="AV99" s="410"/>
      <c r="AW99" s="410"/>
      <c r="AX99" s="410"/>
      <c r="AY99" s="410"/>
      <c r="AZ99" s="410"/>
      <c r="BA99" s="410"/>
      <c r="BB99" s="410"/>
      <c r="BC99" s="410"/>
      <c r="BD99" s="410"/>
      <c r="BE99" s="410"/>
      <c r="BF99" s="410"/>
      <c r="BG99" s="410"/>
      <c r="BH99" s="410"/>
      <c r="BI99" s="410"/>
      <c r="BJ99" s="410"/>
      <c r="BK99" s="410"/>
      <c r="BL99" s="410"/>
    </row>
    <row r="100" spans="1:64" x14ac:dyDescent="0.2">
      <c r="A100" s="849">
        <v>29</v>
      </c>
      <c r="B100" s="410"/>
      <c r="C100" s="410"/>
      <c r="D100" s="410"/>
      <c r="E100" s="844">
        <v>19</v>
      </c>
      <c r="F100" s="410"/>
      <c r="G100" s="850"/>
      <c r="H100" s="410"/>
      <c r="I100" s="1256" t="s">
        <v>58</v>
      </c>
      <c r="J100" s="410"/>
      <c r="K100" s="410"/>
      <c r="L100" s="410">
        <f>IF(AND(E100&gt;=21,E100&lt;=23),0.5,0)</f>
        <v>0</v>
      </c>
      <c r="M100" s="410"/>
      <c r="N100" s="410"/>
      <c r="Q100" s="410" t="s">
        <v>179</v>
      </c>
      <c r="S100" s="410" t="s">
        <v>605</v>
      </c>
      <c r="T100" s="410"/>
      <c r="U100" s="410"/>
      <c r="V100" s="410"/>
      <c r="W100" s="1259" t="s">
        <v>102</v>
      </c>
      <c r="X100" s="1259"/>
      <c r="Y100" s="1259"/>
      <c r="Z100" s="410"/>
      <c r="AA100" s="407"/>
      <c r="AB100" s="410"/>
      <c r="AC100" s="410"/>
      <c r="AD100" s="410"/>
      <c r="AE100" s="410"/>
      <c r="AF100" s="410"/>
      <c r="AG100" s="410"/>
      <c r="AH100" s="410"/>
      <c r="AI100" s="410"/>
      <c r="AJ100" s="410"/>
      <c r="AK100" s="410"/>
      <c r="AL100" s="410"/>
      <c r="AM100" s="410"/>
      <c r="AN100" s="410"/>
      <c r="AO100" s="410"/>
      <c r="AP100" s="410"/>
      <c r="AQ100" s="410"/>
      <c r="AR100" s="410"/>
      <c r="AS100" s="410"/>
      <c r="AT100" s="410"/>
      <c r="AU100" s="410"/>
      <c r="AV100" s="410"/>
      <c r="AW100" s="410"/>
      <c r="AX100" s="410"/>
      <c r="AY100" s="410"/>
      <c r="AZ100" s="410"/>
      <c r="BA100" s="410"/>
      <c r="BB100" s="410"/>
      <c r="BC100" s="410"/>
      <c r="BD100" s="410"/>
      <c r="BE100" s="410"/>
      <c r="BF100" s="410"/>
      <c r="BG100" s="410"/>
      <c r="BH100" s="410"/>
      <c r="BI100" s="410"/>
      <c r="BJ100" s="410"/>
      <c r="BK100" s="410"/>
      <c r="BL100" s="410"/>
    </row>
    <row r="101" spans="1:64" x14ac:dyDescent="0.2">
      <c r="A101" s="849">
        <f t="shared" si="3"/>
        <v>30</v>
      </c>
      <c r="B101" s="410"/>
      <c r="C101" s="410"/>
      <c r="D101" s="410"/>
      <c r="E101" s="410"/>
      <c r="F101" s="410"/>
      <c r="G101" s="850"/>
      <c r="H101" s="410"/>
      <c r="I101" s="1256"/>
      <c r="J101" s="410"/>
      <c r="K101" s="410"/>
      <c r="L101" s="410"/>
      <c r="M101" s="410"/>
      <c r="N101" s="410"/>
      <c r="Q101" s="410" t="s">
        <v>180</v>
      </c>
      <c r="R101" s="410"/>
      <c r="S101" s="410" t="s">
        <v>606</v>
      </c>
      <c r="T101" s="410"/>
      <c r="U101" s="410"/>
      <c r="V101" s="410"/>
      <c r="W101" s="1259" t="s">
        <v>103</v>
      </c>
      <c r="X101" s="1259"/>
      <c r="Y101" s="1259"/>
      <c r="Z101" s="410"/>
      <c r="AA101" s="410"/>
      <c r="AB101" s="410"/>
      <c r="AC101" s="410"/>
      <c r="AD101" s="410"/>
      <c r="AE101" s="410"/>
      <c r="AF101" s="410"/>
      <c r="AG101" s="410"/>
      <c r="AH101" s="410"/>
      <c r="AI101" s="410"/>
      <c r="AJ101" s="410"/>
      <c r="AK101" s="410"/>
      <c r="AL101" s="410"/>
      <c r="AM101" s="410"/>
      <c r="AN101" s="410"/>
      <c r="AO101" s="410"/>
      <c r="AP101" s="410"/>
      <c r="AQ101" s="410"/>
      <c r="AR101" s="410"/>
      <c r="AS101" s="410"/>
      <c r="AT101" s="410"/>
      <c r="AU101" s="410"/>
      <c r="AV101" s="410"/>
      <c r="AW101" s="410"/>
      <c r="AX101" s="410"/>
      <c r="AY101" s="410"/>
      <c r="AZ101" s="410"/>
      <c r="BA101" s="410"/>
      <c r="BB101" s="410"/>
      <c r="BC101" s="410"/>
      <c r="BD101" s="410"/>
      <c r="BE101" s="410"/>
      <c r="BF101" s="410"/>
      <c r="BG101" s="410"/>
      <c r="BH101" s="410"/>
      <c r="BI101" s="410"/>
      <c r="BJ101" s="410"/>
      <c r="BK101" s="410"/>
      <c r="BL101" s="410"/>
    </row>
    <row r="102" spans="1:64" x14ac:dyDescent="0.2">
      <c r="A102" s="849">
        <v>30</v>
      </c>
      <c r="B102" s="410"/>
      <c r="C102" s="410"/>
      <c r="D102" s="410"/>
      <c r="E102" s="410"/>
      <c r="F102" s="410"/>
      <c r="G102" s="850"/>
      <c r="H102" s="410"/>
      <c r="I102" s="1256"/>
      <c r="J102" s="410"/>
      <c r="K102" s="410"/>
      <c r="L102" s="410"/>
      <c r="M102" s="410"/>
      <c r="N102" s="410"/>
      <c r="R102" s="410"/>
      <c r="S102" s="410" t="s">
        <v>607</v>
      </c>
      <c r="T102" s="410"/>
      <c r="U102" s="410"/>
      <c r="V102" s="410"/>
      <c r="W102" s="1259" t="s">
        <v>106</v>
      </c>
      <c r="X102" s="1259"/>
      <c r="Y102" s="1259"/>
      <c r="Z102" s="410"/>
      <c r="AA102" s="407"/>
      <c r="AB102" s="410"/>
      <c r="AC102" s="410"/>
      <c r="AD102" s="410"/>
      <c r="AE102" s="410"/>
      <c r="AF102" s="410"/>
      <c r="AG102" s="410"/>
      <c r="AH102" s="410"/>
      <c r="AI102" s="410"/>
      <c r="AJ102" s="410"/>
      <c r="AK102" s="410"/>
      <c r="AL102" s="410"/>
      <c r="AM102" s="410"/>
      <c r="AN102" s="410"/>
      <c r="AO102" s="410"/>
      <c r="AP102" s="410"/>
      <c r="AQ102" s="410"/>
      <c r="AR102" s="410"/>
      <c r="AS102" s="410"/>
      <c r="AT102" s="410"/>
      <c r="AU102" s="410"/>
      <c r="AV102" s="410"/>
      <c r="AW102" s="410"/>
      <c r="AX102" s="410"/>
      <c r="AY102" s="410"/>
      <c r="AZ102" s="410"/>
      <c r="BA102" s="410"/>
      <c r="BB102" s="410"/>
      <c r="BC102" s="410"/>
      <c r="BD102" s="410"/>
      <c r="BE102" s="410"/>
      <c r="BF102" s="410"/>
      <c r="BG102" s="410"/>
      <c r="BH102" s="410"/>
      <c r="BI102" s="410"/>
      <c r="BJ102" s="410"/>
      <c r="BK102" s="410"/>
      <c r="BL102" s="410"/>
    </row>
    <row r="103" spans="1:64" x14ac:dyDescent="0.2">
      <c r="A103" s="849"/>
      <c r="B103" s="410"/>
      <c r="C103" s="410"/>
      <c r="D103" s="410"/>
      <c r="E103" s="410"/>
      <c r="F103" s="410"/>
      <c r="G103" s="852" t="s">
        <v>89</v>
      </c>
      <c r="H103" s="458"/>
      <c r="I103" s="1256"/>
      <c r="J103" s="410"/>
      <c r="K103" s="410"/>
      <c r="L103" s="410"/>
      <c r="M103" s="410"/>
      <c r="N103" s="410"/>
      <c r="O103" s="438"/>
      <c r="P103" s="438"/>
      <c r="Q103" s="438"/>
      <c r="R103" s="410"/>
      <c r="S103" s="410" t="s">
        <v>608</v>
      </c>
      <c r="T103" s="410"/>
      <c r="U103" s="410"/>
      <c r="V103" s="410" t="s">
        <v>197</v>
      </c>
      <c r="W103" s="1259" t="s">
        <v>107</v>
      </c>
      <c r="X103" s="1259"/>
      <c r="Y103" s="1259"/>
      <c r="Z103" s="410"/>
      <c r="AA103" s="407"/>
      <c r="AB103" s="410"/>
      <c r="AC103" s="410"/>
      <c r="AD103" s="410"/>
      <c r="AE103" s="410"/>
      <c r="AF103" s="410"/>
      <c r="AG103" s="410"/>
      <c r="AH103" s="410"/>
      <c r="AI103" s="410"/>
      <c r="AJ103" s="410"/>
      <c r="AK103" s="410"/>
      <c r="AL103" s="410"/>
      <c r="AM103" s="410"/>
      <c r="AN103" s="410"/>
      <c r="AO103" s="410"/>
      <c r="AP103" s="410"/>
      <c r="AQ103" s="410"/>
      <c r="AR103" s="410"/>
      <c r="AS103" s="410"/>
      <c r="AT103" s="410"/>
      <c r="AU103" s="410"/>
      <c r="AV103" s="410"/>
      <c r="AW103" s="410"/>
      <c r="AX103" s="410"/>
      <c r="AY103" s="410"/>
      <c r="AZ103" s="410"/>
      <c r="BA103" s="410"/>
      <c r="BB103" s="410"/>
      <c r="BC103" s="410"/>
      <c r="BD103" s="410"/>
      <c r="BE103" s="410"/>
      <c r="BF103" s="410"/>
      <c r="BG103" s="410"/>
      <c r="BH103" s="410"/>
      <c r="BI103" s="410"/>
      <c r="BJ103" s="410"/>
      <c r="BK103" s="410"/>
      <c r="BL103" s="410"/>
    </row>
    <row r="104" spans="1:64" x14ac:dyDescent="0.2">
      <c r="A104" s="853"/>
      <c r="B104" s="410"/>
      <c r="C104" s="410"/>
      <c r="D104" s="410"/>
      <c r="E104" s="844">
        <v>19</v>
      </c>
      <c r="F104" s="410"/>
      <c r="G104" s="850"/>
      <c r="H104" s="410"/>
      <c r="I104" s="1256"/>
      <c r="J104" s="410"/>
      <c r="K104" s="410"/>
      <c r="L104" s="410">
        <f>IF(AND(E104&gt;=21,E104&lt;=23),0.5,0)</f>
        <v>0</v>
      </c>
      <c r="M104" s="410"/>
      <c r="N104" s="410"/>
      <c r="R104" s="410"/>
      <c r="S104" s="410"/>
      <c r="T104" s="410"/>
      <c r="U104" s="410"/>
      <c r="V104" s="410" t="s">
        <v>197</v>
      </c>
      <c r="W104" s="1259" t="s">
        <v>101</v>
      </c>
      <c r="X104" s="1259"/>
      <c r="Y104" s="1259"/>
      <c r="Z104" s="410"/>
      <c r="AA104" s="407"/>
      <c r="AB104" s="410"/>
      <c r="AC104" s="410"/>
      <c r="AD104" s="410"/>
      <c r="AE104" s="410"/>
      <c r="AF104" s="410"/>
      <c r="AG104" s="410"/>
      <c r="AH104" s="410"/>
      <c r="AI104" s="410"/>
      <c r="AJ104" s="410"/>
      <c r="AK104" s="410"/>
      <c r="AL104" s="410"/>
      <c r="AM104" s="410"/>
      <c r="AN104" s="410"/>
      <c r="AO104" s="410"/>
      <c r="AP104" s="410"/>
      <c r="AQ104" s="410"/>
      <c r="AR104" s="410"/>
      <c r="AS104" s="410"/>
      <c r="AT104" s="410"/>
      <c r="AU104" s="410"/>
      <c r="AV104" s="410"/>
      <c r="AW104" s="410"/>
      <c r="AX104" s="410"/>
      <c r="AY104" s="410"/>
      <c r="AZ104" s="410"/>
      <c r="BA104" s="410"/>
      <c r="BB104" s="410"/>
      <c r="BC104" s="410"/>
      <c r="BD104" s="410"/>
      <c r="BE104" s="410"/>
      <c r="BF104" s="410"/>
      <c r="BG104" s="410"/>
      <c r="BH104" s="410"/>
      <c r="BI104" s="410"/>
      <c r="BJ104" s="410"/>
      <c r="BK104" s="410"/>
      <c r="BL104" s="410"/>
    </row>
    <row r="105" spans="1:64" x14ac:dyDescent="0.2">
      <c r="A105" s="853"/>
      <c r="B105" s="410"/>
      <c r="C105" s="410"/>
      <c r="D105" s="410"/>
      <c r="E105" s="410"/>
      <c r="F105" s="410"/>
      <c r="G105" s="850"/>
      <c r="H105" s="410"/>
      <c r="I105" s="1256"/>
      <c r="J105" s="410"/>
      <c r="K105" s="410"/>
      <c r="L105" s="410"/>
      <c r="M105" s="410"/>
      <c r="N105" s="410"/>
      <c r="R105" s="410"/>
      <c r="S105" s="410"/>
      <c r="T105" s="410"/>
      <c r="U105" s="410"/>
      <c r="V105" s="410"/>
      <c r="W105" s="1259" t="s">
        <v>102</v>
      </c>
      <c r="X105" s="1259"/>
      <c r="Y105" s="1259"/>
      <c r="Z105" s="410"/>
      <c r="AA105" s="407"/>
      <c r="AB105" s="410"/>
      <c r="AC105" s="410"/>
      <c r="AD105" s="410"/>
      <c r="AE105" s="410"/>
      <c r="AF105" s="410"/>
      <c r="AG105" s="410"/>
      <c r="AH105" s="410"/>
      <c r="AI105" s="410"/>
      <c r="AJ105" s="410"/>
      <c r="AK105" s="410"/>
      <c r="AL105" s="410"/>
      <c r="AM105" s="410"/>
      <c r="AN105" s="410"/>
      <c r="AO105" s="410"/>
      <c r="AP105" s="410"/>
      <c r="AQ105" s="410"/>
      <c r="AR105" s="410"/>
      <c r="AS105" s="410"/>
      <c r="AT105" s="410"/>
      <c r="AU105" s="410"/>
      <c r="AV105" s="410"/>
      <c r="AW105" s="410"/>
      <c r="AX105" s="410"/>
      <c r="AY105" s="410"/>
      <c r="AZ105" s="410"/>
      <c r="BA105" s="410"/>
      <c r="BB105" s="410"/>
      <c r="BC105" s="410"/>
      <c r="BD105" s="410"/>
      <c r="BE105" s="410"/>
      <c r="BF105" s="410"/>
      <c r="BG105" s="410"/>
      <c r="BH105" s="410"/>
      <c r="BI105" s="410"/>
      <c r="BJ105" s="410"/>
      <c r="BK105" s="410"/>
      <c r="BL105" s="410"/>
    </row>
    <row r="106" spans="1:64" x14ac:dyDescent="0.2">
      <c r="A106" s="853"/>
      <c r="B106" s="410"/>
      <c r="C106" s="410"/>
      <c r="D106" s="410"/>
      <c r="E106" s="410"/>
      <c r="F106" s="410"/>
      <c r="G106" s="850"/>
      <c r="H106" s="410"/>
      <c r="I106" s="1256"/>
      <c r="J106" s="410"/>
      <c r="K106" s="410"/>
      <c r="L106" s="410"/>
      <c r="M106" s="410"/>
      <c r="N106" s="410"/>
      <c r="P106" s="407"/>
      <c r="Q106" s="410" t="s">
        <v>189</v>
      </c>
      <c r="R106" s="410" t="str">
        <f>IF($T106=1,$S$100,IF($T106=2,$S$101,IF($T$106=3,$S$102,IF($T$106=4,$S$103,""))))</f>
        <v/>
      </c>
      <c r="S106" s="410" t="str">
        <f>IF($P$100=1,Q100,IF($P$100=2,Q101,""))</f>
        <v/>
      </c>
      <c r="T106" s="410">
        <v>0</v>
      </c>
      <c r="U106" s="407" t="s">
        <v>593</v>
      </c>
      <c r="V106" s="407" t="str">
        <f>CONCATENATE(" хлеб, масло, сахар, чай ",R112)</f>
        <v xml:space="preserve"> хлеб, масло, сахар, чай </v>
      </c>
      <c r="W106" s="1259" t="s">
        <v>103</v>
      </c>
      <c r="X106" s="1259"/>
      <c r="Y106" s="1259"/>
      <c r="Z106" s="410"/>
      <c r="AA106" s="407"/>
      <c r="AB106" s="410"/>
      <c r="AC106" s="410"/>
      <c r="AD106" s="410"/>
      <c r="AE106" s="410"/>
      <c r="AF106" s="410"/>
      <c r="AG106" s="410">
        <f>'Раскладка продуктов'!AG106</f>
        <v>60</v>
      </c>
      <c r="AH106" s="410"/>
      <c r="AI106" s="410"/>
      <c r="AJ106" s="410"/>
      <c r="AK106" s="410"/>
      <c r="AL106" s="410"/>
      <c r="AM106" s="410"/>
      <c r="AN106" s="410"/>
      <c r="AO106" s="410"/>
      <c r="AP106" s="410"/>
      <c r="AQ106" s="410"/>
      <c r="AR106" s="410"/>
      <c r="AS106" s="410"/>
      <c r="AT106" s="410"/>
      <c r="AU106" s="410"/>
      <c r="AV106" s="410"/>
      <c r="AW106" s="410"/>
      <c r="AX106" s="410"/>
      <c r="AY106" s="410"/>
      <c r="AZ106" s="410"/>
      <c r="BA106" s="410"/>
      <c r="BB106" s="410"/>
      <c r="BC106" s="410"/>
      <c r="BD106" s="410"/>
      <c r="BE106" s="410"/>
      <c r="BF106" s="410"/>
      <c r="BG106" s="410"/>
      <c r="BH106" s="410"/>
      <c r="BI106" s="410"/>
      <c r="BJ106" s="410"/>
      <c r="BK106" s="410"/>
      <c r="BL106" s="410"/>
    </row>
    <row r="107" spans="1:64" x14ac:dyDescent="0.2">
      <c r="A107" s="853"/>
      <c r="B107" s="410"/>
      <c r="C107" s="410"/>
      <c r="D107" s="410"/>
      <c r="E107" s="410"/>
      <c r="F107" s="410"/>
      <c r="G107" s="852" t="s">
        <v>89</v>
      </c>
      <c r="H107" s="458"/>
      <c r="I107" s="1256"/>
      <c r="J107" s="410"/>
      <c r="K107" s="410"/>
      <c r="L107" s="410"/>
      <c r="M107" s="410"/>
      <c r="N107" s="410"/>
      <c r="O107" s="407"/>
      <c r="P107" s="407"/>
      <c r="Q107" s="410" t="s">
        <v>190</v>
      </c>
      <c r="R107" s="410" t="str">
        <f t="shared" ref="R107:R112" si="5">IF($T107=1,$S$100,IF($T107=2,$S$101,IF($T$106=3,$S$102,IF($T$106=4,$S$103,""))))</f>
        <v>, булочка</v>
      </c>
      <c r="S107" s="407"/>
      <c r="T107" s="410">
        <v>1</v>
      </c>
      <c r="U107" s="407" t="s">
        <v>594</v>
      </c>
      <c r="V107" s="407" t="str">
        <f>CONCATENATE(" хлеб, масло, сахар, чай, яйцо",R112)</f>
        <v xml:space="preserve"> хлеб, масло, сахар, чай, яйцо</v>
      </c>
      <c r="W107" s="1259" t="s">
        <v>106</v>
      </c>
      <c r="X107" s="1259"/>
      <c r="Y107" s="1259"/>
      <c r="Z107" s="410"/>
      <c r="AA107" s="407"/>
      <c r="AB107" s="410"/>
      <c r="AC107" s="410"/>
      <c r="AD107" s="410"/>
      <c r="AE107" s="410"/>
      <c r="AF107" s="410"/>
      <c r="AG107" s="410"/>
      <c r="AH107" s="410"/>
      <c r="AI107" s="410"/>
      <c r="AJ107" s="410"/>
      <c r="AK107" s="410"/>
      <c r="AL107" s="410"/>
      <c r="AM107" s="410"/>
      <c r="AN107" s="410"/>
      <c r="AO107" s="410"/>
      <c r="AP107" s="410"/>
      <c r="AQ107" s="410"/>
      <c r="AR107" s="410"/>
      <c r="AS107" s="410"/>
      <c r="AT107" s="410"/>
      <c r="AU107" s="410"/>
      <c r="AV107" s="410"/>
      <c r="AW107" s="410"/>
      <c r="AX107" s="410"/>
      <c r="AY107" s="410"/>
      <c r="AZ107" s="410"/>
      <c r="BA107" s="410"/>
      <c r="BB107" s="410"/>
      <c r="BC107" s="410"/>
      <c r="BD107" s="410"/>
      <c r="BE107" s="410"/>
      <c r="BF107" s="410"/>
      <c r="BG107" s="410"/>
      <c r="BH107" s="410"/>
      <c r="BI107" s="410"/>
      <c r="BJ107" s="410"/>
      <c r="BK107" s="410"/>
      <c r="BL107" s="410"/>
    </row>
    <row r="108" spans="1:64" x14ac:dyDescent="0.2">
      <c r="A108" s="853"/>
      <c r="B108" s="410"/>
      <c r="C108" s="410"/>
      <c r="D108" s="410"/>
      <c r="E108" s="844">
        <v>4</v>
      </c>
      <c r="F108" s="410"/>
      <c r="G108" s="850"/>
      <c r="H108" s="410"/>
      <c r="I108" s="1256" t="s">
        <v>59</v>
      </c>
      <c r="J108" s="410"/>
      <c r="K108" s="410"/>
      <c r="L108" s="410">
        <f>IF(AND(E108&gt;=21,E108&lt;=23),0.5,0)</f>
        <v>0</v>
      </c>
      <c r="M108" s="410"/>
      <c r="N108" s="410"/>
      <c r="O108" s="407"/>
      <c r="P108" s="407"/>
      <c r="Q108" s="410" t="s">
        <v>191</v>
      </c>
      <c r="R108" s="410" t="str">
        <f t="shared" si="5"/>
        <v/>
      </c>
      <c r="S108" s="407"/>
      <c r="T108" s="410">
        <v>0</v>
      </c>
      <c r="U108" s="407" t="s">
        <v>595</v>
      </c>
      <c r="V108" s="407" t="str">
        <f>CONCATENATE(" хлеб, масло, сахар, чай, омлет",R112)</f>
        <v xml:space="preserve"> хлеб, масло, сахар, чай, омлет</v>
      </c>
      <c r="W108" s="1259" t="s">
        <v>107</v>
      </c>
      <c r="X108" s="1259"/>
      <c r="Y108" s="1259"/>
      <c r="Z108" s="410"/>
      <c r="AA108" s="407"/>
      <c r="AB108" s="410"/>
      <c r="AC108" s="410"/>
      <c r="AD108" s="410"/>
      <c r="AE108" s="410"/>
      <c r="AF108" s="410"/>
      <c r="AG108" s="410"/>
      <c r="AH108" s="410"/>
      <c r="AI108" s="410"/>
      <c r="AJ108" s="410"/>
      <c r="AK108" s="410"/>
      <c r="AL108" s="410"/>
      <c r="AM108" s="410"/>
      <c r="AN108" s="410"/>
      <c r="AO108" s="410"/>
      <c r="AP108" s="410"/>
      <c r="AQ108" s="410"/>
      <c r="AR108" s="410"/>
      <c r="AS108" s="410"/>
      <c r="AT108" s="410"/>
      <c r="AU108" s="410"/>
      <c r="AV108" s="410"/>
      <c r="AW108" s="410"/>
      <c r="AX108" s="410"/>
      <c r="AY108" s="410"/>
      <c r="AZ108" s="410"/>
      <c r="BA108" s="410"/>
      <c r="BB108" s="410"/>
      <c r="BC108" s="410"/>
      <c r="BD108" s="410"/>
      <c r="BE108" s="410"/>
      <c r="BF108" s="410"/>
      <c r="BG108" s="410"/>
      <c r="BH108" s="410"/>
      <c r="BI108" s="410"/>
      <c r="BJ108" s="410"/>
      <c r="BK108" s="410"/>
      <c r="BL108" s="410"/>
    </row>
    <row r="109" spans="1:64" x14ac:dyDescent="0.2">
      <c r="A109" s="853"/>
      <c r="B109" s="410"/>
      <c r="C109" s="410"/>
      <c r="D109" s="410"/>
      <c r="E109" s="410"/>
      <c r="F109" s="410"/>
      <c r="G109" s="850"/>
      <c r="H109" s="410"/>
      <c r="I109" s="1256"/>
      <c r="J109" s="410"/>
      <c r="K109" s="410"/>
      <c r="L109" s="410"/>
      <c r="M109" s="410"/>
      <c r="N109" s="410"/>
      <c r="O109" s="407"/>
      <c r="P109" s="407"/>
      <c r="Q109" s="410" t="s">
        <v>192</v>
      </c>
      <c r="R109" s="410" t="str">
        <f t="shared" si="5"/>
        <v>, булочка</v>
      </c>
      <c r="S109" s="407"/>
      <c r="T109" s="410">
        <v>1</v>
      </c>
      <c r="U109" s="407" t="s">
        <v>596</v>
      </c>
      <c r="V109" s="410" t="str">
        <f>CONCATENATE(" хлеб, масло, сахар, чай, молоко",R112)</f>
        <v xml:space="preserve"> хлеб, масло, сахар, чай, молоко</v>
      </c>
      <c r="W109" s="410"/>
      <c r="X109" s="410"/>
      <c r="Y109" s="410"/>
      <c r="Z109" s="410"/>
      <c r="AA109" s="407"/>
      <c r="AB109" s="410"/>
      <c r="AC109" s="410"/>
      <c r="AD109" s="410"/>
      <c r="AE109" s="410"/>
      <c r="AF109" s="410"/>
      <c r="AG109" s="410"/>
      <c r="AH109" s="410"/>
      <c r="AI109" s="410"/>
      <c r="AJ109" s="410"/>
      <c r="AK109" s="410"/>
      <c r="AL109" s="410"/>
      <c r="AM109" s="410"/>
      <c r="AN109" s="410"/>
      <c r="AO109" s="410"/>
      <c r="AP109" s="410"/>
      <c r="AQ109" s="410"/>
      <c r="AR109" s="410"/>
      <c r="AS109" s="410"/>
      <c r="AT109" s="410"/>
      <c r="AU109" s="410"/>
      <c r="AV109" s="410"/>
      <c r="AW109" s="410"/>
      <c r="AX109" s="410"/>
      <c r="AY109" s="410"/>
      <c r="AZ109" s="410"/>
      <c r="BA109" s="410"/>
      <c r="BB109" s="410"/>
      <c r="BC109" s="410"/>
      <c r="BD109" s="410"/>
      <c r="BE109" s="410"/>
      <c r="BF109" s="410"/>
      <c r="BG109" s="410"/>
      <c r="BH109" s="410"/>
      <c r="BI109" s="410"/>
      <c r="BJ109" s="410"/>
      <c r="BK109" s="410"/>
      <c r="BL109" s="410"/>
    </row>
    <row r="110" spans="1:64" x14ac:dyDescent="0.2">
      <c r="A110" s="853"/>
      <c r="B110" s="410"/>
      <c r="C110" s="410"/>
      <c r="D110" s="410"/>
      <c r="E110" s="410"/>
      <c r="F110" s="410"/>
      <c r="G110" s="850"/>
      <c r="H110" s="410"/>
      <c r="I110" s="1256"/>
      <c r="J110" s="410"/>
      <c r="K110" s="410"/>
      <c r="L110" s="410"/>
      <c r="M110" s="410"/>
      <c r="N110" s="410"/>
      <c r="O110" s="407"/>
      <c r="P110" s="407"/>
      <c r="Q110" s="410" t="s">
        <v>193</v>
      </c>
      <c r="R110" s="410" t="str">
        <f t="shared" si="5"/>
        <v/>
      </c>
      <c r="S110" s="407"/>
      <c r="T110" s="410">
        <v>0</v>
      </c>
      <c r="U110" s="407" t="s">
        <v>597</v>
      </c>
      <c r="V110" s="407"/>
      <c r="W110" s="410"/>
      <c r="X110" s="410"/>
      <c r="Y110" s="410"/>
      <c r="Z110" s="410"/>
      <c r="AA110" s="407"/>
      <c r="AB110" s="410"/>
      <c r="AC110" s="410"/>
      <c r="AD110" s="410"/>
      <c r="AE110" s="410"/>
      <c r="AF110" s="410"/>
      <c r="AG110" s="410"/>
      <c r="AH110" s="410"/>
      <c r="AI110" s="410"/>
      <c r="AJ110" s="410"/>
      <c r="AK110" s="410"/>
      <c r="AL110" s="410"/>
      <c r="AM110" s="410"/>
      <c r="AN110" s="410"/>
      <c r="AO110" s="410"/>
      <c r="AP110" s="410"/>
      <c r="AQ110" s="410"/>
      <c r="AR110" s="410"/>
      <c r="AS110" s="410"/>
      <c r="AT110" s="410"/>
      <c r="AU110" s="410"/>
      <c r="AV110" s="410"/>
      <c r="AW110" s="410"/>
      <c r="AX110" s="410"/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410"/>
      <c r="BJ110" s="410"/>
      <c r="BK110" s="410"/>
      <c r="BL110" s="410"/>
    </row>
    <row r="111" spans="1:64" x14ac:dyDescent="0.2">
      <c r="A111" s="853"/>
      <c r="B111" s="410"/>
      <c r="C111" s="410"/>
      <c r="D111" s="410"/>
      <c r="E111" s="410"/>
      <c r="F111" s="410"/>
      <c r="G111" s="852" t="s">
        <v>84</v>
      </c>
      <c r="H111" s="458"/>
      <c r="I111" s="1256"/>
      <c r="J111" s="410"/>
      <c r="K111" s="410"/>
      <c r="L111" s="410"/>
      <c r="M111" s="410"/>
      <c r="N111" s="410"/>
      <c r="O111" s="407"/>
      <c r="P111" s="407"/>
      <c r="Q111" s="410" t="s">
        <v>194</v>
      </c>
      <c r="R111" s="410" t="str">
        <f t="shared" si="5"/>
        <v>, булочка</v>
      </c>
      <c r="S111" s="407"/>
      <c r="T111" s="410">
        <v>1</v>
      </c>
      <c r="U111" s="407" t="s">
        <v>598</v>
      </c>
      <c r="V111" s="407"/>
      <c r="W111" s="410"/>
      <c r="X111" s="410"/>
      <c r="Y111" s="410"/>
      <c r="Z111" s="410"/>
      <c r="AA111" s="407"/>
      <c r="AB111" s="410"/>
      <c r="AC111" s="410"/>
      <c r="AD111" s="410"/>
      <c r="AE111" s="410"/>
      <c r="AF111" s="410"/>
      <c r="AG111" s="410"/>
      <c r="AH111" s="410"/>
      <c r="AI111" s="410"/>
      <c r="AJ111" s="410"/>
      <c r="AK111" s="410"/>
      <c r="AL111" s="410"/>
      <c r="AM111" s="410"/>
      <c r="AN111" s="410"/>
      <c r="AO111" s="410"/>
      <c r="AP111" s="410"/>
      <c r="AQ111" s="410"/>
      <c r="AR111" s="410"/>
      <c r="AS111" s="410"/>
      <c r="AT111" s="410"/>
      <c r="AU111" s="410"/>
      <c r="AV111" s="410"/>
      <c r="AW111" s="410"/>
      <c r="AX111" s="410"/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410"/>
      <c r="BJ111" s="410"/>
      <c r="BK111" s="410"/>
      <c r="BL111" s="410"/>
    </row>
    <row r="112" spans="1:64" x14ac:dyDescent="0.2">
      <c r="A112" s="853"/>
      <c r="B112" s="410"/>
      <c r="C112" s="410"/>
      <c r="D112" s="410"/>
      <c r="E112" s="844">
        <v>2</v>
      </c>
      <c r="F112" s="410"/>
      <c r="G112" s="850"/>
      <c r="H112" s="410"/>
      <c r="I112" s="1256"/>
      <c r="J112" s="410"/>
      <c r="K112" s="410"/>
      <c r="L112" s="410">
        <f>IF(AND(E112&gt;=21,E112&lt;=23),0.5,0)</f>
        <v>0</v>
      </c>
      <c r="M112" s="410"/>
      <c r="N112" s="410"/>
      <c r="O112" s="407"/>
      <c r="P112" s="407"/>
      <c r="Q112" s="410" t="s">
        <v>195</v>
      </c>
      <c r="R112" s="410" t="str">
        <f t="shared" si="5"/>
        <v/>
      </c>
      <c r="S112" s="407"/>
      <c r="T112" s="410">
        <v>0</v>
      </c>
      <c r="U112" s="407" t="s">
        <v>599</v>
      </c>
      <c r="V112" s="407"/>
      <c r="W112" s="410"/>
      <c r="X112" s="410"/>
      <c r="Y112" s="410"/>
      <c r="Z112" s="410"/>
      <c r="AA112" s="407"/>
      <c r="AB112" s="410"/>
      <c r="AC112" s="410"/>
      <c r="AD112" s="410"/>
      <c r="AE112" s="410"/>
      <c r="AF112" s="410"/>
      <c r="AG112" s="410"/>
      <c r="AH112" s="410"/>
      <c r="AI112" s="410"/>
      <c r="AJ112" s="410"/>
      <c r="AK112" s="410"/>
      <c r="AL112" s="410"/>
      <c r="AM112" s="410"/>
      <c r="AN112" s="410"/>
      <c r="AO112" s="410"/>
      <c r="AP112" s="410"/>
      <c r="AQ112" s="410"/>
      <c r="AR112" s="410"/>
      <c r="AS112" s="410"/>
      <c r="AT112" s="410"/>
      <c r="AU112" s="410"/>
      <c r="AV112" s="410"/>
      <c r="AW112" s="410"/>
      <c r="AX112" s="410"/>
      <c r="AY112" s="410"/>
      <c r="AZ112" s="410"/>
      <c r="BA112" s="410"/>
      <c r="BB112" s="410"/>
      <c r="BC112" s="410"/>
      <c r="BD112" s="410"/>
      <c r="BE112" s="410"/>
      <c r="BF112" s="410"/>
      <c r="BG112" s="410"/>
      <c r="BH112" s="410"/>
      <c r="BI112" s="410"/>
      <c r="BJ112" s="410"/>
      <c r="BK112" s="410"/>
      <c r="BL112" s="410"/>
    </row>
    <row r="113" spans="1:64" x14ac:dyDescent="0.2">
      <c r="A113" s="853"/>
      <c r="B113" s="410"/>
      <c r="C113" s="410"/>
      <c r="D113" s="410"/>
      <c r="E113" s="410"/>
      <c r="F113" s="410"/>
      <c r="G113" s="850"/>
      <c r="H113" s="410"/>
      <c r="I113" s="1256"/>
      <c r="J113" s="410"/>
      <c r="K113" s="410"/>
      <c r="L113" s="410"/>
      <c r="M113" s="410"/>
      <c r="N113" s="410"/>
      <c r="P113" s="407"/>
      <c r="R113" s="410"/>
      <c r="S113" s="407"/>
      <c r="T113" s="410"/>
      <c r="U113" s="407" t="s">
        <v>600</v>
      </c>
      <c r="V113" s="410"/>
      <c r="W113" s="410"/>
      <c r="X113" s="410"/>
      <c r="Y113" s="1260"/>
      <c r="Z113" s="1260"/>
      <c r="AA113" s="1260"/>
      <c r="AB113" s="1260"/>
      <c r="AC113" s="1260"/>
      <c r="AD113" s="1276" t="s">
        <v>113</v>
      </c>
      <c r="AE113" s="1276" t="s">
        <v>114</v>
      </c>
      <c r="AF113" s="1276" t="s">
        <v>115</v>
      </c>
      <c r="AG113" s="1276" t="s">
        <v>118</v>
      </c>
      <c r="AH113" s="417"/>
      <c r="AI113" s="410"/>
      <c r="AJ113" s="410"/>
      <c r="AK113" s="410"/>
      <c r="AL113" s="410"/>
      <c r="AM113" s="410"/>
      <c r="AN113" s="410"/>
      <c r="AO113" s="410"/>
      <c r="AP113" s="410"/>
      <c r="AQ113" s="410"/>
      <c r="AR113" s="410"/>
      <c r="AS113" s="410"/>
      <c r="AT113" s="410"/>
      <c r="AU113" s="410"/>
      <c r="AV113" s="410"/>
      <c r="AW113" s="410"/>
      <c r="AX113" s="410"/>
      <c r="AY113" s="410"/>
      <c r="AZ113" s="410"/>
      <c r="BA113" s="410"/>
      <c r="BB113" s="410"/>
      <c r="BC113" s="410"/>
      <c r="BD113" s="410"/>
      <c r="BE113" s="410"/>
      <c r="BF113" s="410"/>
      <c r="BG113" s="410"/>
      <c r="BH113" s="410"/>
      <c r="BI113" s="410"/>
      <c r="BJ113" s="410"/>
      <c r="BK113" s="410"/>
      <c r="BL113" s="410"/>
    </row>
    <row r="114" spans="1:64" ht="14.25" customHeight="1" x14ac:dyDescent="0.2">
      <c r="A114" s="853"/>
      <c r="B114" s="410"/>
      <c r="C114" s="410"/>
      <c r="D114" s="410"/>
      <c r="E114" s="410"/>
      <c r="F114" s="410"/>
      <c r="G114" s="850"/>
      <c r="H114" s="410"/>
      <c r="I114" s="1256"/>
      <c r="J114" s="410"/>
      <c r="K114" s="410"/>
      <c r="L114" s="410"/>
      <c r="M114" s="410"/>
      <c r="N114" s="410"/>
      <c r="P114" s="407"/>
      <c r="Q114" s="1223">
        <v>0</v>
      </c>
      <c r="R114" s="410"/>
      <c r="S114" s="407"/>
      <c r="T114" s="410"/>
      <c r="U114" s="410"/>
      <c r="V114" s="410"/>
      <c r="W114" s="410"/>
      <c r="X114" s="410"/>
      <c r="Y114" s="1260"/>
      <c r="Z114" s="1260"/>
      <c r="AA114" s="1260"/>
      <c r="AB114" s="1260"/>
      <c r="AC114" s="1260"/>
      <c r="AD114" s="1276"/>
      <c r="AE114" s="1276"/>
      <c r="AF114" s="1276"/>
      <c r="AG114" s="1276"/>
      <c r="AH114" s="417"/>
      <c r="AI114" s="410"/>
      <c r="AJ114" s="410"/>
      <c r="AK114" s="410"/>
      <c r="AL114" s="410"/>
      <c r="AM114" s="410"/>
      <c r="AN114" s="410"/>
      <c r="AO114" s="410"/>
      <c r="AP114" s="410"/>
      <c r="AQ114" s="410"/>
      <c r="AR114" s="410"/>
      <c r="AS114" s="410"/>
      <c r="AT114" s="410"/>
      <c r="AU114" s="410"/>
      <c r="AV114" s="410"/>
      <c r="AW114" s="410"/>
      <c r="AX114" s="410"/>
      <c r="AY114" s="410"/>
      <c r="AZ114" s="410"/>
      <c r="BA114" s="410"/>
      <c r="BB114" s="410"/>
      <c r="BC114" s="410"/>
      <c r="BD114" s="410"/>
      <c r="BE114" s="410"/>
      <c r="BF114" s="410"/>
      <c r="BG114" s="410"/>
      <c r="BH114" s="410"/>
      <c r="BI114" s="410"/>
      <c r="BJ114" s="410"/>
      <c r="BK114" s="410"/>
      <c r="BL114" s="410"/>
    </row>
    <row r="115" spans="1:64" x14ac:dyDescent="0.2">
      <c r="A115" s="853"/>
      <c r="B115" s="410"/>
      <c r="C115" s="410"/>
      <c r="D115" s="410"/>
      <c r="E115" s="410"/>
      <c r="F115" s="410"/>
      <c r="G115" s="851" t="s">
        <v>86</v>
      </c>
      <c r="H115" s="458"/>
      <c r="I115" s="1256"/>
      <c r="J115" s="410"/>
      <c r="K115" s="410"/>
      <c r="L115" s="410"/>
      <c r="M115" s="410"/>
      <c r="N115" s="410"/>
      <c r="P115" s="407"/>
      <c r="Q115" s="407"/>
      <c r="R115" s="407"/>
      <c r="S115" s="407"/>
      <c r="T115" s="410"/>
      <c r="U115" s="410"/>
      <c r="V115" s="410"/>
      <c r="W115" s="410"/>
      <c r="X115" s="410"/>
      <c r="Y115" s="1260"/>
      <c r="Z115" s="1260"/>
      <c r="AA115" s="1260"/>
      <c r="AB115" s="1260"/>
      <c r="AC115" s="1260"/>
      <c r="AD115" s="1276"/>
      <c r="AE115" s="1276"/>
      <c r="AF115" s="1276"/>
      <c r="AG115" s="1276"/>
      <c r="AH115" s="417"/>
      <c r="AI115" s="410"/>
      <c r="AJ115" s="410"/>
      <c r="AK115" s="410"/>
      <c r="AL115" s="410"/>
      <c r="AM115" s="410"/>
      <c r="AN115" s="410"/>
      <c r="AO115" s="410"/>
      <c r="AP115" s="410"/>
      <c r="AQ115" s="410"/>
      <c r="AR115" s="410"/>
      <c r="AS115" s="410"/>
      <c r="AT115" s="410"/>
      <c r="AU115" s="410"/>
      <c r="AV115" s="410"/>
      <c r="AW115" s="410"/>
      <c r="AX115" s="410"/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410"/>
      <c r="BJ115" s="410"/>
      <c r="BK115" s="410"/>
      <c r="BL115" s="410"/>
    </row>
    <row r="116" spans="1:64" ht="13.5" customHeight="1" x14ac:dyDescent="0.2">
      <c r="A116" s="853"/>
      <c r="B116" s="410"/>
      <c r="C116" s="410"/>
      <c r="D116" s="410"/>
      <c r="E116" s="844">
        <v>1</v>
      </c>
      <c r="F116" s="410"/>
      <c r="G116" s="850"/>
      <c r="H116" s="410"/>
      <c r="I116" s="1256" t="s">
        <v>60</v>
      </c>
      <c r="J116" s="410"/>
      <c r="K116" s="410"/>
      <c r="L116" s="410">
        <f>IF(AND(E116&gt;=21,E116&lt;=23),0.5,0)</f>
        <v>0</v>
      </c>
      <c r="M116" s="410"/>
      <c r="N116" s="410"/>
      <c r="P116" s="407"/>
      <c r="Q116" s="1227">
        <v>2</v>
      </c>
      <c r="R116" s="407"/>
      <c r="S116" s="407"/>
      <c r="T116" s="410"/>
      <c r="U116" s="410"/>
      <c r="V116" s="410"/>
      <c r="W116" s="410"/>
      <c r="X116" s="410"/>
      <c r="Y116" s="1260"/>
      <c r="Z116" s="1260"/>
      <c r="AA116" s="1260"/>
      <c r="AB116" s="1260"/>
      <c r="AC116" s="1260"/>
      <c r="AD116" s="1276"/>
      <c r="AE116" s="1276"/>
      <c r="AF116" s="1276"/>
      <c r="AG116" s="1276"/>
      <c r="AH116" s="417"/>
      <c r="AI116" s="410"/>
      <c r="AJ116" s="410"/>
      <c r="AK116" s="410"/>
      <c r="AL116" s="410"/>
      <c r="AM116" s="410"/>
      <c r="AN116" s="410"/>
      <c r="AO116" s="410"/>
      <c r="AP116" s="410"/>
      <c r="AQ116" s="410"/>
      <c r="AR116" s="410"/>
      <c r="AS116" s="410"/>
      <c r="AT116" s="410"/>
      <c r="AU116" s="410"/>
      <c r="AV116" s="410"/>
      <c r="AW116" s="410"/>
      <c r="AX116" s="410"/>
      <c r="AY116" s="410"/>
      <c r="AZ116" s="410"/>
      <c r="BA116" s="410"/>
      <c r="BB116" s="410"/>
      <c r="BC116" s="410"/>
      <c r="BD116" s="410"/>
      <c r="BE116" s="410"/>
      <c r="BF116" s="410"/>
      <c r="BG116" s="410"/>
      <c r="BH116" s="410"/>
      <c r="BI116" s="410"/>
      <c r="BJ116" s="410"/>
      <c r="BK116" s="410"/>
      <c r="BL116" s="410"/>
    </row>
    <row r="117" spans="1:64" x14ac:dyDescent="0.2">
      <c r="A117" s="853"/>
      <c r="B117" s="410"/>
      <c r="C117" s="410"/>
      <c r="D117" s="410"/>
      <c r="E117" s="410"/>
      <c r="F117" s="410"/>
      <c r="G117" s="850"/>
      <c r="H117" s="410"/>
      <c r="I117" s="1256"/>
      <c r="J117" s="410"/>
      <c r="K117" s="410"/>
      <c r="L117" s="410"/>
      <c r="M117" s="410"/>
      <c r="N117" s="410"/>
      <c r="P117" s="407"/>
      <c r="Q117" s="407"/>
      <c r="R117" s="407"/>
      <c r="S117" s="407"/>
      <c r="T117" s="410"/>
      <c r="U117" s="410"/>
      <c r="V117" s="410" t="s">
        <v>197</v>
      </c>
      <c r="W117" s="410"/>
      <c r="X117" s="410"/>
      <c r="Y117" s="1260"/>
      <c r="Z117" s="1260"/>
      <c r="AA117" s="1260"/>
      <c r="AB117" s="1260"/>
      <c r="AC117" s="1260"/>
      <c r="AD117" s="1276"/>
      <c r="AE117" s="1276"/>
      <c r="AF117" s="1276"/>
      <c r="AG117" s="1276"/>
      <c r="AH117" s="460">
        <v>3</v>
      </c>
      <c r="AI117" s="410">
        <v>1</v>
      </c>
      <c r="AJ117" s="410">
        <v>1</v>
      </c>
      <c r="AK117" s="410">
        <v>1</v>
      </c>
      <c r="AL117" s="410">
        <v>1</v>
      </c>
      <c r="AM117" s="410">
        <v>1</v>
      </c>
      <c r="AN117" s="410">
        <v>1</v>
      </c>
      <c r="AO117" s="410"/>
      <c r="AP117" s="410"/>
      <c r="AQ117" s="410"/>
      <c r="AR117" s="410"/>
      <c r="AS117" s="410"/>
      <c r="AT117" s="410"/>
      <c r="AU117" s="410"/>
      <c r="AV117" s="410"/>
      <c r="AW117" s="410"/>
      <c r="AX117" s="410"/>
      <c r="AY117" s="410"/>
      <c r="AZ117" s="410"/>
      <c r="BA117" s="410"/>
      <c r="BB117" s="410"/>
      <c r="BC117" s="410"/>
      <c r="BD117" s="410"/>
      <c r="BE117" s="410"/>
      <c r="BF117" s="410"/>
      <c r="BG117" s="410"/>
      <c r="BH117" s="410"/>
      <c r="BI117" s="410"/>
      <c r="BJ117" s="410"/>
      <c r="BK117" s="410"/>
      <c r="BL117" s="410"/>
    </row>
    <row r="118" spans="1:64" x14ac:dyDescent="0.2">
      <c r="A118" s="853"/>
      <c r="B118" s="410"/>
      <c r="C118" s="410"/>
      <c r="D118" s="410"/>
      <c r="E118" s="410"/>
      <c r="F118" s="410"/>
      <c r="G118" s="850"/>
      <c r="H118" s="410"/>
      <c r="I118" s="1256"/>
      <c r="J118" s="410"/>
      <c r="K118" s="410"/>
      <c r="L118" s="410"/>
      <c r="M118" s="410"/>
      <c r="N118" s="410"/>
      <c r="P118" s="407"/>
      <c r="Q118" s="407"/>
      <c r="R118" s="407"/>
      <c r="S118" s="407"/>
      <c r="T118" s="410"/>
      <c r="U118" s="410"/>
      <c r="V118" s="410" t="s">
        <v>197</v>
      </c>
      <c r="W118" s="410"/>
      <c r="X118" s="410"/>
      <c r="Y118" s="417">
        <v>1</v>
      </c>
      <c r="Z118" s="1258" t="s">
        <v>108</v>
      </c>
      <c r="AA118" s="1258"/>
      <c r="AB118" s="1258"/>
      <c r="AC118" s="1258"/>
      <c r="AD118" s="417">
        <v>46</v>
      </c>
      <c r="AE118" s="417">
        <v>46</v>
      </c>
      <c r="AF118" s="417">
        <v>52</v>
      </c>
      <c r="AG118" s="417">
        <v>64</v>
      </c>
      <c r="AH118" s="460">
        <f>IF(AH$117=1,$AD118,IF(AH$117=2,$AE$118,IF(AH$117=3,$AF$118,IF(AH$117=4,$AG$118))))</f>
        <v>52</v>
      </c>
      <c r="AI118" s="460">
        <f t="shared" ref="AI118:AN118" si="6">IF(AI$117=1,$AD118,IF(AI$117=2,$AE$118,IF(AI$117=3,$AF$118,IF(AI$117=4,$AG$118))))</f>
        <v>46</v>
      </c>
      <c r="AJ118" s="460">
        <f t="shared" si="6"/>
        <v>46</v>
      </c>
      <c r="AK118" s="460">
        <f t="shared" si="6"/>
        <v>46</v>
      </c>
      <c r="AL118" s="460">
        <f t="shared" si="6"/>
        <v>46</v>
      </c>
      <c r="AM118" s="460">
        <f t="shared" si="6"/>
        <v>46</v>
      </c>
      <c r="AN118" s="460">
        <f t="shared" si="6"/>
        <v>46</v>
      </c>
      <c r="AO118" s="482"/>
      <c r="AP118" s="410"/>
      <c r="AQ118" s="410"/>
      <c r="AR118" s="410"/>
      <c r="AS118" s="410"/>
      <c r="AT118" s="410"/>
      <c r="AU118" s="410"/>
      <c r="AV118" s="410"/>
      <c r="AW118" s="410"/>
      <c r="AX118" s="410"/>
      <c r="AY118" s="410"/>
      <c r="AZ118" s="410"/>
      <c r="BA118" s="410"/>
      <c r="BB118" s="410"/>
      <c r="BC118" s="410"/>
      <c r="BD118" s="410"/>
      <c r="BE118" s="410"/>
      <c r="BF118" s="410"/>
      <c r="BG118" s="410"/>
      <c r="BH118" s="410"/>
      <c r="BI118" s="410"/>
      <c r="BJ118" s="410"/>
      <c r="BK118" s="410"/>
      <c r="BL118" s="410"/>
    </row>
    <row r="119" spans="1:64" x14ac:dyDescent="0.2">
      <c r="A119" s="853"/>
      <c r="B119" s="410"/>
      <c r="C119" s="410"/>
      <c r="D119" s="410"/>
      <c r="E119" s="410"/>
      <c r="F119" s="410"/>
      <c r="G119" s="852" t="s">
        <v>74</v>
      </c>
      <c r="H119" s="458"/>
      <c r="I119" s="1256"/>
      <c r="J119" s="410"/>
      <c r="K119" s="410"/>
      <c r="L119" s="410"/>
      <c r="M119" s="410"/>
      <c r="N119" s="410"/>
      <c r="P119" s="407"/>
      <c r="Q119" s="407"/>
      <c r="R119" s="407"/>
      <c r="S119" s="407"/>
      <c r="T119" s="410"/>
      <c r="U119" s="410"/>
      <c r="V119" s="410"/>
      <c r="W119" s="410"/>
      <c r="X119" s="410"/>
      <c r="Y119" s="417">
        <v>2</v>
      </c>
      <c r="Z119" s="1258" t="s">
        <v>109</v>
      </c>
      <c r="AA119" s="1258"/>
      <c r="AB119" s="1258"/>
      <c r="AC119" s="1258"/>
      <c r="AD119" s="417">
        <v>44</v>
      </c>
      <c r="AE119" s="417">
        <v>45</v>
      </c>
      <c r="AF119" s="417">
        <v>58</v>
      </c>
      <c r="AG119" s="417">
        <v>61</v>
      </c>
      <c r="AH119" s="460">
        <f>IF(AH$117=1,$AD$119,IF(AH$117=2,$AE$119,IF(AH$117=3,$AF$119,IF(AH$117=4,$AG$119))))</f>
        <v>58</v>
      </c>
      <c r="AI119" s="460">
        <f t="shared" ref="AI119:AN119" si="7">IF(AI$117=1,$AD$119,IF(AI$117=2,$AE$119,IF(AI$117=3,$AF$119,IF(AI$117=4,$AG$119))))</f>
        <v>44</v>
      </c>
      <c r="AJ119" s="460">
        <f t="shared" si="7"/>
        <v>44</v>
      </c>
      <c r="AK119" s="460">
        <f t="shared" si="7"/>
        <v>44</v>
      </c>
      <c r="AL119" s="460">
        <f t="shared" si="7"/>
        <v>44</v>
      </c>
      <c r="AM119" s="460">
        <f t="shared" si="7"/>
        <v>44</v>
      </c>
      <c r="AN119" s="460">
        <f t="shared" si="7"/>
        <v>44</v>
      </c>
      <c r="AO119" s="482"/>
      <c r="AP119" s="410"/>
      <c r="AQ119" s="410"/>
      <c r="AR119" s="410"/>
      <c r="AS119" s="410"/>
      <c r="AT119" s="410"/>
      <c r="AU119" s="410"/>
      <c r="AV119" s="410"/>
      <c r="AW119" s="410"/>
      <c r="AX119" s="410"/>
      <c r="AY119" s="410"/>
      <c r="AZ119" s="410"/>
      <c r="BA119" s="410"/>
      <c r="BB119" s="410"/>
      <c r="BC119" s="410"/>
      <c r="BD119" s="410"/>
      <c r="BE119" s="410"/>
      <c r="BF119" s="410"/>
      <c r="BG119" s="410"/>
      <c r="BH119" s="410"/>
      <c r="BI119" s="410"/>
      <c r="BJ119" s="410"/>
      <c r="BK119" s="410"/>
      <c r="BL119" s="410"/>
    </row>
    <row r="120" spans="1:64" x14ac:dyDescent="0.2">
      <c r="A120" s="853"/>
      <c r="B120" s="410"/>
      <c r="C120" s="410"/>
      <c r="D120" s="410"/>
      <c r="E120" s="844">
        <v>1</v>
      </c>
      <c r="F120" s="410"/>
      <c r="G120" s="850"/>
      <c r="H120" s="410"/>
      <c r="I120" s="1256"/>
      <c r="J120" s="410"/>
      <c r="K120" s="410"/>
      <c r="L120" s="410">
        <f>IF(AND(E120&gt;=21,E120&lt;=23),0.5,0)</f>
        <v>0</v>
      </c>
      <c r="M120" s="410"/>
      <c r="N120" s="410"/>
      <c r="P120" s="407"/>
      <c r="Q120" s="407"/>
      <c r="R120" s="407"/>
      <c r="S120" s="407"/>
      <c r="T120" s="410"/>
      <c r="U120" s="410"/>
      <c r="V120" s="410"/>
      <c r="W120" s="410"/>
      <c r="X120" s="410"/>
      <c r="Y120" s="417">
        <v>3</v>
      </c>
      <c r="Z120" s="1258" t="s">
        <v>110</v>
      </c>
      <c r="AA120" s="1258"/>
      <c r="AB120" s="1258"/>
      <c r="AC120" s="1258"/>
      <c r="AD120" s="417">
        <v>47</v>
      </c>
      <c r="AE120" s="417">
        <v>45</v>
      </c>
      <c r="AF120" s="417">
        <v>58</v>
      </c>
      <c r="AG120" s="417">
        <v>61</v>
      </c>
      <c r="AH120" s="460">
        <f>IF(AH$117=1,$AD$120,IF(AH$117=2,$AE$120,IF(AH$117=3,$AF$120,IF(AH$117=4,$AG$120))))</f>
        <v>58</v>
      </c>
      <c r="AI120" s="460">
        <f t="shared" ref="AI120:AN120" si="8">IF(AI$117=1,$AD$120,IF(AI$117=2,$AE$120,IF(AI$117=3,$AF$120,IF(AI$117=4,$AG$120))))</f>
        <v>47</v>
      </c>
      <c r="AJ120" s="460">
        <f t="shared" si="8"/>
        <v>47</v>
      </c>
      <c r="AK120" s="460">
        <f t="shared" si="8"/>
        <v>47</v>
      </c>
      <c r="AL120" s="460">
        <f t="shared" si="8"/>
        <v>47</v>
      </c>
      <c r="AM120" s="460">
        <f t="shared" si="8"/>
        <v>47</v>
      </c>
      <c r="AN120" s="460">
        <f t="shared" si="8"/>
        <v>47</v>
      </c>
      <c r="AO120" s="482"/>
      <c r="AP120" s="410"/>
      <c r="AQ120" s="410"/>
      <c r="AR120" s="410"/>
      <c r="AS120" s="410"/>
      <c r="AT120" s="410"/>
      <c r="AU120" s="410"/>
      <c r="AV120" s="410"/>
      <c r="AW120" s="410"/>
      <c r="AX120" s="410"/>
      <c r="AY120" s="410"/>
      <c r="AZ120" s="410"/>
      <c r="BA120" s="410"/>
      <c r="BB120" s="410"/>
      <c r="BC120" s="410"/>
      <c r="BD120" s="410"/>
      <c r="BE120" s="410"/>
      <c r="BF120" s="410"/>
      <c r="BG120" s="410"/>
      <c r="BH120" s="410"/>
      <c r="BI120" s="410"/>
      <c r="BJ120" s="410"/>
      <c r="BK120" s="410"/>
      <c r="BL120" s="410"/>
    </row>
    <row r="121" spans="1:64" x14ac:dyDescent="0.2">
      <c r="A121" s="853"/>
      <c r="B121" s="410"/>
      <c r="C121" s="410"/>
      <c r="D121" s="410"/>
      <c r="E121" s="410"/>
      <c r="F121" s="410"/>
      <c r="G121" s="850"/>
      <c r="H121" s="410"/>
      <c r="I121" s="1256"/>
      <c r="J121" s="410"/>
      <c r="K121" s="410"/>
      <c r="L121" s="410"/>
      <c r="M121" s="410"/>
      <c r="N121" s="410"/>
      <c r="R121" s="410"/>
      <c r="S121" s="407"/>
      <c r="T121" s="410"/>
      <c r="U121" s="410"/>
      <c r="V121" s="410"/>
      <c r="W121" s="410"/>
      <c r="X121" s="410"/>
      <c r="Y121" s="417">
        <v>4</v>
      </c>
      <c r="Z121" s="1258" t="s">
        <v>111</v>
      </c>
      <c r="AA121" s="1258"/>
      <c r="AB121" s="1258"/>
      <c r="AC121" s="1258"/>
      <c r="AD121" s="417">
        <v>47</v>
      </c>
      <c r="AE121" s="417">
        <v>49</v>
      </c>
      <c r="AF121" s="417">
        <v>58</v>
      </c>
      <c r="AG121" s="417">
        <v>61</v>
      </c>
      <c r="AH121" s="460">
        <f>IF(AH$117=1,$AD$121,IF(AH$117=2,$AE$121,IF(AH$117=3,$AF$121,IF(AH$117=4,$AG$121))))</f>
        <v>58</v>
      </c>
      <c r="AI121" s="460">
        <f t="shared" ref="AI121:AN121" si="9">IF(AI$117=1,$AD$121,IF(AI$117=2,$AE$121,IF(AI$117=3,$AF$121,IF(AI$117=4,$AG$121))))</f>
        <v>47</v>
      </c>
      <c r="AJ121" s="460">
        <f t="shared" si="9"/>
        <v>47</v>
      </c>
      <c r="AK121" s="460">
        <f t="shared" si="9"/>
        <v>47</v>
      </c>
      <c r="AL121" s="460">
        <f t="shared" si="9"/>
        <v>47</v>
      </c>
      <c r="AM121" s="460">
        <f t="shared" si="9"/>
        <v>47</v>
      </c>
      <c r="AN121" s="460">
        <f t="shared" si="9"/>
        <v>47</v>
      </c>
      <c r="AO121" s="482"/>
      <c r="AP121" s="410"/>
      <c r="AQ121" s="410"/>
      <c r="AR121" s="410"/>
      <c r="AS121" s="410"/>
      <c r="AT121" s="410"/>
      <c r="AU121" s="410"/>
      <c r="AV121" s="410"/>
      <c r="AW121" s="410"/>
      <c r="AX121" s="410"/>
      <c r="AY121" s="410"/>
      <c r="AZ121" s="410"/>
      <c r="BA121" s="410"/>
      <c r="BB121" s="410"/>
      <c r="BC121" s="410"/>
      <c r="BD121" s="410"/>
      <c r="BE121" s="410"/>
      <c r="BF121" s="410"/>
      <c r="BG121" s="410"/>
      <c r="BH121" s="410"/>
      <c r="BI121" s="410"/>
      <c r="BJ121" s="410"/>
      <c r="BK121" s="410"/>
      <c r="BL121" s="410"/>
    </row>
    <row r="122" spans="1:64" x14ac:dyDescent="0.2">
      <c r="A122" s="853"/>
      <c r="B122" s="410"/>
      <c r="C122" s="410"/>
      <c r="D122" s="410"/>
      <c r="E122" s="410"/>
      <c r="F122" s="410"/>
      <c r="G122" s="850"/>
      <c r="H122" s="410"/>
      <c r="I122" s="1256"/>
      <c r="J122" s="410"/>
      <c r="K122" s="410"/>
      <c r="L122" s="410"/>
      <c r="M122" s="410"/>
      <c r="N122" s="410"/>
      <c r="R122" s="410"/>
      <c r="S122" s="407"/>
      <c r="T122" s="410"/>
      <c r="U122" s="410"/>
      <c r="V122" s="410"/>
      <c r="W122" s="410"/>
      <c r="X122" s="410"/>
      <c r="Y122" s="417">
        <v>5</v>
      </c>
      <c r="Z122" s="1258" t="s">
        <v>93</v>
      </c>
      <c r="AA122" s="1258"/>
      <c r="AB122" s="1258"/>
      <c r="AC122" s="1258"/>
      <c r="AD122" s="417">
        <v>98</v>
      </c>
      <c r="AE122" s="417">
        <v>95</v>
      </c>
      <c r="AF122" s="417">
        <v>108</v>
      </c>
      <c r="AG122" s="417"/>
      <c r="AH122" s="460">
        <f>IF(AH$117=1,$AD122,IF(AH$117=2,$AE122,IF(AH$117=3,$AF122,IF(AH$117=4,$AG122))))</f>
        <v>108</v>
      </c>
      <c r="AI122" s="460">
        <f t="shared" ref="AI122:AN122" si="10">IF(AI$117=1,$AD$122,IF(AI$117=2,$AE$122,IF(AI$117=3,$AF$122,IF(AI$117=4,$AG$122))))</f>
        <v>98</v>
      </c>
      <c r="AJ122" s="460">
        <f t="shared" si="10"/>
        <v>98</v>
      </c>
      <c r="AK122" s="460">
        <f t="shared" si="10"/>
        <v>98</v>
      </c>
      <c r="AL122" s="460">
        <f t="shared" si="10"/>
        <v>98</v>
      </c>
      <c r="AM122" s="460">
        <f t="shared" si="10"/>
        <v>98</v>
      </c>
      <c r="AN122" s="460">
        <f t="shared" si="10"/>
        <v>98</v>
      </c>
      <c r="AO122" s="482"/>
      <c r="AP122" s="410"/>
      <c r="AQ122" s="410"/>
      <c r="AR122" s="410"/>
      <c r="AS122" s="410"/>
      <c r="AT122" s="410"/>
      <c r="AU122" s="410"/>
      <c r="AV122" s="410"/>
      <c r="AW122" s="410"/>
      <c r="AX122" s="410"/>
      <c r="AY122" s="410"/>
      <c r="AZ122" s="410"/>
      <c r="BA122" s="410"/>
      <c r="BB122" s="410"/>
      <c r="BC122" s="410"/>
      <c r="BD122" s="410"/>
      <c r="BE122" s="410"/>
      <c r="BF122" s="410"/>
      <c r="BG122" s="410"/>
      <c r="BH122" s="410"/>
      <c r="BI122" s="410"/>
      <c r="BJ122" s="410"/>
      <c r="BK122" s="410"/>
      <c r="BL122" s="410"/>
    </row>
    <row r="123" spans="1:64" ht="12.75" thickBot="1" x14ac:dyDescent="0.25">
      <c r="A123" s="854"/>
      <c r="B123" s="855"/>
      <c r="C123" s="855"/>
      <c r="D123" s="855"/>
      <c r="E123" s="855"/>
      <c r="F123" s="855"/>
      <c r="G123" s="856" t="s">
        <v>74</v>
      </c>
      <c r="H123" s="458"/>
      <c r="I123" s="1256"/>
      <c r="J123" s="410"/>
      <c r="K123" s="410"/>
      <c r="L123" s="410"/>
      <c r="M123" s="410"/>
      <c r="N123" s="410"/>
      <c r="R123" s="410"/>
      <c r="S123" s="410"/>
      <c r="T123" s="410"/>
      <c r="U123" s="410"/>
      <c r="V123" s="410"/>
      <c r="W123" s="410"/>
      <c r="X123" s="410"/>
      <c r="Y123" s="417">
        <v>6</v>
      </c>
      <c r="Z123" s="1258" t="s">
        <v>112</v>
      </c>
      <c r="AA123" s="1258"/>
      <c r="AB123" s="1258"/>
      <c r="AC123" s="1258"/>
      <c r="AD123" s="417">
        <v>105</v>
      </c>
      <c r="AE123" s="417">
        <v>106</v>
      </c>
      <c r="AF123" s="417">
        <v>120</v>
      </c>
      <c r="AG123" s="417"/>
      <c r="AH123" s="460">
        <f>IF(AH$117=1,$AD$123,IF(AH$117=2,$AE$123,IF(AH$117=3,$AF$123,IF(AH$117=4,$AG$123))))</f>
        <v>120</v>
      </c>
      <c r="AI123" s="460">
        <f t="shared" ref="AI123:AN123" si="11">IF(AI$117=1,$AD$123,IF(AI$117=2,$AE$123,IF(AI$117=3,$AF$123,IF(AI$117=4,$AG$123))))</f>
        <v>105</v>
      </c>
      <c r="AJ123" s="460">
        <f t="shared" si="11"/>
        <v>105</v>
      </c>
      <c r="AK123" s="460">
        <f t="shared" si="11"/>
        <v>105</v>
      </c>
      <c r="AL123" s="460">
        <f t="shared" si="11"/>
        <v>105</v>
      </c>
      <c r="AM123" s="460">
        <f t="shared" si="11"/>
        <v>105</v>
      </c>
      <c r="AN123" s="460">
        <f t="shared" si="11"/>
        <v>105</v>
      </c>
      <c r="AO123" s="482"/>
      <c r="AP123" s="410"/>
      <c r="AQ123" s="410"/>
      <c r="AR123" s="410"/>
      <c r="AS123" s="410"/>
      <c r="AT123" s="410"/>
      <c r="AU123" s="410"/>
      <c r="AV123" s="410"/>
      <c r="AW123" s="410"/>
      <c r="AX123" s="410"/>
      <c r="AY123" s="410"/>
      <c r="AZ123" s="410"/>
      <c r="BA123" s="410"/>
      <c r="BB123" s="410"/>
      <c r="BC123" s="410"/>
      <c r="BD123" s="410"/>
      <c r="BE123" s="410"/>
      <c r="BF123" s="410"/>
      <c r="BG123" s="410"/>
      <c r="BH123" s="410"/>
      <c r="BI123" s="410"/>
      <c r="BJ123" s="410"/>
      <c r="BK123" s="410"/>
      <c r="BL123" s="410"/>
    </row>
    <row r="124" spans="1:64" x14ac:dyDescent="0.2">
      <c r="A124" s="410"/>
      <c r="B124" s="410"/>
      <c r="C124" s="410"/>
      <c r="D124" s="410"/>
      <c r="E124" s="410"/>
      <c r="F124" s="410"/>
      <c r="G124" s="410"/>
      <c r="H124" s="410"/>
      <c r="I124" s="410"/>
      <c r="J124" s="410"/>
      <c r="K124" s="410"/>
      <c r="L124" s="410"/>
      <c r="M124" s="410"/>
      <c r="N124" s="410"/>
      <c r="P124" s="410" t="s">
        <v>271</v>
      </c>
      <c r="R124" s="410"/>
      <c r="S124" s="410"/>
      <c r="T124" s="410"/>
      <c r="U124" s="410"/>
      <c r="V124" s="410"/>
      <c r="W124" s="410"/>
      <c r="X124" s="410"/>
      <c r="Y124" s="417">
        <v>7</v>
      </c>
      <c r="Z124" s="1258" t="s">
        <v>186</v>
      </c>
      <c r="AA124" s="1258"/>
      <c r="AB124" s="1258"/>
      <c r="AC124" s="1258"/>
      <c r="AD124" s="417">
        <v>105</v>
      </c>
      <c r="AE124" s="417">
        <v>95</v>
      </c>
      <c r="AF124" s="417">
        <v>108</v>
      </c>
      <c r="AG124" s="417"/>
      <c r="AH124" s="460">
        <f>IF(AH$117=1,$AD$124,IF(AH$117=2,$AE$124,IF(AH$117=3,$AF$124,IF(AH$117=4,$AG$124))))</f>
        <v>108</v>
      </c>
      <c r="AI124" s="460">
        <f t="shared" ref="AI124:AN124" si="12">IF(AI$117=1,$AD$124,IF(AI$117=2,$AE$124,IF(AI$117=3,$AF$124,IF(AI$117=4,$AG$124))))</f>
        <v>105</v>
      </c>
      <c r="AJ124" s="460">
        <f t="shared" si="12"/>
        <v>105</v>
      </c>
      <c r="AK124" s="460">
        <f t="shared" si="12"/>
        <v>105</v>
      </c>
      <c r="AL124" s="460">
        <f t="shared" si="12"/>
        <v>105</v>
      </c>
      <c r="AM124" s="460">
        <f t="shared" si="12"/>
        <v>105</v>
      </c>
      <c r="AN124" s="460">
        <f t="shared" si="12"/>
        <v>105</v>
      </c>
      <c r="AO124" s="482"/>
      <c r="AP124" s="410"/>
      <c r="AQ124" s="410"/>
      <c r="AR124" s="410"/>
      <c r="AS124" s="410"/>
      <c r="AT124" s="410"/>
      <c r="AU124" s="410"/>
      <c r="AV124" s="410"/>
      <c r="AW124" s="410"/>
      <c r="AX124" s="410"/>
      <c r="AY124" s="410"/>
      <c r="AZ124" s="410"/>
      <c r="BA124" s="410"/>
      <c r="BB124" s="410"/>
      <c r="BC124" s="410"/>
      <c r="BD124" s="410"/>
      <c r="BE124" s="410"/>
      <c r="BF124" s="410"/>
      <c r="BG124" s="410"/>
      <c r="BH124" s="410"/>
      <c r="BI124" s="410"/>
      <c r="BJ124" s="410"/>
      <c r="BK124" s="410"/>
      <c r="BL124" s="410"/>
    </row>
    <row r="125" spans="1:64" x14ac:dyDescent="0.2">
      <c r="A125" s="410"/>
      <c r="B125" s="410"/>
      <c r="C125" s="410"/>
      <c r="D125" s="410"/>
      <c r="E125" s="410"/>
      <c r="F125" s="410"/>
      <c r="G125" s="410"/>
      <c r="H125" s="410"/>
      <c r="I125" s="410"/>
      <c r="J125" s="410"/>
      <c r="K125" s="410"/>
      <c r="L125" s="410"/>
      <c r="M125" s="410"/>
      <c r="N125" s="410"/>
      <c r="P125" s="410" t="s">
        <v>272</v>
      </c>
      <c r="R125" s="410"/>
      <c r="S125" s="410"/>
      <c r="T125" s="410"/>
      <c r="U125" s="410"/>
      <c r="V125" s="410"/>
      <c r="W125" s="410"/>
      <c r="X125" s="410"/>
      <c r="Y125" s="410"/>
      <c r="Z125" s="410"/>
      <c r="AA125" s="410"/>
      <c r="AB125" s="410"/>
      <c r="AC125" s="410"/>
      <c r="AD125" s="410"/>
      <c r="AE125" s="410"/>
      <c r="AF125" s="410"/>
      <c r="AG125" s="410"/>
      <c r="AH125" s="410"/>
      <c r="AI125" s="410"/>
      <c r="AJ125" s="410"/>
      <c r="AK125" s="410"/>
      <c r="AL125" s="410"/>
      <c r="AM125" s="410"/>
      <c r="AN125" s="410"/>
      <c r="AO125" s="410"/>
      <c r="AP125" s="410"/>
      <c r="AQ125" s="410"/>
      <c r="AR125" s="410"/>
      <c r="AS125" s="410"/>
      <c r="AT125" s="410"/>
      <c r="AU125" s="410"/>
      <c r="AV125" s="410"/>
      <c r="AW125" s="410"/>
      <c r="AX125" s="410"/>
      <c r="AY125" s="410"/>
      <c r="AZ125" s="410"/>
      <c r="BA125" s="410"/>
      <c r="BB125" s="410"/>
      <c r="BC125" s="410"/>
      <c r="BD125" s="410"/>
      <c r="BE125" s="410"/>
      <c r="BF125" s="410"/>
      <c r="BG125" s="410"/>
      <c r="BH125" s="410"/>
      <c r="BI125" s="410"/>
      <c r="BJ125" s="410"/>
      <c r="BK125" s="410"/>
      <c r="BL125" s="410"/>
    </row>
    <row r="126" spans="1:64" x14ac:dyDescent="0.2">
      <c r="A126" s="410"/>
      <c r="B126" s="410"/>
      <c r="C126" s="410"/>
      <c r="D126" s="410"/>
      <c r="E126" s="410"/>
      <c r="F126" s="410"/>
      <c r="G126" s="410"/>
      <c r="H126" s="410"/>
      <c r="I126" s="410"/>
      <c r="J126" s="410"/>
      <c r="K126" s="410"/>
      <c r="L126" s="410"/>
      <c r="M126" s="410"/>
      <c r="N126" s="410"/>
      <c r="R126" s="410"/>
      <c r="S126" s="410"/>
      <c r="T126" s="410"/>
      <c r="U126" s="410"/>
      <c r="V126" s="410"/>
      <c r="W126" s="410"/>
      <c r="X126" s="410"/>
      <c r="Y126" s="410"/>
      <c r="Z126" s="410"/>
      <c r="AA126" s="410"/>
      <c r="AB126" s="410"/>
      <c r="AC126" s="410"/>
      <c r="AD126" s="410"/>
      <c r="AE126" s="410"/>
      <c r="AF126" s="410"/>
      <c r="AG126" s="410">
        <f>'Раскладка продуктов'!AG119</f>
        <v>60</v>
      </c>
      <c r="AH126" s="410"/>
      <c r="AI126" s="410"/>
      <c r="AJ126" s="410"/>
      <c r="AK126" s="410"/>
      <c r="AL126" s="410"/>
      <c r="AM126" s="410"/>
      <c r="AN126" s="410"/>
      <c r="AO126" s="410"/>
      <c r="AP126" s="410"/>
      <c r="AQ126" s="410"/>
      <c r="AR126" s="410"/>
      <c r="AS126" s="410"/>
      <c r="AT126" s="410"/>
      <c r="AU126" s="410"/>
      <c r="AV126" s="410"/>
      <c r="AW126" s="410"/>
      <c r="AX126" s="410"/>
      <c r="AY126" s="410"/>
      <c r="AZ126" s="410"/>
      <c r="BA126" s="410"/>
      <c r="BB126" s="410"/>
      <c r="BC126" s="410"/>
      <c r="BD126" s="410"/>
      <c r="BE126" s="410"/>
      <c r="BF126" s="410"/>
      <c r="BG126" s="410"/>
      <c r="BH126" s="410"/>
      <c r="BI126" s="410"/>
      <c r="BJ126" s="410"/>
      <c r="BK126" s="410"/>
      <c r="BL126" s="410"/>
    </row>
    <row r="127" spans="1:64" x14ac:dyDescent="0.2">
      <c r="A127" s="410"/>
      <c r="B127" s="410"/>
      <c r="C127" s="410"/>
      <c r="D127" s="410"/>
      <c r="E127" s="410"/>
      <c r="F127" s="410"/>
      <c r="G127" s="410"/>
      <c r="H127" s="410"/>
      <c r="I127" s="410"/>
      <c r="J127" s="410"/>
      <c r="K127" s="410"/>
      <c r="L127" s="410"/>
      <c r="M127" s="410"/>
      <c r="N127" s="410"/>
      <c r="R127" s="410"/>
      <c r="S127" s="410"/>
      <c r="T127" s="410"/>
      <c r="U127" s="410"/>
      <c r="V127" s="410"/>
      <c r="W127" s="410"/>
      <c r="X127" s="410"/>
      <c r="Y127" s="417"/>
      <c r="Z127" s="1260"/>
      <c r="AA127" s="1260"/>
      <c r="AB127" s="417" t="s">
        <v>116</v>
      </c>
      <c r="AC127" s="417" t="s">
        <v>117</v>
      </c>
      <c r="AD127" s="410"/>
      <c r="AE127" s="410"/>
      <c r="AF127" s="410"/>
      <c r="AG127" s="410">
        <f>'Раскладка продуктов'!AG132</f>
        <v>60</v>
      </c>
      <c r="AH127" s="410"/>
      <c r="AI127" s="410"/>
      <c r="AJ127" s="410"/>
      <c r="AK127" s="410"/>
      <c r="AL127" s="410"/>
      <c r="AM127" s="410"/>
      <c r="AN127" s="410"/>
      <c r="AO127" s="410"/>
      <c r="AP127" s="410"/>
      <c r="AQ127" s="410"/>
      <c r="AR127" s="410"/>
      <c r="AS127" s="410"/>
      <c r="AT127" s="410"/>
      <c r="AU127" s="410"/>
      <c r="AV127" s="410"/>
      <c r="AW127" s="410"/>
      <c r="AX127" s="410"/>
      <c r="AY127" s="410"/>
      <c r="AZ127" s="410"/>
      <c r="BA127" s="410"/>
      <c r="BB127" s="410"/>
      <c r="BC127" s="410"/>
      <c r="BD127" s="410"/>
      <c r="BE127" s="410"/>
      <c r="BF127" s="410"/>
      <c r="BG127" s="410"/>
      <c r="BH127" s="410"/>
      <c r="BI127" s="410"/>
      <c r="BJ127" s="410"/>
      <c r="BK127" s="410"/>
      <c r="BL127" s="410"/>
    </row>
    <row r="128" spans="1:64" x14ac:dyDescent="0.2">
      <c r="A128" s="410"/>
      <c r="B128" s="410"/>
      <c r="C128" s="410"/>
      <c r="D128" s="410"/>
      <c r="E128" s="410"/>
      <c r="F128" s="410"/>
      <c r="G128" s="410"/>
      <c r="H128" s="410"/>
      <c r="I128" s="410"/>
      <c r="J128" s="410"/>
      <c r="K128" s="410"/>
      <c r="L128" s="410"/>
      <c r="M128" s="410"/>
      <c r="N128" s="410"/>
      <c r="O128" s="410">
        <v>1</v>
      </c>
      <c r="P128" s="410" t="str">
        <f>O90</f>
        <v>Сок, хлеб</v>
      </c>
      <c r="R128" s="410"/>
      <c r="S128" s="410"/>
      <c r="T128" s="410"/>
      <c r="U128" s="410"/>
      <c r="V128" s="410"/>
      <c r="W128" s="410"/>
      <c r="X128" s="410"/>
      <c r="Y128" s="417">
        <v>1</v>
      </c>
      <c r="Z128" s="1258" t="s">
        <v>450</v>
      </c>
      <c r="AA128" s="1258"/>
      <c r="AB128" s="461" t="s">
        <v>443</v>
      </c>
      <c r="AC128" s="461">
        <v>30</v>
      </c>
      <c r="AD128" s="410"/>
      <c r="AE128" s="410"/>
      <c r="AF128" s="410"/>
      <c r="AG128" s="410"/>
      <c r="AH128" s="410"/>
      <c r="AI128" s="410"/>
      <c r="AJ128" s="410"/>
      <c r="AK128" s="410"/>
      <c r="AL128" s="410"/>
      <c r="AM128" s="410"/>
      <c r="AN128" s="410"/>
      <c r="AO128" s="410"/>
      <c r="AP128" s="410"/>
      <c r="AQ128" s="410"/>
      <c r="AR128" s="410"/>
      <c r="AS128" s="410"/>
      <c r="AT128" s="410"/>
      <c r="AU128" s="410"/>
      <c r="AV128" s="410"/>
      <c r="AW128" s="410"/>
      <c r="AX128" s="410"/>
      <c r="AY128" s="410"/>
      <c r="AZ128" s="410"/>
      <c r="BA128" s="410"/>
      <c r="BB128" s="410"/>
      <c r="BC128" s="410"/>
      <c r="BD128" s="410"/>
      <c r="BE128" s="410"/>
      <c r="BF128" s="410"/>
      <c r="BG128" s="410"/>
      <c r="BH128" s="410"/>
      <c r="BI128" s="410"/>
      <c r="BJ128" s="410"/>
      <c r="BK128" s="410"/>
      <c r="BL128" s="410"/>
    </row>
    <row r="129" spans="1:64" x14ac:dyDescent="0.2">
      <c r="A129" s="410"/>
      <c r="B129" s="410"/>
      <c r="C129" s="410"/>
      <c r="D129" s="410"/>
      <c r="E129" s="410"/>
      <c r="F129" s="410"/>
      <c r="G129" s="410"/>
      <c r="H129" s="410"/>
      <c r="I129" s="410"/>
      <c r="J129" s="410"/>
      <c r="K129" s="410"/>
      <c r="L129" s="410"/>
      <c r="M129" s="410"/>
      <c r="N129" s="410"/>
      <c r="O129" s="410">
        <v>2</v>
      </c>
      <c r="P129" s="410" t="str">
        <f>O91</f>
        <v>Компот, хлеб</v>
      </c>
      <c r="R129" s="410"/>
      <c r="S129" s="410"/>
      <c r="T129" s="410"/>
      <c r="U129" s="410"/>
      <c r="V129" s="410"/>
      <c r="W129" s="410"/>
      <c r="X129" s="410"/>
      <c r="Y129" s="417">
        <v>2</v>
      </c>
      <c r="Z129" s="1258" t="s">
        <v>432</v>
      </c>
      <c r="AA129" s="1258"/>
      <c r="AB129" s="461">
        <v>60</v>
      </c>
      <c r="AC129" s="461">
        <v>40</v>
      </c>
      <c r="AD129" s="410"/>
      <c r="AE129" s="410"/>
      <c r="AF129" s="410"/>
      <c r="AG129" s="410"/>
      <c r="AH129" s="410"/>
      <c r="AI129" s="410"/>
      <c r="AJ129" s="410"/>
      <c r="AK129" s="410"/>
      <c r="AL129" s="410"/>
      <c r="AM129" s="410"/>
      <c r="AN129" s="410"/>
      <c r="AO129" s="410"/>
      <c r="AP129" s="410"/>
      <c r="AQ129" s="410"/>
      <c r="AR129" s="410"/>
      <c r="AS129" s="410"/>
      <c r="AT129" s="410"/>
      <c r="AU129" s="410"/>
      <c r="AV129" s="410"/>
      <c r="AW129" s="410"/>
      <c r="AX129" s="410"/>
      <c r="AY129" s="410"/>
      <c r="AZ129" s="410"/>
      <c r="BA129" s="410"/>
      <c r="BB129" s="410"/>
      <c r="BC129" s="410"/>
      <c r="BD129" s="410"/>
      <c r="BE129" s="410"/>
      <c r="BF129" s="410"/>
      <c r="BG129" s="410"/>
      <c r="BH129" s="410"/>
      <c r="BI129" s="410"/>
      <c r="BJ129" s="410"/>
      <c r="BK129" s="410"/>
      <c r="BL129" s="410"/>
    </row>
    <row r="130" spans="1:64" x14ac:dyDescent="0.2">
      <c r="A130" s="410"/>
      <c r="B130" s="410"/>
      <c r="C130" s="410"/>
      <c r="D130" s="410"/>
      <c r="E130" s="410"/>
      <c r="F130" s="410"/>
      <c r="G130" s="410"/>
      <c r="H130" s="410"/>
      <c r="I130" s="410"/>
      <c r="J130" s="410"/>
      <c r="K130" s="410"/>
      <c r="L130" s="410"/>
      <c r="M130" s="410"/>
      <c r="N130" s="410"/>
      <c r="O130" s="410">
        <v>3</v>
      </c>
      <c r="P130" s="410" t="str">
        <f>O92</f>
        <v/>
      </c>
      <c r="R130" s="410"/>
      <c r="S130" s="410"/>
      <c r="T130" s="410"/>
      <c r="U130" s="410"/>
      <c r="V130" s="410"/>
      <c r="W130" s="410"/>
      <c r="X130" s="410"/>
      <c r="Y130" s="417">
        <v>3</v>
      </c>
      <c r="Z130" s="1258" t="s">
        <v>433</v>
      </c>
      <c r="AA130" s="1258"/>
      <c r="AB130" s="461">
        <v>70</v>
      </c>
      <c r="AC130" s="461">
        <v>50</v>
      </c>
      <c r="AD130" s="410"/>
      <c r="AE130" s="410"/>
      <c r="AF130" s="410"/>
      <c r="AG130" s="410"/>
      <c r="AH130" s="410"/>
      <c r="AI130" s="410"/>
      <c r="AJ130" s="410"/>
      <c r="AK130" s="410"/>
      <c r="AL130" s="410"/>
      <c r="AM130" s="410"/>
      <c r="AN130" s="410"/>
      <c r="AO130" s="410"/>
      <c r="AP130" s="410"/>
      <c r="AQ130" s="410"/>
      <c r="AR130" s="410"/>
      <c r="AS130" s="410"/>
      <c r="AT130" s="410"/>
      <c r="AU130" s="410"/>
      <c r="AV130" s="410"/>
      <c r="AW130" s="410"/>
      <c r="AX130" s="410"/>
      <c r="AY130" s="410"/>
      <c r="AZ130" s="410"/>
      <c r="BA130" s="410"/>
      <c r="BB130" s="410"/>
      <c r="BC130" s="410"/>
      <c r="BD130" s="410"/>
      <c r="BE130" s="410"/>
      <c r="BF130" s="410"/>
      <c r="BG130" s="410"/>
      <c r="BH130" s="410"/>
      <c r="BI130" s="410"/>
      <c r="BJ130" s="410"/>
      <c r="BK130" s="410"/>
      <c r="BL130" s="410"/>
    </row>
    <row r="131" spans="1:64" x14ac:dyDescent="0.2">
      <c r="A131" s="410"/>
      <c r="B131" s="410"/>
      <c r="C131" s="410"/>
      <c r="D131" s="410"/>
      <c r="E131" s="410"/>
      <c r="F131" s="410"/>
      <c r="G131" s="410"/>
      <c r="H131" s="410"/>
      <c r="I131" s="410"/>
      <c r="J131" s="410"/>
      <c r="K131" s="410"/>
      <c r="L131" s="410"/>
      <c r="M131" s="410"/>
      <c r="N131" s="410"/>
      <c r="O131" s="410">
        <v>4</v>
      </c>
      <c r="P131" s="410" t="str">
        <f>O93</f>
        <v/>
      </c>
      <c r="R131" s="410"/>
      <c r="S131" s="410"/>
      <c r="T131" s="410"/>
      <c r="U131" s="410"/>
      <c r="V131" s="410"/>
      <c r="W131" s="410"/>
      <c r="X131" s="410"/>
      <c r="Y131" s="417">
        <v>4</v>
      </c>
      <c r="Z131" s="1258" t="s">
        <v>434</v>
      </c>
      <c r="AA131" s="1258"/>
      <c r="AB131" s="461">
        <v>80</v>
      </c>
      <c r="AC131" s="461">
        <v>60</v>
      </c>
      <c r="AD131" s="410"/>
      <c r="AE131" s="410"/>
      <c r="AF131" s="410"/>
      <c r="AG131" s="410"/>
      <c r="AH131" s="410"/>
      <c r="AI131" s="410"/>
      <c r="AJ131" s="410"/>
      <c r="AK131" s="410"/>
      <c r="AL131" s="410"/>
      <c r="AM131" s="410"/>
      <c r="AN131" s="410"/>
      <c r="AO131" s="410"/>
      <c r="AP131" s="410"/>
      <c r="AQ131" s="410"/>
      <c r="AR131" s="410"/>
      <c r="AS131" s="410"/>
      <c r="AT131" s="410"/>
      <c r="AU131" s="410"/>
      <c r="AV131" s="410"/>
      <c r="AW131" s="410"/>
      <c r="AX131" s="410"/>
      <c r="AY131" s="410"/>
      <c r="AZ131" s="410"/>
      <c r="BA131" s="410"/>
      <c r="BB131" s="410"/>
      <c r="BC131" s="410"/>
      <c r="BD131" s="410"/>
      <c r="BE131" s="410"/>
      <c r="BF131" s="410"/>
      <c r="BG131" s="410"/>
      <c r="BH131" s="410"/>
      <c r="BI131" s="410"/>
      <c r="BJ131" s="410"/>
      <c r="BK131" s="410"/>
      <c r="BL131" s="410"/>
    </row>
    <row r="132" spans="1:64" x14ac:dyDescent="0.2">
      <c r="A132" s="410"/>
      <c r="B132" s="410"/>
      <c r="C132" s="410"/>
      <c r="D132" s="410"/>
      <c r="E132" s="410"/>
      <c r="F132" s="410"/>
      <c r="G132" s="410"/>
      <c r="H132" s="410"/>
      <c r="I132" s="410"/>
      <c r="J132" s="410"/>
      <c r="K132" s="410"/>
      <c r="L132" s="410"/>
      <c r="M132" s="410"/>
      <c r="N132" s="410"/>
      <c r="O132" s="410">
        <v>5</v>
      </c>
      <c r="P132" s="410" t="str">
        <f>O94</f>
        <v/>
      </c>
      <c r="R132" s="410"/>
      <c r="S132" s="410"/>
      <c r="T132" s="410"/>
      <c r="U132" s="410"/>
      <c r="V132" s="410"/>
      <c r="W132" s="410"/>
      <c r="X132" s="410"/>
      <c r="Y132" s="417">
        <v>5</v>
      </c>
      <c r="Z132" s="1258" t="s">
        <v>435</v>
      </c>
      <c r="AA132" s="1258"/>
      <c r="AB132" s="461">
        <v>90</v>
      </c>
      <c r="AC132" s="461">
        <v>70</v>
      </c>
      <c r="AD132" s="410"/>
      <c r="AE132" s="410"/>
      <c r="AF132" s="407"/>
      <c r="AG132" s="410"/>
      <c r="AH132" s="410"/>
      <c r="AI132" s="410"/>
      <c r="AJ132" s="410"/>
      <c r="AK132" s="410"/>
      <c r="AL132" s="410"/>
      <c r="AM132" s="410"/>
      <c r="AN132" s="410"/>
      <c r="AO132" s="410"/>
      <c r="AP132" s="410"/>
      <c r="AQ132" s="410"/>
      <c r="AR132" s="410"/>
      <c r="AS132" s="410"/>
      <c r="AT132" s="410"/>
      <c r="AU132" s="410"/>
      <c r="AV132" s="410"/>
      <c r="AW132" s="410"/>
      <c r="AX132" s="410"/>
      <c r="AY132" s="410"/>
      <c r="AZ132" s="410"/>
      <c r="BA132" s="410"/>
      <c r="BB132" s="410"/>
      <c r="BC132" s="410"/>
      <c r="BD132" s="410"/>
      <c r="BE132" s="410"/>
      <c r="BF132" s="410"/>
      <c r="BG132" s="410"/>
      <c r="BH132" s="410"/>
      <c r="BI132" s="410"/>
      <c r="BJ132" s="410"/>
      <c r="BK132" s="410"/>
      <c r="BL132" s="410"/>
    </row>
    <row r="133" spans="1:64" x14ac:dyDescent="0.2">
      <c r="A133" s="410"/>
      <c r="B133" s="410"/>
      <c r="C133" s="410"/>
      <c r="D133" s="410"/>
      <c r="E133" s="410"/>
      <c r="F133" s="410"/>
      <c r="G133" s="410"/>
      <c r="H133" s="410"/>
      <c r="I133" s="410"/>
      <c r="J133" s="410"/>
      <c r="K133" s="410"/>
      <c r="L133" s="410"/>
      <c r="M133" s="410"/>
      <c r="N133" s="410"/>
      <c r="R133" s="410"/>
      <c r="S133" s="410"/>
      <c r="T133" s="410"/>
      <c r="U133" s="410"/>
      <c r="V133" s="410"/>
      <c r="W133" s="410"/>
      <c r="X133" s="410"/>
      <c r="Y133" s="417">
        <v>6</v>
      </c>
      <c r="Z133" s="1258" t="s">
        <v>436</v>
      </c>
      <c r="AA133" s="1258"/>
      <c r="AB133" s="461">
        <v>100</v>
      </c>
      <c r="AC133" s="461">
        <v>80</v>
      </c>
      <c r="AD133" s="410"/>
      <c r="AE133" s="410"/>
      <c r="AF133" s="410"/>
      <c r="AG133" s="410"/>
      <c r="AH133" s="410"/>
      <c r="AI133" s="410"/>
      <c r="AJ133" s="410"/>
      <c r="AK133" s="410"/>
      <c r="AL133" s="410"/>
      <c r="AM133" s="410"/>
      <c r="AN133" s="410"/>
      <c r="AO133" s="410"/>
      <c r="AP133" s="410"/>
      <c r="AQ133" s="410"/>
      <c r="AR133" s="410"/>
      <c r="AS133" s="410"/>
      <c r="AT133" s="410"/>
      <c r="AU133" s="410"/>
      <c r="AV133" s="410"/>
      <c r="AW133" s="410"/>
      <c r="AX133" s="410"/>
      <c r="AY133" s="410"/>
      <c r="AZ133" s="410"/>
      <c r="BA133" s="410"/>
      <c r="BB133" s="410"/>
      <c r="BC133" s="410"/>
      <c r="BD133" s="410"/>
      <c r="BE133" s="410"/>
      <c r="BF133" s="410"/>
      <c r="BG133" s="410"/>
      <c r="BH133" s="410"/>
      <c r="BI133" s="410"/>
      <c r="BJ133" s="410"/>
      <c r="BK133" s="410"/>
      <c r="BL133" s="410"/>
    </row>
    <row r="134" spans="1:64" x14ac:dyDescent="0.2">
      <c r="A134" s="410"/>
      <c r="B134" s="410"/>
      <c r="C134" s="410"/>
      <c r="D134" s="410"/>
      <c r="E134" s="410"/>
      <c r="F134" s="410"/>
      <c r="G134" s="410"/>
      <c r="H134" s="410"/>
      <c r="I134" s="410"/>
      <c r="J134" s="410"/>
      <c r="K134" s="410"/>
      <c r="L134" s="410"/>
      <c r="M134" s="410"/>
      <c r="N134" s="410"/>
      <c r="R134" s="410"/>
      <c r="S134" s="410" t="str">
        <f>O92</f>
        <v/>
      </c>
      <c r="T134" s="410"/>
      <c r="U134" s="410"/>
      <c r="V134" s="410"/>
      <c r="W134" s="410"/>
      <c r="X134" s="410"/>
      <c r="Y134" s="417">
        <v>7</v>
      </c>
      <c r="Z134" s="1258" t="s">
        <v>437</v>
      </c>
      <c r="AA134" s="1258"/>
      <c r="AB134" s="461">
        <v>110</v>
      </c>
      <c r="AC134" s="461">
        <v>90</v>
      </c>
      <c r="AD134" s="410"/>
      <c r="AE134" s="410"/>
      <c r="AF134" s="410"/>
      <c r="AG134" s="410"/>
      <c r="AH134" s="410"/>
      <c r="AI134" s="410"/>
      <c r="AJ134" s="410"/>
      <c r="AK134" s="410"/>
      <c r="AL134" s="410"/>
      <c r="AM134" s="410"/>
      <c r="AN134" s="410"/>
      <c r="AO134" s="410"/>
      <c r="AP134" s="410"/>
      <c r="AQ134" s="410"/>
      <c r="AR134" s="410"/>
      <c r="AS134" s="410"/>
      <c r="AT134" s="410"/>
      <c r="AU134" s="410"/>
      <c r="AV134" s="410"/>
      <c r="AW134" s="410"/>
      <c r="AX134" s="410"/>
      <c r="AY134" s="410"/>
      <c r="AZ134" s="410"/>
      <c r="BA134" s="410"/>
      <c r="BB134" s="410"/>
      <c r="BC134" s="410"/>
      <c r="BD134" s="410"/>
      <c r="BE134" s="410"/>
      <c r="BF134" s="410"/>
      <c r="BG134" s="410"/>
      <c r="BH134" s="410"/>
      <c r="BI134" s="410"/>
      <c r="BJ134" s="410"/>
      <c r="BK134" s="410"/>
      <c r="BL134" s="410"/>
    </row>
    <row r="135" spans="1:64" x14ac:dyDescent="0.2">
      <c r="A135" s="410"/>
      <c r="B135" s="410"/>
      <c r="C135" s="410"/>
      <c r="D135" s="410"/>
      <c r="E135" s="410"/>
      <c r="F135" s="410"/>
      <c r="G135" s="410"/>
      <c r="H135" s="410"/>
      <c r="I135" s="410"/>
      <c r="J135" s="410"/>
      <c r="K135" s="410"/>
      <c r="L135" s="410"/>
      <c r="M135" s="410"/>
      <c r="N135" s="410"/>
      <c r="R135" s="410"/>
      <c r="S135" s="410"/>
      <c r="T135" s="410"/>
      <c r="U135" s="410"/>
      <c r="V135" s="410"/>
      <c r="W135" s="410"/>
      <c r="X135" s="410"/>
      <c r="Y135" s="417">
        <v>8</v>
      </c>
      <c r="Z135" s="1257"/>
      <c r="AA135" s="1258"/>
      <c r="AB135" s="417"/>
      <c r="AC135" s="417"/>
      <c r="AD135" s="410"/>
      <c r="AE135" s="410"/>
      <c r="AF135" s="410"/>
      <c r="AG135" s="410"/>
      <c r="AH135" s="410"/>
      <c r="AI135" s="410"/>
      <c r="AJ135" s="410"/>
      <c r="AK135" s="410"/>
      <c r="AL135" s="410"/>
      <c r="AM135" s="410"/>
      <c r="AN135" s="410"/>
      <c r="AO135" s="410"/>
      <c r="AP135" s="410"/>
      <c r="AQ135" s="410"/>
      <c r="AR135" s="410"/>
      <c r="AS135" s="410"/>
      <c r="AT135" s="410"/>
      <c r="AU135" s="410"/>
      <c r="AV135" s="410"/>
      <c r="AW135" s="410"/>
      <c r="AX135" s="410"/>
      <c r="AY135" s="410"/>
      <c r="AZ135" s="410"/>
      <c r="BA135" s="410"/>
      <c r="BB135" s="410"/>
      <c r="BC135" s="410"/>
      <c r="BD135" s="410"/>
      <c r="BE135" s="410"/>
      <c r="BF135" s="410"/>
      <c r="BG135" s="410"/>
      <c r="BH135" s="410"/>
      <c r="BI135" s="410"/>
      <c r="BJ135" s="410"/>
      <c r="BK135" s="410"/>
      <c r="BL135" s="410"/>
    </row>
    <row r="136" spans="1:64" x14ac:dyDescent="0.2">
      <c r="A136" s="410"/>
      <c r="B136" s="410"/>
      <c r="C136" s="410"/>
      <c r="D136" s="410"/>
      <c r="E136" s="410"/>
      <c r="F136" s="410"/>
      <c r="G136" s="410"/>
      <c r="H136" s="410"/>
      <c r="I136" s="410"/>
      <c r="J136" s="410"/>
      <c r="K136" s="410"/>
      <c r="L136" s="410"/>
      <c r="M136" s="410"/>
      <c r="N136" s="410"/>
      <c r="R136" s="410"/>
      <c r="S136" s="410"/>
      <c r="T136" s="410"/>
      <c r="U136" s="410"/>
      <c r="V136" s="410"/>
      <c r="W136" s="410"/>
      <c r="X136" s="410"/>
      <c r="Y136" s="417"/>
      <c r="Z136" s="431">
        <v>3</v>
      </c>
      <c r="AA136" s="417"/>
      <c r="AB136" s="461">
        <f>IF($Z136=0,AB128,IF($Z136=1,AB129,IF($Z136=2,AB130,IF($Z136=3,AB131,IF($Z136=4,AB132,IF($Z136=5,AB133,IF($Z136=6,AB134,IF($Z136=7,AB135))))))))</f>
        <v>80</v>
      </c>
      <c r="AC136" s="461">
        <f>IF($Z136=0,AC128,IF($Z136=1,AC129,IF($Z136=2,AC130,IF($Z136=3,AC131,IF($Z136=4,AC132,IF($Z136=5,AC133,IF($Z136=6,AC134,IF($Z136=7,AC135))))))))</f>
        <v>60</v>
      </c>
      <c r="AD136" s="410"/>
      <c r="AE136" s="410"/>
      <c r="AF136" s="410"/>
      <c r="AG136" s="410"/>
      <c r="AH136" s="410"/>
      <c r="AI136" s="410"/>
      <c r="AJ136" s="410"/>
      <c r="AK136" s="410"/>
      <c r="AL136" s="410"/>
      <c r="AM136" s="410"/>
      <c r="AN136" s="410"/>
      <c r="AO136" s="410"/>
      <c r="AP136" s="410"/>
      <c r="AQ136" s="410"/>
      <c r="AR136" s="410"/>
      <c r="AS136" s="410"/>
      <c r="AT136" s="410"/>
      <c r="AU136" s="410"/>
      <c r="AV136" s="410"/>
      <c r="AW136" s="410"/>
      <c r="AX136" s="410"/>
      <c r="AY136" s="410"/>
      <c r="AZ136" s="410"/>
      <c r="BA136" s="410"/>
      <c r="BB136" s="410"/>
      <c r="BC136" s="410"/>
      <c r="BD136" s="410"/>
      <c r="BE136" s="410"/>
      <c r="BF136" s="410"/>
      <c r="BG136" s="410"/>
      <c r="BH136" s="410"/>
      <c r="BI136" s="410"/>
      <c r="BJ136" s="410"/>
      <c r="BK136" s="410"/>
      <c r="BL136" s="410"/>
    </row>
    <row r="137" spans="1:64" ht="12.75" thickBot="1" x14ac:dyDescent="0.25">
      <c r="A137" s="410"/>
      <c r="B137" s="410"/>
      <c r="C137" s="410"/>
      <c r="D137" s="410"/>
      <c r="E137" s="410"/>
      <c r="F137" s="410"/>
      <c r="G137" s="410"/>
      <c r="H137" s="410"/>
      <c r="I137" s="410"/>
      <c r="J137" s="410"/>
      <c r="K137" s="410"/>
      <c r="L137" s="410"/>
      <c r="M137" s="410"/>
      <c r="N137" s="410"/>
      <c r="R137" s="410"/>
      <c r="S137" s="410"/>
      <c r="T137" s="410"/>
      <c r="U137" s="410"/>
      <c r="V137" s="410"/>
      <c r="W137" s="410"/>
      <c r="X137" s="410"/>
      <c r="Y137" s="410"/>
      <c r="Z137" s="417">
        <v>5</v>
      </c>
      <c r="AA137" s="410"/>
      <c r="AB137" s="410"/>
      <c r="AC137" s="410"/>
      <c r="AD137" s="410"/>
      <c r="AE137" s="410"/>
      <c r="AF137" s="410"/>
      <c r="AG137" s="410"/>
      <c r="AH137" s="410"/>
      <c r="AI137" s="410"/>
      <c r="AJ137" s="410">
        <v>1</v>
      </c>
      <c r="AK137" s="410">
        <v>2</v>
      </c>
      <c r="AL137" s="410">
        <v>3</v>
      </c>
      <c r="AM137" s="410">
        <v>4</v>
      </c>
      <c r="AN137" s="410">
        <v>5</v>
      </c>
      <c r="AO137" s="410">
        <v>6</v>
      </c>
      <c r="AP137" s="410">
        <v>7</v>
      </c>
      <c r="AQ137" s="410">
        <v>8</v>
      </c>
      <c r="AR137" s="410">
        <v>9</v>
      </c>
      <c r="AS137" s="410">
        <v>10</v>
      </c>
      <c r="AT137" s="410">
        <v>11</v>
      </c>
      <c r="AU137" s="410">
        <v>12</v>
      </c>
      <c r="AV137" s="410">
        <v>13</v>
      </c>
      <c r="AW137" s="410">
        <v>14</v>
      </c>
      <c r="AX137" s="410">
        <v>15</v>
      </c>
      <c r="AY137" s="410">
        <v>16</v>
      </c>
      <c r="AZ137" s="410">
        <v>17</v>
      </c>
      <c r="BA137" s="410">
        <v>18</v>
      </c>
      <c r="BB137" s="410">
        <v>19</v>
      </c>
      <c r="BC137" s="410">
        <v>20</v>
      </c>
      <c r="BD137" s="410">
        <v>21</v>
      </c>
      <c r="BE137" s="410">
        <v>22</v>
      </c>
      <c r="BF137" s="410">
        <v>23</v>
      </c>
      <c r="BG137" s="410">
        <v>24</v>
      </c>
      <c r="BH137" s="410">
        <v>25</v>
      </c>
      <c r="BI137" s="410">
        <v>26</v>
      </c>
      <c r="BJ137" s="410">
        <v>27</v>
      </c>
      <c r="BK137" s="410">
        <v>28</v>
      </c>
      <c r="BL137" s="410">
        <v>29</v>
      </c>
    </row>
    <row r="138" spans="1:64" x14ac:dyDescent="0.2">
      <c r="A138" s="410">
        <v>1</v>
      </c>
      <c r="B138" s="410" t="s">
        <v>405</v>
      </c>
      <c r="C138" s="410"/>
      <c r="D138" s="1270" t="s">
        <v>94</v>
      </c>
      <c r="E138" s="862">
        <v>30</v>
      </c>
      <c r="F138" s="846"/>
      <c r="G138" s="858" t="str">
        <f>IF(E138=1,B$138,IF(E138=2,B$139,IF(E138=3,B$140,IF(E138=4,B$141,IF(E138=5,B$142,IF(E138=6,B$143,IF(E138=7,B$144,IF(E138=8,B$145,""))))))))</f>
        <v/>
      </c>
      <c r="H138" s="409"/>
      <c r="I138" s="410">
        <v>1</v>
      </c>
      <c r="J138" s="410"/>
      <c r="K138" s="410"/>
      <c r="L138" s="410" t="str">
        <f>IF(I138=1,B$177,IF(I138=2,B$178,IF(I138=3,B$179,IF(I138=4,B$180,IF(I138=5,B$181,IF(I138=6,B$182,IF(I138=7,B$183,IF(I138=8,B$184,""))))))))</f>
        <v xml:space="preserve"> с картофельным пюре, </v>
      </c>
      <c r="M138" s="410"/>
      <c r="N138" s="410">
        <v>6</v>
      </c>
      <c r="R138" s="427">
        <f>E138</f>
        <v>30</v>
      </c>
      <c r="S138" s="427">
        <f>I138</f>
        <v>1</v>
      </c>
      <c r="T138" s="427">
        <f>N138</f>
        <v>6</v>
      </c>
      <c r="U138" s="410"/>
      <c r="V138" s="410"/>
      <c r="W138" s="410"/>
      <c r="X138" s="410"/>
      <c r="Y138" s="410"/>
      <c r="Z138" s="410"/>
      <c r="AA138" s="410"/>
      <c r="AB138" s="410"/>
      <c r="AC138" s="410"/>
      <c r="AD138" s="410">
        <f>IF(E138=1,AI$118,IF(E138=2,AH$119,IF(E138=3,AH$120,IF(E138=4,AH$119,IF(E138=5,AH$121,IF(E138=6,AH$121,IF(E138=7,AH$121,IF(E138=8,AH$121,0))))))))</f>
        <v>0</v>
      </c>
      <c r="AE138" s="410">
        <f>IF(R138=9,AH$122,IF(R138=10,AH$122,IF(R138=11,AH$122,IF(R138=12,AH$123,IF(R138=13,AH$121,IF(R138=14,AH$121,IF(R138=15,AH$121,IF(R138=16,AI$118,0))))))))</f>
        <v>0</v>
      </c>
      <c r="AF138" s="410">
        <f>IF(R138=17,$AG$118,IF(R138=18,$AG$119,IF(R138=19,75,IF(R138=20,96,IF(R138=21,$AB$136,IF(R138=22,$AB$136,IF(R138=23,$AC$136,IF(R138=24,$AC$136,0))))))))</f>
        <v>0</v>
      </c>
      <c r="AG138" s="460">
        <f>SUM(AD138:AF138)</f>
        <v>0</v>
      </c>
      <c r="AH138" s="410"/>
      <c r="AI138" s="1255">
        <v>1</v>
      </c>
      <c r="AJ138" s="404">
        <f>IF($E$138=AJ137,1,0)</f>
        <v>0</v>
      </c>
      <c r="AK138" s="404">
        <f t="shared" ref="AK138:BL138" si="13">IF($E$138=AK137,1,0)</f>
        <v>0</v>
      </c>
      <c r="AL138" s="404">
        <f t="shared" si="13"/>
        <v>0</v>
      </c>
      <c r="AM138" s="404">
        <f t="shared" si="13"/>
        <v>0</v>
      </c>
      <c r="AN138" s="404">
        <f t="shared" si="13"/>
        <v>0</v>
      </c>
      <c r="AO138" s="404">
        <f t="shared" si="13"/>
        <v>0</v>
      </c>
      <c r="AP138" s="404">
        <f t="shared" si="13"/>
        <v>0</v>
      </c>
      <c r="AQ138" s="404">
        <f t="shared" si="13"/>
        <v>0</v>
      </c>
      <c r="AR138" s="404">
        <f t="shared" si="13"/>
        <v>0</v>
      </c>
      <c r="AS138" s="404">
        <f t="shared" si="13"/>
        <v>0</v>
      </c>
      <c r="AT138" s="404">
        <f t="shared" si="13"/>
        <v>0</v>
      </c>
      <c r="AU138" s="404">
        <f t="shared" si="13"/>
        <v>0</v>
      </c>
      <c r="AV138" s="404">
        <f t="shared" si="13"/>
        <v>0</v>
      </c>
      <c r="AW138" s="404">
        <f t="shared" si="13"/>
        <v>0</v>
      </c>
      <c r="AX138" s="404">
        <f t="shared" si="13"/>
        <v>0</v>
      </c>
      <c r="AY138" s="404">
        <f t="shared" si="13"/>
        <v>0</v>
      </c>
      <c r="AZ138" s="404">
        <f t="shared" si="13"/>
        <v>0</v>
      </c>
      <c r="BA138" s="404">
        <f t="shared" si="13"/>
        <v>0</v>
      </c>
      <c r="BB138" s="404">
        <f t="shared" si="13"/>
        <v>0</v>
      </c>
      <c r="BC138" s="404">
        <f t="shared" si="13"/>
        <v>0</v>
      </c>
      <c r="BD138" s="404">
        <f t="shared" si="13"/>
        <v>0</v>
      </c>
      <c r="BE138" s="404">
        <f t="shared" si="13"/>
        <v>0</v>
      </c>
      <c r="BF138" s="404">
        <f t="shared" si="13"/>
        <v>0</v>
      </c>
      <c r="BG138" s="404">
        <f t="shared" si="13"/>
        <v>0</v>
      </c>
      <c r="BH138" s="404">
        <f t="shared" si="13"/>
        <v>0</v>
      </c>
      <c r="BI138" s="404">
        <f t="shared" si="13"/>
        <v>0</v>
      </c>
      <c r="BJ138" s="404">
        <f t="shared" si="13"/>
        <v>0</v>
      </c>
      <c r="BK138" s="404">
        <f t="shared" si="13"/>
        <v>0</v>
      </c>
      <c r="BL138" s="404">
        <f t="shared" si="13"/>
        <v>0</v>
      </c>
    </row>
    <row r="139" spans="1:64" x14ac:dyDescent="0.2">
      <c r="A139" s="410">
        <f>A138+1</f>
        <v>2</v>
      </c>
      <c r="B139" s="410" t="s">
        <v>406</v>
      </c>
      <c r="C139" s="410"/>
      <c r="D139" s="1271"/>
      <c r="E139" s="410"/>
      <c r="F139" s="410"/>
      <c r="G139" s="859" t="str">
        <f>IF(E138=9,B$146,IF(E138=10,B$147,IF(E138=11,B$148,IF(E138=12,B$149,IF(E138=13,B$150,IF(E138=14,B$151,IF(E138=15,B$152,IF(E138=16,B$153,""))))))))</f>
        <v/>
      </c>
      <c r="H139" s="409"/>
      <c r="I139" s="410"/>
      <c r="J139" s="410"/>
      <c r="K139" s="410"/>
      <c r="L139" s="410" t="str">
        <f>IF(I138=9,B$185,IF(I138=10,B$186,IF(I138=11,B$187,IF(I138=12,B$188,IF(I138=13,B$189,IF(I138=14,B$190,IF(I138=15,B$191,IF(I138=16,B$192,""))))))))</f>
        <v/>
      </c>
      <c r="M139" s="410"/>
      <c r="N139" s="410"/>
      <c r="R139" s="427">
        <f>E139</f>
        <v>0</v>
      </c>
      <c r="S139" s="427"/>
      <c r="T139" s="427"/>
      <c r="U139" s="410"/>
      <c r="V139" s="410"/>
      <c r="W139" s="410"/>
      <c r="X139" s="410"/>
      <c r="Y139" s="410"/>
      <c r="Z139" s="410"/>
      <c r="AA139" s="410"/>
      <c r="AB139" s="410"/>
      <c r="AC139" s="410"/>
      <c r="AD139" s="410"/>
      <c r="AE139" s="410"/>
      <c r="AF139" s="410"/>
      <c r="AG139" s="410"/>
      <c r="AH139" s="410"/>
      <c r="AI139" s="1255"/>
      <c r="AJ139" s="404">
        <f>IF($E$143=AJ137,1,0)</f>
        <v>0</v>
      </c>
      <c r="AK139" s="404">
        <f t="shared" ref="AK139:BL139" si="14">IF($E$143=AK137,1,0)</f>
        <v>0</v>
      </c>
      <c r="AL139" s="404">
        <f t="shared" si="14"/>
        <v>0</v>
      </c>
      <c r="AM139" s="404">
        <f t="shared" si="14"/>
        <v>0</v>
      </c>
      <c r="AN139" s="404">
        <f t="shared" si="14"/>
        <v>0</v>
      </c>
      <c r="AO139" s="404">
        <f t="shared" si="14"/>
        <v>0</v>
      </c>
      <c r="AP139" s="404">
        <f t="shared" si="14"/>
        <v>0</v>
      </c>
      <c r="AQ139" s="404">
        <f t="shared" si="14"/>
        <v>0</v>
      </c>
      <c r="AR139" s="404">
        <f t="shared" si="14"/>
        <v>0</v>
      </c>
      <c r="AS139" s="404">
        <f t="shared" si="14"/>
        <v>0</v>
      </c>
      <c r="AT139" s="404">
        <f t="shared" si="14"/>
        <v>0</v>
      </c>
      <c r="AU139" s="404">
        <f t="shared" si="14"/>
        <v>0</v>
      </c>
      <c r="AV139" s="404">
        <f t="shared" si="14"/>
        <v>0</v>
      </c>
      <c r="AW139" s="404">
        <f t="shared" si="14"/>
        <v>0</v>
      </c>
      <c r="AX139" s="404">
        <f t="shared" si="14"/>
        <v>0</v>
      </c>
      <c r="AY139" s="404">
        <f t="shared" si="14"/>
        <v>0</v>
      </c>
      <c r="AZ139" s="404">
        <f t="shared" si="14"/>
        <v>0</v>
      </c>
      <c r="BA139" s="404">
        <f t="shared" si="14"/>
        <v>0</v>
      </c>
      <c r="BB139" s="404">
        <f t="shared" si="14"/>
        <v>0</v>
      </c>
      <c r="BC139" s="404">
        <f t="shared" si="14"/>
        <v>0</v>
      </c>
      <c r="BD139" s="404">
        <f t="shared" si="14"/>
        <v>0</v>
      </c>
      <c r="BE139" s="404">
        <f t="shared" si="14"/>
        <v>1</v>
      </c>
      <c r="BF139" s="404">
        <f t="shared" si="14"/>
        <v>0</v>
      </c>
      <c r="BG139" s="404">
        <f t="shared" si="14"/>
        <v>0</v>
      </c>
      <c r="BH139" s="404">
        <f t="shared" si="14"/>
        <v>0</v>
      </c>
      <c r="BI139" s="404">
        <f t="shared" si="14"/>
        <v>0</v>
      </c>
      <c r="BJ139" s="404">
        <f t="shared" si="14"/>
        <v>0</v>
      </c>
      <c r="BK139" s="404">
        <f t="shared" si="14"/>
        <v>0</v>
      </c>
      <c r="BL139" s="404">
        <f t="shared" si="14"/>
        <v>0</v>
      </c>
    </row>
    <row r="140" spans="1:64" x14ac:dyDescent="0.2">
      <c r="A140" s="410">
        <f t="shared" ref="A140:A171" si="15">A139+1</f>
        <v>3</v>
      </c>
      <c r="B140" s="410" t="s">
        <v>407</v>
      </c>
      <c r="C140" s="410"/>
      <c r="D140" s="1271"/>
      <c r="E140" s="410"/>
      <c r="F140" s="410"/>
      <c r="G140" s="859" t="str">
        <f>IF(E138=17,B$154,IF(E138=18,B$155,IF(E138=19,B$156,IF(E138=20,B$157,IF(E138=21,B$158,IF(E138=22,B$159,IF(E138=23,B$160,IF(E138=24,B$161,""))))))))</f>
        <v/>
      </c>
      <c r="H140" s="409"/>
      <c r="I140" s="410"/>
      <c r="J140" s="410"/>
      <c r="K140" s="410"/>
      <c r="L140" s="410" t="str">
        <f>IF(I138=17,B$193,IF(I138=18,B$194,IF(I138=19,B$195,IF(I138=20,B$196,IF(I138=21,B$197,"")))))</f>
        <v/>
      </c>
      <c r="M140" s="410"/>
      <c r="N140" s="410"/>
      <c r="R140" s="427">
        <f>E140</f>
        <v>0</v>
      </c>
      <c r="S140" s="427"/>
      <c r="T140" s="427"/>
      <c r="U140" s="410"/>
      <c r="V140" s="410"/>
      <c r="W140" s="410"/>
      <c r="X140" s="410"/>
      <c r="Y140" s="410"/>
      <c r="Z140" s="410"/>
      <c r="AA140" s="410"/>
      <c r="AB140" s="410"/>
      <c r="AC140" s="410"/>
      <c r="AD140" s="410"/>
      <c r="AE140" s="410"/>
      <c r="AF140" s="410"/>
      <c r="AG140" s="410"/>
      <c r="AH140" s="410"/>
      <c r="AI140" s="1255"/>
      <c r="AJ140" s="404">
        <f>IF($R$144=AJ$137,1,0)</f>
        <v>0</v>
      </c>
      <c r="AK140" s="404">
        <f t="shared" ref="AK140:BL140" si="16">IF($R$144=AK$137,1,0)</f>
        <v>0</v>
      </c>
      <c r="AL140" s="404">
        <f t="shared" si="16"/>
        <v>0</v>
      </c>
      <c r="AM140" s="404">
        <f t="shared" si="16"/>
        <v>0</v>
      </c>
      <c r="AN140" s="404">
        <f t="shared" si="16"/>
        <v>0</v>
      </c>
      <c r="AO140" s="404">
        <f t="shared" si="16"/>
        <v>0</v>
      </c>
      <c r="AP140" s="404">
        <f t="shared" si="16"/>
        <v>0</v>
      </c>
      <c r="AQ140" s="404">
        <f t="shared" si="16"/>
        <v>1</v>
      </c>
      <c r="AR140" s="404">
        <f t="shared" si="16"/>
        <v>0</v>
      </c>
      <c r="AS140" s="404">
        <f t="shared" si="16"/>
        <v>0</v>
      </c>
      <c r="AT140" s="404">
        <f t="shared" si="16"/>
        <v>0</v>
      </c>
      <c r="AU140" s="404">
        <f t="shared" si="16"/>
        <v>0</v>
      </c>
      <c r="AV140" s="404">
        <f t="shared" si="16"/>
        <v>0</v>
      </c>
      <c r="AW140" s="404">
        <f t="shared" si="16"/>
        <v>0</v>
      </c>
      <c r="AX140" s="404">
        <f t="shared" si="16"/>
        <v>0</v>
      </c>
      <c r="AY140" s="404">
        <f t="shared" si="16"/>
        <v>0</v>
      </c>
      <c r="AZ140" s="404">
        <f t="shared" si="16"/>
        <v>0</v>
      </c>
      <c r="BA140" s="404">
        <f t="shared" si="16"/>
        <v>0</v>
      </c>
      <c r="BB140" s="404">
        <f t="shared" si="16"/>
        <v>0</v>
      </c>
      <c r="BC140" s="404">
        <f t="shared" si="16"/>
        <v>0</v>
      </c>
      <c r="BD140" s="404">
        <f t="shared" si="16"/>
        <v>0</v>
      </c>
      <c r="BE140" s="404">
        <f t="shared" si="16"/>
        <v>0</v>
      </c>
      <c r="BF140" s="404">
        <f t="shared" si="16"/>
        <v>0</v>
      </c>
      <c r="BG140" s="404">
        <f t="shared" si="16"/>
        <v>0</v>
      </c>
      <c r="BH140" s="404">
        <f t="shared" si="16"/>
        <v>0</v>
      </c>
      <c r="BI140" s="404">
        <f t="shared" si="16"/>
        <v>0</v>
      </c>
      <c r="BJ140" s="404">
        <f t="shared" si="16"/>
        <v>0</v>
      </c>
      <c r="BK140" s="404">
        <f t="shared" si="16"/>
        <v>0</v>
      </c>
      <c r="BL140" s="404">
        <f t="shared" si="16"/>
        <v>0</v>
      </c>
    </row>
    <row r="141" spans="1:64" x14ac:dyDescent="0.2">
      <c r="A141" s="410">
        <f t="shared" si="15"/>
        <v>4</v>
      </c>
      <c r="B141" s="410" t="s">
        <v>408</v>
      </c>
      <c r="C141" s="410"/>
      <c r="D141" s="1271"/>
      <c r="E141" s="410"/>
      <c r="F141" s="410"/>
      <c r="G141" s="850" t="str">
        <f>IF(E138=25,B$162,IF(E138=26,B$163,IF(E138=27,B$164,IF(E138=28,B$165,IF(E138=29,B$166,IF(E138=30,B$167,IF(E138=31,B$168,IF(E138=32,B$169,""))))))))</f>
        <v xml:space="preserve">Поджарка мясная </v>
      </c>
      <c r="H141" s="410"/>
      <c r="I141" s="410"/>
      <c r="J141" s="410"/>
      <c r="K141" s="410"/>
      <c r="L141" s="410"/>
      <c r="M141" s="410"/>
      <c r="N141" s="410"/>
      <c r="R141" s="427">
        <f>E40</f>
        <v>20</v>
      </c>
      <c r="S141" s="427"/>
      <c r="T141" s="427"/>
      <c r="U141" s="410"/>
      <c r="V141" s="1275" t="s">
        <v>94</v>
      </c>
      <c r="W141" s="417">
        <f>R144</f>
        <v>8</v>
      </c>
      <c r="X141" s="410">
        <f>S144</f>
        <v>2</v>
      </c>
      <c r="Y141" s="409" t="str">
        <f>IF(W141=1,B$138,IF(W141=2,B$139,IF(W141=3,B$140,IF(W141=4,B$141,IF(W141=5,B$142,IF(W141=6,B$143,IF(W141=7,B$144,IF(W141=8,B$145,""))))))))</f>
        <v xml:space="preserve">Плов, </v>
      </c>
      <c r="Z141" s="410">
        <f>S144</f>
        <v>2</v>
      </c>
      <c r="AA141" s="410" t="str">
        <f>IF(X141=1,B$177,IF(X141=2,B$178,IF(X141=3,B$179,IF(X141=4,B$180,IF(X141=5,B$181,IF(X141=6,B$182,IF(X141=7,B$183,IF(X141=8,B$184," "))))))))</f>
        <v xml:space="preserve"> с карт.отварным,</v>
      </c>
      <c r="AB141" s="410"/>
      <c r="AC141" s="410"/>
      <c r="AD141" s="410"/>
      <c r="AE141" s="410"/>
      <c r="AF141" s="410"/>
      <c r="AG141" s="410"/>
      <c r="AH141" s="410"/>
      <c r="AI141" s="1255"/>
      <c r="AJ141" s="404">
        <f>IF($R$145=AJ$137,1,0)</f>
        <v>1</v>
      </c>
      <c r="AK141" s="404">
        <f t="shared" ref="AK141:BL141" si="17">IF($R$145=AK$137,1,0)</f>
        <v>0</v>
      </c>
      <c r="AL141" s="404">
        <f t="shared" si="17"/>
        <v>0</v>
      </c>
      <c r="AM141" s="404">
        <f t="shared" si="17"/>
        <v>0</v>
      </c>
      <c r="AN141" s="404">
        <f t="shared" si="17"/>
        <v>0</v>
      </c>
      <c r="AO141" s="404">
        <f t="shared" si="17"/>
        <v>0</v>
      </c>
      <c r="AP141" s="404">
        <f t="shared" si="17"/>
        <v>0</v>
      </c>
      <c r="AQ141" s="404">
        <f t="shared" si="17"/>
        <v>0</v>
      </c>
      <c r="AR141" s="404">
        <f t="shared" si="17"/>
        <v>0</v>
      </c>
      <c r="AS141" s="404">
        <f t="shared" si="17"/>
        <v>0</v>
      </c>
      <c r="AT141" s="404">
        <f t="shared" si="17"/>
        <v>0</v>
      </c>
      <c r="AU141" s="404">
        <f t="shared" si="17"/>
        <v>0</v>
      </c>
      <c r="AV141" s="404">
        <f t="shared" si="17"/>
        <v>0</v>
      </c>
      <c r="AW141" s="404">
        <f t="shared" si="17"/>
        <v>0</v>
      </c>
      <c r="AX141" s="404">
        <f t="shared" si="17"/>
        <v>0</v>
      </c>
      <c r="AY141" s="404">
        <f t="shared" si="17"/>
        <v>0</v>
      </c>
      <c r="AZ141" s="404">
        <f t="shared" si="17"/>
        <v>0</v>
      </c>
      <c r="BA141" s="404">
        <f t="shared" si="17"/>
        <v>0</v>
      </c>
      <c r="BB141" s="404">
        <f t="shared" si="17"/>
        <v>0</v>
      </c>
      <c r="BC141" s="404">
        <f t="shared" si="17"/>
        <v>0</v>
      </c>
      <c r="BD141" s="404">
        <f t="shared" si="17"/>
        <v>0</v>
      </c>
      <c r="BE141" s="404">
        <f t="shared" si="17"/>
        <v>0</v>
      </c>
      <c r="BF141" s="404">
        <f t="shared" si="17"/>
        <v>0</v>
      </c>
      <c r="BG141" s="404">
        <f t="shared" si="17"/>
        <v>0</v>
      </c>
      <c r="BH141" s="404">
        <f t="shared" si="17"/>
        <v>0</v>
      </c>
      <c r="BI141" s="404">
        <f t="shared" si="17"/>
        <v>0</v>
      </c>
      <c r="BJ141" s="404">
        <f t="shared" si="17"/>
        <v>0</v>
      </c>
      <c r="BK141" s="404">
        <f t="shared" si="17"/>
        <v>0</v>
      </c>
      <c r="BL141" s="404">
        <f t="shared" si="17"/>
        <v>0</v>
      </c>
    </row>
    <row r="142" spans="1:64" x14ac:dyDescent="0.2">
      <c r="A142" s="410">
        <f t="shared" si="15"/>
        <v>5</v>
      </c>
      <c r="B142" s="410" t="s">
        <v>409</v>
      </c>
      <c r="C142" s="410"/>
      <c r="D142" s="1271"/>
      <c r="E142" s="410"/>
      <c r="F142" s="410"/>
      <c r="G142" s="860" t="str">
        <f>CONCATENATE(G138,G139,G140,G141)</f>
        <v xml:space="preserve">Поджарка мясная </v>
      </c>
      <c r="H142" s="462"/>
      <c r="I142" s="410"/>
      <c r="J142" s="410"/>
      <c r="K142" s="410"/>
      <c r="L142" s="857" t="str">
        <f>CONCATENATE(L138,L139,L140,L141)</f>
        <v xml:space="preserve"> с картофельным пюре, </v>
      </c>
      <c r="M142" s="410"/>
      <c r="N142" s="458" t="str">
        <f>IF(N138=1,U$22,IF(N138=2,U$23,IF(N138=3,U$24,IF(N138=4,U$25,IF(N138=5,U$26,IF(N138=6,U$27,IF(N138=7,U$28,IF(N138=8,U$29,""))))))))</f>
        <v xml:space="preserve"> хлеб, масло, сахар, кофе натур. с молоком, омлет</v>
      </c>
      <c r="O142" s="410" t="str">
        <f>IF($N$138=9,$P$115,IF($N$138=10,$P$116,""))</f>
        <v/>
      </c>
      <c r="R142" s="427">
        <f>E68</f>
        <v>21</v>
      </c>
      <c r="S142" s="427"/>
      <c r="T142" s="427"/>
      <c r="U142" s="410"/>
      <c r="V142" s="1275"/>
      <c r="W142" s="410"/>
      <c r="X142" s="410"/>
      <c r="Y142" s="409" t="str">
        <f>IF(W141=9,B$146,IF(W141=10,B$147,IF(W141=11,B$148,IF(W141=12,B$149,IF(W141=13,B$150,IF(W141=14,B$151,IF(W141=15,B$152,IF(W141=16,B$153,""))))))))</f>
        <v/>
      </c>
      <c r="Z142" s="410"/>
      <c r="AA142" s="410" t="str">
        <f>IF(X141=9,B$185,IF(X141=10,B$186,IF(X141=11,B$187,IF(X141=12,B$188,IF(X141=13,B$189,IF(X141=14,B$190,IF(X141=15,B$191,IF(X141=16,B$192,"  "))))))))</f>
        <v xml:space="preserve">  </v>
      </c>
      <c r="AB142" s="410"/>
      <c r="AC142" s="410"/>
      <c r="AD142" s="410"/>
      <c r="AE142" s="410"/>
      <c r="AF142" s="410"/>
      <c r="AG142" s="410"/>
      <c r="AH142" s="410"/>
      <c r="AI142" s="1255">
        <v>2</v>
      </c>
      <c r="AJ142" s="404">
        <f t="shared" ref="AJ142:BL142" si="18">IF($E$148=AJ137,1,0)</f>
        <v>1</v>
      </c>
      <c r="AK142" s="404">
        <f t="shared" si="18"/>
        <v>0</v>
      </c>
      <c r="AL142" s="404">
        <f t="shared" si="18"/>
        <v>0</v>
      </c>
      <c r="AM142" s="404">
        <f t="shared" si="18"/>
        <v>0</v>
      </c>
      <c r="AN142" s="404">
        <f t="shared" si="18"/>
        <v>0</v>
      </c>
      <c r="AO142" s="404">
        <f t="shared" si="18"/>
        <v>0</v>
      </c>
      <c r="AP142" s="404">
        <f t="shared" si="18"/>
        <v>0</v>
      </c>
      <c r="AQ142" s="404">
        <f t="shared" si="18"/>
        <v>0</v>
      </c>
      <c r="AR142" s="404">
        <f t="shared" si="18"/>
        <v>0</v>
      </c>
      <c r="AS142" s="404">
        <f t="shared" si="18"/>
        <v>0</v>
      </c>
      <c r="AT142" s="404">
        <f t="shared" si="18"/>
        <v>0</v>
      </c>
      <c r="AU142" s="404">
        <f t="shared" si="18"/>
        <v>0</v>
      </c>
      <c r="AV142" s="404">
        <f t="shared" si="18"/>
        <v>0</v>
      </c>
      <c r="AW142" s="404">
        <f t="shared" si="18"/>
        <v>0</v>
      </c>
      <c r="AX142" s="404">
        <f t="shared" si="18"/>
        <v>0</v>
      </c>
      <c r="AY142" s="404">
        <f t="shared" si="18"/>
        <v>0</v>
      </c>
      <c r="AZ142" s="404">
        <f t="shared" si="18"/>
        <v>0</v>
      </c>
      <c r="BA142" s="404">
        <f t="shared" si="18"/>
        <v>0</v>
      </c>
      <c r="BB142" s="404">
        <f t="shared" si="18"/>
        <v>0</v>
      </c>
      <c r="BC142" s="404">
        <f t="shared" si="18"/>
        <v>0</v>
      </c>
      <c r="BD142" s="404">
        <f t="shared" si="18"/>
        <v>0</v>
      </c>
      <c r="BE142" s="404">
        <f t="shared" si="18"/>
        <v>0</v>
      </c>
      <c r="BF142" s="404">
        <f t="shared" si="18"/>
        <v>0</v>
      </c>
      <c r="BG142" s="404">
        <f t="shared" si="18"/>
        <v>0</v>
      </c>
      <c r="BH142" s="404">
        <f t="shared" si="18"/>
        <v>0</v>
      </c>
      <c r="BI142" s="404">
        <f t="shared" si="18"/>
        <v>0</v>
      </c>
      <c r="BJ142" s="404">
        <f t="shared" si="18"/>
        <v>0</v>
      </c>
      <c r="BK142" s="404">
        <f t="shared" si="18"/>
        <v>0</v>
      </c>
      <c r="BL142" s="404">
        <f t="shared" si="18"/>
        <v>0</v>
      </c>
    </row>
    <row r="143" spans="1:64" x14ac:dyDescent="0.2">
      <c r="A143" s="410">
        <f t="shared" si="15"/>
        <v>6</v>
      </c>
      <c r="B143" s="410" t="s">
        <v>410</v>
      </c>
      <c r="C143" s="410"/>
      <c r="D143" s="1271"/>
      <c r="E143" s="410">
        <v>22</v>
      </c>
      <c r="F143" s="410"/>
      <c r="G143" s="859" t="str">
        <f>IF(E143=1,B$138,IF(E143=2,B$139,IF(E143=3,B$140,IF(E143=4,B$141,IF(E143=5,B$142,IF(E143=6,B$143,IF(E143=7,B$144,IF(E143=8,B$145,""))))))))</f>
        <v/>
      </c>
      <c r="H143" s="409"/>
      <c r="I143" s="410">
        <v>1</v>
      </c>
      <c r="J143" s="410"/>
      <c r="K143" s="410"/>
      <c r="L143" s="410" t="str">
        <f>IF(I143=1,B$177,IF(I143=2,B$178,IF(I143=3,B$179,IF(I143=4,B$180,IF(I143=5,B$181,IF(I143=6,B$182,IF(I143=7,B$183,IF(I143=8,B$184,""))))))))</f>
        <v xml:space="preserve"> с картофельным пюре, </v>
      </c>
      <c r="M143" s="410"/>
      <c r="N143" s="410">
        <v>3</v>
      </c>
      <c r="R143" s="427">
        <f>E72</f>
        <v>22</v>
      </c>
      <c r="S143" s="427"/>
      <c r="T143" s="427"/>
      <c r="U143" s="410"/>
      <c r="V143" s="1275"/>
      <c r="W143" s="410"/>
      <c r="X143" s="410"/>
      <c r="Y143" s="409" t="str">
        <f>IF(W141=17,B$154,IF(W141=18,B$155,IF(W141=19,B$156,IF(W141=20,B$157,IF(W141=21,B$158,IF(W141=22,B$159,IF(W141=23,B$160,IF(W141=24,B$161,""))))))))</f>
        <v/>
      </c>
      <c r="Z143" s="410"/>
      <c r="AA143" s="410" t="str">
        <f>IF(X141=17," ","  ")</f>
        <v xml:space="preserve">  </v>
      </c>
      <c r="AB143" s="410"/>
      <c r="AC143" s="410"/>
      <c r="AD143" s="410"/>
      <c r="AE143" s="410"/>
      <c r="AF143" s="410"/>
      <c r="AG143" s="410"/>
      <c r="AH143" s="410"/>
      <c r="AI143" s="1255"/>
      <c r="AJ143" s="404">
        <f t="shared" ref="AJ143:BL143" si="19">IF($E$153=AJ137,1,0)</f>
        <v>0</v>
      </c>
      <c r="AK143" s="404">
        <f t="shared" si="19"/>
        <v>0</v>
      </c>
      <c r="AL143" s="404">
        <f t="shared" si="19"/>
        <v>0</v>
      </c>
      <c r="AM143" s="404">
        <f t="shared" si="19"/>
        <v>0</v>
      </c>
      <c r="AN143" s="404">
        <f t="shared" si="19"/>
        <v>0</v>
      </c>
      <c r="AO143" s="404">
        <f t="shared" si="19"/>
        <v>0</v>
      </c>
      <c r="AP143" s="404">
        <f t="shared" si="19"/>
        <v>0</v>
      </c>
      <c r="AQ143" s="404">
        <f t="shared" si="19"/>
        <v>0</v>
      </c>
      <c r="AR143" s="404">
        <f t="shared" si="19"/>
        <v>0</v>
      </c>
      <c r="AS143" s="404">
        <f t="shared" si="19"/>
        <v>0</v>
      </c>
      <c r="AT143" s="404">
        <f t="shared" si="19"/>
        <v>0</v>
      </c>
      <c r="AU143" s="404">
        <f t="shared" si="19"/>
        <v>0</v>
      </c>
      <c r="AV143" s="404">
        <f t="shared" si="19"/>
        <v>0</v>
      </c>
      <c r="AW143" s="404">
        <f t="shared" si="19"/>
        <v>0</v>
      </c>
      <c r="AX143" s="404">
        <f t="shared" si="19"/>
        <v>0</v>
      </c>
      <c r="AY143" s="404">
        <f t="shared" si="19"/>
        <v>0</v>
      </c>
      <c r="AZ143" s="404">
        <f t="shared" si="19"/>
        <v>0</v>
      </c>
      <c r="BA143" s="404">
        <f t="shared" si="19"/>
        <v>0</v>
      </c>
      <c r="BB143" s="404">
        <f t="shared" si="19"/>
        <v>0</v>
      </c>
      <c r="BC143" s="404">
        <f t="shared" si="19"/>
        <v>0</v>
      </c>
      <c r="BD143" s="404">
        <f t="shared" si="19"/>
        <v>0</v>
      </c>
      <c r="BE143" s="404">
        <f t="shared" si="19"/>
        <v>0</v>
      </c>
      <c r="BF143" s="404">
        <f t="shared" si="19"/>
        <v>0</v>
      </c>
      <c r="BG143" s="404">
        <f t="shared" si="19"/>
        <v>0</v>
      </c>
      <c r="BH143" s="404">
        <f t="shared" si="19"/>
        <v>1</v>
      </c>
      <c r="BI143" s="404">
        <f t="shared" si="19"/>
        <v>0</v>
      </c>
      <c r="BJ143" s="404">
        <f t="shared" si="19"/>
        <v>0</v>
      </c>
      <c r="BK143" s="404">
        <f t="shared" si="19"/>
        <v>0</v>
      </c>
      <c r="BL143" s="404">
        <f t="shared" si="19"/>
        <v>0</v>
      </c>
    </row>
    <row r="144" spans="1:64" x14ac:dyDescent="0.2">
      <c r="A144" s="410">
        <f t="shared" si="15"/>
        <v>7</v>
      </c>
      <c r="B144" s="410" t="s">
        <v>411</v>
      </c>
      <c r="C144" s="410"/>
      <c r="D144" s="1271"/>
      <c r="E144" s="410"/>
      <c r="F144" s="410"/>
      <c r="G144" s="859" t="str">
        <f>IF(E143=9,B$146,IF(E143=10,B$147,IF(E143=11,B$148,IF(E143=12,B$149,IF(E143=13,B$150,IF(E143=14,B$151,IF(E143=15,B$152,IF(E143=16,B$153,""))))))))</f>
        <v/>
      </c>
      <c r="H144" s="409"/>
      <c r="I144" s="410"/>
      <c r="J144" s="410"/>
      <c r="K144" s="410"/>
      <c r="L144" s="410" t="str">
        <f>IF(I143=9,B$185,IF(I143=10,B$186,IF(I143=11,B$187,IF(I143=12,B$188,IF(I143=13,B$189,IF(I143=14,B$190,IF(I143=15,B$191,IF(I143=16,B$192,""))))))))</f>
        <v/>
      </c>
      <c r="M144" s="410"/>
      <c r="N144" s="410"/>
      <c r="R144" s="427">
        <v>8</v>
      </c>
      <c r="S144" s="427">
        <v>2</v>
      </c>
      <c r="T144" s="427"/>
      <c r="U144" s="410"/>
      <c r="V144" s="1275"/>
      <c r="W144" s="410"/>
      <c r="X144" s="410"/>
      <c r="Y144" s="410"/>
      <c r="Z144" s="410"/>
      <c r="AA144" s="410"/>
      <c r="AB144" s="410"/>
      <c r="AC144" s="410"/>
      <c r="AD144" s="435">
        <f>IF(R144=1,AH$118,IF(R144=2,AH$119,IF(R144=3,AH$120,IF(R144=4,AH$119,IF(R144=5,AH$121,IF(R144=6,AH$121,IF(R144=7,AH$121,IF(R144=8,AH$121,0))))))))</f>
        <v>58</v>
      </c>
      <c r="AE144" s="410">
        <f>IF(R144=9,AH$122,IF(R144=10,AH$122,IF(R144=11,AH$122,IF(R144=12,AH$123,IF(R144=13,AH$121,IF(R144=14,AH$121,IF(R144=15,AH$121,IF(R144=16,AH$118,0))))))))</f>
        <v>0</v>
      </c>
      <c r="AF144" s="410">
        <f>IF(R144=17,AG118,IF(R144=18,$AG$120,IF(R144=19,75,IF(R144=20,96,IF(R144=21,AB$136,IF(R144=22,AB$136,IF(R144&gt;22,$AC142,0)))))))</f>
        <v>0</v>
      </c>
      <c r="AG144" s="460">
        <f>SUM(AD144:AF144)</f>
        <v>58</v>
      </c>
      <c r="AH144" s="410"/>
      <c r="AI144" s="1255"/>
      <c r="AJ144" s="404">
        <f>IF($R$157=AJ$137,1,0)</f>
        <v>0</v>
      </c>
      <c r="AK144" s="404">
        <f t="shared" ref="AK144:BL144" si="20">IF($R$157=AK$137,1,0)</f>
        <v>0</v>
      </c>
      <c r="AL144" s="404">
        <f t="shared" si="20"/>
        <v>0</v>
      </c>
      <c r="AM144" s="404">
        <f t="shared" si="20"/>
        <v>0</v>
      </c>
      <c r="AN144" s="404">
        <f t="shared" si="20"/>
        <v>0</v>
      </c>
      <c r="AO144" s="404">
        <f t="shared" si="20"/>
        <v>1</v>
      </c>
      <c r="AP144" s="404">
        <f t="shared" si="20"/>
        <v>0</v>
      </c>
      <c r="AQ144" s="404">
        <f t="shared" si="20"/>
        <v>0</v>
      </c>
      <c r="AR144" s="404">
        <f t="shared" si="20"/>
        <v>0</v>
      </c>
      <c r="AS144" s="404">
        <f t="shared" si="20"/>
        <v>0</v>
      </c>
      <c r="AT144" s="404">
        <f t="shared" si="20"/>
        <v>0</v>
      </c>
      <c r="AU144" s="404">
        <f t="shared" si="20"/>
        <v>0</v>
      </c>
      <c r="AV144" s="404">
        <f t="shared" si="20"/>
        <v>0</v>
      </c>
      <c r="AW144" s="404">
        <f t="shared" si="20"/>
        <v>0</v>
      </c>
      <c r="AX144" s="404">
        <f t="shared" si="20"/>
        <v>0</v>
      </c>
      <c r="AY144" s="404">
        <f t="shared" si="20"/>
        <v>0</v>
      </c>
      <c r="AZ144" s="404">
        <f t="shared" si="20"/>
        <v>0</v>
      </c>
      <c r="BA144" s="404">
        <f t="shared" si="20"/>
        <v>0</v>
      </c>
      <c r="BB144" s="404">
        <f t="shared" si="20"/>
        <v>0</v>
      </c>
      <c r="BC144" s="404">
        <f t="shared" si="20"/>
        <v>0</v>
      </c>
      <c r="BD144" s="404">
        <f t="shared" si="20"/>
        <v>0</v>
      </c>
      <c r="BE144" s="404">
        <f t="shared" si="20"/>
        <v>0</v>
      </c>
      <c r="BF144" s="404">
        <f t="shared" si="20"/>
        <v>0</v>
      </c>
      <c r="BG144" s="404">
        <f t="shared" si="20"/>
        <v>0</v>
      </c>
      <c r="BH144" s="404">
        <f t="shared" si="20"/>
        <v>0</v>
      </c>
      <c r="BI144" s="404">
        <f t="shared" si="20"/>
        <v>0</v>
      </c>
      <c r="BJ144" s="404">
        <f t="shared" si="20"/>
        <v>0</v>
      </c>
      <c r="BK144" s="404">
        <f t="shared" si="20"/>
        <v>0</v>
      </c>
      <c r="BL144" s="404">
        <f t="shared" si="20"/>
        <v>0</v>
      </c>
    </row>
    <row r="145" spans="1:64" x14ac:dyDescent="0.2">
      <c r="A145" s="410">
        <f t="shared" si="15"/>
        <v>8</v>
      </c>
      <c r="B145" s="410" t="s">
        <v>412</v>
      </c>
      <c r="C145" s="410"/>
      <c r="D145" s="1271"/>
      <c r="E145" s="410"/>
      <c r="F145" s="410"/>
      <c r="G145" s="859" t="str">
        <f>IF(E143=17,B$154,IF(E143=18,B$155,IF(E143=19,B$156,IF(E143=20,B$157,IF(E143=21,B$158,IF(E143=22,B$159,IF(E143=23,B$160,IF(E143=24,B$161,""))))))))</f>
        <v xml:space="preserve">Рыба припущенная, </v>
      </c>
      <c r="H145" s="409"/>
      <c r="I145" s="410"/>
      <c r="J145" s="410"/>
      <c r="K145" s="410"/>
      <c r="L145" s="410" t="str">
        <f>IF(I143=17,B$193,IF(I143=18,B$194,IF(I143=19,B$195,IF(I143=20,B$196,IF(I143=21,B$197,"")))))</f>
        <v/>
      </c>
      <c r="M145" s="410"/>
      <c r="N145" s="410"/>
      <c r="R145" s="427">
        <v>1</v>
      </c>
      <c r="S145" s="427">
        <v>14</v>
      </c>
      <c r="T145" s="427"/>
      <c r="U145" s="410"/>
      <c r="V145" s="1275"/>
      <c r="W145" s="410"/>
      <c r="X145" s="410"/>
      <c r="Y145" s="463" t="str">
        <f>CONCATENATE(Y141,Y142,Y143,Y144)</f>
        <v xml:space="preserve">Плов, </v>
      </c>
      <c r="Z145" s="410"/>
      <c r="AA145" s="463" t="str">
        <f>CONCATENATE(AA141,AA142,AA143,AA144)</f>
        <v xml:space="preserve"> с карт.отварным,    </v>
      </c>
      <c r="AB145" s="410"/>
      <c r="AC145" s="410"/>
      <c r="AD145" s="435">
        <f>IF(R145=1,AH$118,IF(R145=2,AH$119,IF(R145=3,AH$120,IF(R145=4,AH$119,IF(R145=5,AH$121,IF(R145=6,AH$121,IF(R145=7,AH$121,IF(R145=8,AH$121,0))))))))</f>
        <v>52</v>
      </c>
      <c r="AE145" s="410">
        <f>IF(R145=9,AH$122,IF(R145=10,AH$122,IF(R145=11,AH$122,IF(R145=12,AH$123,IF(R145=13,AH$121,IF(R145=14,AH$121,IF(R145=15,AH$121,IF(R145=16,AH$118,0))))))))</f>
        <v>0</v>
      </c>
      <c r="AF145" s="410">
        <f>IF(R145=17,AG118,IF(R145=18,$AG$120,IF(R145=19,75,IF(R145=20,96,IF(R145=21,AB$136,IF(R145=22,AB$136,IF(R145&gt;22,$AC143,0)))))))</f>
        <v>0</v>
      </c>
      <c r="AG145" s="460">
        <f>SUM(AD145:AF145)</f>
        <v>52</v>
      </c>
      <c r="AH145" s="410"/>
      <c r="AI145" s="1255"/>
      <c r="AJ145" s="404">
        <f>IF($R$158=AJ$137,1,0)</f>
        <v>1</v>
      </c>
      <c r="AK145" s="404">
        <f t="shared" ref="AK145:BL145" si="21">IF($R$158=AK$137,1,0)</f>
        <v>0</v>
      </c>
      <c r="AL145" s="404">
        <f t="shared" si="21"/>
        <v>0</v>
      </c>
      <c r="AM145" s="404">
        <f t="shared" si="21"/>
        <v>0</v>
      </c>
      <c r="AN145" s="404">
        <f t="shared" si="21"/>
        <v>0</v>
      </c>
      <c r="AO145" s="404">
        <f t="shared" si="21"/>
        <v>0</v>
      </c>
      <c r="AP145" s="404">
        <f t="shared" si="21"/>
        <v>0</v>
      </c>
      <c r="AQ145" s="404">
        <f t="shared" si="21"/>
        <v>0</v>
      </c>
      <c r="AR145" s="404">
        <f t="shared" si="21"/>
        <v>0</v>
      </c>
      <c r="AS145" s="404">
        <f t="shared" si="21"/>
        <v>0</v>
      </c>
      <c r="AT145" s="404">
        <f t="shared" si="21"/>
        <v>0</v>
      </c>
      <c r="AU145" s="404">
        <f t="shared" si="21"/>
        <v>0</v>
      </c>
      <c r="AV145" s="404">
        <f t="shared" si="21"/>
        <v>0</v>
      </c>
      <c r="AW145" s="404">
        <f t="shared" si="21"/>
        <v>0</v>
      </c>
      <c r="AX145" s="404">
        <f t="shared" si="21"/>
        <v>0</v>
      </c>
      <c r="AY145" s="404">
        <f t="shared" si="21"/>
        <v>0</v>
      </c>
      <c r="AZ145" s="404">
        <f t="shared" si="21"/>
        <v>0</v>
      </c>
      <c r="BA145" s="404">
        <f t="shared" si="21"/>
        <v>0</v>
      </c>
      <c r="BB145" s="404">
        <f t="shared" si="21"/>
        <v>0</v>
      </c>
      <c r="BC145" s="404">
        <f t="shared" si="21"/>
        <v>0</v>
      </c>
      <c r="BD145" s="404">
        <f t="shared" si="21"/>
        <v>0</v>
      </c>
      <c r="BE145" s="404">
        <f t="shared" si="21"/>
        <v>0</v>
      </c>
      <c r="BF145" s="404">
        <f t="shared" si="21"/>
        <v>0</v>
      </c>
      <c r="BG145" s="404">
        <f t="shared" si="21"/>
        <v>0</v>
      </c>
      <c r="BH145" s="404">
        <f t="shared" si="21"/>
        <v>0</v>
      </c>
      <c r="BI145" s="404">
        <f t="shared" si="21"/>
        <v>0</v>
      </c>
      <c r="BJ145" s="404">
        <f t="shared" si="21"/>
        <v>0</v>
      </c>
      <c r="BK145" s="404">
        <f t="shared" si="21"/>
        <v>0</v>
      </c>
      <c r="BL145" s="404">
        <f t="shared" si="21"/>
        <v>0</v>
      </c>
    </row>
    <row r="146" spans="1:64" x14ac:dyDescent="0.2">
      <c r="A146" s="410">
        <f t="shared" si="15"/>
        <v>9</v>
      </c>
      <c r="B146" s="410" t="s">
        <v>390</v>
      </c>
      <c r="C146" s="410"/>
      <c r="D146" s="1271"/>
      <c r="E146" s="410"/>
      <c r="F146" s="410"/>
      <c r="G146" s="850" t="str">
        <f>IF(E143=25,B$162,IF(E143=26,B$163,IF(E143=27,B$164,IF(E143=28,B$165,""))))</f>
        <v/>
      </c>
      <c r="H146" s="410"/>
      <c r="I146" s="410"/>
      <c r="J146" s="410"/>
      <c r="K146" s="410"/>
      <c r="L146" s="410"/>
      <c r="M146" s="410"/>
      <c r="N146" s="410"/>
      <c r="R146" s="1217">
        <v>1</v>
      </c>
      <c r="S146" s="427"/>
      <c r="T146" s="427"/>
      <c r="U146" s="410"/>
      <c r="V146" s="1275"/>
      <c r="W146" s="417">
        <f>R145</f>
        <v>1</v>
      </c>
      <c r="X146" s="410">
        <f>S145</f>
        <v>14</v>
      </c>
      <c r="Y146" s="409" t="str">
        <f>IF(W146=1,B$138,IF(W146=2,B$139,IF(W146=3,B$140,IF(W146=4,B$141,IF(W146=5,B$142,IF(W146=6,B$143,IF(W146=7,B$144,IF(W146=8,B$145,""))))))))</f>
        <v xml:space="preserve">Мясо отвар. с соусом </v>
      </c>
      <c r="Z146" s="410">
        <f>S145</f>
        <v>14</v>
      </c>
      <c r="AA146" s="410" t="str">
        <f>IF(X146=1,B$177,IF(X146=2,B$178,IF(X146=3,B$179,IF(X146=4,B$180,IF(X146=5,B$181,IF(X146=6,B$182,IF(X146=7,B$183,IF(X146=8,B$184," "))))))))</f>
        <v xml:space="preserve"> </v>
      </c>
      <c r="AB146" s="410"/>
      <c r="AC146" s="410"/>
      <c r="AD146" s="435"/>
      <c r="AE146" s="410"/>
      <c r="AF146" s="410"/>
      <c r="AG146" s="410"/>
      <c r="AH146" s="410"/>
      <c r="AI146" s="1255">
        <v>3</v>
      </c>
      <c r="AJ146" s="404">
        <f t="shared" ref="AJ146:BL146" si="22">IF($E$158=AJ137,1,0)</f>
        <v>1</v>
      </c>
      <c r="AK146" s="404">
        <f t="shared" si="22"/>
        <v>0</v>
      </c>
      <c r="AL146" s="404">
        <f t="shared" si="22"/>
        <v>0</v>
      </c>
      <c r="AM146" s="404">
        <f t="shared" si="22"/>
        <v>0</v>
      </c>
      <c r="AN146" s="404">
        <f t="shared" si="22"/>
        <v>0</v>
      </c>
      <c r="AO146" s="404">
        <f t="shared" si="22"/>
        <v>0</v>
      </c>
      <c r="AP146" s="404">
        <f t="shared" si="22"/>
        <v>0</v>
      </c>
      <c r="AQ146" s="404">
        <f t="shared" si="22"/>
        <v>0</v>
      </c>
      <c r="AR146" s="404">
        <f t="shared" si="22"/>
        <v>0</v>
      </c>
      <c r="AS146" s="404">
        <f t="shared" si="22"/>
        <v>0</v>
      </c>
      <c r="AT146" s="404">
        <f t="shared" si="22"/>
        <v>0</v>
      </c>
      <c r="AU146" s="404">
        <f t="shared" si="22"/>
        <v>0</v>
      </c>
      <c r="AV146" s="404">
        <f t="shared" si="22"/>
        <v>0</v>
      </c>
      <c r="AW146" s="404">
        <f t="shared" si="22"/>
        <v>0</v>
      </c>
      <c r="AX146" s="404">
        <f t="shared" si="22"/>
        <v>0</v>
      </c>
      <c r="AY146" s="404">
        <f t="shared" si="22"/>
        <v>0</v>
      </c>
      <c r="AZ146" s="404">
        <f t="shared" si="22"/>
        <v>0</v>
      </c>
      <c r="BA146" s="404">
        <f t="shared" si="22"/>
        <v>0</v>
      </c>
      <c r="BB146" s="404">
        <f t="shared" si="22"/>
        <v>0</v>
      </c>
      <c r="BC146" s="404">
        <f t="shared" si="22"/>
        <v>0</v>
      </c>
      <c r="BD146" s="404">
        <f t="shared" si="22"/>
        <v>0</v>
      </c>
      <c r="BE146" s="404">
        <f t="shared" si="22"/>
        <v>0</v>
      </c>
      <c r="BF146" s="404">
        <f t="shared" si="22"/>
        <v>0</v>
      </c>
      <c r="BG146" s="404">
        <f t="shared" si="22"/>
        <v>0</v>
      </c>
      <c r="BH146" s="404">
        <f t="shared" si="22"/>
        <v>0</v>
      </c>
      <c r="BI146" s="404">
        <f t="shared" si="22"/>
        <v>0</v>
      </c>
      <c r="BJ146" s="404">
        <f t="shared" si="22"/>
        <v>0</v>
      </c>
      <c r="BK146" s="404">
        <f t="shared" si="22"/>
        <v>0</v>
      </c>
      <c r="BL146" s="404">
        <f t="shared" si="22"/>
        <v>0</v>
      </c>
    </row>
    <row r="147" spans="1:64" ht="12.75" thickBot="1" x14ac:dyDescent="0.25">
      <c r="A147" s="410">
        <f t="shared" si="15"/>
        <v>10</v>
      </c>
      <c r="B147" s="410" t="s">
        <v>413</v>
      </c>
      <c r="C147" s="410"/>
      <c r="D147" s="1272"/>
      <c r="E147" s="855"/>
      <c r="F147" s="855"/>
      <c r="G147" s="861" t="str">
        <f>CONCATENATE(G143,G144,G145,G146)</f>
        <v xml:space="preserve">Рыба припущенная, </v>
      </c>
      <c r="H147" s="462"/>
      <c r="I147" s="410"/>
      <c r="J147" s="410"/>
      <c r="K147" s="410"/>
      <c r="L147" s="857" t="str">
        <f>CONCATENATE(L143,L144,L145,L146)</f>
        <v xml:space="preserve"> с картофельным пюре, </v>
      </c>
      <c r="M147" s="410"/>
      <c r="N147" s="458" t="str">
        <f>IF(N143=1,V$22,IF(N143=2,V$23,IF(N143=3,V$24,IF(N143=4,V$25,IF(N143=5,V$26,IF(N143=6,V$27,IF(N143=7,V$28,IF(N143=8,V$29,""))))))))</f>
        <v xml:space="preserve"> хлеб, масло, сахар, чай, омлет</v>
      </c>
      <c r="O147" s="410" t="str">
        <f>IF($N143=9,$P$115,"")</f>
        <v/>
      </c>
      <c r="R147" s="427">
        <f>E143</f>
        <v>22</v>
      </c>
      <c r="S147" s="427">
        <f>I143</f>
        <v>1</v>
      </c>
      <c r="T147" s="427">
        <f>N143</f>
        <v>3</v>
      </c>
      <c r="U147" s="410"/>
      <c r="V147" s="1275"/>
      <c r="W147" s="410"/>
      <c r="X147" s="410"/>
      <c r="Y147" s="409" t="str">
        <f>IF(W146=9,B$146,IF(W146=10,B$147,IF(W146=11,B$148,IF(W146=12,B$149,IF(W146=13,B$150,IF(W146=14,B$151,IF(W146=15,B$152,IF(W146=16,B$153,""))))))))</f>
        <v/>
      </c>
      <c r="Z147" s="410"/>
      <c r="AA147" s="410" t="str">
        <f>IF(X146=9,B$185,IF(X146=10,B$186,IF(X146=11,B$187,IF(X146=12,B$188,IF(X146=13,B$189,IF(X146=14,B$190,IF(X146=15,B$191,IF(X146=16,B$192,"  "))))))))</f>
        <v>с  гороховым пюре,</v>
      </c>
      <c r="AB147" s="410"/>
      <c r="AC147" s="410"/>
      <c r="AD147" s="435">
        <f>IF(R147=1,AH$118,IF(R147=2,AH$119,IF(R147=3,AH$120,IF(R147=4,AH$119,IF(R147=5,AH$121,IF(R147=6,AH$121,IF(R147=7,AH$121,IF(R147=8,AH$121,0))))))))</f>
        <v>0</v>
      </c>
      <c r="AE147" s="410">
        <f>IF(R147=9,AH$122,IF(R147=10,AH$122,IF(R147=11,AH$122,IF(R147=12,AH$123,IF(R147=13,AH$121,IF(R147=14,AH$121,IF(R147=15,AH$121,IF(R147=16,AH$118,0))))))))</f>
        <v>0</v>
      </c>
      <c r="AF147" s="410">
        <f>IF(R147=17,AH$118,IF(R147=18,AH$119,IF(R147=19,75,IF(R147=20,96,IF(R147=21,AB$136,IF(R147=22,AB$136,IF(R147&gt;22,AC136,0)))))))</f>
        <v>80</v>
      </c>
      <c r="AG147" s="460">
        <f>SUM(AD147:AF147)</f>
        <v>80</v>
      </c>
      <c r="AH147" s="410"/>
      <c r="AI147" s="1255"/>
      <c r="AJ147" s="404">
        <f t="shared" ref="AJ147:BL147" si="23">IF($E$163=AJ137,1,0)</f>
        <v>0</v>
      </c>
      <c r="AK147" s="404">
        <f t="shared" si="23"/>
        <v>0</v>
      </c>
      <c r="AL147" s="404">
        <f t="shared" si="23"/>
        <v>0</v>
      </c>
      <c r="AM147" s="404">
        <f t="shared" si="23"/>
        <v>0</v>
      </c>
      <c r="AN147" s="404">
        <f t="shared" si="23"/>
        <v>0</v>
      </c>
      <c r="AO147" s="404">
        <f t="shared" si="23"/>
        <v>0</v>
      </c>
      <c r="AP147" s="404">
        <f t="shared" si="23"/>
        <v>0</v>
      </c>
      <c r="AQ147" s="404">
        <f t="shared" si="23"/>
        <v>0</v>
      </c>
      <c r="AR147" s="404">
        <f t="shared" si="23"/>
        <v>0</v>
      </c>
      <c r="AS147" s="404">
        <f t="shared" si="23"/>
        <v>0</v>
      </c>
      <c r="AT147" s="404">
        <f t="shared" si="23"/>
        <v>0</v>
      </c>
      <c r="AU147" s="404">
        <f t="shared" si="23"/>
        <v>0</v>
      </c>
      <c r="AV147" s="404">
        <f t="shared" si="23"/>
        <v>0</v>
      </c>
      <c r="AW147" s="404">
        <f t="shared" si="23"/>
        <v>0</v>
      </c>
      <c r="AX147" s="404">
        <f t="shared" si="23"/>
        <v>0</v>
      </c>
      <c r="AY147" s="404">
        <f t="shared" si="23"/>
        <v>0</v>
      </c>
      <c r="AZ147" s="404">
        <f t="shared" si="23"/>
        <v>0</v>
      </c>
      <c r="BA147" s="404">
        <f t="shared" si="23"/>
        <v>0</v>
      </c>
      <c r="BB147" s="404">
        <f t="shared" si="23"/>
        <v>0</v>
      </c>
      <c r="BC147" s="404">
        <f t="shared" si="23"/>
        <v>0</v>
      </c>
      <c r="BD147" s="404">
        <f t="shared" si="23"/>
        <v>1</v>
      </c>
      <c r="BE147" s="404">
        <f t="shared" si="23"/>
        <v>0</v>
      </c>
      <c r="BF147" s="404">
        <f t="shared" si="23"/>
        <v>0</v>
      </c>
      <c r="BG147" s="404">
        <f t="shared" si="23"/>
        <v>0</v>
      </c>
      <c r="BH147" s="404">
        <f t="shared" si="23"/>
        <v>0</v>
      </c>
      <c r="BI147" s="404">
        <f t="shared" si="23"/>
        <v>0</v>
      </c>
      <c r="BJ147" s="404">
        <f t="shared" si="23"/>
        <v>0</v>
      </c>
      <c r="BK147" s="404">
        <f t="shared" si="23"/>
        <v>0</v>
      </c>
      <c r="BL147" s="404">
        <f t="shared" si="23"/>
        <v>0</v>
      </c>
    </row>
    <row r="148" spans="1:64" x14ac:dyDescent="0.2">
      <c r="A148" s="410">
        <f t="shared" si="15"/>
        <v>11</v>
      </c>
      <c r="B148" s="410" t="s">
        <v>414</v>
      </c>
      <c r="C148" s="410"/>
      <c r="D148" s="1270" t="s">
        <v>95</v>
      </c>
      <c r="E148" s="846">
        <v>1</v>
      </c>
      <c r="F148" s="846"/>
      <c r="G148" s="858" t="str">
        <f>IF(E148=1,B$138,IF(E148=2,B$139,IF(E148=3,B$140,IF(E148=4,B$141,IF(E148=5,B$142,IF(E148=6,B$143,IF(E148=7,B$144,IF(E148=8,B$145,""))))))))</f>
        <v xml:space="preserve">Мясо отвар. с соусом </v>
      </c>
      <c r="H148" s="409"/>
      <c r="I148" s="410">
        <v>4</v>
      </c>
      <c r="J148" s="410"/>
      <c r="K148" s="410"/>
      <c r="L148" s="410" t="str">
        <f>IF(I148=1,B$177,IF(I148=2,B$178,IF(I148=3,B$179,IF(I148=4,B$180,IF(I148=5,B$181,IF(I148=6,B$182,IF(I148=7,B$183,IF(I148=8,B$184,""))))))))</f>
        <v xml:space="preserve"> с карт.тушеным,</v>
      </c>
      <c r="M148" s="410"/>
      <c r="N148" s="410">
        <v>4</v>
      </c>
      <c r="R148" s="427">
        <f>E148</f>
        <v>1</v>
      </c>
      <c r="S148" s="427"/>
      <c r="T148" s="427"/>
      <c r="U148" s="410"/>
      <c r="V148" s="1275"/>
      <c r="W148" s="410"/>
      <c r="X148" s="410"/>
      <c r="Y148" s="409" t="str">
        <f>IF(W146=17,B$154,IF(W146=18,B$155,IF(W146=19,B$156,IF(W146=20,B$157,IF(W146=21,B$158,IF(W146=22,B$159,IF(W146=23,B$160,IF(W146=24,B$161,""))))))))</f>
        <v/>
      </c>
      <c r="Z148" s="410"/>
      <c r="AA148" s="410" t="str">
        <f>IF(X146=17," ","  ")</f>
        <v xml:space="preserve">  </v>
      </c>
      <c r="AB148" s="410"/>
      <c r="AC148" s="410"/>
      <c r="AD148" s="410"/>
      <c r="AE148" s="410"/>
      <c r="AF148" s="410"/>
      <c r="AG148" s="410"/>
      <c r="AH148" s="410"/>
      <c r="AI148" s="1255"/>
      <c r="AJ148" s="404">
        <f>IF($R$170=AJ$137,1,0)</f>
        <v>1</v>
      </c>
      <c r="AK148" s="404">
        <f t="shared" ref="AK148:BL148" si="24">IF($R$170=AK$137,1,0)</f>
        <v>0</v>
      </c>
      <c r="AL148" s="404">
        <f t="shared" si="24"/>
        <v>0</v>
      </c>
      <c r="AM148" s="404">
        <f t="shared" si="24"/>
        <v>0</v>
      </c>
      <c r="AN148" s="404">
        <f t="shared" si="24"/>
        <v>0</v>
      </c>
      <c r="AO148" s="404">
        <f t="shared" si="24"/>
        <v>0</v>
      </c>
      <c r="AP148" s="404">
        <f t="shared" si="24"/>
        <v>0</v>
      </c>
      <c r="AQ148" s="404">
        <f t="shared" si="24"/>
        <v>0</v>
      </c>
      <c r="AR148" s="404">
        <f t="shared" si="24"/>
        <v>0</v>
      </c>
      <c r="AS148" s="404">
        <f t="shared" si="24"/>
        <v>0</v>
      </c>
      <c r="AT148" s="404">
        <f t="shared" si="24"/>
        <v>0</v>
      </c>
      <c r="AU148" s="404">
        <f t="shared" si="24"/>
        <v>0</v>
      </c>
      <c r="AV148" s="404">
        <f t="shared" si="24"/>
        <v>0</v>
      </c>
      <c r="AW148" s="404">
        <f t="shared" si="24"/>
        <v>0</v>
      </c>
      <c r="AX148" s="404">
        <f t="shared" si="24"/>
        <v>0</v>
      </c>
      <c r="AY148" s="404">
        <f t="shared" si="24"/>
        <v>0</v>
      </c>
      <c r="AZ148" s="404">
        <f t="shared" si="24"/>
        <v>0</v>
      </c>
      <c r="BA148" s="404">
        <f t="shared" si="24"/>
        <v>0</v>
      </c>
      <c r="BB148" s="404">
        <f t="shared" si="24"/>
        <v>0</v>
      </c>
      <c r="BC148" s="404">
        <f t="shared" si="24"/>
        <v>0</v>
      </c>
      <c r="BD148" s="404">
        <f t="shared" si="24"/>
        <v>0</v>
      </c>
      <c r="BE148" s="404">
        <f t="shared" si="24"/>
        <v>0</v>
      </c>
      <c r="BF148" s="404">
        <f t="shared" si="24"/>
        <v>0</v>
      </c>
      <c r="BG148" s="404">
        <f t="shared" si="24"/>
        <v>0</v>
      </c>
      <c r="BH148" s="404">
        <f t="shared" si="24"/>
        <v>0</v>
      </c>
      <c r="BI148" s="404">
        <f t="shared" si="24"/>
        <v>0</v>
      </c>
      <c r="BJ148" s="404">
        <f t="shared" si="24"/>
        <v>0</v>
      </c>
      <c r="BK148" s="404">
        <f t="shared" si="24"/>
        <v>0</v>
      </c>
      <c r="BL148" s="404">
        <f t="shared" si="24"/>
        <v>0</v>
      </c>
    </row>
    <row r="149" spans="1:64" x14ac:dyDescent="0.2">
      <c r="A149" s="410">
        <f t="shared" si="15"/>
        <v>12</v>
      </c>
      <c r="B149" s="410" t="s">
        <v>415</v>
      </c>
      <c r="C149" s="410"/>
      <c r="D149" s="1271"/>
      <c r="E149" s="410"/>
      <c r="F149" s="410"/>
      <c r="G149" s="859" t="str">
        <f>IF(E148=9,B$146,IF(E148=10,B$147,IF(E148=11,B$148,IF(E148=12,B$149,IF(E148=13,B$150,IF(E148=14,B$151,IF(E148=15,B$152,IF(E148=16,B$153,""))))))))</f>
        <v/>
      </c>
      <c r="H149" s="409"/>
      <c r="I149" s="410"/>
      <c r="J149" s="410"/>
      <c r="K149" s="410"/>
      <c r="L149" s="410" t="str">
        <f>IF(I148=9,B$185,IF(I148=10,B$186,IF(I148=11,B$187,IF(I148=12,B$188,IF(I148=13,B$189,IF(I148=14,B$190,IF(I148=15,B$191,IF(I148=16,B$192,""))))))))</f>
        <v/>
      </c>
      <c r="M149" s="410"/>
      <c r="N149" s="410"/>
      <c r="R149" s="427"/>
      <c r="S149" s="427"/>
      <c r="T149" s="427"/>
      <c r="U149" s="410"/>
      <c r="V149" s="1275"/>
      <c r="W149" s="410"/>
      <c r="X149" s="410"/>
      <c r="Y149" s="410"/>
      <c r="Z149" s="410"/>
      <c r="AA149" s="410"/>
      <c r="AB149" s="410"/>
      <c r="AC149" s="410"/>
      <c r="AD149" s="410"/>
      <c r="AE149" s="410"/>
      <c r="AF149" s="410"/>
      <c r="AG149" s="410"/>
      <c r="AH149" s="410"/>
      <c r="AI149" s="1255"/>
      <c r="AJ149" s="404">
        <f>IF($R$171=AJ$137,1,0)</f>
        <v>1</v>
      </c>
      <c r="AK149" s="404">
        <f t="shared" ref="AK149:BL149" si="25">IF($R$171=AK$137,1,0)</f>
        <v>0</v>
      </c>
      <c r="AL149" s="404">
        <f t="shared" si="25"/>
        <v>0</v>
      </c>
      <c r="AM149" s="404">
        <f t="shared" si="25"/>
        <v>0</v>
      </c>
      <c r="AN149" s="404">
        <f t="shared" si="25"/>
        <v>0</v>
      </c>
      <c r="AO149" s="404">
        <f t="shared" si="25"/>
        <v>0</v>
      </c>
      <c r="AP149" s="404">
        <f t="shared" si="25"/>
        <v>0</v>
      </c>
      <c r="AQ149" s="404">
        <f t="shared" si="25"/>
        <v>0</v>
      </c>
      <c r="AR149" s="404">
        <f t="shared" si="25"/>
        <v>0</v>
      </c>
      <c r="AS149" s="404">
        <f t="shared" si="25"/>
        <v>0</v>
      </c>
      <c r="AT149" s="404">
        <f t="shared" si="25"/>
        <v>0</v>
      </c>
      <c r="AU149" s="404">
        <f t="shared" si="25"/>
        <v>0</v>
      </c>
      <c r="AV149" s="404">
        <f t="shared" si="25"/>
        <v>0</v>
      </c>
      <c r="AW149" s="404">
        <f t="shared" si="25"/>
        <v>0</v>
      </c>
      <c r="AX149" s="404">
        <f t="shared" si="25"/>
        <v>0</v>
      </c>
      <c r="AY149" s="404">
        <f t="shared" si="25"/>
        <v>0</v>
      </c>
      <c r="AZ149" s="404">
        <f t="shared" si="25"/>
        <v>0</v>
      </c>
      <c r="BA149" s="404">
        <f t="shared" si="25"/>
        <v>0</v>
      </c>
      <c r="BB149" s="404">
        <f t="shared" si="25"/>
        <v>0</v>
      </c>
      <c r="BC149" s="404">
        <f t="shared" si="25"/>
        <v>0</v>
      </c>
      <c r="BD149" s="404">
        <f t="shared" si="25"/>
        <v>0</v>
      </c>
      <c r="BE149" s="404">
        <f t="shared" si="25"/>
        <v>0</v>
      </c>
      <c r="BF149" s="404">
        <f t="shared" si="25"/>
        <v>0</v>
      </c>
      <c r="BG149" s="404">
        <f t="shared" si="25"/>
        <v>0</v>
      </c>
      <c r="BH149" s="404">
        <f t="shared" si="25"/>
        <v>0</v>
      </c>
      <c r="BI149" s="404">
        <f t="shared" si="25"/>
        <v>0</v>
      </c>
      <c r="BJ149" s="404">
        <f t="shared" si="25"/>
        <v>0</v>
      </c>
      <c r="BK149" s="404">
        <f t="shared" si="25"/>
        <v>0</v>
      </c>
      <c r="BL149" s="404">
        <f t="shared" si="25"/>
        <v>0</v>
      </c>
    </row>
    <row r="150" spans="1:64" x14ac:dyDescent="0.2">
      <c r="A150" s="410">
        <f t="shared" si="15"/>
        <v>13</v>
      </c>
      <c r="B150" s="410" t="s">
        <v>416</v>
      </c>
      <c r="C150" s="410"/>
      <c r="D150" s="1271"/>
      <c r="E150" s="410"/>
      <c r="F150" s="410"/>
      <c r="G150" s="859" t="str">
        <f>IF(E148=17,B$154,IF(E148=18,B$155,IF(E148=19,B$156,IF(E148=20,B$157,IF(E148=21,B$158,IF(E148=22,B$159,IF(E148=23,B$160,IF(E148=24,B$161,""))))))))</f>
        <v/>
      </c>
      <c r="H150" s="409"/>
      <c r="I150" s="410"/>
      <c r="J150" s="410"/>
      <c r="K150" s="410"/>
      <c r="L150" s="410" t="str">
        <f>IF(I148=17,B$193,IF(I148=18,B$194,IF(I148=19,B$195,IF(I148=20,B$196,IF(I148=21,B$197,"")))))</f>
        <v/>
      </c>
      <c r="M150" s="410"/>
      <c r="N150" s="410"/>
      <c r="R150" s="436"/>
      <c r="S150" s="436"/>
      <c r="T150" s="436"/>
      <c r="U150" s="410"/>
      <c r="V150" s="1275"/>
      <c r="W150" s="410"/>
      <c r="X150" s="410"/>
      <c r="Y150" s="463" t="str">
        <f>CONCATENATE(Y146,Y147,Y148,Y149)</f>
        <v xml:space="preserve">Мясо отвар. с соусом </v>
      </c>
      <c r="Z150" s="410"/>
      <c r="AA150" s="463" t="str">
        <f>CONCATENATE(AA146,AA147,AA148,AA149)</f>
        <v xml:space="preserve"> с  гороховым пюре,  </v>
      </c>
      <c r="AB150" s="410"/>
      <c r="AC150" s="410"/>
      <c r="AD150" s="410"/>
      <c r="AE150" s="410"/>
      <c r="AF150" s="410"/>
      <c r="AG150" s="410"/>
      <c r="AH150" s="410"/>
      <c r="AI150" s="1255">
        <v>4</v>
      </c>
      <c r="AJ150" s="404">
        <f t="shared" ref="AJ150:BL150" si="26">IF($E$168=AJ137,1,0)</f>
        <v>1</v>
      </c>
      <c r="AK150" s="404">
        <f t="shared" si="26"/>
        <v>0</v>
      </c>
      <c r="AL150" s="404">
        <f t="shared" si="26"/>
        <v>0</v>
      </c>
      <c r="AM150" s="404">
        <f t="shared" si="26"/>
        <v>0</v>
      </c>
      <c r="AN150" s="404">
        <f t="shared" si="26"/>
        <v>0</v>
      </c>
      <c r="AO150" s="404">
        <f t="shared" si="26"/>
        <v>0</v>
      </c>
      <c r="AP150" s="404">
        <f t="shared" si="26"/>
        <v>0</v>
      </c>
      <c r="AQ150" s="404">
        <f t="shared" si="26"/>
        <v>0</v>
      </c>
      <c r="AR150" s="404">
        <f t="shared" si="26"/>
        <v>0</v>
      </c>
      <c r="AS150" s="404">
        <f t="shared" si="26"/>
        <v>0</v>
      </c>
      <c r="AT150" s="404">
        <f t="shared" si="26"/>
        <v>0</v>
      </c>
      <c r="AU150" s="404">
        <f t="shared" si="26"/>
        <v>0</v>
      </c>
      <c r="AV150" s="404">
        <f t="shared" si="26"/>
        <v>0</v>
      </c>
      <c r="AW150" s="404">
        <f t="shared" si="26"/>
        <v>0</v>
      </c>
      <c r="AX150" s="404">
        <f t="shared" si="26"/>
        <v>0</v>
      </c>
      <c r="AY150" s="404">
        <f t="shared" si="26"/>
        <v>0</v>
      </c>
      <c r="AZ150" s="404">
        <f t="shared" si="26"/>
        <v>0</v>
      </c>
      <c r="BA150" s="404">
        <f t="shared" si="26"/>
        <v>0</v>
      </c>
      <c r="BB150" s="404">
        <f t="shared" si="26"/>
        <v>0</v>
      </c>
      <c r="BC150" s="404">
        <f t="shared" si="26"/>
        <v>0</v>
      </c>
      <c r="BD150" s="404">
        <f t="shared" si="26"/>
        <v>0</v>
      </c>
      <c r="BE150" s="404">
        <f t="shared" si="26"/>
        <v>0</v>
      </c>
      <c r="BF150" s="404">
        <f t="shared" si="26"/>
        <v>0</v>
      </c>
      <c r="BG150" s="404">
        <f t="shared" si="26"/>
        <v>0</v>
      </c>
      <c r="BH150" s="404">
        <f t="shared" si="26"/>
        <v>0</v>
      </c>
      <c r="BI150" s="404">
        <f t="shared" si="26"/>
        <v>0</v>
      </c>
      <c r="BJ150" s="404">
        <f t="shared" si="26"/>
        <v>0</v>
      </c>
      <c r="BK150" s="404">
        <f t="shared" si="26"/>
        <v>0</v>
      </c>
      <c r="BL150" s="404">
        <f t="shared" si="26"/>
        <v>0</v>
      </c>
    </row>
    <row r="151" spans="1:64" x14ac:dyDescent="0.2">
      <c r="A151" s="410">
        <f t="shared" si="15"/>
        <v>14</v>
      </c>
      <c r="B151" s="410" t="s">
        <v>417</v>
      </c>
      <c r="C151" s="410"/>
      <c r="D151" s="1271"/>
      <c r="E151" s="410"/>
      <c r="F151" s="410"/>
      <c r="G151" s="850" t="str">
        <f>IF(E148=25,B$162,IF(E148=26,B$163,IF(E148=27,B$164,IF(E148=28,B$165,IF(E148=29,B$166,IF(E148=30,B$167,""))))))</f>
        <v/>
      </c>
      <c r="H151" s="410"/>
      <c r="I151" s="410"/>
      <c r="J151" s="410"/>
      <c r="K151" s="410"/>
      <c r="L151" s="410"/>
      <c r="M151" s="410"/>
      <c r="N151" s="410"/>
      <c r="Q151" s="410" t="str">
        <f>IF(A25=TRUE,$R$90,"")</f>
        <v/>
      </c>
      <c r="R151" s="427">
        <f>E148</f>
        <v>1</v>
      </c>
      <c r="S151" s="427">
        <f>I148</f>
        <v>4</v>
      </c>
      <c r="T151" s="427">
        <f>N148</f>
        <v>4</v>
      </c>
      <c r="U151" s="458" t="str">
        <f>IF(R146=1,CONCATENATE(P$128,$Q$151),IF(R146=2,CONCATENATE(P$129,$Q$151),IF(R146=3,CONCATENATE(P$130,$Q$151),IF(R146=4,CONCATENATE(P$131,$Q$151),IF(R146=5,CONCATENATE(P$132,$Q$151),IF(R146=6,CONCATENATE(P$133,$Q$151),P$134))))))</f>
        <v>Сок, хлеб</v>
      </c>
      <c r="V151" s="410"/>
      <c r="W151" s="410"/>
      <c r="X151" s="410"/>
      <c r="Y151" s="410"/>
      <c r="Z151" s="410"/>
      <c r="AA151" s="410"/>
      <c r="AB151" s="410"/>
      <c r="AC151" s="410"/>
      <c r="AD151" s="410">
        <f>IF(R151=1,AI$118,IF(R151=2,AH$119,IF(R151=3,AH$120,IF(R151=4,AH$119,IF(R151=5,AH$121,IF(R151=6,AH$121,IF(R151=7,AH$121,IF(R151=8,AH$121,0))))))))</f>
        <v>46</v>
      </c>
      <c r="AE151" s="410">
        <f>IF(R151=9,AH$122,IF(R151=10,AH$122,IF(R151=11,AH$122,IF(R151=12,AH$123,IF(R151=13,AH$121,IF(R151=14,AH$121,IF(R151=15,AH$121,IF(R151=16,AI$118,0))))))))</f>
        <v>0</v>
      </c>
      <c r="AF151" s="410">
        <f>IF(R151=17,$AG$118,IF(R151=18,$AG$119,IF(R151=19,75,IF(R151=20,96,IF(R151=21,$AB$136,IF(R151=22,$AB$136,IF(R151=23,$AC$136,IF(R151=24,$AC$136,0))))))))</f>
        <v>0</v>
      </c>
      <c r="AG151" s="460">
        <f>SUM(AD151:AF151)</f>
        <v>46</v>
      </c>
      <c r="AH151" s="410"/>
      <c r="AI151" s="1255"/>
      <c r="AJ151" s="404">
        <f t="shared" ref="AJ151:BL151" si="27">IF($E$173=AJ137,1,0)</f>
        <v>0</v>
      </c>
      <c r="AK151" s="404">
        <f t="shared" si="27"/>
        <v>0</v>
      </c>
      <c r="AL151" s="404">
        <f t="shared" si="27"/>
        <v>0</v>
      </c>
      <c r="AM151" s="404">
        <f t="shared" si="27"/>
        <v>0</v>
      </c>
      <c r="AN151" s="404">
        <f t="shared" si="27"/>
        <v>0</v>
      </c>
      <c r="AO151" s="404">
        <f t="shared" si="27"/>
        <v>0</v>
      </c>
      <c r="AP151" s="404">
        <f t="shared" si="27"/>
        <v>0</v>
      </c>
      <c r="AQ151" s="404">
        <f t="shared" si="27"/>
        <v>0</v>
      </c>
      <c r="AR151" s="404">
        <f t="shared" si="27"/>
        <v>0</v>
      </c>
      <c r="AS151" s="404">
        <f t="shared" si="27"/>
        <v>0</v>
      </c>
      <c r="AT151" s="404">
        <f t="shared" si="27"/>
        <v>0</v>
      </c>
      <c r="AU151" s="404">
        <f t="shared" si="27"/>
        <v>0</v>
      </c>
      <c r="AV151" s="404">
        <f t="shared" si="27"/>
        <v>0</v>
      </c>
      <c r="AW151" s="404">
        <f t="shared" si="27"/>
        <v>0</v>
      </c>
      <c r="AX151" s="404">
        <f t="shared" si="27"/>
        <v>0</v>
      </c>
      <c r="AY151" s="404">
        <f t="shared" si="27"/>
        <v>0</v>
      </c>
      <c r="AZ151" s="404">
        <f t="shared" si="27"/>
        <v>0</v>
      </c>
      <c r="BA151" s="404">
        <f t="shared" si="27"/>
        <v>0</v>
      </c>
      <c r="BB151" s="404">
        <f t="shared" si="27"/>
        <v>0</v>
      </c>
      <c r="BC151" s="404">
        <f t="shared" si="27"/>
        <v>0</v>
      </c>
      <c r="BD151" s="404">
        <f t="shared" si="27"/>
        <v>1</v>
      </c>
      <c r="BE151" s="404">
        <f t="shared" si="27"/>
        <v>0</v>
      </c>
      <c r="BF151" s="404">
        <f t="shared" si="27"/>
        <v>0</v>
      </c>
      <c r="BG151" s="404">
        <f t="shared" si="27"/>
        <v>0</v>
      </c>
      <c r="BH151" s="404">
        <f t="shared" si="27"/>
        <v>0</v>
      </c>
      <c r="BI151" s="404">
        <f t="shared" si="27"/>
        <v>0</v>
      </c>
      <c r="BJ151" s="404">
        <f t="shared" si="27"/>
        <v>0</v>
      </c>
      <c r="BK151" s="404">
        <f t="shared" si="27"/>
        <v>0</v>
      </c>
      <c r="BL151" s="404">
        <f t="shared" si="27"/>
        <v>0</v>
      </c>
    </row>
    <row r="152" spans="1:64" x14ac:dyDescent="0.2">
      <c r="A152" s="410">
        <f t="shared" si="15"/>
        <v>15</v>
      </c>
      <c r="B152" s="410" t="s">
        <v>418</v>
      </c>
      <c r="C152" s="410"/>
      <c r="D152" s="1271"/>
      <c r="E152" s="410"/>
      <c r="F152" s="410"/>
      <c r="G152" s="860" t="str">
        <f>CONCATENATE(G148,G149,G150,G151)</f>
        <v xml:space="preserve">Мясо отвар. с соусом </v>
      </c>
      <c r="H152" s="462"/>
      <c r="I152" s="410"/>
      <c r="J152" s="410"/>
      <c r="K152" s="410"/>
      <c r="L152" s="857" t="str">
        <f>CONCATENATE(L148,L149,L150,L151)</f>
        <v xml:space="preserve"> с карт.тушеным,</v>
      </c>
      <c r="M152" s="410"/>
      <c r="N152" s="458" t="str">
        <f>IF(N148=1,U$22,IF(N148=2,U$23,IF(N148=3,U$24,IF(N148=4,U$25,IF(N148=5,U$26,IF(N148=6,U$27,IF(N148=7,U$28,IF(N148=8,U$29,""))))))))</f>
        <v xml:space="preserve"> хлеб, масло, сахар, кофе натур. с молоком, сыр, омлет</v>
      </c>
      <c r="O152" s="410" t="str">
        <f>IF($N148=9,$P$115,"")</f>
        <v/>
      </c>
      <c r="R152" s="427"/>
      <c r="S152" s="427"/>
      <c r="T152" s="427"/>
      <c r="U152" s="410"/>
      <c r="V152" s="410"/>
      <c r="W152" s="410"/>
      <c r="X152" s="410"/>
      <c r="Y152" s="410"/>
      <c r="Z152" s="410"/>
      <c r="AA152" s="410"/>
      <c r="AB152" s="410"/>
      <c r="AC152" s="410"/>
      <c r="AD152" s="410"/>
      <c r="AE152" s="410"/>
      <c r="AF152" s="410"/>
      <c r="AG152" s="410"/>
      <c r="AH152" s="410"/>
      <c r="AI152" s="1255"/>
      <c r="AJ152" s="404">
        <f>IF($R$183=AJ$137,1,0)</f>
        <v>1</v>
      </c>
      <c r="AK152" s="404">
        <f t="shared" ref="AK152:BL152" si="28">IF($R$183=AK$137,1,0)</f>
        <v>0</v>
      </c>
      <c r="AL152" s="404">
        <f t="shared" si="28"/>
        <v>0</v>
      </c>
      <c r="AM152" s="404">
        <f t="shared" si="28"/>
        <v>0</v>
      </c>
      <c r="AN152" s="404">
        <f t="shared" si="28"/>
        <v>0</v>
      </c>
      <c r="AO152" s="404">
        <f t="shared" si="28"/>
        <v>0</v>
      </c>
      <c r="AP152" s="404">
        <f t="shared" si="28"/>
        <v>0</v>
      </c>
      <c r="AQ152" s="404">
        <f t="shared" si="28"/>
        <v>0</v>
      </c>
      <c r="AR152" s="404">
        <f t="shared" si="28"/>
        <v>0</v>
      </c>
      <c r="AS152" s="404">
        <f t="shared" si="28"/>
        <v>0</v>
      </c>
      <c r="AT152" s="404">
        <f t="shared" si="28"/>
        <v>0</v>
      </c>
      <c r="AU152" s="404">
        <f t="shared" si="28"/>
        <v>0</v>
      </c>
      <c r="AV152" s="404">
        <f t="shared" si="28"/>
        <v>0</v>
      </c>
      <c r="AW152" s="404">
        <f t="shared" si="28"/>
        <v>0</v>
      </c>
      <c r="AX152" s="404">
        <f t="shared" si="28"/>
        <v>0</v>
      </c>
      <c r="AY152" s="404">
        <f t="shared" si="28"/>
        <v>0</v>
      </c>
      <c r="AZ152" s="404">
        <f t="shared" si="28"/>
        <v>0</v>
      </c>
      <c r="BA152" s="404">
        <f t="shared" si="28"/>
        <v>0</v>
      </c>
      <c r="BB152" s="404">
        <f t="shared" si="28"/>
        <v>0</v>
      </c>
      <c r="BC152" s="404">
        <f t="shared" si="28"/>
        <v>0</v>
      </c>
      <c r="BD152" s="404">
        <f t="shared" si="28"/>
        <v>0</v>
      </c>
      <c r="BE152" s="404">
        <f t="shared" si="28"/>
        <v>0</v>
      </c>
      <c r="BF152" s="404">
        <f t="shared" si="28"/>
        <v>0</v>
      </c>
      <c r="BG152" s="404">
        <f t="shared" si="28"/>
        <v>0</v>
      </c>
      <c r="BH152" s="404">
        <f t="shared" si="28"/>
        <v>0</v>
      </c>
      <c r="BI152" s="404">
        <f t="shared" si="28"/>
        <v>0</v>
      </c>
      <c r="BJ152" s="404">
        <f t="shared" si="28"/>
        <v>0</v>
      </c>
      <c r="BK152" s="404">
        <f t="shared" si="28"/>
        <v>0</v>
      </c>
      <c r="BL152" s="404">
        <f t="shared" si="28"/>
        <v>0</v>
      </c>
    </row>
    <row r="153" spans="1:64" x14ac:dyDescent="0.2">
      <c r="A153" s="410">
        <f t="shared" si="15"/>
        <v>16</v>
      </c>
      <c r="B153" s="410" t="s">
        <v>419</v>
      </c>
      <c r="C153" s="410"/>
      <c r="D153" s="1271"/>
      <c r="E153" s="410">
        <v>25</v>
      </c>
      <c r="F153" s="410"/>
      <c r="G153" s="859" t="str">
        <f>IF(E153=1,B$138,IF(E153=2,B$139,IF(E153=3,B$140,IF(E153=4,B$141,IF(E153=5,B$142,IF(E153=6,B$143,IF(E153=7,B$144,IF(E153=8,B$145,""))))))))</f>
        <v/>
      </c>
      <c r="H153" s="409"/>
      <c r="I153" s="410">
        <v>14</v>
      </c>
      <c r="J153" s="410"/>
      <c r="K153" s="410"/>
      <c r="L153" s="410" t="str">
        <f>IF(I153=1,B$177,IF(I153=2,B$178,IF(I153=3,B$179,IF(I153=4,B$180,IF(I153=5,B$181,IF(I153=6,B$182,IF(I153=7,B$183,IF(I153=8,B$184,""))))))))</f>
        <v/>
      </c>
      <c r="M153" s="410"/>
      <c r="N153" s="410">
        <v>2</v>
      </c>
      <c r="R153" s="427"/>
      <c r="S153" s="427"/>
      <c r="T153" s="427"/>
      <c r="U153" s="410"/>
      <c r="V153" s="410"/>
      <c r="W153" s="410"/>
      <c r="X153" s="410"/>
      <c r="Y153" s="410"/>
      <c r="Z153" s="410"/>
      <c r="AA153" s="410"/>
      <c r="AB153" s="410"/>
      <c r="AC153" s="410"/>
      <c r="AD153" s="410"/>
      <c r="AE153" s="410"/>
      <c r="AF153" s="410"/>
      <c r="AG153" s="410"/>
      <c r="AH153" s="410"/>
      <c r="AI153" s="1255"/>
      <c r="AJ153" s="404">
        <f>IF($R$184=AJ$137,1,0)</f>
        <v>1</v>
      </c>
      <c r="AK153" s="404">
        <f t="shared" ref="AK153:BL153" si="29">IF($R$184=AK$137,1,0)</f>
        <v>0</v>
      </c>
      <c r="AL153" s="404">
        <f t="shared" si="29"/>
        <v>0</v>
      </c>
      <c r="AM153" s="404">
        <f t="shared" si="29"/>
        <v>0</v>
      </c>
      <c r="AN153" s="404">
        <f t="shared" si="29"/>
        <v>0</v>
      </c>
      <c r="AO153" s="404">
        <f t="shared" si="29"/>
        <v>0</v>
      </c>
      <c r="AP153" s="404">
        <f t="shared" si="29"/>
        <v>0</v>
      </c>
      <c r="AQ153" s="404">
        <f t="shared" si="29"/>
        <v>0</v>
      </c>
      <c r="AR153" s="404">
        <f t="shared" si="29"/>
        <v>0</v>
      </c>
      <c r="AS153" s="404">
        <f t="shared" si="29"/>
        <v>0</v>
      </c>
      <c r="AT153" s="404">
        <f t="shared" si="29"/>
        <v>0</v>
      </c>
      <c r="AU153" s="404">
        <f t="shared" si="29"/>
        <v>0</v>
      </c>
      <c r="AV153" s="404">
        <f t="shared" si="29"/>
        <v>0</v>
      </c>
      <c r="AW153" s="404">
        <f t="shared" si="29"/>
        <v>0</v>
      </c>
      <c r="AX153" s="404">
        <f t="shared" si="29"/>
        <v>0</v>
      </c>
      <c r="AY153" s="404">
        <f t="shared" si="29"/>
        <v>0</v>
      </c>
      <c r="AZ153" s="404">
        <f t="shared" si="29"/>
        <v>0</v>
      </c>
      <c r="BA153" s="404">
        <f t="shared" si="29"/>
        <v>0</v>
      </c>
      <c r="BB153" s="404">
        <f t="shared" si="29"/>
        <v>0</v>
      </c>
      <c r="BC153" s="404">
        <f t="shared" si="29"/>
        <v>0</v>
      </c>
      <c r="BD153" s="404">
        <f t="shared" si="29"/>
        <v>0</v>
      </c>
      <c r="BE153" s="404">
        <f t="shared" si="29"/>
        <v>0</v>
      </c>
      <c r="BF153" s="404">
        <f t="shared" si="29"/>
        <v>0</v>
      </c>
      <c r="BG153" s="404">
        <f t="shared" si="29"/>
        <v>0</v>
      </c>
      <c r="BH153" s="404">
        <f t="shared" si="29"/>
        <v>0</v>
      </c>
      <c r="BI153" s="404">
        <f t="shared" si="29"/>
        <v>0</v>
      </c>
      <c r="BJ153" s="404">
        <f t="shared" si="29"/>
        <v>0</v>
      </c>
      <c r="BK153" s="404">
        <f t="shared" si="29"/>
        <v>0</v>
      </c>
      <c r="BL153" s="404">
        <f t="shared" si="29"/>
        <v>0</v>
      </c>
    </row>
    <row r="154" spans="1:64" x14ac:dyDescent="0.2">
      <c r="A154" s="410">
        <f t="shared" si="15"/>
        <v>17</v>
      </c>
      <c r="B154" s="410" t="s">
        <v>403</v>
      </c>
      <c r="C154" s="410"/>
      <c r="D154" s="1271"/>
      <c r="E154" s="410"/>
      <c r="F154" s="410"/>
      <c r="G154" s="859" t="str">
        <f>IF(E153=9,B$146,IF(E153=10,B$147,IF(E153=11,B$148,IF(E153=12,B$149,IF(E153=13,B$150,IF(E153=14,B$151,IF(E153=15,B$152,IF(E153=16,B$153,""))))))))</f>
        <v/>
      </c>
      <c r="H154" s="409"/>
      <c r="I154" s="410"/>
      <c r="J154" s="410"/>
      <c r="K154" s="410"/>
      <c r="L154" s="410" t="str">
        <f>IF(I153=9,B$185,IF(I153=10,B$186,IF(I153=11,B$187,IF(I153=12,B$188,IF(I153=13,B$189,IF(I153=14,B$190,IF(I153=15,B$191,IF(I153=16,B$192,""))))))))</f>
        <v>с  гороховым пюре,</v>
      </c>
      <c r="M154" s="410"/>
      <c r="N154" s="410"/>
      <c r="R154" s="427">
        <f>E43</f>
        <v>15</v>
      </c>
      <c r="S154" s="427"/>
      <c r="T154" s="427"/>
      <c r="U154" s="410"/>
      <c r="V154" s="1275" t="s">
        <v>95</v>
      </c>
      <c r="W154" s="417">
        <f>R157</f>
        <v>6</v>
      </c>
      <c r="X154" s="410">
        <f>S157</f>
        <v>12</v>
      </c>
      <c r="Y154" s="409" t="str">
        <f>IF(W154=1,B$138,IF(W154=2,B$139,IF(W154=3,B$140,IF(W154=4,B$141,IF(W154=5,B$142,IF(W154=6,B$143,IF(W154=7,B$144,IF(W154=8,B$145,""))))))))</f>
        <v xml:space="preserve">Азу </v>
      </c>
      <c r="Z154" s="410">
        <f>S157</f>
        <v>12</v>
      </c>
      <c r="AA154" s="410" t="str">
        <f>IF(X154=1,B$177,IF(X154=2,B$178,IF(X154=3,B$179,IF(X154=4,B$180,IF(X154=5,B$181,IF(X154=6,B$182,IF(X154=7,B$183,IF(X154=8,B$184," "))))))))</f>
        <v xml:space="preserve"> </v>
      </c>
      <c r="AB154" s="410"/>
      <c r="AC154" s="410"/>
      <c r="AD154" s="410"/>
      <c r="AE154" s="410"/>
      <c r="AF154" s="410"/>
      <c r="AG154" s="410"/>
      <c r="AH154" s="410"/>
      <c r="AI154" s="1255">
        <v>5</v>
      </c>
      <c r="AJ154" s="404">
        <f t="shared" ref="AJ154:BL154" si="30">IF($E$178=AJ137,1,0)</f>
        <v>1</v>
      </c>
      <c r="AK154" s="404">
        <f t="shared" si="30"/>
        <v>0</v>
      </c>
      <c r="AL154" s="404">
        <f t="shared" si="30"/>
        <v>0</v>
      </c>
      <c r="AM154" s="404">
        <f t="shared" si="30"/>
        <v>0</v>
      </c>
      <c r="AN154" s="404">
        <f t="shared" si="30"/>
        <v>0</v>
      </c>
      <c r="AO154" s="404">
        <f t="shared" si="30"/>
        <v>0</v>
      </c>
      <c r="AP154" s="404">
        <f t="shared" si="30"/>
        <v>0</v>
      </c>
      <c r="AQ154" s="404">
        <f t="shared" si="30"/>
        <v>0</v>
      </c>
      <c r="AR154" s="404">
        <f t="shared" si="30"/>
        <v>0</v>
      </c>
      <c r="AS154" s="404">
        <f t="shared" si="30"/>
        <v>0</v>
      </c>
      <c r="AT154" s="404">
        <f t="shared" si="30"/>
        <v>0</v>
      </c>
      <c r="AU154" s="404">
        <f t="shared" si="30"/>
        <v>0</v>
      </c>
      <c r="AV154" s="404">
        <f t="shared" si="30"/>
        <v>0</v>
      </c>
      <c r="AW154" s="404">
        <f t="shared" si="30"/>
        <v>0</v>
      </c>
      <c r="AX154" s="404">
        <f t="shared" si="30"/>
        <v>0</v>
      </c>
      <c r="AY154" s="404">
        <f t="shared" si="30"/>
        <v>0</v>
      </c>
      <c r="AZ154" s="404">
        <f t="shared" si="30"/>
        <v>0</v>
      </c>
      <c r="BA154" s="404">
        <f t="shared" si="30"/>
        <v>0</v>
      </c>
      <c r="BB154" s="404">
        <f t="shared" si="30"/>
        <v>0</v>
      </c>
      <c r="BC154" s="404">
        <f t="shared" si="30"/>
        <v>0</v>
      </c>
      <c r="BD154" s="404">
        <f t="shared" si="30"/>
        <v>0</v>
      </c>
      <c r="BE154" s="404">
        <f t="shared" si="30"/>
        <v>0</v>
      </c>
      <c r="BF154" s="404">
        <f t="shared" si="30"/>
        <v>0</v>
      </c>
      <c r="BG154" s="404">
        <f t="shared" si="30"/>
        <v>0</v>
      </c>
      <c r="BH154" s="404">
        <f t="shared" si="30"/>
        <v>0</v>
      </c>
      <c r="BI154" s="404">
        <f t="shared" si="30"/>
        <v>0</v>
      </c>
      <c r="BJ154" s="404">
        <f t="shared" si="30"/>
        <v>0</v>
      </c>
      <c r="BK154" s="404">
        <f t="shared" si="30"/>
        <v>0</v>
      </c>
      <c r="BL154" s="404">
        <f t="shared" si="30"/>
        <v>0</v>
      </c>
    </row>
    <row r="155" spans="1:64" x14ac:dyDescent="0.2">
      <c r="A155" s="410">
        <f t="shared" si="15"/>
        <v>18</v>
      </c>
      <c r="B155" s="410" t="s">
        <v>402</v>
      </c>
      <c r="C155" s="410"/>
      <c r="D155" s="1271"/>
      <c r="E155" s="410"/>
      <c r="F155" s="410"/>
      <c r="G155" s="859" t="str">
        <f>IF(E153=17,B$154,IF(E153=18,B$155,IF(E153=19,B$156,IF(E153=20,B$157,IF(E153=21,B$158,IF(E153=22,B$159,IF(E153=23,B$160,IF(E153=24,B$161,""))))))))</f>
        <v/>
      </c>
      <c r="H155" s="409"/>
      <c r="I155" s="410"/>
      <c r="J155" s="410"/>
      <c r="K155" s="410"/>
      <c r="L155" s="410" t="str">
        <f>IF(I153=17,B$193,IF(I153=18,B$194,IF(I153=19,B$195,IF(I153=20,B$196,IF(I153=21,B$197,"")))))</f>
        <v/>
      </c>
      <c r="M155" s="410"/>
      <c r="N155" s="410"/>
      <c r="R155" s="427">
        <f>E76</f>
        <v>21</v>
      </c>
      <c r="S155" s="427"/>
      <c r="T155" s="427"/>
      <c r="U155" s="410"/>
      <c r="V155" s="1275"/>
      <c r="W155" s="410"/>
      <c r="X155" s="410"/>
      <c r="Y155" s="409" t="str">
        <f>IF(W154=9,B$146,IF(W154=10,B$147,IF(W154=11,B$148,IF(W154=12,B$149,IF(W154=13,B$150,IF(W154=14,B$151,IF(W154=15,B$152,IF(W154=16,B$153,""))))))))</f>
        <v/>
      </c>
      <c r="Z155" s="410"/>
      <c r="AA155" s="410" t="str">
        <f>IF(X154=9,B$185,IF(X154=10,B$186,IF(X154=11,B$187,IF(X154=12,B$188,IF(X154=13,B$189,IF(X154=14,B$190,IF(X154=15,B$191,IF(X154=16,B$192,"  "))))))))</f>
        <v>с кашей ячневой рас,</v>
      </c>
      <c r="AB155" s="410"/>
      <c r="AC155" s="410"/>
      <c r="AD155" s="410"/>
      <c r="AE155" s="410"/>
      <c r="AF155" s="410"/>
      <c r="AG155" s="410"/>
      <c r="AH155" s="410"/>
      <c r="AI155" s="1255"/>
      <c r="AJ155" s="404">
        <f t="shared" ref="AJ155:BL155" si="31">IF($E$183=AJ137,1,0)</f>
        <v>0</v>
      </c>
      <c r="AK155" s="404">
        <f t="shared" si="31"/>
        <v>0</v>
      </c>
      <c r="AL155" s="404">
        <f t="shared" si="31"/>
        <v>0</v>
      </c>
      <c r="AM155" s="404">
        <f t="shared" si="31"/>
        <v>0</v>
      </c>
      <c r="AN155" s="404">
        <f t="shared" si="31"/>
        <v>0</v>
      </c>
      <c r="AO155" s="404">
        <f t="shared" si="31"/>
        <v>0</v>
      </c>
      <c r="AP155" s="404">
        <f t="shared" si="31"/>
        <v>0</v>
      </c>
      <c r="AQ155" s="404">
        <f t="shared" si="31"/>
        <v>0</v>
      </c>
      <c r="AR155" s="404">
        <f t="shared" si="31"/>
        <v>0</v>
      </c>
      <c r="AS155" s="404">
        <f t="shared" si="31"/>
        <v>0</v>
      </c>
      <c r="AT155" s="404">
        <f t="shared" si="31"/>
        <v>0</v>
      </c>
      <c r="AU155" s="404">
        <f t="shared" si="31"/>
        <v>0</v>
      </c>
      <c r="AV155" s="404">
        <f t="shared" si="31"/>
        <v>0</v>
      </c>
      <c r="AW155" s="404">
        <f t="shared" si="31"/>
        <v>0</v>
      </c>
      <c r="AX155" s="404">
        <f t="shared" si="31"/>
        <v>0</v>
      </c>
      <c r="AY155" s="404">
        <f t="shared" si="31"/>
        <v>0</v>
      </c>
      <c r="AZ155" s="404">
        <f t="shared" si="31"/>
        <v>0</v>
      </c>
      <c r="BA155" s="404">
        <f t="shared" si="31"/>
        <v>0</v>
      </c>
      <c r="BB155" s="404">
        <f t="shared" si="31"/>
        <v>0</v>
      </c>
      <c r="BC155" s="404">
        <f t="shared" si="31"/>
        <v>0</v>
      </c>
      <c r="BD155" s="404">
        <f t="shared" si="31"/>
        <v>0</v>
      </c>
      <c r="BE155" s="404">
        <f t="shared" si="31"/>
        <v>0</v>
      </c>
      <c r="BF155" s="404">
        <f t="shared" si="31"/>
        <v>1</v>
      </c>
      <c r="BG155" s="404">
        <f t="shared" si="31"/>
        <v>0</v>
      </c>
      <c r="BH155" s="404">
        <f t="shared" si="31"/>
        <v>0</v>
      </c>
      <c r="BI155" s="404">
        <f t="shared" si="31"/>
        <v>0</v>
      </c>
      <c r="BJ155" s="404">
        <f t="shared" si="31"/>
        <v>0</v>
      </c>
      <c r="BK155" s="404">
        <f t="shared" si="31"/>
        <v>0</v>
      </c>
      <c r="BL155" s="404">
        <f t="shared" si="31"/>
        <v>0</v>
      </c>
    </row>
    <row r="156" spans="1:64" x14ac:dyDescent="0.2">
      <c r="A156" s="410">
        <f t="shared" si="15"/>
        <v>19</v>
      </c>
      <c r="B156" s="410" t="s">
        <v>422</v>
      </c>
      <c r="C156" s="410"/>
      <c r="D156" s="1271"/>
      <c r="E156" s="410"/>
      <c r="F156" s="410"/>
      <c r="G156" s="850" t="str">
        <f>IF(E153=25,B$162,IF(E153=26,B$163,IF(E153=27,B$164,IF(E153=28,B$165,""))))</f>
        <v xml:space="preserve">Сельдь соленая </v>
      </c>
      <c r="H156" s="410"/>
      <c r="I156" s="410"/>
      <c r="J156" s="410"/>
      <c r="K156" s="410"/>
      <c r="L156" s="410"/>
      <c r="M156" s="410"/>
      <c r="N156" s="410"/>
      <c r="R156" s="427">
        <f>E80</f>
        <v>20</v>
      </c>
      <c r="S156" s="427"/>
      <c r="T156" s="427"/>
      <c r="U156" s="410"/>
      <c r="V156" s="1275"/>
      <c r="W156" s="410"/>
      <c r="X156" s="410"/>
      <c r="Y156" s="409" t="str">
        <f>IF(W154=17,B$154,IF(W154=18,B$155,IF(W154=19,B$156,IF(W154=20,B$157,IF(W154=21,B$158,IF(W154=22,B$159,IF(W154=23,B$160,IF(W154=24,B$161,""))))))))</f>
        <v/>
      </c>
      <c r="Z156" s="410"/>
      <c r="AA156" s="410" t="str">
        <f>IF(X154=17," ","  ")</f>
        <v xml:space="preserve">  </v>
      </c>
      <c r="AB156" s="410"/>
      <c r="AC156" s="410"/>
      <c r="AD156" s="410"/>
      <c r="AE156" s="410"/>
      <c r="AF156" s="410"/>
      <c r="AG156" s="410"/>
      <c r="AH156" s="410"/>
      <c r="AI156" s="1255"/>
      <c r="AJ156" s="404">
        <f>IF($R$213=AJ$137,1,0)</f>
        <v>0</v>
      </c>
      <c r="AK156" s="404">
        <f t="shared" ref="AK156:BL156" si="32">IF($R$213=AK$137,1,0)</f>
        <v>0</v>
      </c>
      <c r="AL156" s="404">
        <f t="shared" si="32"/>
        <v>0</v>
      </c>
      <c r="AM156" s="404">
        <f t="shared" si="32"/>
        <v>0</v>
      </c>
      <c r="AN156" s="404">
        <f t="shared" si="32"/>
        <v>0</v>
      </c>
      <c r="AO156" s="404">
        <f t="shared" si="32"/>
        <v>0</v>
      </c>
      <c r="AP156" s="404">
        <f t="shared" si="32"/>
        <v>0</v>
      </c>
      <c r="AQ156" s="404">
        <f t="shared" si="32"/>
        <v>0</v>
      </c>
      <c r="AR156" s="404">
        <f t="shared" si="32"/>
        <v>0</v>
      </c>
      <c r="AS156" s="404">
        <f t="shared" si="32"/>
        <v>0</v>
      </c>
      <c r="AT156" s="404">
        <f t="shared" si="32"/>
        <v>0</v>
      </c>
      <c r="AU156" s="404">
        <f t="shared" si="32"/>
        <v>0</v>
      </c>
      <c r="AV156" s="404">
        <f t="shared" si="32"/>
        <v>0</v>
      </c>
      <c r="AW156" s="404">
        <f t="shared" si="32"/>
        <v>0</v>
      </c>
      <c r="AX156" s="404">
        <f t="shared" si="32"/>
        <v>0</v>
      </c>
      <c r="AY156" s="404">
        <f t="shared" si="32"/>
        <v>0</v>
      </c>
      <c r="AZ156" s="404">
        <f t="shared" si="32"/>
        <v>0</v>
      </c>
      <c r="BA156" s="404">
        <f t="shared" si="32"/>
        <v>0</v>
      </c>
      <c r="BB156" s="404">
        <f t="shared" si="32"/>
        <v>1</v>
      </c>
      <c r="BC156" s="404">
        <f t="shared" si="32"/>
        <v>0</v>
      </c>
      <c r="BD156" s="404">
        <f t="shared" si="32"/>
        <v>0</v>
      </c>
      <c r="BE156" s="404">
        <f t="shared" si="32"/>
        <v>0</v>
      </c>
      <c r="BF156" s="404">
        <f t="shared" si="32"/>
        <v>0</v>
      </c>
      <c r="BG156" s="404">
        <f t="shared" si="32"/>
        <v>0</v>
      </c>
      <c r="BH156" s="404">
        <f t="shared" si="32"/>
        <v>0</v>
      </c>
      <c r="BI156" s="404">
        <f t="shared" si="32"/>
        <v>0</v>
      </c>
      <c r="BJ156" s="404">
        <f t="shared" si="32"/>
        <v>0</v>
      </c>
      <c r="BK156" s="404">
        <f t="shared" si="32"/>
        <v>0</v>
      </c>
      <c r="BL156" s="404">
        <f t="shared" si="32"/>
        <v>0</v>
      </c>
    </row>
    <row r="157" spans="1:64" ht="12.75" thickBot="1" x14ac:dyDescent="0.25">
      <c r="A157" s="410">
        <f t="shared" si="15"/>
        <v>20</v>
      </c>
      <c r="B157" s="409" t="str">
        <f>CONCATENATE("Конс. рыбные",P29)</f>
        <v xml:space="preserve">Конс. рыбные - килька в том. соусе  </v>
      </c>
      <c r="C157" s="410"/>
      <c r="D157" s="1272"/>
      <c r="E157" s="855"/>
      <c r="F157" s="855"/>
      <c r="G157" s="861" t="str">
        <f>CONCATENATE(G153,G154,G155,G156)</f>
        <v xml:space="preserve">Сельдь соленая </v>
      </c>
      <c r="H157" s="462"/>
      <c r="I157" s="410"/>
      <c r="J157" s="410"/>
      <c r="K157" s="410"/>
      <c r="L157" s="857" t="str">
        <f>CONCATENATE(L153,L154,L155,L156)</f>
        <v>с  гороховым пюре,</v>
      </c>
      <c r="M157" s="410"/>
      <c r="N157" s="458" t="str">
        <f>IF(N153=1,V$36,IF(N153=2,V$37,IF(N153=3,V$38,IF(N153=4,V$39,IF(N153=5,V$40,IF(N153=6,V$41,IF(N153=7,V$42,IF(N153=8,V$43,""))))))))</f>
        <v xml:space="preserve"> хлеб, масло, сахар, чай, яйцо, булочка</v>
      </c>
      <c r="O157" s="410" t="str">
        <f>IF($N153=9,$P$115,"")</f>
        <v/>
      </c>
      <c r="R157" s="427">
        <v>6</v>
      </c>
      <c r="S157" s="427">
        <v>12</v>
      </c>
      <c r="T157" s="427"/>
      <c r="U157" s="410"/>
      <c r="V157" s="1275"/>
      <c r="W157" s="410"/>
      <c r="X157" s="410"/>
      <c r="Y157" s="410"/>
      <c r="Z157" s="410"/>
      <c r="AA157" s="410"/>
      <c r="AB157" s="410"/>
      <c r="AC157" s="410"/>
      <c r="AD157" s="410">
        <f>IF(R157=1,AI$118,IF(R157=2,AI$119,IF(R157=3,AI$120,IF(R157=4,AI$119,IF(R157=5,AI$121,IF(R157=6,AI$121,IF(R157=7,AI$121,IF(R157=8,AI$121,0))))))))</f>
        <v>47</v>
      </c>
      <c r="AE157" s="410">
        <f>IF(R157=9,AI$122,IF(R157=10,AI$122,IF(R157=11,AI$122,IF(R157=12,AI$123,IF(R157=13,AI$121,IF(R157=14,AI$121,IF(R157=15,AI$121,IF(R157=16,AI$118,0))))))))</f>
        <v>0</v>
      </c>
      <c r="AF157" s="410">
        <f>IF(R157=17,AG118,IF(R157=18,AG119,IF(R157=19,75,IF(R157=20,96,IF(R157=21,AB$136,IF(R157=22,AB$136,IF(R157&gt;22,$AC155,0)))))))</f>
        <v>0</v>
      </c>
      <c r="AG157" s="460">
        <f>SUM(AD157:AF157)</f>
        <v>47</v>
      </c>
      <c r="AH157" s="410"/>
      <c r="AI157" s="1255"/>
      <c r="AJ157" s="404">
        <f>IF($R$214=AJ$137,1,0)</f>
        <v>0</v>
      </c>
      <c r="AK157" s="404">
        <f t="shared" ref="AK157:BL157" si="33">IF($R$214=AK$137,1,0)</f>
        <v>0</v>
      </c>
      <c r="AL157" s="404">
        <f t="shared" si="33"/>
        <v>0</v>
      </c>
      <c r="AM157" s="404">
        <f t="shared" si="33"/>
        <v>0</v>
      </c>
      <c r="AN157" s="404">
        <f t="shared" si="33"/>
        <v>0</v>
      </c>
      <c r="AO157" s="404">
        <f t="shared" si="33"/>
        <v>0</v>
      </c>
      <c r="AP157" s="404">
        <f t="shared" si="33"/>
        <v>0</v>
      </c>
      <c r="AQ157" s="404">
        <f t="shared" si="33"/>
        <v>0</v>
      </c>
      <c r="AR157" s="404">
        <f t="shared" si="33"/>
        <v>0</v>
      </c>
      <c r="AS157" s="404">
        <f t="shared" si="33"/>
        <v>0</v>
      </c>
      <c r="AT157" s="404">
        <f t="shared" si="33"/>
        <v>0</v>
      </c>
      <c r="AU157" s="404">
        <f t="shared" si="33"/>
        <v>0</v>
      </c>
      <c r="AV157" s="404">
        <f t="shared" si="33"/>
        <v>0</v>
      </c>
      <c r="AW157" s="404">
        <f t="shared" si="33"/>
        <v>0</v>
      </c>
      <c r="AX157" s="404">
        <f t="shared" si="33"/>
        <v>0</v>
      </c>
      <c r="AY157" s="404">
        <f t="shared" si="33"/>
        <v>0</v>
      </c>
      <c r="AZ157" s="404">
        <f t="shared" si="33"/>
        <v>0</v>
      </c>
      <c r="BA157" s="404">
        <f t="shared" si="33"/>
        <v>0</v>
      </c>
      <c r="BB157" s="404">
        <f t="shared" si="33"/>
        <v>1</v>
      </c>
      <c r="BC157" s="404">
        <f t="shared" si="33"/>
        <v>0</v>
      </c>
      <c r="BD157" s="404">
        <f t="shared" si="33"/>
        <v>0</v>
      </c>
      <c r="BE157" s="404">
        <f t="shared" si="33"/>
        <v>0</v>
      </c>
      <c r="BF157" s="404">
        <f t="shared" si="33"/>
        <v>0</v>
      </c>
      <c r="BG157" s="404">
        <f t="shared" si="33"/>
        <v>0</v>
      </c>
      <c r="BH157" s="404">
        <f t="shared" si="33"/>
        <v>0</v>
      </c>
      <c r="BI157" s="404">
        <f t="shared" si="33"/>
        <v>0</v>
      </c>
      <c r="BJ157" s="404">
        <f t="shared" si="33"/>
        <v>0</v>
      </c>
      <c r="BK157" s="404">
        <f t="shared" si="33"/>
        <v>0</v>
      </c>
      <c r="BL157" s="404">
        <f t="shared" si="33"/>
        <v>0</v>
      </c>
    </row>
    <row r="158" spans="1:64" x14ac:dyDescent="0.2">
      <c r="A158" s="410">
        <f t="shared" si="15"/>
        <v>21</v>
      </c>
      <c r="B158" s="410" t="s">
        <v>438</v>
      </c>
      <c r="C158" s="410"/>
      <c r="D158" s="1270" t="s">
        <v>96</v>
      </c>
      <c r="E158" s="846">
        <v>1</v>
      </c>
      <c r="F158" s="846"/>
      <c r="G158" s="858" t="str">
        <f>IF(E158=1,B$138,IF(E158=2,B$139,IF(E158=3,B$140,IF(E158=4,B$141,IF(E158=5,B$142,IF(E158=6,B$143,IF(E158=7,B$144,IF(E158=8,B$145,""))))))))</f>
        <v xml:space="preserve">Мясо отвар. с соусом </v>
      </c>
      <c r="H158" s="409"/>
      <c r="I158" s="410">
        <v>14</v>
      </c>
      <c r="J158" s="410"/>
      <c r="K158" s="410"/>
      <c r="L158" s="410" t="str">
        <f>IF(I158=1,B$177,IF(I158=2,B$178,IF(I158=3,B$179,IF(I158=4,B$180,IF(I158=5,B$181,IF(I158=6,B$182,IF(I158=7,B$183,IF(I158=8,B$184,""))))))))</f>
        <v/>
      </c>
      <c r="M158" s="410"/>
      <c r="N158" s="410">
        <v>4</v>
      </c>
      <c r="R158" s="427">
        <v>1</v>
      </c>
      <c r="S158" s="427">
        <v>14</v>
      </c>
      <c r="T158" s="427"/>
      <c r="U158" s="410"/>
      <c r="V158" s="1275"/>
      <c r="W158" s="410"/>
      <c r="X158" s="410"/>
      <c r="Y158" s="463" t="str">
        <f>CONCATENATE(Y154,Y155,Y156,Y157)</f>
        <v xml:space="preserve">Азу </v>
      </c>
      <c r="Z158" s="410"/>
      <c r="AA158" s="463" t="str">
        <f>CONCATENATE(AA154,AA155,AA156,AA157)</f>
        <v xml:space="preserve"> с кашей ячневой рас,  </v>
      </c>
      <c r="AB158" s="410"/>
      <c r="AC158" s="413">
        <f>AC136</f>
        <v>60</v>
      </c>
      <c r="AD158" s="410">
        <f>IF(R158=1,AI$118,IF(R158=2,AI$119,IF(R158=3,AI$120,IF(R158=4,AI$119,IF(R158=5,AI$121,IF(R158=6,AI$121,IF(R158=7,AI$121,IF(R158=8,AI$121,0))))))))</f>
        <v>46</v>
      </c>
      <c r="AE158" s="410">
        <f>IF(R158=9,AI$122,IF(R158=10,AI$122,IF(R158=11,AI$122,IF(R158=12,AI$123,IF(R158=13,AI$121,IF(R158=14,AI$121,IF(R158=15,AI$121,IF(R158=16,AI$118,0))))))))</f>
        <v>0</v>
      </c>
      <c r="AF158" s="410">
        <f>IF(R158=17,AG118,IF(R158=18,AG119,IF(R158=19,75,IF(R158=20,96,IF(R158=21,AB$136,IF(R158=22,AB$136,IF(R158&gt;22,$AC156,0)))))))</f>
        <v>0</v>
      </c>
      <c r="AG158" s="460">
        <f>SUM(AD158:AF158)</f>
        <v>46</v>
      </c>
      <c r="AH158" s="410"/>
      <c r="AI158" s="1255">
        <v>6</v>
      </c>
      <c r="AJ158" s="404">
        <f t="shared" ref="AJ158:BL158" si="34">IF($E$188=AJ137,1,0)</f>
        <v>1</v>
      </c>
      <c r="AK158" s="404">
        <f t="shared" si="34"/>
        <v>0</v>
      </c>
      <c r="AL158" s="404">
        <f t="shared" si="34"/>
        <v>0</v>
      </c>
      <c r="AM158" s="404">
        <f t="shared" si="34"/>
        <v>0</v>
      </c>
      <c r="AN158" s="404">
        <f t="shared" si="34"/>
        <v>0</v>
      </c>
      <c r="AO158" s="404">
        <f t="shared" si="34"/>
        <v>0</v>
      </c>
      <c r="AP158" s="404">
        <f t="shared" si="34"/>
        <v>0</v>
      </c>
      <c r="AQ158" s="404">
        <f t="shared" si="34"/>
        <v>0</v>
      </c>
      <c r="AR158" s="404">
        <f t="shared" si="34"/>
        <v>0</v>
      </c>
      <c r="AS158" s="404">
        <f t="shared" si="34"/>
        <v>0</v>
      </c>
      <c r="AT158" s="404">
        <f t="shared" si="34"/>
        <v>0</v>
      </c>
      <c r="AU158" s="404">
        <f t="shared" si="34"/>
        <v>0</v>
      </c>
      <c r="AV158" s="404">
        <f t="shared" si="34"/>
        <v>0</v>
      </c>
      <c r="AW158" s="404">
        <f t="shared" si="34"/>
        <v>0</v>
      </c>
      <c r="AX158" s="404">
        <f t="shared" si="34"/>
        <v>0</v>
      </c>
      <c r="AY158" s="404">
        <f t="shared" si="34"/>
        <v>0</v>
      </c>
      <c r="AZ158" s="404">
        <f t="shared" si="34"/>
        <v>0</v>
      </c>
      <c r="BA158" s="404">
        <f t="shared" si="34"/>
        <v>0</v>
      </c>
      <c r="BB158" s="404">
        <f t="shared" si="34"/>
        <v>0</v>
      </c>
      <c r="BC158" s="404">
        <f t="shared" si="34"/>
        <v>0</v>
      </c>
      <c r="BD158" s="404">
        <f t="shared" si="34"/>
        <v>0</v>
      </c>
      <c r="BE158" s="404">
        <f t="shared" si="34"/>
        <v>0</v>
      </c>
      <c r="BF158" s="404">
        <f t="shared" si="34"/>
        <v>0</v>
      </c>
      <c r="BG158" s="404">
        <f t="shared" si="34"/>
        <v>0</v>
      </c>
      <c r="BH158" s="404">
        <f t="shared" si="34"/>
        <v>0</v>
      </c>
      <c r="BI158" s="404">
        <f t="shared" si="34"/>
        <v>0</v>
      </c>
      <c r="BJ158" s="404">
        <f t="shared" si="34"/>
        <v>0</v>
      </c>
      <c r="BK158" s="404">
        <f t="shared" si="34"/>
        <v>0</v>
      </c>
      <c r="BL158" s="404">
        <f t="shared" si="34"/>
        <v>0</v>
      </c>
    </row>
    <row r="159" spans="1:64" x14ac:dyDescent="0.2">
      <c r="A159" s="410">
        <f t="shared" si="15"/>
        <v>22</v>
      </c>
      <c r="B159" s="410" t="s">
        <v>439</v>
      </c>
      <c r="C159" s="410"/>
      <c r="D159" s="1271"/>
      <c r="E159" s="410"/>
      <c r="F159" s="410"/>
      <c r="G159" s="859" t="str">
        <f>IF(E158=9,B$146,IF(E158=10,B$147,IF(E158=11,B$148,IF(E158=12,B$149,IF(E158=13,B$150,IF(E158=14,B$151,IF(E158=15,B$152,IF(E158=16,B$153,""))))))))</f>
        <v/>
      </c>
      <c r="H159" s="409"/>
      <c r="I159" s="410"/>
      <c r="J159" s="410"/>
      <c r="K159" s="410"/>
      <c r="L159" s="410" t="str">
        <f>IF(I158=9,B$185,IF(I158=10,B$186,IF(I158=11,B$187,IF(I158=12,B$188,IF(I158=13,B$189,IF(I158=14,B$190,IF(I158=15,B$191,IF(I158=16,B$192,""))))))))</f>
        <v>с  гороховым пюре,</v>
      </c>
      <c r="M159" s="410"/>
      <c r="N159" s="410"/>
      <c r="R159" s="1217">
        <v>2</v>
      </c>
      <c r="S159" s="427"/>
      <c r="T159" s="427"/>
      <c r="U159" s="410"/>
      <c r="V159" s="1275"/>
      <c r="W159" s="417">
        <f>R158</f>
        <v>1</v>
      </c>
      <c r="X159" s="410">
        <f>S158</f>
        <v>14</v>
      </c>
      <c r="Y159" s="409" t="str">
        <f>IF(W159=1,B$138,IF(W159=2,B$139,IF(W159=3,B$140,IF(W159=4,B$141,IF(W159=5,B$142,IF(W159=6,B$143,IF(W159=7,B$144,IF(W159=8,B$145,""))))))))</f>
        <v xml:space="preserve">Мясо отвар. с соусом </v>
      </c>
      <c r="Z159" s="410">
        <f>S158</f>
        <v>14</v>
      </c>
      <c r="AA159" s="410" t="str">
        <f>IF(X159=1,B$177,IF(X159=2,B$178,IF(X159=3,B$179,IF(X159=4,B$180,IF(X159=5,B$181,IF(X159=6,B$182,IF(X159=7,B$183,IF(X159=8,B$184," "))))))))</f>
        <v xml:space="preserve"> </v>
      </c>
      <c r="AB159" s="410"/>
      <c r="AC159" s="410"/>
      <c r="AD159" s="410"/>
      <c r="AE159" s="410"/>
      <c r="AF159" s="410"/>
      <c r="AG159" s="410"/>
      <c r="AH159" s="410"/>
      <c r="AI159" s="1255"/>
      <c r="AJ159" s="404">
        <f t="shared" ref="AJ159:BL159" si="35">IF($E$193=AJ137,1,0)</f>
        <v>0</v>
      </c>
      <c r="AK159" s="404">
        <f t="shared" si="35"/>
        <v>0</v>
      </c>
      <c r="AL159" s="404">
        <f t="shared" si="35"/>
        <v>0</v>
      </c>
      <c r="AM159" s="404">
        <f t="shared" si="35"/>
        <v>0</v>
      </c>
      <c r="AN159" s="404">
        <f t="shared" si="35"/>
        <v>0</v>
      </c>
      <c r="AO159" s="404">
        <f t="shared" si="35"/>
        <v>0</v>
      </c>
      <c r="AP159" s="404">
        <f t="shared" si="35"/>
        <v>0</v>
      </c>
      <c r="AQ159" s="404">
        <f t="shared" si="35"/>
        <v>0</v>
      </c>
      <c r="AR159" s="404">
        <f t="shared" si="35"/>
        <v>0</v>
      </c>
      <c r="AS159" s="404">
        <f t="shared" si="35"/>
        <v>0</v>
      </c>
      <c r="AT159" s="404">
        <f t="shared" si="35"/>
        <v>0</v>
      </c>
      <c r="AU159" s="404">
        <f t="shared" si="35"/>
        <v>0</v>
      </c>
      <c r="AV159" s="404">
        <f t="shared" si="35"/>
        <v>0</v>
      </c>
      <c r="AW159" s="404">
        <f t="shared" si="35"/>
        <v>0</v>
      </c>
      <c r="AX159" s="404">
        <f t="shared" si="35"/>
        <v>0</v>
      </c>
      <c r="AY159" s="404">
        <f t="shared" si="35"/>
        <v>0</v>
      </c>
      <c r="AZ159" s="404">
        <f t="shared" si="35"/>
        <v>0</v>
      </c>
      <c r="BA159" s="404">
        <f t="shared" si="35"/>
        <v>0</v>
      </c>
      <c r="BB159" s="404">
        <f t="shared" si="35"/>
        <v>0</v>
      </c>
      <c r="BC159" s="404">
        <f t="shared" si="35"/>
        <v>0</v>
      </c>
      <c r="BD159" s="404">
        <f t="shared" si="35"/>
        <v>0</v>
      </c>
      <c r="BE159" s="404">
        <f t="shared" si="35"/>
        <v>1</v>
      </c>
      <c r="BF159" s="404">
        <f t="shared" si="35"/>
        <v>0</v>
      </c>
      <c r="BG159" s="404">
        <f t="shared" si="35"/>
        <v>0</v>
      </c>
      <c r="BH159" s="404">
        <f t="shared" si="35"/>
        <v>0</v>
      </c>
      <c r="BI159" s="404">
        <f t="shared" si="35"/>
        <v>0</v>
      </c>
      <c r="BJ159" s="404">
        <f t="shared" si="35"/>
        <v>0</v>
      </c>
      <c r="BK159" s="404">
        <f t="shared" si="35"/>
        <v>0</v>
      </c>
      <c r="BL159" s="404">
        <f t="shared" si="35"/>
        <v>0</v>
      </c>
    </row>
    <row r="160" spans="1:64" x14ac:dyDescent="0.2">
      <c r="A160" s="410">
        <f t="shared" si="15"/>
        <v>23</v>
      </c>
      <c r="B160" s="410" t="s">
        <v>440</v>
      </c>
      <c r="C160" s="410"/>
      <c r="D160" s="1271"/>
      <c r="E160" s="410"/>
      <c r="F160" s="410"/>
      <c r="G160" s="859" t="str">
        <f>IF(E158=17,B$154,IF(E158=18,B$155,IF(E158=19,B$156,IF(E158=20,B$157,IF(E158=21,B$158,IF(E158=22,B$159,IF(E158=23,B$160,IF(E158=24,B$161,""))))))))</f>
        <v/>
      </c>
      <c r="H160" s="409"/>
      <c r="I160" s="410"/>
      <c r="J160" s="410"/>
      <c r="K160" s="410"/>
      <c r="L160" s="410" t="str">
        <f>IF(I158=17,B$193,IF(I158=18,B$194,IF(I158=19,B$195,IF(I158=20,B$196,IF(I158=21,B$197,"")))))</f>
        <v/>
      </c>
      <c r="M160" s="410"/>
      <c r="N160" s="410"/>
      <c r="R160" s="427">
        <f>E153</f>
        <v>25</v>
      </c>
      <c r="S160" s="427">
        <f>I153</f>
        <v>14</v>
      </c>
      <c r="T160" s="427">
        <f>N153</f>
        <v>2</v>
      </c>
      <c r="U160" s="410"/>
      <c r="V160" s="1275"/>
      <c r="W160" s="410"/>
      <c r="X160" s="410"/>
      <c r="Y160" s="409" t="str">
        <f>IF(W159=9,B$146,IF(W159=10,B$147,IF(W159=11,B$148,IF(W159=12,B$149,IF(W159=13,B$150,IF(W159=14,B$151,IF(W159=15,B$152,IF(W159=16,B$153,""))))))))</f>
        <v/>
      </c>
      <c r="Z160" s="410"/>
      <c r="AA160" s="410" t="str">
        <f>IF(X159=9,B$185,IF(X159=10,B$186,IF(X159=11,B$187,IF(X159=12,B$188,IF(X159=13,B$189,IF(X159=14,B$190,IF(X159=15,B$191,IF(X159=16,B$192,"  "))))))))</f>
        <v>с  гороховым пюре,</v>
      </c>
      <c r="AB160" s="410"/>
      <c r="AC160" s="410"/>
      <c r="AD160" s="410">
        <f>IF(R160=1,AI$118,IF(R160=2,AI$119,IF(R160=3,AI$120,IF(R160=4,AI$119,IF(R160=5,AI$121,IF(R160=6,AI$121,IF(R160=7,AI$121,IF(R160=8,AI$121,0))))))))</f>
        <v>0</v>
      </c>
      <c r="AE160" s="410">
        <f>IF(R160=9,AI$122,IF(R160=10,AI$122,IF(R160=11,AI$122,IF(R160=12,AI$123,IF(R160=13,AI$121,IF(R160=14,AI$121,IF(R160=15,AI$121,IF(R160=16,AI$118,0))))))))</f>
        <v>0</v>
      </c>
      <c r="AF160" s="410">
        <f>IF(R160=17,AI$118,IF(R160=18,AI$119,IF(R160=19,75,IF(R160=20,96,IF(R160=21,AB$136,IF(R160=22,AB$136,IF(R160&gt;22,$AC158,0)))))))</f>
        <v>60</v>
      </c>
      <c r="AG160" s="460">
        <f>SUM(AD160:AF160)</f>
        <v>60</v>
      </c>
      <c r="AH160" s="410"/>
      <c r="AI160" s="1255"/>
      <c r="AJ160" s="404">
        <f>IF($R$226=AJ$137,1,0)</f>
        <v>0</v>
      </c>
      <c r="AK160" s="404">
        <f t="shared" ref="AK160:BL160" si="36">IF($R$226=AK$137,1,0)</f>
        <v>0</v>
      </c>
      <c r="AL160" s="404">
        <f t="shared" si="36"/>
        <v>0</v>
      </c>
      <c r="AM160" s="404">
        <f t="shared" si="36"/>
        <v>0</v>
      </c>
      <c r="AN160" s="404">
        <f t="shared" si="36"/>
        <v>0</v>
      </c>
      <c r="AO160" s="404">
        <f t="shared" si="36"/>
        <v>0</v>
      </c>
      <c r="AP160" s="404">
        <f t="shared" si="36"/>
        <v>0</v>
      </c>
      <c r="AQ160" s="404">
        <f t="shared" si="36"/>
        <v>0</v>
      </c>
      <c r="AR160" s="404">
        <f t="shared" si="36"/>
        <v>0</v>
      </c>
      <c r="AS160" s="404">
        <f t="shared" si="36"/>
        <v>0</v>
      </c>
      <c r="AT160" s="404">
        <f t="shared" si="36"/>
        <v>0</v>
      </c>
      <c r="AU160" s="404">
        <f t="shared" si="36"/>
        <v>0</v>
      </c>
      <c r="AV160" s="404">
        <f t="shared" si="36"/>
        <v>0</v>
      </c>
      <c r="AW160" s="404">
        <f t="shared" si="36"/>
        <v>0</v>
      </c>
      <c r="AX160" s="404">
        <f t="shared" si="36"/>
        <v>0</v>
      </c>
      <c r="AY160" s="404">
        <f t="shared" si="36"/>
        <v>0</v>
      </c>
      <c r="AZ160" s="404">
        <f t="shared" si="36"/>
        <v>1</v>
      </c>
      <c r="BA160" s="404">
        <f t="shared" si="36"/>
        <v>0</v>
      </c>
      <c r="BB160" s="404">
        <f t="shared" si="36"/>
        <v>0</v>
      </c>
      <c r="BC160" s="404">
        <f t="shared" si="36"/>
        <v>0</v>
      </c>
      <c r="BD160" s="404">
        <f t="shared" si="36"/>
        <v>0</v>
      </c>
      <c r="BE160" s="404">
        <f t="shared" si="36"/>
        <v>0</v>
      </c>
      <c r="BF160" s="404">
        <f t="shared" si="36"/>
        <v>0</v>
      </c>
      <c r="BG160" s="404">
        <f t="shared" si="36"/>
        <v>0</v>
      </c>
      <c r="BH160" s="404">
        <f t="shared" si="36"/>
        <v>0</v>
      </c>
      <c r="BI160" s="404">
        <f t="shared" si="36"/>
        <v>0</v>
      </c>
      <c r="BJ160" s="404">
        <f t="shared" si="36"/>
        <v>0</v>
      </c>
      <c r="BK160" s="404">
        <f t="shared" si="36"/>
        <v>0</v>
      </c>
      <c r="BL160" s="404">
        <f t="shared" si="36"/>
        <v>0</v>
      </c>
    </row>
    <row r="161" spans="1:64" x14ac:dyDescent="0.2">
      <c r="A161" s="410">
        <f t="shared" si="15"/>
        <v>24</v>
      </c>
      <c r="B161" s="410" t="s">
        <v>441</v>
      </c>
      <c r="C161" s="410"/>
      <c r="D161" s="1271"/>
      <c r="E161" s="410"/>
      <c r="F161" s="410"/>
      <c r="G161" s="850" t="str">
        <f>IF(E158=25,B$162,IF(E158=26,B$163,IF(E158=27,B$164,IF(E158=28,B$165,IF(E158=29,B$166,IF(E158=30,B$167,""))))))</f>
        <v/>
      </c>
      <c r="H161" s="410"/>
      <c r="I161" s="410"/>
      <c r="J161" s="410"/>
      <c r="K161" s="410"/>
      <c r="L161" s="410"/>
      <c r="M161" s="410"/>
      <c r="N161" s="410"/>
      <c r="R161" s="427"/>
      <c r="S161" s="427"/>
      <c r="T161" s="427"/>
      <c r="U161" s="410"/>
      <c r="V161" s="1275"/>
      <c r="W161" s="410"/>
      <c r="X161" s="410"/>
      <c r="Y161" s="409" t="str">
        <f>IF(W159=17,B$154,IF(W159=18,B$155,IF(W159=19,B$156,IF(W159=20,B$157,IF(W159=21,B$158,IF(W159=22,B$159,IF(W159=23,B$160,IF(W159=24,B$161," "))))))))</f>
        <v xml:space="preserve"> </v>
      </c>
      <c r="Z161" s="410"/>
      <c r="AA161" s="410" t="str">
        <f>IF(X159=17," ","  ")</f>
        <v xml:space="preserve">  </v>
      </c>
      <c r="AB161" s="410"/>
      <c r="AC161" s="410"/>
      <c r="AD161" s="410"/>
      <c r="AE161" s="410"/>
      <c r="AF161" s="410"/>
      <c r="AG161" s="410"/>
      <c r="AH161" s="410"/>
      <c r="AI161" s="1255"/>
      <c r="AJ161" s="404">
        <f>IF($R$227=AJ$137,1,0)</f>
        <v>0</v>
      </c>
      <c r="AK161" s="404">
        <f t="shared" ref="AK161:BL161" si="37">IF($R$227=AK$137,1,0)</f>
        <v>0</v>
      </c>
      <c r="AL161" s="404">
        <f t="shared" si="37"/>
        <v>0</v>
      </c>
      <c r="AM161" s="404">
        <f t="shared" si="37"/>
        <v>0</v>
      </c>
      <c r="AN161" s="404">
        <f t="shared" si="37"/>
        <v>0</v>
      </c>
      <c r="AO161" s="404">
        <f t="shared" si="37"/>
        <v>0</v>
      </c>
      <c r="AP161" s="404">
        <f t="shared" si="37"/>
        <v>0</v>
      </c>
      <c r="AQ161" s="404">
        <f t="shared" si="37"/>
        <v>0</v>
      </c>
      <c r="AR161" s="404">
        <f t="shared" si="37"/>
        <v>0</v>
      </c>
      <c r="AS161" s="404">
        <f t="shared" si="37"/>
        <v>0</v>
      </c>
      <c r="AT161" s="404">
        <f t="shared" si="37"/>
        <v>0</v>
      </c>
      <c r="AU161" s="404">
        <f t="shared" si="37"/>
        <v>0</v>
      </c>
      <c r="AV161" s="404">
        <f t="shared" si="37"/>
        <v>0</v>
      </c>
      <c r="AW161" s="404">
        <f t="shared" si="37"/>
        <v>0</v>
      </c>
      <c r="AX161" s="404">
        <f t="shared" si="37"/>
        <v>0</v>
      </c>
      <c r="AY161" s="404">
        <f t="shared" si="37"/>
        <v>0</v>
      </c>
      <c r="AZ161" s="404">
        <f t="shared" si="37"/>
        <v>0</v>
      </c>
      <c r="BA161" s="404">
        <f t="shared" si="37"/>
        <v>1</v>
      </c>
      <c r="BB161" s="404">
        <f t="shared" si="37"/>
        <v>0</v>
      </c>
      <c r="BC161" s="404">
        <f t="shared" si="37"/>
        <v>0</v>
      </c>
      <c r="BD161" s="404">
        <f t="shared" si="37"/>
        <v>0</v>
      </c>
      <c r="BE161" s="404">
        <f t="shared" si="37"/>
        <v>0</v>
      </c>
      <c r="BF161" s="404">
        <f t="shared" si="37"/>
        <v>0</v>
      </c>
      <c r="BG161" s="404">
        <f t="shared" si="37"/>
        <v>0</v>
      </c>
      <c r="BH161" s="404">
        <f t="shared" si="37"/>
        <v>0</v>
      </c>
      <c r="BI161" s="404">
        <f t="shared" si="37"/>
        <v>0</v>
      </c>
      <c r="BJ161" s="404">
        <f t="shared" si="37"/>
        <v>0</v>
      </c>
      <c r="BK161" s="404">
        <f t="shared" si="37"/>
        <v>0</v>
      </c>
      <c r="BL161" s="404">
        <f t="shared" si="37"/>
        <v>0</v>
      </c>
    </row>
    <row r="162" spans="1:64" x14ac:dyDescent="0.2">
      <c r="A162" s="410">
        <f t="shared" si="15"/>
        <v>25</v>
      </c>
      <c r="B162" s="410" t="s">
        <v>421</v>
      </c>
      <c r="C162" s="410"/>
      <c r="D162" s="1271"/>
      <c r="E162" s="410"/>
      <c r="F162" s="410"/>
      <c r="G162" s="860" t="str">
        <f>CONCATENATE(G158,G159,G160,G161)</f>
        <v xml:space="preserve">Мясо отвар. с соусом </v>
      </c>
      <c r="H162" s="462"/>
      <c r="I162" s="410"/>
      <c r="J162" s="410"/>
      <c r="K162" s="410"/>
      <c r="L162" s="857" t="str">
        <f>CONCATENATE(L158,L159,L160,L161)</f>
        <v>с  гороховым пюре,</v>
      </c>
      <c r="M162" s="410"/>
      <c r="N162" s="458" t="str">
        <f>IF(N158=1,U$22,IF(N158=2,U$23,IF(N158=3,U$24,IF(N158=4,U$25,IF(N158=5,U$26,IF(N158=6,U$27,IF(N158=7,U$28,IF(N158=8,U$29,""))))))))</f>
        <v xml:space="preserve"> хлеб, масло, сахар, кофе натур. с молоком, сыр, омлет</v>
      </c>
      <c r="O162" s="410" t="str">
        <f>IF($N158=9,$P$115,"")</f>
        <v/>
      </c>
      <c r="R162" s="427"/>
      <c r="S162" s="427"/>
      <c r="T162" s="427"/>
      <c r="U162" s="410"/>
      <c r="V162" s="1275"/>
      <c r="W162" s="410"/>
      <c r="X162" s="410"/>
      <c r="Y162" s="410"/>
      <c r="Z162" s="410"/>
      <c r="AA162" s="410"/>
      <c r="AB162" s="410"/>
      <c r="AC162" s="413">
        <f>AC136</f>
        <v>60</v>
      </c>
      <c r="AD162" s="410"/>
      <c r="AE162" s="410"/>
      <c r="AF162" s="410"/>
      <c r="AG162" s="410"/>
      <c r="AH162" s="410"/>
      <c r="AI162" s="1255">
        <v>7</v>
      </c>
      <c r="AJ162" s="404">
        <f t="shared" ref="AJ162:BL162" si="38">IF($E$198=AJ137,1,0)</f>
        <v>1</v>
      </c>
      <c r="AK162" s="404">
        <f t="shared" si="38"/>
        <v>0</v>
      </c>
      <c r="AL162" s="404">
        <f t="shared" si="38"/>
        <v>0</v>
      </c>
      <c r="AM162" s="404">
        <f t="shared" si="38"/>
        <v>0</v>
      </c>
      <c r="AN162" s="404">
        <f t="shared" si="38"/>
        <v>0</v>
      </c>
      <c r="AO162" s="404">
        <f t="shared" si="38"/>
        <v>0</v>
      </c>
      <c r="AP162" s="404">
        <f t="shared" si="38"/>
        <v>0</v>
      </c>
      <c r="AQ162" s="404">
        <f t="shared" si="38"/>
        <v>0</v>
      </c>
      <c r="AR162" s="404">
        <f t="shared" si="38"/>
        <v>0</v>
      </c>
      <c r="AS162" s="404">
        <f t="shared" si="38"/>
        <v>0</v>
      </c>
      <c r="AT162" s="404">
        <f t="shared" si="38"/>
        <v>0</v>
      </c>
      <c r="AU162" s="404">
        <f t="shared" si="38"/>
        <v>0</v>
      </c>
      <c r="AV162" s="404">
        <f t="shared" si="38"/>
        <v>0</v>
      </c>
      <c r="AW162" s="404">
        <f t="shared" si="38"/>
        <v>0</v>
      </c>
      <c r="AX162" s="404">
        <f t="shared" si="38"/>
        <v>0</v>
      </c>
      <c r="AY162" s="404">
        <f t="shared" si="38"/>
        <v>0</v>
      </c>
      <c r="AZ162" s="404">
        <f t="shared" si="38"/>
        <v>0</v>
      </c>
      <c r="BA162" s="404">
        <f t="shared" si="38"/>
        <v>0</v>
      </c>
      <c r="BB162" s="404">
        <f t="shared" si="38"/>
        <v>0</v>
      </c>
      <c r="BC162" s="404">
        <f t="shared" si="38"/>
        <v>0</v>
      </c>
      <c r="BD162" s="404">
        <f t="shared" si="38"/>
        <v>0</v>
      </c>
      <c r="BE162" s="404">
        <f t="shared" si="38"/>
        <v>0</v>
      </c>
      <c r="BF162" s="404">
        <f t="shared" si="38"/>
        <v>0</v>
      </c>
      <c r="BG162" s="404">
        <f t="shared" si="38"/>
        <v>0</v>
      </c>
      <c r="BH162" s="404">
        <f t="shared" si="38"/>
        <v>0</v>
      </c>
      <c r="BI162" s="404">
        <f t="shared" si="38"/>
        <v>0</v>
      </c>
      <c r="BJ162" s="404">
        <f t="shared" si="38"/>
        <v>0</v>
      </c>
      <c r="BK162" s="404">
        <f t="shared" si="38"/>
        <v>0</v>
      </c>
      <c r="BL162" s="404">
        <f t="shared" si="38"/>
        <v>0</v>
      </c>
    </row>
    <row r="163" spans="1:64" x14ac:dyDescent="0.2">
      <c r="A163" s="410">
        <f t="shared" si="15"/>
        <v>26</v>
      </c>
      <c r="B163" s="410" t="s">
        <v>421</v>
      </c>
      <c r="C163" s="410"/>
      <c r="D163" s="1271"/>
      <c r="E163" s="410">
        <v>21</v>
      </c>
      <c r="F163" s="410"/>
      <c r="G163" s="859" t="str">
        <f>IF(E163=1,B$138,IF(E163=2,B$139,IF(E163=3,B$140,IF(E163=4,B$141,IF(E163=5,B$142,IF(E163=6,B$143,IF(E163=7,B$144,IF(E163=8,B$145,""))))))))</f>
        <v/>
      </c>
      <c r="H163" s="409"/>
      <c r="I163" s="410">
        <v>1</v>
      </c>
      <c r="J163" s="410"/>
      <c r="K163" s="410"/>
      <c r="L163" s="410" t="str">
        <f>IF(I163=1,B$177,IF(I163=2,B$178,IF(I163=3,B$179,IF(I163=4,B$180,IF(I163=5,B$181,IF(I163=6,B$182,IF(I163=7,B$183,IF(I163=8,B$184,""))))))))</f>
        <v xml:space="preserve"> с картофельным пюре, </v>
      </c>
      <c r="M163" s="410"/>
      <c r="N163" s="410">
        <v>3</v>
      </c>
      <c r="R163" s="436"/>
      <c r="S163" s="436"/>
      <c r="T163" s="436"/>
      <c r="U163" s="410"/>
      <c r="V163" s="1275"/>
      <c r="W163" s="410"/>
      <c r="X163" s="410"/>
      <c r="Y163" s="463" t="str">
        <f>CONCATENATE(Y159,Y160,Y161,Y162)</f>
        <v xml:space="preserve">Мясо отвар. с соусом  </v>
      </c>
      <c r="Z163" s="410"/>
      <c r="AA163" s="463" t="str">
        <f>CONCATENATE(AA159,AA160,AA161,AA162)</f>
        <v xml:space="preserve"> с  гороховым пюре,  </v>
      </c>
      <c r="AB163" s="410"/>
      <c r="AC163" s="410"/>
      <c r="AD163" s="410"/>
      <c r="AE163" s="410"/>
      <c r="AF163" s="410"/>
      <c r="AG163" s="410"/>
      <c r="AH163" s="410"/>
      <c r="AI163" s="1255"/>
      <c r="AJ163" s="404">
        <f t="shared" ref="AJ163:BL163" si="39">IF($E$203=AJ137,1,0)</f>
        <v>0</v>
      </c>
      <c r="AK163" s="404">
        <f t="shared" si="39"/>
        <v>0</v>
      </c>
      <c r="AL163" s="404">
        <f t="shared" si="39"/>
        <v>0</v>
      </c>
      <c r="AM163" s="404">
        <f t="shared" si="39"/>
        <v>0</v>
      </c>
      <c r="AN163" s="404">
        <f t="shared" si="39"/>
        <v>0</v>
      </c>
      <c r="AO163" s="404">
        <f t="shared" si="39"/>
        <v>0</v>
      </c>
      <c r="AP163" s="404">
        <f t="shared" si="39"/>
        <v>0</v>
      </c>
      <c r="AQ163" s="404">
        <f t="shared" si="39"/>
        <v>0</v>
      </c>
      <c r="AR163" s="404">
        <f t="shared" si="39"/>
        <v>0</v>
      </c>
      <c r="AS163" s="404">
        <f t="shared" si="39"/>
        <v>0</v>
      </c>
      <c r="AT163" s="404">
        <f t="shared" si="39"/>
        <v>0</v>
      </c>
      <c r="AU163" s="404">
        <f t="shared" si="39"/>
        <v>0</v>
      </c>
      <c r="AV163" s="404">
        <f t="shared" si="39"/>
        <v>0</v>
      </c>
      <c r="AW163" s="404">
        <f t="shared" si="39"/>
        <v>0</v>
      </c>
      <c r="AX163" s="404">
        <f t="shared" si="39"/>
        <v>0</v>
      </c>
      <c r="AY163" s="404">
        <f t="shared" si="39"/>
        <v>0</v>
      </c>
      <c r="AZ163" s="404">
        <f t="shared" si="39"/>
        <v>0</v>
      </c>
      <c r="BA163" s="404">
        <f t="shared" si="39"/>
        <v>0</v>
      </c>
      <c r="BB163" s="404">
        <f t="shared" si="39"/>
        <v>0</v>
      </c>
      <c r="BC163" s="404">
        <f t="shared" si="39"/>
        <v>0</v>
      </c>
      <c r="BD163" s="404">
        <f t="shared" si="39"/>
        <v>1</v>
      </c>
      <c r="BE163" s="404">
        <f t="shared" si="39"/>
        <v>0</v>
      </c>
      <c r="BF163" s="404">
        <f t="shared" si="39"/>
        <v>0</v>
      </c>
      <c r="BG163" s="404">
        <f t="shared" si="39"/>
        <v>0</v>
      </c>
      <c r="BH163" s="404">
        <f t="shared" si="39"/>
        <v>0</v>
      </c>
      <c r="BI163" s="404">
        <f t="shared" si="39"/>
        <v>0</v>
      </c>
      <c r="BJ163" s="404">
        <f t="shared" si="39"/>
        <v>0</v>
      </c>
      <c r="BK163" s="404">
        <f t="shared" si="39"/>
        <v>0</v>
      </c>
      <c r="BL163" s="404">
        <f t="shared" si="39"/>
        <v>0</v>
      </c>
    </row>
    <row r="164" spans="1:64" x14ac:dyDescent="0.2">
      <c r="A164" s="410">
        <f t="shared" si="15"/>
        <v>27</v>
      </c>
      <c r="B164" s="410" t="s">
        <v>257</v>
      </c>
      <c r="C164" s="410"/>
      <c r="D164" s="1271"/>
      <c r="E164" s="410"/>
      <c r="F164" s="410"/>
      <c r="G164" s="859" t="str">
        <f>IF(E163=9,B$146,IF(E163=10,B$147,IF(E163=11,B$148,IF(E163=12,B$149,IF(E163=13,B$150,IF(E163=14,B$151,IF(E163=15,B$152,IF(E163=16,B$153,""))))))))</f>
        <v/>
      </c>
      <c r="H164" s="409"/>
      <c r="I164" s="410"/>
      <c r="J164" s="410"/>
      <c r="K164" s="410"/>
      <c r="L164" s="410" t="str">
        <f>IF(I163=9,B$185,IF(I163=10,B$186,IF(I163=11,B$187,IF(I163=12,B$188,IF(I163=13,B$189,IF(I163=14,B$190,IF(I163=15,B$191,IF(I163=16,B$192,""))))))))</f>
        <v/>
      </c>
      <c r="M164" s="410"/>
      <c r="N164" s="410"/>
      <c r="Q164" s="410" t="str">
        <f>IF(A26=TRUE,$R$90,"")</f>
        <v/>
      </c>
      <c r="R164" s="427">
        <f>E158</f>
        <v>1</v>
      </c>
      <c r="S164" s="427">
        <f>I158</f>
        <v>14</v>
      </c>
      <c r="T164" s="427">
        <f>N158</f>
        <v>4</v>
      </c>
      <c r="U164" s="458" t="str">
        <f>IF(R159=1,CONCATENATE(P$128,$Q$151),IF(R159=2,CONCATENATE(P$129,$Q$151),IF(R159=3,CONCATENATE(P$130,$Q$151),IF(R159=4,CONCATENATE(P$131,$Q$151),IF(R159=5,CONCATENATE(P$132,$Q$151),IF(R159=6,CONCATENATE(P$133,$Q$151),P$134))))))</f>
        <v>Компот, хлеб</v>
      </c>
      <c r="V164" s="410"/>
      <c r="W164" s="410"/>
      <c r="X164" s="410"/>
      <c r="Y164" s="410"/>
      <c r="Z164" s="410"/>
      <c r="AA164" s="410"/>
      <c r="AB164" s="410"/>
      <c r="AC164" s="410"/>
      <c r="AD164" s="410">
        <f>IF(E158=1,AI$118,IF(E158=2,AI$119,IF(E158=3,AI$120,IF(E158=4,AI$119,IF(E158=5,AI$121,IF(E158=6,AI$121,IF(E158=7,AI$121,IF(E158=8,AI$121,0))))))))</f>
        <v>46</v>
      </c>
      <c r="AE164" s="410">
        <f>IF(R164=9,AI$122,IF(R164=10,AI$122,IF(R164=11,AI$122,IF(R164=12,AI$123,IF(R164=13,AI$121,IF(R164=14,AI$121,IF(R164=15,AI$121,IF(R164=16,AI$118,0))))))))</f>
        <v>0</v>
      </c>
      <c r="AF164" s="410">
        <f>IF(R164=17,$AG$118,IF(R164=18,$AG$119,IF(R164=19,75,IF(R164=20,96,IF(R164=21,$AB$136,IF(R164=22,$AB$136,IF(R164=23,$AC$136,IF(R164=24,$AC$136,0))))))))</f>
        <v>0</v>
      </c>
      <c r="AG164" s="460">
        <f>SUM(AD164:AF164)</f>
        <v>46</v>
      </c>
      <c r="AH164" s="410"/>
      <c r="AI164" s="1255"/>
      <c r="AJ164" s="404">
        <f>IF($R$239=AJ$137,1,0)</f>
        <v>0</v>
      </c>
      <c r="AK164" s="404">
        <f t="shared" ref="AK164:BL164" si="40">IF($R$239=AK$137,1,0)</f>
        <v>0</v>
      </c>
      <c r="AL164" s="404">
        <f t="shared" si="40"/>
        <v>0</v>
      </c>
      <c r="AM164" s="404">
        <f t="shared" si="40"/>
        <v>0</v>
      </c>
      <c r="AN164" s="404">
        <f t="shared" si="40"/>
        <v>0</v>
      </c>
      <c r="AO164" s="404">
        <f t="shared" si="40"/>
        <v>0</v>
      </c>
      <c r="AP164" s="404">
        <f t="shared" si="40"/>
        <v>0</v>
      </c>
      <c r="AQ164" s="404">
        <f t="shared" si="40"/>
        <v>0</v>
      </c>
      <c r="AR164" s="404">
        <f t="shared" si="40"/>
        <v>0</v>
      </c>
      <c r="AS164" s="404">
        <f t="shared" si="40"/>
        <v>0</v>
      </c>
      <c r="AT164" s="404">
        <f t="shared" si="40"/>
        <v>0</v>
      </c>
      <c r="AU164" s="404">
        <f t="shared" si="40"/>
        <v>0</v>
      </c>
      <c r="AV164" s="404">
        <f t="shared" si="40"/>
        <v>0</v>
      </c>
      <c r="AW164" s="404">
        <f t="shared" si="40"/>
        <v>0</v>
      </c>
      <c r="AX164" s="404">
        <f t="shared" si="40"/>
        <v>0</v>
      </c>
      <c r="AY164" s="404">
        <f t="shared" si="40"/>
        <v>0</v>
      </c>
      <c r="AZ164" s="404">
        <f t="shared" si="40"/>
        <v>1</v>
      </c>
      <c r="BA164" s="404">
        <f t="shared" si="40"/>
        <v>0</v>
      </c>
      <c r="BB164" s="404">
        <f t="shared" si="40"/>
        <v>0</v>
      </c>
      <c r="BC164" s="404">
        <f t="shared" si="40"/>
        <v>0</v>
      </c>
      <c r="BD164" s="404">
        <f t="shared" si="40"/>
        <v>0</v>
      </c>
      <c r="BE164" s="404">
        <f t="shared" si="40"/>
        <v>0</v>
      </c>
      <c r="BF164" s="404">
        <f t="shared" si="40"/>
        <v>0</v>
      </c>
      <c r="BG164" s="404">
        <f t="shared" si="40"/>
        <v>0</v>
      </c>
      <c r="BH164" s="404">
        <f t="shared" si="40"/>
        <v>0</v>
      </c>
      <c r="BI164" s="404">
        <f t="shared" si="40"/>
        <v>0</v>
      </c>
      <c r="BJ164" s="404">
        <f t="shared" si="40"/>
        <v>0</v>
      </c>
      <c r="BK164" s="404">
        <f t="shared" si="40"/>
        <v>0</v>
      </c>
      <c r="BL164" s="404">
        <f t="shared" si="40"/>
        <v>0</v>
      </c>
    </row>
    <row r="165" spans="1:64" x14ac:dyDescent="0.2">
      <c r="A165" s="410">
        <f t="shared" si="15"/>
        <v>28</v>
      </c>
      <c r="B165" s="410" t="s">
        <v>420</v>
      </c>
      <c r="C165" s="410"/>
      <c r="D165" s="1271"/>
      <c r="E165" s="410"/>
      <c r="F165" s="410"/>
      <c r="G165" s="859" t="str">
        <f>IF(E163=17,B$154,IF(E163=18,B$155,IF(E163=19,B$156,IF(E163=20,B$157,IF(E163=21,B$158,IF(E163=22,B$159,IF(E163=23,B$160,IF(E163=24,B$161,""))))))))</f>
        <v xml:space="preserve">Рыба отварная, </v>
      </c>
      <c r="H165" s="409"/>
      <c r="I165" s="410"/>
      <c r="J165" s="410"/>
      <c r="K165" s="410"/>
      <c r="L165" s="410" t="str">
        <f>IF(I163=17,B$193,IF(I163=18,B$194,IF(I163=19,B$195,IF(I163=20,B$196,IF(I163=21,B$197,"")))))</f>
        <v/>
      </c>
      <c r="M165" s="410"/>
      <c r="N165" s="410"/>
      <c r="R165" s="427"/>
      <c r="S165" s="427"/>
      <c r="T165" s="427"/>
      <c r="U165" s="410"/>
      <c r="V165" s="410"/>
      <c r="W165" s="410"/>
      <c r="X165" s="410"/>
      <c r="Y165" s="410"/>
      <c r="Z165" s="410"/>
      <c r="AA165" s="410"/>
      <c r="AB165" s="410"/>
      <c r="AC165" s="410"/>
      <c r="AD165" s="410"/>
      <c r="AE165" s="410"/>
      <c r="AF165" s="410"/>
      <c r="AG165" s="410"/>
      <c r="AH165" s="410"/>
      <c r="AI165" s="1255"/>
      <c r="AJ165" s="404">
        <f>IF($R$240=AJ$137,1,0)</f>
        <v>0</v>
      </c>
      <c r="AK165" s="404">
        <f t="shared" ref="AK165:BL165" si="41">IF($R$240=AK$137,1,0)</f>
        <v>0</v>
      </c>
      <c r="AL165" s="404">
        <f t="shared" si="41"/>
        <v>0</v>
      </c>
      <c r="AM165" s="404">
        <f t="shared" si="41"/>
        <v>0</v>
      </c>
      <c r="AN165" s="404">
        <f t="shared" si="41"/>
        <v>0</v>
      </c>
      <c r="AO165" s="404">
        <f t="shared" si="41"/>
        <v>0</v>
      </c>
      <c r="AP165" s="404">
        <f t="shared" si="41"/>
        <v>0</v>
      </c>
      <c r="AQ165" s="404">
        <f t="shared" si="41"/>
        <v>0</v>
      </c>
      <c r="AR165" s="404">
        <f t="shared" si="41"/>
        <v>0</v>
      </c>
      <c r="AS165" s="404">
        <f t="shared" si="41"/>
        <v>0</v>
      </c>
      <c r="AT165" s="404">
        <f t="shared" si="41"/>
        <v>0</v>
      </c>
      <c r="AU165" s="404">
        <f t="shared" si="41"/>
        <v>0</v>
      </c>
      <c r="AV165" s="404">
        <f t="shared" si="41"/>
        <v>0</v>
      </c>
      <c r="AW165" s="404">
        <f t="shared" si="41"/>
        <v>0</v>
      </c>
      <c r="AX165" s="404">
        <f t="shared" si="41"/>
        <v>0</v>
      </c>
      <c r="AY165" s="404">
        <f t="shared" si="41"/>
        <v>0</v>
      </c>
      <c r="AZ165" s="404">
        <f t="shared" si="41"/>
        <v>0</v>
      </c>
      <c r="BA165" s="404">
        <f t="shared" si="41"/>
        <v>1</v>
      </c>
      <c r="BB165" s="404">
        <f t="shared" si="41"/>
        <v>0</v>
      </c>
      <c r="BC165" s="404">
        <f t="shared" si="41"/>
        <v>0</v>
      </c>
      <c r="BD165" s="404">
        <f t="shared" si="41"/>
        <v>0</v>
      </c>
      <c r="BE165" s="404">
        <f t="shared" si="41"/>
        <v>0</v>
      </c>
      <c r="BF165" s="404">
        <f t="shared" si="41"/>
        <v>0</v>
      </c>
      <c r="BG165" s="404">
        <f t="shared" si="41"/>
        <v>0</v>
      </c>
      <c r="BH165" s="404">
        <f t="shared" si="41"/>
        <v>0</v>
      </c>
      <c r="BI165" s="404">
        <f t="shared" si="41"/>
        <v>0</v>
      </c>
      <c r="BJ165" s="404">
        <f t="shared" si="41"/>
        <v>0</v>
      </c>
      <c r="BK165" s="404">
        <f t="shared" si="41"/>
        <v>0</v>
      </c>
      <c r="BL165" s="404">
        <f t="shared" si="41"/>
        <v>0</v>
      </c>
    </row>
    <row r="166" spans="1:64" x14ac:dyDescent="0.2">
      <c r="A166" s="410">
        <v>29</v>
      </c>
      <c r="B166" s="410" t="s">
        <v>582</v>
      </c>
      <c r="C166" s="410"/>
      <c r="D166" s="1271"/>
      <c r="E166" s="410"/>
      <c r="F166" s="410"/>
      <c r="G166" s="850" t="str">
        <f>IF(E163=25,B$162,IF(E163=26,B$163,IF(E163=27,B$164,IF(E163=28,B$165,""))))</f>
        <v/>
      </c>
      <c r="H166" s="410"/>
      <c r="I166" s="410"/>
      <c r="J166" s="410"/>
      <c r="K166" s="410"/>
      <c r="L166" s="410"/>
      <c r="M166" s="410"/>
      <c r="N166" s="410"/>
      <c r="R166" s="427"/>
      <c r="S166" s="427"/>
      <c r="T166" s="427"/>
      <c r="U166" s="410"/>
      <c r="V166" s="410"/>
      <c r="W166" s="410"/>
      <c r="X166" s="410"/>
      <c r="Y166" s="410"/>
      <c r="Z166" s="410"/>
      <c r="AA166" s="410"/>
      <c r="AB166" s="410"/>
      <c r="AC166" s="410"/>
      <c r="AD166" s="410"/>
      <c r="AE166" s="410"/>
      <c r="AF166" s="410"/>
      <c r="AG166" s="410"/>
      <c r="AH166" s="410"/>
      <c r="AI166" s="410"/>
      <c r="AJ166" s="410">
        <f>SUM(AJ138:AJ165)</f>
        <v>12</v>
      </c>
      <c r="AK166" s="410">
        <f t="shared" ref="AK166:BL166" si="42">SUM(AK138:AK165)</f>
        <v>0</v>
      </c>
      <c r="AL166" s="410">
        <f t="shared" si="42"/>
        <v>0</v>
      </c>
      <c r="AM166" s="410">
        <f t="shared" si="42"/>
        <v>0</v>
      </c>
      <c r="AN166" s="410">
        <f t="shared" si="42"/>
        <v>0</v>
      </c>
      <c r="AO166" s="410">
        <f t="shared" si="42"/>
        <v>1</v>
      </c>
      <c r="AP166" s="410">
        <f t="shared" si="42"/>
        <v>0</v>
      </c>
      <c r="AQ166" s="410">
        <f t="shared" si="42"/>
        <v>1</v>
      </c>
      <c r="AR166" s="410">
        <f t="shared" si="42"/>
        <v>0</v>
      </c>
      <c r="AS166" s="410">
        <f t="shared" si="42"/>
        <v>0</v>
      </c>
      <c r="AT166" s="410">
        <f t="shared" si="42"/>
        <v>0</v>
      </c>
      <c r="AU166" s="410">
        <f t="shared" si="42"/>
        <v>0</v>
      </c>
      <c r="AV166" s="410">
        <f t="shared" si="42"/>
        <v>0</v>
      </c>
      <c r="AW166" s="410">
        <f t="shared" si="42"/>
        <v>0</v>
      </c>
      <c r="AX166" s="410">
        <f t="shared" si="42"/>
        <v>0</v>
      </c>
      <c r="AY166" s="410">
        <f t="shared" si="42"/>
        <v>0</v>
      </c>
      <c r="AZ166" s="410">
        <f t="shared" si="42"/>
        <v>2</v>
      </c>
      <c r="BA166" s="410">
        <f t="shared" si="42"/>
        <v>2</v>
      </c>
      <c r="BB166" s="410">
        <f t="shared" si="42"/>
        <v>2</v>
      </c>
      <c r="BC166" s="410">
        <f t="shared" si="42"/>
        <v>0</v>
      </c>
      <c r="BD166" s="410">
        <f t="shared" si="42"/>
        <v>3</v>
      </c>
      <c r="BE166" s="410">
        <f t="shared" si="42"/>
        <v>2</v>
      </c>
      <c r="BF166" s="410">
        <f t="shared" si="42"/>
        <v>1</v>
      </c>
      <c r="BG166" s="410">
        <f t="shared" si="42"/>
        <v>0</v>
      </c>
      <c r="BH166" s="410">
        <f t="shared" si="42"/>
        <v>1</v>
      </c>
      <c r="BI166" s="410">
        <f t="shared" si="42"/>
        <v>0</v>
      </c>
      <c r="BJ166" s="410">
        <f t="shared" si="42"/>
        <v>0</v>
      </c>
      <c r="BK166" s="410">
        <f t="shared" si="42"/>
        <v>0</v>
      </c>
      <c r="BL166" s="410">
        <f t="shared" si="42"/>
        <v>0</v>
      </c>
    </row>
    <row r="167" spans="1:64" ht="12.75" thickBot="1" x14ac:dyDescent="0.25">
      <c r="A167" s="410">
        <f t="shared" si="15"/>
        <v>30</v>
      </c>
      <c r="B167" s="410" t="s">
        <v>583</v>
      </c>
      <c r="C167" s="410"/>
      <c r="D167" s="1272"/>
      <c r="E167" s="855"/>
      <c r="F167" s="855"/>
      <c r="G167" s="861" t="str">
        <f>CONCATENATE(G163,G164,G165,G166)</f>
        <v xml:space="preserve">Рыба отварная, </v>
      </c>
      <c r="H167" s="462"/>
      <c r="I167" s="410"/>
      <c r="J167" s="410"/>
      <c r="K167" s="410"/>
      <c r="L167" s="857" t="str">
        <f>CONCATENATE(L163,L164,L165,L166)</f>
        <v xml:space="preserve"> с картофельным пюре, </v>
      </c>
      <c r="M167" s="410"/>
      <c r="N167" s="458" t="str">
        <f>IF(N163=1,V$50,IF(N163=2,V$51,IF(N163=3,V$52,IF(N163=4,V$53,IF(N163=5,V$54,IF(N163=6,V$55,IF(N163=7,V$56,IF(N163=8,V$57,""))))))))</f>
        <v xml:space="preserve"> хлеб, масло, сахар, чай, омлет</v>
      </c>
      <c r="O167" s="410" t="str">
        <f>IF($N163=9,$P$115,"")</f>
        <v/>
      </c>
      <c r="R167" s="427">
        <f>E46</f>
        <v>16</v>
      </c>
      <c r="S167" s="427"/>
      <c r="T167" s="427"/>
      <c r="U167" s="410"/>
      <c r="V167" s="1275" t="s">
        <v>96</v>
      </c>
      <c r="W167" s="417">
        <f>R170</f>
        <v>1</v>
      </c>
      <c r="X167" s="410">
        <f>S170</f>
        <v>9</v>
      </c>
      <c r="Y167" s="409" t="str">
        <f>IF(W167=1,B$138,IF(W167=2,B$139,IF(W167=3,B$140,IF(W167=4,B$141,IF(W167=5,B$142,IF(W167=6,B$143,IF(W167=7,B$144,IF(W167=8,B$145,""))))))))</f>
        <v xml:space="preserve">Мясо отвар. с соусом </v>
      </c>
      <c r="Z167" s="410">
        <f>S170</f>
        <v>9</v>
      </c>
      <c r="AA167" s="410" t="str">
        <f>IF(X167=1,B$177,IF(X167=2,B$178,IF(X167=3,B$179,IF(X167=4,B$180,IF(X167=5,B$181,IF(X167=6,B$182,IF(X167=7,B$183,IF(X167=8,B$184," "))))))))</f>
        <v xml:space="preserve"> </v>
      </c>
      <c r="AB167" s="410"/>
      <c r="AC167" s="410"/>
      <c r="AD167" s="410"/>
      <c r="AE167" s="410"/>
      <c r="AF167" s="410"/>
      <c r="AG167" s="410"/>
      <c r="AH167" s="410"/>
      <c r="AI167" s="410"/>
      <c r="AJ167" s="410"/>
      <c r="AK167" s="410"/>
    </row>
    <row r="168" spans="1:64" x14ac:dyDescent="0.2">
      <c r="A168" s="410">
        <v>31</v>
      </c>
      <c r="B168" s="410" t="s">
        <v>584</v>
      </c>
      <c r="C168" s="410"/>
      <c r="D168" s="1270" t="s">
        <v>97</v>
      </c>
      <c r="E168" s="846">
        <v>1</v>
      </c>
      <c r="F168" s="846"/>
      <c r="G168" s="858" t="str">
        <f>IF(E168=1,B$138,IF(E168=2,B$139,IF(E168=3,B$140,IF(E168=4,B$141,IF(E168=5,B$142,IF(E168=6,B$143,IF(E168=7,B$144,IF(E168=8,B$145,""))))))))</f>
        <v xml:space="preserve">Мясо отвар. с соусом </v>
      </c>
      <c r="H168" s="409"/>
      <c r="I168" s="410">
        <v>14</v>
      </c>
      <c r="J168" s="410"/>
      <c r="K168" s="410"/>
      <c r="L168" s="410" t="str">
        <f>IF(I168=1,B$177,IF(I168=2,B$178,IF(I168=3,B$179,IF(I168=4,B$180,IF(I168=5,B$181,IF(I168=6,B$182,IF(I168=7,B$183,IF(I168=8,B$184,""))))))))</f>
        <v/>
      </c>
      <c r="M168" s="410"/>
      <c r="N168" s="410">
        <v>6</v>
      </c>
      <c r="R168" s="427">
        <f>E84</f>
        <v>22</v>
      </c>
      <c r="S168" s="427"/>
      <c r="T168" s="427"/>
      <c r="U168" s="410"/>
      <c r="V168" s="1275"/>
      <c r="W168" s="410"/>
      <c r="X168" s="410"/>
      <c r="Y168" s="409" t="str">
        <f>IF(W167=9,B$146,IF(W167=10,B$147,IF(W167=11,B$148,IF(W167=12,B$149,IF(W167=13,B$150,IF(W167=14,B$151,IF(W167=15,B$152,IF(W167=16,B$153,""))))))))</f>
        <v/>
      </c>
      <c r="Z168" s="410"/>
      <c r="AA168" s="410" t="str">
        <f>IF(X167=9,B$185,IF(X167=10,B$186,IF(X167=11,B$187,IF(X167=12,B$188,IF(X167=13,B$189,IF(X167=14,B$190,IF(X167=15,B$191,IF(X167=16,B$192,"  "))))))))</f>
        <v>с кашей перловой рас,</v>
      </c>
      <c r="AB168" s="410"/>
      <c r="AC168" s="410"/>
      <c r="AD168" s="410"/>
      <c r="AE168" s="410"/>
      <c r="AF168" s="410"/>
      <c r="AG168" s="410"/>
      <c r="AH168" s="410"/>
      <c r="AI168" s="410"/>
      <c r="AJ168" s="410"/>
      <c r="AK168" s="410"/>
    </row>
    <row r="169" spans="1:64" x14ac:dyDescent="0.2">
      <c r="A169" s="410">
        <f t="shared" si="15"/>
        <v>32</v>
      </c>
      <c r="B169" s="410" t="s">
        <v>585</v>
      </c>
      <c r="C169" s="410"/>
      <c r="D169" s="1271"/>
      <c r="E169" s="410"/>
      <c r="F169" s="410"/>
      <c r="G169" s="859" t="str">
        <f>IF(E168=9,B$146,IF(E168=10,B$147,IF(E168=11,B$148,IF(E168=12,B$149,IF(E168=13,B$150,IF(E168=14,B$151,IF(E168=15,B$152,IF(E168=16,B$153,""))))))))</f>
        <v/>
      </c>
      <c r="H169" s="409"/>
      <c r="I169" s="410"/>
      <c r="J169" s="410"/>
      <c r="K169" s="410"/>
      <c r="L169" s="410" t="str">
        <f>IF(I168=9,B$185,IF(I168=10,B$186,IF(I168=11,B$187,IF(I168=12,B$188,IF(I168=13,B$189,IF(I168=14,B$190,IF(I168=15,B$191,IF(I168=16,B$192,""))))))))</f>
        <v>с  гороховым пюре,</v>
      </c>
      <c r="M169" s="410"/>
      <c r="N169" s="410"/>
      <c r="R169" s="427">
        <f>E88</f>
        <v>21</v>
      </c>
      <c r="S169" s="427"/>
      <c r="T169" s="427"/>
      <c r="U169" s="410"/>
      <c r="V169" s="1275"/>
      <c r="W169" s="410"/>
      <c r="X169" s="410"/>
      <c r="Y169" s="409" t="str">
        <f>IF(W167=17,B$154,IF(W167=18,B$155,IF(W167=19,B$156,IF(W167=20,B$157,IF(W167=21,B$158,IF(W167=22,B$159,IF(W167=23,B$160,IF(W167=24,B$161,""))))))))</f>
        <v/>
      </c>
      <c r="Z169" s="410"/>
      <c r="AA169" s="410" t="str">
        <f>IF(X167=17," ","  ")</f>
        <v xml:space="preserve">  </v>
      </c>
      <c r="AB169" s="410"/>
      <c r="AC169" s="410"/>
      <c r="AD169" s="410"/>
      <c r="AE169" s="410"/>
      <c r="AF169" s="410"/>
      <c r="AG169" s="410"/>
      <c r="AH169" s="410"/>
      <c r="AI169" s="410"/>
      <c r="AJ169" s="410"/>
      <c r="AK169" s="410"/>
    </row>
    <row r="170" spans="1:64" x14ac:dyDescent="0.2">
      <c r="A170" s="410">
        <v>33</v>
      </c>
      <c r="B170" s="410" t="str">
        <f>IF(B217=1,B220,"Консервы мясорастительные ")</f>
        <v>Консервы мясорастительные 1/265 '''',</v>
      </c>
      <c r="C170" s="410"/>
      <c r="D170" s="1271"/>
      <c r="E170" s="410"/>
      <c r="F170" s="410"/>
      <c r="G170" s="859" t="str">
        <f>IF(E168=17,B$154,IF(E168=18,B$155,IF(E168=19,B$156,IF(E168=20,B$157,IF(E168=21,B$158,IF(E168=22,B$159,IF(E168=23,B$160,IF(E168=24,B$161,""))))))))</f>
        <v/>
      </c>
      <c r="H170" s="409"/>
      <c r="I170" s="410"/>
      <c r="J170" s="410"/>
      <c r="K170" s="410"/>
      <c r="L170" s="410" t="str">
        <f>IF(I168=17,B$193,IF(I168=18,B$194,IF(I168=19,B$195,IF(I168=20,B$196,IF(I168=21,B$197,"")))))</f>
        <v/>
      </c>
      <c r="M170" s="410"/>
      <c r="N170" s="410"/>
      <c r="R170" s="427">
        <v>1</v>
      </c>
      <c r="S170" s="427">
        <v>9</v>
      </c>
      <c r="T170" s="427"/>
      <c r="U170" s="410"/>
      <c r="V170" s="1275"/>
      <c r="W170" s="410"/>
      <c r="X170" s="410"/>
      <c r="Y170" s="410"/>
      <c r="Z170" s="410"/>
      <c r="AA170" s="410"/>
      <c r="AB170" s="410"/>
      <c r="AC170" s="410"/>
      <c r="AD170" s="410">
        <f>IF(R170=1,AJ$118,IF(R170=2,AJ$119,IF(R170=3,AJ$120,IF(R170=4,AJ$119,IF(R170=5,AJ$121,IF(R170=6,AJ$121,IF(R170=7,AJ$121,IF(R170=8,AJ$121,0))))))))</f>
        <v>46</v>
      </c>
      <c r="AE170" s="410">
        <f>IF(R170=9,AJ$122,IF(R170=10,AJ$122,IF(R170=11,AJ$122,IF(R170=12,AJ$123,IF(R170=13,AJ$121,IF(R170=14,AJ$121,IF(R170=15,AJ$121,IF(R170=16,AJ$118,0))))))))</f>
        <v>0</v>
      </c>
      <c r="AF170" s="410">
        <f>IF(R170=17,$AG118,IF(R170=18,$AG119,IF(R170=19,75,IF(R170=20,96,IF(R170=21,AB$136,IF(R170=22,AB$136,IF(R170&gt;22,$AC168,0)))))))</f>
        <v>0</v>
      </c>
      <c r="AG170" s="460">
        <f>SUM(AD170:AF170)</f>
        <v>46</v>
      </c>
      <c r="AH170" s="410"/>
      <c r="AI170" s="410"/>
      <c r="AJ170" s="410"/>
      <c r="AK170" s="410"/>
    </row>
    <row r="171" spans="1:64" x14ac:dyDescent="0.2">
      <c r="A171" s="410">
        <f t="shared" si="15"/>
        <v>34</v>
      </c>
      <c r="B171" s="410"/>
      <c r="C171" s="410"/>
      <c r="D171" s="1271"/>
      <c r="E171" s="410"/>
      <c r="F171" s="410"/>
      <c r="G171" s="850" t="str">
        <f>IF(E168=25,B$162,IF(E168=26,B$163,IF(E168=27,B$164,IF(E168=28,B$165,IF(E168=29,B$166,IF(E168=30,B$167,""))))))</f>
        <v/>
      </c>
      <c r="H171" s="410"/>
      <c r="I171" s="410"/>
      <c r="J171" s="410"/>
      <c r="K171" s="410"/>
      <c r="L171" s="410"/>
      <c r="M171" s="410"/>
      <c r="N171" s="410"/>
      <c r="R171" s="427">
        <v>1</v>
      </c>
      <c r="S171" s="427">
        <v>5</v>
      </c>
      <c r="T171" s="427"/>
      <c r="U171" s="410"/>
      <c r="V171" s="1275"/>
      <c r="W171" s="410"/>
      <c r="X171" s="410"/>
      <c r="Y171" s="463" t="str">
        <f>CONCATENATE(Y167,Y168,Y169,Y170)</f>
        <v xml:space="preserve">Мясо отвар. с соусом </v>
      </c>
      <c r="Z171" s="410"/>
      <c r="AA171" s="463" t="str">
        <f>CONCATENATE(AA167,AA168,AA169,AA170)</f>
        <v xml:space="preserve"> с кашей перловой рас,  </v>
      </c>
      <c r="AB171" s="410"/>
      <c r="AC171" s="413">
        <f>AC136</f>
        <v>60</v>
      </c>
      <c r="AD171" s="410">
        <f>IF(R171=1,AJ$118,IF(R171=2,AJ$119,IF(R171=3,AJ$120,IF(R171=4,AJ$119,IF(R171=5,AJ$121,IF(R171=6,AJ$121,IF(R171=7,AJ$121,IF(R171=8,AJ$121,0))))))))</f>
        <v>46</v>
      </c>
      <c r="AE171" s="410">
        <f>IF(R171=9,AJ$122,IF(R171=10,AJ$122,IF(R171=11,AJ$122,IF(R171=12,AJ$123,IF(R171=13,AJ$121,IF(R171=14,AJ$121,IF(R171=15,AJ$121,IF(R171=16,AJ$118,0))))))))</f>
        <v>0</v>
      </c>
      <c r="AF171" s="410">
        <f>IF(R171=17,AG$118,IF(R171=18,AG$119,IF(R171=19,75,IF(R171=20,96,IF(R171=21,AB$136,IF(R171=22,AB$136,IF(R171&gt;22,$AC169,0)))))))</f>
        <v>0</v>
      </c>
      <c r="AG171" s="460">
        <f>SUM(AD171:AF171)</f>
        <v>46</v>
      </c>
      <c r="AH171" s="410"/>
      <c r="AI171" s="410"/>
      <c r="AJ171" s="410"/>
      <c r="AK171" s="410"/>
    </row>
    <row r="172" spans="1:64" x14ac:dyDescent="0.2">
      <c r="A172" s="410"/>
      <c r="B172" s="410"/>
      <c r="C172" s="410"/>
      <c r="D172" s="1271"/>
      <c r="E172" s="410"/>
      <c r="F172" s="410"/>
      <c r="G172" s="860" t="str">
        <f>CONCATENATE(G168,G169,G170,G171)</f>
        <v xml:space="preserve">Мясо отвар. с соусом </v>
      </c>
      <c r="H172" s="462"/>
      <c r="I172" s="410"/>
      <c r="J172" s="410"/>
      <c r="K172" s="410"/>
      <c r="L172" s="857" t="str">
        <f>CONCATENATE(L168,L169,L170,L171)</f>
        <v>с  гороховым пюре,</v>
      </c>
      <c r="M172" s="410"/>
      <c r="N172" s="458" t="str">
        <f>IF(N168=1,U$22,IF(N168=2,U$23,IF(N168=3,U$24,IF(N168=4,U$25,IF(N168=5,U$26,IF(N168=6,U$27,IF(N168=7,U$28,IF(N168=8,U$29,""))))))))</f>
        <v xml:space="preserve"> хлеб, масло, сахар, кофе натур. с молоком, омлет</v>
      </c>
      <c r="O172" s="410" t="str">
        <f>IF($N168=9,$P$115,"")</f>
        <v/>
      </c>
      <c r="R172" s="427">
        <v>1</v>
      </c>
      <c r="S172" s="427"/>
      <c r="T172" s="427"/>
      <c r="U172" s="410"/>
      <c r="V172" s="1275"/>
      <c r="W172" s="417">
        <f>R171</f>
        <v>1</v>
      </c>
      <c r="X172" s="410">
        <f>S171</f>
        <v>5</v>
      </c>
      <c r="Y172" s="409" t="str">
        <f>IF(W172=1,B$138,IF(W172=2,B$139,IF(W172=3,B$140,IF(W172=4,B$141,IF(W172=5,B$142,IF(W172=6,B$143,IF(W172=7,B$144,IF(W172=8,B$145,""))))))))</f>
        <v xml:space="preserve">Мясо отвар. с соусом </v>
      </c>
      <c r="Z172" s="410">
        <f>S171</f>
        <v>5</v>
      </c>
      <c r="AA172" s="410" t="str">
        <f>IF(X172=1,B$177,IF(X172=2,B$178,IF(X172=3,B$179,IF(X172=4,B$180,IF(X172=5,B$181,IF(X172=6,B$182,IF(X172=7,B$183,IF(X172=8,B$184," "))))))))</f>
        <v xml:space="preserve"> с капустой тушеной,</v>
      </c>
      <c r="AB172" s="410"/>
      <c r="AC172" s="410"/>
      <c r="AD172" s="410"/>
      <c r="AE172" s="410"/>
      <c r="AF172" s="410"/>
      <c r="AG172" s="410"/>
      <c r="AH172" s="410"/>
      <c r="AI172" s="410"/>
      <c r="AJ172" s="410"/>
      <c r="AK172" s="410"/>
    </row>
    <row r="173" spans="1:64" x14ac:dyDescent="0.2">
      <c r="A173" s="410"/>
      <c r="B173" s="410"/>
      <c r="C173" s="410"/>
      <c r="D173" s="1271"/>
      <c r="E173" s="410">
        <v>21</v>
      </c>
      <c r="F173" s="410"/>
      <c r="G173" s="859" t="str">
        <f>IF(E173=1,B$138,IF(E173=2,B$139,IF(E173=3,B$140,IF(E173=4,B$141,IF(E173=5,B$142,IF(E173=6,B$143,IF(E173=7,B$144,IF(E173=8,B$145,""))))))))</f>
        <v/>
      </c>
      <c r="H173" s="409"/>
      <c r="I173" s="410">
        <v>10</v>
      </c>
      <c r="J173" s="410"/>
      <c r="K173" s="410"/>
      <c r="L173" s="410" t="str">
        <f>IF(I173=1,B$177,IF(I173=2,B$178,IF(I173=3,B$179,IF(I173=4,B$180,IF(I173=5,B$181,IF(I173=6,B$182,IF(I173=7,B$183,IF(I173=8,B$184,""))))))))</f>
        <v/>
      </c>
      <c r="M173" s="410"/>
      <c r="N173" s="410">
        <v>1</v>
      </c>
      <c r="R173" s="427">
        <f>E163</f>
        <v>21</v>
      </c>
      <c r="S173" s="427">
        <f>I163</f>
        <v>1</v>
      </c>
      <c r="T173" s="427">
        <f>N163</f>
        <v>3</v>
      </c>
      <c r="U173" s="410"/>
      <c r="V173" s="1275"/>
      <c r="W173" s="410"/>
      <c r="X173" s="410"/>
      <c r="Y173" s="409" t="str">
        <f>IF(W172=9,B$146,IF(W172=10,B$147,IF(W172=11,B$148,IF(W172=12,B$149,IF(W172=13,B$150,IF(W172=14,B$151,IF(W172=15,B$152,IF(W172=16,B$153,""))))))))</f>
        <v/>
      </c>
      <c r="Z173" s="410"/>
      <c r="AA173" s="410" t="str">
        <f>IF(X172=9,B$185,IF(X172=10,B$186,IF(X172=11,B$187,IF(X172=12,B$188,IF(X172=13,B$189,IF(X172=14,B$190,IF(X172=15,B$191,IF(X172=16,B$192,"  "))))))))</f>
        <v xml:space="preserve">  </v>
      </c>
      <c r="AB173" s="410"/>
      <c r="AC173" s="410"/>
      <c r="AD173" s="410">
        <f>IF(R173=1,AJ$118,IF(R173=2,AJ$119,IF(R173=3,AJ$120,IF(R173=4,AJ$119,IF(R173=5,AJ$121,IF(R173=6,AJ$121,IF(R173=7,AJ$121,IF(R173=8,AJ$121,0))))))))</f>
        <v>0</v>
      </c>
      <c r="AE173" s="410">
        <f>IF(R173=9,AJ$122,IF(R173=10,AJ$122,IF(R173=11,AJ$122,IF(R173=12,AJ$123,IF(R173=13,AJ$121,IF(R173=14,AJ$121,IF(R173=15,AJ$121,IF(R173=16,AJ$118,0))))))))</f>
        <v>0</v>
      </c>
      <c r="AF173" s="410">
        <f>IF(R173=17,AJ$118,IF(R173=18,AJ$119,IF(R173=19,75,IF(R173=20,96,IF(R173=21,AB$136,IF(R173=22,AB$136,IF(R173&gt;22,$AC171,0)))))))</f>
        <v>80</v>
      </c>
      <c r="AG173" s="460">
        <f>SUM(AD173:AF173)</f>
        <v>80</v>
      </c>
      <c r="AH173" s="410"/>
      <c r="AI173" s="410"/>
      <c r="AJ173" s="410"/>
      <c r="AK173" s="410"/>
    </row>
    <row r="174" spans="1:64" x14ac:dyDescent="0.2">
      <c r="A174" s="410"/>
      <c r="B174" s="410"/>
      <c r="C174" s="410"/>
      <c r="D174" s="1271"/>
      <c r="E174" s="410"/>
      <c r="F174" s="410"/>
      <c r="G174" s="859" t="str">
        <f>IF(E173=9,B$146,IF(E173=10,B$147,IF(E173=11,B$148,IF(E173=12,B$149,IF(E173=13,B$150,IF(E173=14,B$151,IF(E173=15,B$152,IF(E173=16,B$153,""))))))))</f>
        <v/>
      </c>
      <c r="H174" s="409"/>
      <c r="I174" s="410"/>
      <c r="J174" s="410"/>
      <c r="K174" s="410"/>
      <c r="L174" s="410" t="str">
        <f>IF(I173=9,B$185,IF(I173=10,B$186,IF(I173=11,B$187,IF(I173=12,B$188,IF(I173=13,B$189,IF(I173=14,B$190,IF(I173=15,B$191,IF(I173=16,B$192,""))))))))</f>
        <v>с кашей пшенной рас,</v>
      </c>
      <c r="M174" s="410"/>
      <c r="N174" s="410"/>
      <c r="R174" s="427"/>
      <c r="S174" s="427"/>
      <c r="T174" s="427"/>
      <c r="U174" s="410"/>
      <c r="V174" s="1275"/>
      <c r="W174" s="410"/>
      <c r="X174" s="410"/>
      <c r="Y174" s="409" t="str">
        <f>IF(W172=17,B$154,IF(W172=18,B$155,IF(W172=19,B$156,IF(W172=20,B$157,IF(W172=21,B$158,IF(W172=22,B$159,IF(W172=23,B$160,IF(W172=24,B$161,""))))))))</f>
        <v/>
      </c>
      <c r="Z174" s="410"/>
      <c r="AA174" s="410" t="str">
        <f>IF(X172=17," ","  ")</f>
        <v xml:space="preserve">  </v>
      </c>
      <c r="AB174" s="410"/>
      <c r="AC174" s="410"/>
      <c r="AD174" s="410"/>
      <c r="AE174" s="410"/>
      <c r="AF174" s="410"/>
      <c r="AG174" s="410"/>
      <c r="AH174" s="410"/>
      <c r="AI174" s="410"/>
      <c r="AJ174" s="410"/>
      <c r="AK174" s="410"/>
    </row>
    <row r="175" spans="1:64" x14ac:dyDescent="0.2">
      <c r="A175" s="410"/>
      <c r="B175" s="410"/>
      <c r="C175" s="410"/>
      <c r="D175" s="1271"/>
      <c r="E175" s="410"/>
      <c r="F175" s="410"/>
      <c r="G175" s="859" t="str">
        <f>IF(E173=17,B$154,IF(E173=18,B$155,IF(E173=19,B$156,IF(E173=20,B$157,IF(E173=21,B$158,IF(E173=22,B$159,IF(E173=23,B$160,IF(E173=24,B$161,""))))))))</f>
        <v xml:space="preserve">Рыба отварная, </v>
      </c>
      <c r="H175" s="409"/>
      <c r="I175" s="410"/>
      <c r="J175" s="410"/>
      <c r="K175" s="410"/>
      <c r="L175" s="410" t="str">
        <f>IF(I173=17,B$193,IF(I173=18,B$194,IF(I173=19,B$195,IF(I173=20,B$196,IF(I173=21,B$197,"")))))</f>
        <v/>
      </c>
      <c r="M175" s="410"/>
      <c r="N175" s="410"/>
      <c r="R175" s="427"/>
      <c r="S175" s="427"/>
      <c r="T175" s="427"/>
      <c r="U175" s="410"/>
      <c r="V175" s="1275"/>
      <c r="W175" s="410"/>
      <c r="X175" s="410"/>
      <c r="Y175" s="410"/>
      <c r="Z175" s="410"/>
      <c r="AA175" s="410"/>
      <c r="AB175" s="410"/>
      <c r="AC175" s="413">
        <f>AC136</f>
        <v>60</v>
      </c>
      <c r="AD175" s="410"/>
      <c r="AE175" s="410"/>
      <c r="AF175" s="410"/>
      <c r="AG175" s="410"/>
      <c r="AH175" s="410"/>
      <c r="AI175" s="410"/>
      <c r="AJ175" s="410"/>
      <c r="AK175" s="410"/>
    </row>
    <row r="176" spans="1:64" x14ac:dyDescent="0.2">
      <c r="A176" s="410"/>
      <c r="B176" s="410"/>
      <c r="C176" s="410"/>
      <c r="D176" s="1271"/>
      <c r="E176" s="410"/>
      <c r="F176" s="410"/>
      <c r="G176" s="850" t="str">
        <f>IF(E173=25,B$162,IF(E173=26,B$163,IF(E173=27,B$164,IF(E173=28,B$165,""))))</f>
        <v/>
      </c>
      <c r="H176" s="410"/>
      <c r="I176" s="410"/>
      <c r="J176" s="410"/>
      <c r="K176" s="410"/>
      <c r="L176" s="410"/>
      <c r="M176" s="410"/>
      <c r="N176" s="410"/>
      <c r="R176" s="428">
        <f>E163</f>
        <v>21</v>
      </c>
      <c r="S176" s="436"/>
      <c r="T176" s="436"/>
      <c r="U176" s="410"/>
      <c r="V176" s="1275"/>
      <c r="W176" s="410"/>
      <c r="X176" s="410"/>
      <c r="Y176" s="463" t="str">
        <f>CONCATENATE(Y172,Y173,Y174,Y175)</f>
        <v xml:space="preserve">Мясо отвар. с соусом </v>
      </c>
      <c r="Z176" s="410"/>
      <c r="AA176" s="463" t="str">
        <f>CONCATENATE(AA172,AA173,AA174,AA175)</f>
        <v xml:space="preserve"> с капустой тушеной,    </v>
      </c>
      <c r="AB176" s="410"/>
      <c r="AC176" s="410"/>
      <c r="AD176" s="410"/>
      <c r="AE176" s="410"/>
      <c r="AF176" s="410"/>
      <c r="AG176" s="410"/>
      <c r="AH176" s="410"/>
      <c r="AI176" s="410"/>
      <c r="AJ176" s="410"/>
      <c r="AK176" s="410"/>
    </row>
    <row r="177" spans="1:37" ht="12.75" thickBot="1" x14ac:dyDescent="0.25">
      <c r="A177" s="417">
        <v>1</v>
      </c>
      <c r="B177" s="410" t="s">
        <v>273</v>
      </c>
      <c r="C177" s="417"/>
      <c r="D177" s="1272"/>
      <c r="E177" s="855"/>
      <c r="F177" s="855"/>
      <c r="G177" s="861" t="str">
        <f>CONCATENATE(G173,G174,G175,G176)</f>
        <v xml:space="preserve">Рыба отварная, </v>
      </c>
      <c r="H177" s="462"/>
      <c r="I177" s="410"/>
      <c r="J177" s="410"/>
      <c r="K177" s="410"/>
      <c r="L177" s="857" t="str">
        <f>CONCATENATE(L173,L174,L175,L176)</f>
        <v>с кашей пшенной рас,</v>
      </c>
      <c r="M177" s="410"/>
      <c r="N177" s="458" t="str">
        <f>IF(N173=1,V$64,IF(N173=2,V$65,IF(N173=3,V$66,IF(N173=4,V$67,IF(N173=5,V$68,IF(N173=6,V$69,IF(N173=7,V$70,IF(N173=8,V$71,""))))))))</f>
        <v xml:space="preserve"> хлеб, масло, сахар, чай , булочка</v>
      </c>
      <c r="O177" s="410" t="str">
        <f>IF($N173=9,$P$115,"")</f>
        <v/>
      </c>
      <c r="Q177" s="410" t="str">
        <f>IF(A27=TRUE,$R$90,"")</f>
        <v/>
      </c>
      <c r="R177" s="427">
        <f>E168</f>
        <v>1</v>
      </c>
      <c r="S177" s="427">
        <f>I168</f>
        <v>14</v>
      </c>
      <c r="T177" s="427">
        <f>N168</f>
        <v>6</v>
      </c>
      <c r="U177" s="458" t="str">
        <f>IF(R172=1,CONCATENATE(P$128,$Q$151),IF(R172=2,CONCATENATE(P$129,$Q$151),IF(R172=3,CONCATENATE(P$130,$Q$151),IF(R172=4,CONCATENATE(P$131,$Q$151),IF(R172=5,CONCATENATE(P$132,$Q$151),IF(R172=6,CONCATENATE(P$133,$Q$151),P$134))))))</f>
        <v>Сок, хлеб</v>
      </c>
      <c r="V177" s="410"/>
      <c r="W177" s="410"/>
      <c r="X177" s="410"/>
      <c r="Y177" s="410"/>
      <c r="Z177" s="410"/>
      <c r="AA177" s="410"/>
      <c r="AB177" s="410"/>
      <c r="AC177" s="410"/>
      <c r="AD177" s="410">
        <f>IF(R177=1,AJ$118,IF(R177=2,AJ$119,IF(R177=3,AJ$120,IF(R177=4,AJ$119,IF(R177=5,AJ$121,IF(R177=6,AJ$121,IF(R177=7,AJ$121,IF(R177=8,AJ$121,0))))))))</f>
        <v>46</v>
      </c>
      <c r="AE177" s="410">
        <f>IF(R177=9,AJ$122,IF(R177=10,AJ$122,IF(R177=11,AJ$122,IF(R177=12,AJ$123,IF(R177=13,AJ$121,IF(R177=14,AJ$121,IF(R177=15,AJ$121,IF(R177=16,AJ$118,0))))))))</f>
        <v>0</v>
      </c>
      <c r="AF177" s="410">
        <f>IF(R177=17,$AG$118,IF(R177=18,$AG$119,IF(R177=19,75,IF(R177=20,96,IF(R177=21,$AB$136,IF(R177=22,$AB$136,IF(R177=23,$AC$136,IF(R177=24,$AC$136,0))))))))</f>
        <v>0</v>
      </c>
      <c r="AG177" s="460">
        <f>SUM(AD177:AF177)</f>
        <v>46</v>
      </c>
      <c r="AH177" s="410"/>
      <c r="AI177" s="410"/>
      <c r="AJ177" s="410"/>
      <c r="AK177" s="410"/>
    </row>
    <row r="178" spans="1:37" x14ac:dyDescent="0.2">
      <c r="A178" s="417">
        <f>A177+1</f>
        <v>2</v>
      </c>
      <c r="B178" s="410" t="s">
        <v>198</v>
      </c>
      <c r="C178" s="417"/>
      <c r="D178" s="1270" t="s">
        <v>98</v>
      </c>
      <c r="E178" s="846">
        <v>1</v>
      </c>
      <c r="F178" s="846"/>
      <c r="G178" s="858" t="str">
        <f>IF(E178=1,B$138,IF(E178=2,B$139,IF(E178=3,B$140,IF(E178=4,B$141,IF(E178=5,B$142,IF(E178=6,B$143,IF(E178=7,B$144,IF(E178=8,B$145,""))))))))</f>
        <v xml:space="preserve">Мясо отвар. с соусом </v>
      </c>
      <c r="H178" s="409"/>
      <c r="I178" s="410">
        <v>11</v>
      </c>
      <c r="J178" s="410"/>
      <c r="K178" s="410"/>
      <c r="L178" s="410" t="str">
        <f>IF(I178=1,B$177,IF(I178=2,B$178,IF(I178=3,B$179,IF(I178=4,B$180,IF(I178=5,B$181,IF(I178=6,B$182,IF(I178=7,B$183,IF(I178=8,B$184,""))))))))</f>
        <v/>
      </c>
      <c r="M178" s="410"/>
      <c r="N178" s="410">
        <v>3</v>
      </c>
      <c r="R178" s="427"/>
      <c r="S178" s="427"/>
      <c r="T178" s="427"/>
      <c r="U178" s="410"/>
      <c r="V178" s="410"/>
      <c r="W178" s="410"/>
      <c r="X178" s="410"/>
      <c r="Y178" s="410"/>
      <c r="Z178" s="410"/>
      <c r="AA178" s="410"/>
      <c r="AB178" s="410"/>
      <c r="AC178" s="410"/>
      <c r="AD178" s="410"/>
      <c r="AE178" s="410"/>
      <c r="AF178" s="410"/>
      <c r="AG178" s="410"/>
      <c r="AH178" s="410"/>
      <c r="AI178" s="410"/>
      <c r="AJ178" s="410"/>
      <c r="AK178" s="410"/>
    </row>
    <row r="179" spans="1:37" x14ac:dyDescent="0.2">
      <c r="A179" s="417">
        <f t="shared" ref="A179:A197" si="43">A178+1</f>
        <v>3</v>
      </c>
      <c r="B179" s="410" t="s">
        <v>240</v>
      </c>
      <c r="C179" s="417"/>
      <c r="D179" s="1271"/>
      <c r="E179" s="410"/>
      <c r="F179" s="410"/>
      <c r="G179" s="859" t="str">
        <f>IF(E178=9,B$146,IF(E178=10,B$147,IF(E178=11,B$148,IF(E178=12,B$149,IF(E178=13,B$150,IF(E178=14,B$151,IF(E178=15,B$152,IF(E178=16,B$153,""))))))))</f>
        <v/>
      </c>
      <c r="H179" s="409"/>
      <c r="I179" s="410"/>
      <c r="J179" s="410"/>
      <c r="K179" s="410"/>
      <c r="L179" s="410" t="str">
        <f>IF(I178=9,B$185,IF(I178=10,B$186,IF(I178=11,B$187,IF(I178=12,B$188,IF(I178=13,B$189,IF(I178=14,B$190,IF(I178=15,B$191,IF(I178=16,B$192,""))))))))</f>
        <v>с кашей пшеничной рас,</v>
      </c>
      <c r="M179" s="410"/>
      <c r="N179" s="410"/>
      <c r="R179" s="427"/>
      <c r="S179" s="427"/>
      <c r="T179" s="427"/>
      <c r="U179" s="410"/>
      <c r="V179" s="410"/>
      <c r="W179" s="410"/>
      <c r="X179" s="410"/>
      <c r="Y179" s="410"/>
      <c r="Z179" s="410"/>
      <c r="AA179" s="410"/>
      <c r="AB179" s="410"/>
      <c r="AC179" s="410"/>
      <c r="AD179" s="410"/>
      <c r="AE179" s="410"/>
      <c r="AF179" s="410"/>
      <c r="AG179" s="410"/>
      <c r="AH179" s="410"/>
      <c r="AI179" s="410"/>
      <c r="AJ179" s="410"/>
      <c r="AK179" s="410"/>
    </row>
    <row r="180" spans="1:37" x14ac:dyDescent="0.2">
      <c r="A180" s="417">
        <f t="shared" si="43"/>
        <v>4</v>
      </c>
      <c r="B180" s="410" t="s">
        <v>199</v>
      </c>
      <c r="C180" s="417"/>
      <c r="D180" s="1271"/>
      <c r="E180" s="410"/>
      <c r="F180" s="410"/>
      <c r="G180" s="859" t="str">
        <f>IF(E178=17,B$154,IF(E178=18,B$155,IF(E178=19,B$156,IF(E178=20,B$157,IF(E178=21,B$158,IF(E178=22,B$159,IF(E178=23,B$160,IF(E178=24,B$161,""))))))))</f>
        <v/>
      </c>
      <c r="H180" s="409"/>
      <c r="I180" s="410"/>
      <c r="J180" s="410"/>
      <c r="K180" s="410"/>
      <c r="L180" s="410" t="str">
        <f>IF(I178=17,B$193,IF(I178=18,B$194,IF(I178=19,B$195,IF(I178=20,B$196,IF(I178=21,B$197,"")))))</f>
        <v/>
      </c>
      <c r="M180" s="410"/>
      <c r="N180" s="410"/>
      <c r="R180" s="427">
        <f>E49</f>
        <v>16</v>
      </c>
      <c r="S180" s="427"/>
      <c r="T180" s="427"/>
      <c r="U180" s="410"/>
      <c r="V180" s="1275" t="s">
        <v>97</v>
      </c>
      <c r="W180" s="417">
        <f>R183</f>
        <v>1</v>
      </c>
      <c r="X180" s="410">
        <f>S183</f>
        <v>14</v>
      </c>
      <c r="Y180" s="409" t="str">
        <f>IF(W180=1,B$138,IF(W180=2,B$139,IF(W180=3,B$140,IF(W180=4,B$141,IF(W180=5,B$142,IF(W180=6,B$143,IF(W180=7,B$144,IF(W180=8,B$145,""))))))))</f>
        <v xml:space="preserve">Мясо отвар. с соусом </v>
      </c>
      <c r="Z180" s="410">
        <f>S183</f>
        <v>14</v>
      </c>
      <c r="AA180" s="410" t="str">
        <f>IF(X180=1,B$177,IF(X180=2,B$178,IF(X180=3,B$179,IF(X180=4,B$180,IF(X180=5,B$181,IF(X180=6,B$182,IF(X180=7,B$183,IF(X180=8,B$184," "))))))))</f>
        <v xml:space="preserve"> </v>
      </c>
      <c r="AB180" s="410"/>
      <c r="AC180" s="410"/>
      <c r="AD180" s="410"/>
      <c r="AE180" s="410"/>
      <c r="AF180" s="410"/>
      <c r="AG180" s="410"/>
      <c r="AH180" s="410"/>
      <c r="AI180" s="410"/>
      <c r="AJ180" s="410"/>
      <c r="AK180" s="410"/>
    </row>
    <row r="181" spans="1:37" x14ac:dyDescent="0.2">
      <c r="A181" s="417">
        <f t="shared" si="43"/>
        <v>5</v>
      </c>
      <c r="B181" s="410" t="s">
        <v>200</v>
      </c>
      <c r="C181" s="417"/>
      <c r="D181" s="1271"/>
      <c r="E181" s="410"/>
      <c r="F181" s="410"/>
      <c r="G181" s="850" t="str">
        <f>IF(E178=25,B$162,IF(E178=26,B$163,IF(E178=27,B$164,IF(E178=28,B$165,IF(E178=29,B$166,IF(E178=30,B$167,""))))))</f>
        <v/>
      </c>
      <c r="H181" s="410"/>
      <c r="I181" s="410"/>
      <c r="J181" s="410"/>
      <c r="K181" s="410"/>
      <c r="L181" s="410"/>
      <c r="M181" s="410"/>
      <c r="N181" s="410"/>
      <c r="R181" s="428">
        <f>E92</f>
        <v>19</v>
      </c>
      <c r="S181" s="428"/>
      <c r="T181" s="428"/>
      <c r="U181" s="410"/>
      <c r="V181" s="1275"/>
      <c r="W181" s="410"/>
      <c r="X181" s="410"/>
      <c r="Y181" s="409" t="str">
        <f>IF(W180=9,B$146,IF(W180=10,B$147,IF(W180=11,B$148,IF(W180=12,B$149,IF(W180=13,B$150,IF(W180=14,B$151,IF(W180=15,B$152,IF(W180=16,B$153,""))))))))</f>
        <v/>
      </c>
      <c r="Z181" s="410"/>
      <c r="AA181" s="410" t="str">
        <f>IF(X180=9,B$185,IF(X180=10,B$186,IF(X180=11,B$187,IF(X180=12,B$188,IF(X180=13,B$189,IF(X180=14,B$190,IF(X180=15,B$191,IF(X180=16,B$192,"  "))))))))</f>
        <v>с  гороховым пюре,</v>
      </c>
      <c r="AB181" s="410"/>
      <c r="AC181" s="410"/>
      <c r="AD181" s="410"/>
      <c r="AE181" s="410"/>
      <c r="AF181" s="410"/>
      <c r="AG181" s="410"/>
      <c r="AH181" s="410"/>
      <c r="AI181" s="410"/>
      <c r="AJ181" s="410"/>
      <c r="AK181" s="410"/>
    </row>
    <row r="182" spans="1:37" x14ac:dyDescent="0.2">
      <c r="A182" s="417">
        <f t="shared" si="43"/>
        <v>6</v>
      </c>
      <c r="B182" s="410" t="s">
        <v>201</v>
      </c>
      <c r="C182" s="417"/>
      <c r="D182" s="1271"/>
      <c r="E182" s="410"/>
      <c r="F182" s="410"/>
      <c r="G182" s="863" t="str">
        <f>CONCATENATE(G178,G179,G180,G181)</f>
        <v xml:space="preserve">Мясо отвар. с соусом </v>
      </c>
      <c r="H182" s="463"/>
      <c r="I182" s="410"/>
      <c r="J182" s="410"/>
      <c r="K182" s="410"/>
      <c r="L182" s="865" t="str">
        <f>CONCATENATE(L178,L179,L180,L181)</f>
        <v>с кашей пшеничной рас,</v>
      </c>
      <c r="M182" s="410"/>
      <c r="N182" s="458" t="str">
        <f>IF(N178=1,U$22,IF(N178=2,U$23,IF(N178=3,U$24,IF(N178=4,U$25,IF(N178=5,U$26,IF(N178=6,U$27,IF(N178=7,U$28,IF(N178=8,U$29,""))))))))</f>
        <v xml:space="preserve"> хлеб, масло, сахар, кофе натур. с молоком, сыр, яйцо</v>
      </c>
      <c r="O182" s="410" t="str">
        <f>IF($N178=9,$P$115,"")</f>
        <v/>
      </c>
      <c r="R182" s="428">
        <f>E96</f>
        <v>1</v>
      </c>
      <c r="S182" s="428"/>
      <c r="T182" s="428"/>
      <c r="U182" s="410"/>
      <c r="V182" s="1275"/>
      <c r="W182" s="410"/>
      <c r="X182" s="410"/>
      <c r="Y182" s="409" t="str">
        <f>IF(W180=17,B$154,IF(W180=18,B$155,IF(W180=19,B$156,IF(W180=20,B$157,IF(W180=21,B$158,IF(W180=22,B$159,IF(W180=23,B$160,IF(W180=24,B$161,""))))))))</f>
        <v/>
      </c>
      <c r="Z182" s="410"/>
      <c r="AA182" s="410" t="str">
        <f>IF(X180=17,B$193,"  ")</f>
        <v xml:space="preserve">  </v>
      </c>
      <c r="AB182" s="410"/>
      <c r="AC182" s="410"/>
      <c r="AD182" s="410"/>
      <c r="AE182" s="410"/>
      <c r="AF182" s="410"/>
      <c r="AG182" s="410"/>
      <c r="AH182" s="410"/>
      <c r="AI182" s="410"/>
      <c r="AJ182" s="410"/>
      <c r="AK182" s="410"/>
    </row>
    <row r="183" spans="1:37" x14ac:dyDescent="0.2">
      <c r="A183" s="417">
        <f t="shared" si="43"/>
        <v>7</v>
      </c>
      <c r="B183" s="410" t="s">
        <v>377</v>
      </c>
      <c r="C183" s="417"/>
      <c r="D183" s="1271"/>
      <c r="E183" s="410">
        <v>23</v>
      </c>
      <c r="F183" s="410"/>
      <c r="G183" s="859" t="str">
        <f>IF(E183=1,B$138,IF(E183=2,B$139,IF(E183=3,B$140,IF(E183=4,B$141,IF(E183=5,B$142,IF(E183=6,B$143,IF(E183=7,B$144,IF(E183=8,B$145,""))))))))</f>
        <v/>
      </c>
      <c r="H183" s="409"/>
      <c r="I183" s="410">
        <v>1</v>
      </c>
      <c r="J183" s="410"/>
      <c r="K183" s="410"/>
      <c r="L183" s="410" t="str">
        <f>IF(I183=1,B$177,IF(I183=2,B$178,IF(I183=3,B$179,IF(I183=4,B$180,IF(I183=5,B$181,IF(I183=6,B$182,IF(I183=7,B$183,IF(I183=8,B$184,""))))))))</f>
        <v xml:space="preserve"> с картофельным пюре, </v>
      </c>
      <c r="M183" s="410"/>
      <c r="N183" s="410">
        <v>1</v>
      </c>
      <c r="R183" s="428">
        <v>1</v>
      </c>
      <c r="S183" s="428">
        <v>14</v>
      </c>
      <c r="T183" s="428"/>
      <c r="U183" s="410"/>
      <c r="V183" s="1275"/>
      <c r="W183" s="410"/>
      <c r="X183" s="410"/>
      <c r="Y183" s="410"/>
      <c r="Z183" s="410"/>
      <c r="AA183" s="410"/>
      <c r="AB183" s="410"/>
      <c r="AC183" s="410"/>
      <c r="AD183" s="410">
        <f>IF(R183=1,AI$118,IF(R183=2,AK$119,IF(R183=3,AK$120,IF(R183=4,AK$119,IF(R183=5,AK$121,IF(R183=6,AK$121,IF(R183=7,AK$121,IF(R183=8,AK$121,0))))))))</f>
        <v>46</v>
      </c>
      <c r="AE183" s="410">
        <f>IF(R183=9,AK$122,IF(R183=10,AK$122,IF(R183=11,AK$122,IF(R183=12,AK$123,IF(R183=13,AK$121,IF(R183=14,AK$121,IF(R183=15,AK$121,IF(R183=16,AI$118,0))))))))</f>
        <v>0</v>
      </c>
      <c r="AF183" s="410">
        <f>IF(R183=17,AG$118,IF(R183=18,AG$119,IF(R183=19,75,IF(R183=20,96,IF(R183=21,AB$136,IF(R183=22,AB$136,IF(R183&gt;22,$AC181,0)))))))</f>
        <v>0</v>
      </c>
      <c r="AG183" s="460">
        <f>SUM(AD183:AF183)</f>
        <v>46</v>
      </c>
      <c r="AH183" s="410"/>
      <c r="AI183" s="410"/>
      <c r="AJ183" s="410"/>
      <c r="AK183" s="410"/>
    </row>
    <row r="184" spans="1:37" x14ac:dyDescent="0.2">
      <c r="A184" s="417">
        <f t="shared" si="43"/>
        <v>8</v>
      </c>
      <c r="B184" s="410" t="s">
        <v>206</v>
      </c>
      <c r="C184" s="417"/>
      <c r="D184" s="1271"/>
      <c r="E184" s="410"/>
      <c r="F184" s="410"/>
      <c r="G184" s="859" t="str">
        <f>IF(E183=9,B$146,IF(E183=10,B$147,IF(E183=11,B$148,IF(E183=12,B$149,IF(E183=13,B$150,IF(E183=14,B$151,IF(E183=15,B$152,IF(E183=16,B$153,""))))))))</f>
        <v/>
      </c>
      <c r="H184" s="409"/>
      <c r="I184" s="410"/>
      <c r="J184" s="410"/>
      <c r="K184" s="410"/>
      <c r="L184" s="410" t="str">
        <f>IF(I183=9,B$185,IF(I183=10,B$186,IF(I183=11,B$187,IF(I183=12,B$188,IF(I183=13,B$189,IF(I183=14,B$190,IF(I183=15,B$191,IF(I183=16,B$192,""))))))))</f>
        <v/>
      </c>
      <c r="M184" s="410"/>
      <c r="N184" s="410"/>
      <c r="R184" s="428">
        <v>1</v>
      </c>
      <c r="S184" s="428">
        <v>12</v>
      </c>
      <c r="T184" s="428"/>
      <c r="U184" s="410"/>
      <c r="V184" s="1275"/>
      <c r="W184" s="410"/>
      <c r="X184" s="410"/>
      <c r="Y184" s="463" t="str">
        <f>CONCATENATE(Y180,Y181,Y182,Y183)</f>
        <v xml:space="preserve">Мясо отвар. с соусом </v>
      </c>
      <c r="Z184" s="410"/>
      <c r="AA184" s="464" t="str">
        <f>CONCATENATE(AA180,AA181,AA182,AA183)</f>
        <v xml:space="preserve"> с  гороховым пюре,  </v>
      </c>
      <c r="AB184" s="410"/>
      <c r="AC184" s="413">
        <f>AC136</f>
        <v>60</v>
      </c>
      <c r="AD184" s="410">
        <f>IF(R184=1,AI$118,IF(R184=2,AK$119,IF(R184=3,AK$120,IF(R184=4,AK$119,IF(R184=5,AK$121,IF(R184=6,AK$121,IF(R184=7,AK$121,IF(R184=8,AK$121,0))))))))</f>
        <v>46</v>
      </c>
      <c r="AE184" s="410">
        <f>IF(R184=9,AK$122,IF(R184=10,AK$122,IF(R184=11,AK$122,IF(R184=12,AK$123,IF(R184=13,AK$121,IF(R184=14,AK$121,IF(R184=15,AK$121,IF(R184=16,AI$118,0))))))))</f>
        <v>0</v>
      </c>
      <c r="AF184" s="410">
        <f>IF(R184=17,AG$118,IF(R184=18,AG$119,IF(R184=19,75,IF(R184=20,96,IF(R184=21,AB$136,IF(R184=22,AB$136,IF(R184&gt;22,$AC182,0)))))))</f>
        <v>0</v>
      </c>
      <c r="AG184" s="460">
        <f>SUM(AD184:AF184)</f>
        <v>46</v>
      </c>
      <c r="AH184" s="410"/>
      <c r="AI184" s="410"/>
      <c r="AJ184" s="410"/>
      <c r="AK184" s="410"/>
    </row>
    <row r="185" spans="1:37" x14ac:dyDescent="0.2">
      <c r="A185" s="417">
        <f t="shared" si="43"/>
        <v>9</v>
      </c>
      <c r="B185" s="410" t="s">
        <v>207</v>
      </c>
      <c r="C185" s="417"/>
      <c r="D185" s="1271"/>
      <c r="E185" s="410"/>
      <c r="F185" s="410"/>
      <c r="G185" s="859" t="str">
        <f>IF(E183=17,B$154,IF(E183=18,B$155,IF(E183=19,B$156,IF(E183=20,B$157,IF(E183=21,B$158,IF(E183=22,B$159,IF(E183=23,B$160,IF(E183=24,B$161,""))))))))</f>
        <v xml:space="preserve">Рыба жареная, </v>
      </c>
      <c r="H185" s="409"/>
      <c r="I185" s="410"/>
      <c r="J185" s="410"/>
      <c r="K185" s="410"/>
      <c r="L185" s="410" t="str">
        <f>IF(I183=17,B$193,IF(I183=18,B$194,IF(I183=19,B$195,IF(I183=20,B$196,IF(I183=21,B$197,"")))))</f>
        <v/>
      </c>
      <c r="M185" s="410"/>
      <c r="N185" s="410"/>
      <c r="R185" s="428">
        <v>1</v>
      </c>
      <c r="S185" s="428"/>
      <c r="T185" s="428"/>
      <c r="U185" s="410"/>
      <c r="V185" s="1275"/>
      <c r="W185" s="417">
        <f>R184</f>
        <v>1</v>
      </c>
      <c r="X185" s="410">
        <f>S184</f>
        <v>12</v>
      </c>
      <c r="Y185" s="409" t="str">
        <f>IF(W185=1,B$138,IF(W185=2,B$139,IF(W185=3,B$140,IF(W185=4,B$141,IF(W185=5,B$142,IF(W185=6,B$143,IF(W185=7,B$144,IF(W185=8,B$145,""))))))))</f>
        <v xml:space="preserve">Мясо отвар. с соусом </v>
      </c>
      <c r="Z185" s="410">
        <f>S184</f>
        <v>12</v>
      </c>
      <c r="AA185" s="410" t="str">
        <f>IF(X185=1,B$177,IF(X185=2,B$178,IF(X185=3,B$179,IF(X185=4,B$180,IF(X185=5,B$181,IF(X185=6,B$182,IF(X185=7,B$183,IF(X185=8,B$184," "))))))))</f>
        <v xml:space="preserve"> </v>
      </c>
      <c r="AB185" s="410"/>
      <c r="AC185" s="410"/>
      <c r="AD185" s="410"/>
      <c r="AE185" s="410"/>
      <c r="AF185" s="410"/>
      <c r="AG185" s="410"/>
      <c r="AH185" s="410"/>
      <c r="AI185" s="410"/>
      <c r="AJ185" s="410"/>
      <c r="AK185" s="410"/>
    </row>
    <row r="186" spans="1:37" x14ac:dyDescent="0.2">
      <c r="A186" s="417">
        <f t="shared" si="43"/>
        <v>10</v>
      </c>
      <c r="B186" s="410" t="s">
        <v>208</v>
      </c>
      <c r="C186" s="417"/>
      <c r="D186" s="1271"/>
      <c r="E186" s="410"/>
      <c r="F186" s="410"/>
      <c r="G186" s="850" t="str">
        <f>IF(E183=25,B$162,IF(E183=26,B$163,IF(E183=27,B$164,IF(E183=28,B$165,""))))</f>
        <v/>
      </c>
      <c r="H186" s="410"/>
      <c r="I186" s="410"/>
      <c r="J186" s="410"/>
      <c r="K186" s="410"/>
      <c r="L186" s="410"/>
      <c r="M186" s="410"/>
      <c r="N186" s="410"/>
      <c r="R186" s="428">
        <f>E173</f>
        <v>21</v>
      </c>
      <c r="S186" s="428">
        <f>I173</f>
        <v>10</v>
      </c>
      <c r="T186" s="428">
        <f>N173</f>
        <v>1</v>
      </c>
      <c r="U186" s="410"/>
      <c r="V186" s="1275"/>
      <c r="W186" s="410"/>
      <c r="X186" s="410"/>
      <c r="Y186" s="409" t="str">
        <f>IF(W185=9,B$146,IF(W185=10,B$147,IF(W185=11,B$148,IF(W185=12,B$149,IF(W185=13,B$150,IF(W185=14,B$151,IF(W185=15,B$152,IF(W185=16,B$153,""))))))))</f>
        <v/>
      </c>
      <c r="Z186" s="410"/>
      <c r="AA186" s="410" t="str">
        <f>IF(X185=9,B$185,IF(X185=10,B$186,IF(X185=11,B$187,IF(X185=12,B$188,IF(X185=13,B$189,IF(X185=14,B$190,IF(X185=15,B$191,IF(X185=16,B$192,"  "))))))))</f>
        <v>с кашей ячневой рас,</v>
      </c>
      <c r="AB186" s="410"/>
      <c r="AC186" s="410"/>
      <c r="AD186" s="410">
        <f>IF(R186=1,AI$118,IF(R186=2,AK$119,IF(R186=3,AK$120,IF(R186=4,AK$119,IF(R186=5,AK$121,IF(R186=6,AK$121,IF(R186=7,AK$121,IF(R186=8,AK$121,0))))))))</f>
        <v>0</v>
      </c>
      <c r="AE186" s="410">
        <f>IF(R186=9,AK$122,IF(R186=10,AK$122,IF(R186=11,AK$122,IF(R186=12,AK$123,IF(R186=13,AK$121,IF(R186=14,AK$121,IF(R186=15,AK$121,IF(R186=16,AI$118,0))))))))</f>
        <v>0</v>
      </c>
      <c r="AF186" s="410">
        <f>IF(R186=17,AI$118,IF(R186=18,AK$119,IF(R186=19,75,IF(R186=20,96,IF(R186=21,AB$136,IF(R186=22,AB$136,IF(R186&gt;22,$AC184,0)))))))</f>
        <v>80</v>
      </c>
      <c r="AG186" s="460">
        <f>SUM(AD186:AF186)</f>
        <v>80</v>
      </c>
      <c r="AH186" s="410"/>
      <c r="AI186" s="410"/>
      <c r="AJ186" s="410"/>
      <c r="AK186" s="410"/>
    </row>
    <row r="187" spans="1:37" ht="12.75" thickBot="1" x14ac:dyDescent="0.25">
      <c r="A187" s="417">
        <f t="shared" si="43"/>
        <v>11</v>
      </c>
      <c r="B187" s="410" t="s">
        <v>209</v>
      </c>
      <c r="C187" s="417"/>
      <c r="D187" s="1272"/>
      <c r="E187" s="855"/>
      <c r="F187" s="855"/>
      <c r="G187" s="864" t="str">
        <f>CONCATENATE(G183,G184,G185,G186)</f>
        <v xml:space="preserve">Рыба жареная, </v>
      </c>
      <c r="H187" s="463"/>
      <c r="I187" s="410"/>
      <c r="J187" s="410"/>
      <c r="K187" s="410"/>
      <c r="L187" s="865" t="str">
        <f>CONCATENATE(L183,L184,L185,L186)</f>
        <v xml:space="preserve"> с картофельным пюре, </v>
      </c>
      <c r="M187" s="410"/>
      <c r="N187" s="458" t="str">
        <f>IF(N183=1,V$78,IF(N183=2,V$79,IF(N183=3,V$80,IF(N183=4,V$81,IF(N183=5,V$82,IF(N183=6,V$83,IF(N183=7,V$84,IF(N183=8,V$85,""))))))))</f>
        <v xml:space="preserve"> хлеб, масло, сахар, чай </v>
      </c>
      <c r="O187" s="410" t="str">
        <f>IF($N183=9,$P$115,"")</f>
        <v/>
      </c>
      <c r="R187" s="428"/>
      <c r="S187" s="428"/>
      <c r="T187" s="428"/>
      <c r="U187" s="410"/>
      <c r="V187" s="1275"/>
      <c r="W187" s="410"/>
      <c r="X187" s="410"/>
      <c r="Y187" s="409" t="str">
        <f>IF(W185=17,B$154,IF(W185=18,B$155,IF(W185=19,B$156,IF(W185=20,B$157,IF(W185=21,B$158,IF(W185=22,B$159,IF(W185=23,B$160,IF(W185=24,B$161,""))))))))</f>
        <v/>
      </c>
      <c r="Z187" s="410"/>
      <c r="AA187" s="410" t="str">
        <f>IF(X185=17,B$193,"  ")</f>
        <v xml:space="preserve">  </v>
      </c>
      <c r="AB187" s="410"/>
      <c r="AC187" s="410"/>
      <c r="AD187" s="410"/>
      <c r="AE187" s="410"/>
      <c r="AF187" s="410"/>
      <c r="AG187" s="410"/>
      <c r="AH187" s="410"/>
      <c r="AI187" s="410"/>
      <c r="AJ187" s="410"/>
      <c r="AK187" s="410"/>
    </row>
    <row r="188" spans="1:37" x14ac:dyDescent="0.2">
      <c r="A188" s="417">
        <f t="shared" si="43"/>
        <v>12</v>
      </c>
      <c r="B188" s="410" t="s">
        <v>210</v>
      </c>
      <c r="C188" s="417"/>
      <c r="D188" s="1270" t="s">
        <v>99</v>
      </c>
      <c r="E188" s="862">
        <v>1</v>
      </c>
      <c r="F188" s="846"/>
      <c r="G188" s="858" t="str">
        <f>IF(E188=1,B$138,IF(E188=2,B$139,IF(E188=3,B$140,IF(E188=4,B$141,IF(E188=5,B$142,IF(E188=6,B$143,IF(E188=7,B$144,IF(E188=8,B$145,""))))))))</f>
        <v xml:space="preserve">Мясо отвар. с соусом </v>
      </c>
      <c r="H188" s="409"/>
      <c r="I188" s="410">
        <v>8</v>
      </c>
      <c r="J188" s="410"/>
      <c r="K188" s="410"/>
      <c r="L188" s="410" t="str">
        <f>IF(I188=1,B$177,IF(I188=2,B$178,IF(I188=3,B$179,IF(I188=4,B$180,IF(I188=5,B$181,IF(I188=6,B$182,IF(I188=7,B$183,IF(I188=8,B$184,""))))))))</f>
        <v>с кашей гречневой рас,</v>
      </c>
      <c r="M188" s="410"/>
      <c r="N188" s="410">
        <v>5</v>
      </c>
      <c r="R188" s="428"/>
      <c r="S188" s="428"/>
      <c r="T188" s="428"/>
      <c r="U188" s="410"/>
      <c r="V188" s="1275"/>
      <c r="W188" s="410"/>
      <c r="X188" s="410"/>
      <c r="Y188" s="410"/>
      <c r="Z188" s="410"/>
      <c r="AA188" s="410"/>
      <c r="AB188" s="410"/>
      <c r="AC188" s="410"/>
      <c r="AD188" s="410"/>
      <c r="AE188" s="410"/>
      <c r="AF188" s="410"/>
      <c r="AG188" s="410"/>
      <c r="AH188" s="410"/>
      <c r="AI188" s="410"/>
      <c r="AJ188" s="410"/>
      <c r="AK188" s="410"/>
    </row>
    <row r="189" spans="1:37" x14ac:dyDescent="0.2">
      <c r="A189" s="417">
        <f t="shared" si="43"/>
        <v>13</v>
      </c>
      <c r="B189" s="410" t="str">
        <f>IF(B213=2,"с кашей на осн. конц. вяз,","с кашей овсяной вяз,")</f>
        <v>с кашей овсяной вяз,</v>
      </c>
      <c r="C189" s="417"/>
      <c r="D189" s="1271"/>
      <c r="E189" s="410"/>
      <c r="F189" s="410"/>
      <c r="G189" s="859" t="str">
        <f>IF(E188=9,B$146,IF(E188=10,B$147,IF(E188=11,B$148,IF(E188=12,B$149,IF(E188=13,B$150,IF(E188=14,B$151,IF(E188=15,B$152,IF(E188=16,B$153,""))))))))</f>
        <v/>
      </c>
      <c r="H189" s="409"/>
      <c r="I189" s="410"/>
      <c r="J189" s="410"/>
      <c r="K189" s="410"/>
      <c r="L189" s="410" t="str">
        <f>IF(I188=9,B$185,IF(I188=10,B$186,IF(I188=11,B$187,IF(I188=12,B$188,IF(I188=13,B$189,IF(I188=14,B$190,IF(I188=15,B$191,IF(I188=16,B$192,""))))))))</f>
        <v/>
      </c>
      <c r="M189" s="410"/>
      <c r="N189" s="410"/>
      <c r="R189" s="420"/>
      <c r="S189" s="420"/>
      <c r="T189" s="420"/>
      <c r="U189" s="410"/>
      <c r="V189" s="1275"/>
      <c r="W189" s="410"/>
      <c r="X189" s="410"/>
      <c r="Y189" s="463" t="str">
        <f>CONCATENATE(Y185,Y186,Y187,Y188)</f>
        <v xml:space="preserve">Мясо отвар. с соусом </v>
      </c>
      <c r="Z189" s="410"/>
      <c r="AA189" s="463" t="str">
        <f>CONCATENATE(AA185,AA186,AA187,AA188)</f>
        <v xml:space="preserve"> с кашей ячневой рас,  </v>
      </c>
      <c r="AB189" s="410"/>
      <c r="AC189" s="410"/>
      <c r="AD189" s="410"/>
      <c r="AE189" s="410"/>
      <c r="AF189" s="410"/>
      <c r="AG189" s="410"/>
      <c r="AH189" s="410"/>
      <c r="AI189" s="410"/>
      <c r="AJ189" s="410"/>
      <c r="AK189" s="410"/>
    </row>
    <row r="190" spans="1:37" x14ac:dyDescent="0.2">
      <c r="A190" s="417">
        <f t="shared" si="43"/>
        <v>14</v>
      </c>
      <c r="B190" s="410" t="s">
        <v>211</v>
      </c>
      <c r="C190" s="417"/>
      <c r="D190" s="1271"/>
      <c r="E190" s="410"/>
      <c r="F190" s="410"/>
      <c r="G190" s="859" t="str">
        <f>IF(E188=17,B$154,IF(E188=18,B$155,IF(E188=19,B$156,IF(E188=20,B$157,IF(E188=21,B$158,IF(E188=22,B$159,IF(E188=23,B$160,IF(E188=24,B$161,""))))))))</f>
        <v/>
      </c>
      <c r="H190" s="409"/>
      <c r="I190" s="410"/>
      <c r="J190" s="410"/>
      <c r="K190" s="410"/>
      <c r="L190" s="410" t="str">
        <f>IF(I188=17,B$193,IF(I188=18,B$194,IF(I188=19,B$195,IF(I188=20,B$196,IF(I188=21,B$197,"")))))</f>
        <v/>
      </c>
      <c r="M190" s="410"/>
      <c r="N190" s="410"/>
      <c r="Q190" s="410" t="str">
        <f>IF(A28=TRUE,$R$90,"")</f>
        <v/>
      </c>
      <c r="R190" s="417"/>
      <c r="S190" s="417"/>
      <c r="T190" s="417"/>
      <c r="U190" s="458" t="str">
        <f>IF(R185=1,CONCATENATE(P$128,$Q$151),IF(R185=2,CONCATENATE(P$129,$Q$151),IF(R185=3,CONCATENATE(P$130,$Q$151),IF(R185=4,CONCATENATE(P$131,$Q$151),IF(R185=5,CONCATENATE(P$132,$Q$151),IF(R185=6,CONCATENATE(P$133,$Q$151),P$134))))))</f>
        <v>Сок, хлеб</v>
      </c>
      <c r="V190" s="410"/>
      <c r="W190" s="410"/>
      <c r="X190" s="410"/>
      <c r="Y190" s="410"/>
      <c r="Z190" s="410"/>
      <c r="AA190" s="410"/>
      <c r="AB190" s="410"/>
      <c r="AC190" s="410"/>
      <c r="AD190" s="410"/>
      <c r="AE190" s="410"/>
      <c r="AF190" s="410"/>
      <c r="AG190" s="410"/>
      <c r="AH190" s="410"/>
      <c r="AI190" s="410"/>
      <c r="AJ190" s="410"/>
      <c r="AK190" s="410"/>
    </row>
    <row r="191" spans="1:37" x14ac:dyDescent="0.2">
      <c r="A191" s="417">
        <f t="shared" si="43"/>
        <v>15</v>
      </c>
      <c r="B191" s="410" t="s">
        <v>279</v>
      </c>
      <c r="C191" s="417"/>
      <c r="D191" s="1271"/>
      <c r="E191" s="410"/>
      <c r="F191" s="410"/>
      <c r="G191" s="850" t="str">
        <f>IF(E188=25,B$162,IF(E188=26,B$163,IF(E188=27,B$164,IF(E188=28,B$165,IF(E188=29,B$166,IF(E188=30,B$167,""))))))</f>
        <v/>
      </c>
      <c r="H191" s="410"/>
      <c r="I191" s="410"/>
      <c r="J191" s="410"/>
      <c r="K191" s="410"/>
      <c r="L191" s="410"/>
      <c r="M191" s="410"/>
      <c r="N191" s="410"/>
      <c r="R191" s="465"/>
      <c r="S191" s="465"/>
      <c r="T191" s="465"/>
      <c r="U191" s="410"/>
      <c r="V191" s="410"/>
      <c r="W191" s="410"/>
      <c r="X191" s="410"/>
      <c r="Y191" s="410"/>
      <c r="Z191" s="410"/>
      <c r="AA191" s="410"/>
      <c r="AB191" s="410"/>
      <c r="AC191" s="410"/>
      <c r="AD191" s="410"/>
      <c r="AE191" s="410"/>
      <c r="AF191" s="410"/>
      <c r="AG191" s="410"/>
      <c r="AH191" s="410"/>
      <c r="AI191" s="410"/>
      <c r="AJ191" s="410"/>
      <c r="AK191" s="410"/>
    </row>
    <row r="192" spans="1:37" x14ac:dyDescent="0.2">
      <c r="A192" s="417">
        <f t="shared" si="43"/>
        <v>16</v>
      </c>
      <c r="B192" s="410" t="s">
        <v>202</v>
      </c>
      <c r="C192" s="417"/>
      <c r="D192" s="1271"/>
      <c r="E192" s="410"/>
      <c r="F192" s="410"/>
      <c r="G192" s="863" t="str">
        <f>CONCATENATE(G188,G189,G190,G191)</f>
        <v xml:space="preserve">Мясо отвар. с соусом </v>
      </c>
      <c r="H192" s="463"/>
      <c r="I192" s="410"/>
      <c r="J192" s="410"/>
      <c r="K192" s="410"/>
      <c r="L192" s="865" t="str">
        <f>CONCATENATE(L188,L189,L190,L191)</f>
        <v>с кашей гречневой рас,</v>
      </c>
      <c r="M192" s="410"/>
      <c r="N192" s="458" t="str">
        <f>IF(N188=1,U$22,IF(N188=2,U$23,IF(N188=3,U$24,IF(N188=4,U$25,IF(N188=5,U$26,IF(N188=6,U$27,IF(N188=7,U$28,IF(N188=8,U$29,""))))))))</f>
        <v xml:space="preserve"> хлеб, масло, сахар, кофе натур. с молоком, яйцо</v>
      </c>
      <c r="O192" s="410" t="str">
        <f>IF($N188=9,$P$115,"")</f>
        <v/>
      </c>
      <c r="R192" s="465"/>
      <c r="S192" s="465"/>
      <c r="T192" s="465"/>
      <c r="U192" s="410"/>
      <c r="V192" s="410"/>
      <c r="W192" s="410"/>
      <c r="X192" s="410"/>
      <c r="Y192" s="410"/>
      <c r="Z192" s="410"/>
      <c r="AA192" s="410"/>
      <c r="AB192" s="410"/>
      <c r="AC192" s="410"/>
      <c r="AD192" s="410"/>
      <c r="AE192" s="410"/>
      <c r="AF192" s="410"/>
      <c r="AG192" s="410"/>
      <c r="AH192" s="410"/>
      <c r="AI192" s="410"/>
      <c r="AJ192" s="410"/>
      <c r="AK192" s="410"/>
    </row>
    <row r="193" spans="1:37" x14ac:dyDescent="0.2">
      <c r="A193" s="417">
        <f t="shared" si="43"/>
        <v>17</v>
      </c>
      <c r="B193" s="410" t="s">
        <v>513</v>
      </c>
      <c r="C193" s="417"/>
      <c r="D193" s="1271"/>
      <c r="E193" s="417">
        <v>22</v>
      </c>
      <c r="F193" s="410"/>
      <c r="G193" s="859" t="str">
        <f>IF(E193=1,B$138,IF(E193=2,B$139,IF(E193=3,B$140,IF(E193=4,B$141,IF(E193=5,B$142,IF(E193=6,B$143,IF(E193=7,B$144,IF(E193=8,B$145,""))))))))</f>
        <v/>
      </c>
      <c r="H193" s="409"/>
      <c r="I193" s="410">
        <v>10</v>
      </c>
      <c r="J193" s="410"/>
      <c r="K193" s="410"/>
      <c r="L193" s="410" t="str">
        <f>IF(I193=1,B$177,IF(I193=2,B$178,IF(I193=3,B$179,IF(I193=4,B$180,IF(I193=5,B$181,IF(I193=6,B$182,IF(I193=7,B$183,IF(I193=8,B$184,""))))))))</f>
        <v/>
      </c>
      <c r="M193" s="410"/>
      <c r="N193" s="410">
        <v>3</v>
      </c>
      <c r="R193" s="465"/>
      <c r="S193" s="465"/>
      <c r="T193" s="465"/>
      <c r="U193" s="410"/>
      <c r="V193" s="410"/>
      <c r="W193" s="410"/>
      <c r="X193" s="410"/>
      <c r="Y193" s="410"/>
      <c r="Z193" s="410"/>
      <c r="AA193" s="410"/>
      <c r="AB193" s="410"/>
      <c r="AC193" s="410"/>
      <c r="AD193" s="410"/>
      <c r="AE193" s="410"/>
      <c r="AF193" s="410"/>
      <c r="AG193" s="410"/>
      <c r="AH193" s="410"/>
      <c r="AI193" s="410"/>
      <c r="AJ193" s="410"/>
      <c r="AK193" s="410"/>
    </row>
    <row r="194" spans="1:37" x14ac:dyDescent="0.2">
      <c r="A194" s="417">
        <f t="shared" si="43"/>
        <v>18</v>
      </c>
      <c r="B194" s="410" t="s">
        <v>512</v>
      </c>
      <c r="C194" s="417"/>
      <c r="D194" s="1271"/>
      <c r="E194" s="410"/>
      <c r="F194" s="410"/>
      <c r="G194" s="859" t="str">
        <f>IF(E193=9,B$146,IF(E193=10,B$147,IF(E193=11,B$148,IF(E193=12,B$149,IF(E193=13,B$150,IF(E193=14,B$151,IF(E193=15,B$152,IF(E193=16,B$153,""))))))))</f>
        <v/>
      </c>
      <c r="H194" s="409"/>
      <c r="I194" s="410"/>
      <c r="J194" s="410"/>
      <c r="K194" s="410"/>
      <c r="L194" s="410" t="str">
        <f>IF(I193=9,B$185,IF(I193=10,B$186,IF(I193=11,B$187,IF(I193=12,B$188,IF(I193=13,B$189,IF(I193=14,B$190,IF(I193=15,B$191,IF(I193=16,B$192,""))))))))</f>
        <v>с кашей пшенной рас,</v>
      </c>
      <c r="M194" s="410"/>
      <c r="N194" s="410"/>
      <c r="R194" s="465"/>
      <c r="S194" s="465"/>
      <c r="T194" s="465"/>
      <c r="U194" s="410"/>
      <c r="V194" s="410"/>
      <c r="W194" s="410"/>
      <c r="X194" s="410"/>
      <c r="Y194" s="410"/>
      <c r="Z194" s="410"/>
      <c r="AA194" s="410"/>
      <c r="AB194" s="410"/>
      <c r="AC194" s="410"/>
      <c r="AD194" s="410"/>
      <c r="AE194" s="410"/>
      <c r="AF194" s="410"/>
      <c r="AG194" s="410"/>
      <c r="AH194" s="410"/>
      <c r="AI194" s="410"/>
      <c r="AJ194" s="410"/>
      <c r="AK194" s="410"/>
    </row>
    <row r="195" spans="1:37" ht="12.75" customHeight="1" x14ac:dyDescent="0.2">
      <c r="A195" s="417">
        <f t="shared" si="43"/>
        <v>19</v>
      </c>
      <c r="B195" s="410" t="s">
        <v>573</v>
      </c>
      <c r="C195" s="410"/>
      <c r="D195" s="1271"/>
      <c r="E195" s="410"/>
      <c r="F195" s="410"/>
      <c r="G195" s="859" t="str">
        <f>IF(E193=17,B$154,IF(E193=18,B$155,IF(E193=19,B$156,IF(E193=20,B$157,IF(E193=21,B$158,IF(E193=22,B$159,IF(E193=23,B$160,IF(E193=24,B$161,""))))))))</f>
        <v xml:space="preserve">Рыба припущенная, </v>
      </c>
      <c r="H195" s="409"/>
      <c r="I195" s="410"/>
      <c r="J195" s="410"/>
      <c r="K195" s="410"/>
      <c r="L195" s="410" t="str">
        <f>IF(I193=17,B$193,IF(I193=18,B$194,IF(I193=19,B$195,IF(I193=20,B$196,IF(I193=21,B$197,"")))))</f>
        <v/>
      </c>
      <c r="M195" s="410"/>
      <c r="N195" s="410"/>
      <c r="R195" s="465"/>
      <c r="S195" s="465"/>
      <c r="T195" s="465"/>
      <c r="U195" s="410"/>
      <c r="V195" s="410"/>
      <c r="W195" s="410"/>
      <c r="X195" s="410"/>
      <c r="Y195" s="410"/>
      <c r="Z195" s="410"/>
      <c r="AA195" s="410"/>
      <c r="AB195" s="410"/>
      <c r="AC195" s="410"/>
      <c r="AD195" s="410"/>
      <c r="AE195" s="410"/>
      <c r="AF195" s="410"/>
      <c r="AG195" s="410"/>
      <c r="AH195" s="410"/>
      <c r="AI195" s="410"/>
      <c r="AJ195" s="410"/>
      <c r="AK195" s="410"/>
    </row>
    <row r="196" spans="1:37" x14ac:dyDescent="0.2">
      <c r="A196" s="417">
        <f t="shared" si="43"/>
        <v>20</v>
      </c>
      <c r="B196" s="410" t="s">
        <v>574</v>
      </c>
      <c r="C196" s="410"/>
      <c r="D196" s="1271"/>
      <c r="E196" s="410"/>
      <c r="F196" s="410"/>
      <c r="G196" s="850" t="str">
        <f>IF(E193=25,B$162,IF(E193=26,B$163,IF(E193=27,B$164,IF(E193=28,B$165,""))))</f>
        <v/>
      </c>
      <c r="H196" s="410"/>
      <c r="I196" s="410"/>
      <c r="J196" s="410"/>
      <c r="K196" s="410"/>
      <c r="L196" s="410"/>
      <c r="M196" s="410"/>
      <c r="N196" s="410"/>
      <c r="R196" s="465"/>
      <c r="S196" s="465"/>
      <c r="T196" s="465"/>
      <c r="U196" s="410"/>
      <c r="V196" s="410"/>
      <c r="W196" s="410"/>
      <c r="X196" s="410"/>
      <c r="Y196" s="410"/>
      <c r="Z196" s="410"/>
      <c r="AA196" s="410"/>
      <c r="AB196" s="410"/>
      <c r="AC196" s="410"/>
      <c r="AD196" s="410"/>
      <c r="AE196" s="410"/>
      <c r="AF196" s="410"/>
      <c r="AG196" s="410"/>
      <c r="AH196" s="410"/>
      <c r="AI196" s="410"/>
      <c r="AJ196" s="410"/>
      <c r="AK196" s="410"/>
    </row>
    <row r="197" spans="1:37" ht="12.75" thickBot="1" x14ac:dyDescent="0.25">
      <c r="A197" s="417">
        <f t="shared" si="43"/>
        <v>21</v>
      </c>
      <c r="B197" s="410" t="s">
        <v>575</v>
      </c>
      <c r="C197" s="410"/>
      <c r="D197" s="1272"/>
      <c r="E197" s="855"/>
      <c r="F197" s="855"/>
      <c r="G197" s="864" t="str">
        <f>CONCATENATE(G193,G194,G195,G196)</f>
        <v xml:space="preserve">Рыба припущенная, </v>
      </c>
      <c r="H197" s="463"/>
      <c r="I197" s="410"/>
      <c r="J197" s="410"/>
      <c r="K197" s="410"/>
      <c r="L197" s="865" t="str">
        <f>CONCATENATE(L193,L194,L195,L196)</f>
        <v>с кашей пшенной рас,</v>
      </c>
      <c r="M197" s="410"/>
      <c r="N197" s="458" t="str">
        <f>IF(N193=1,V$92,IF(N193=2,V$93,IF(N193=3,V$94,IF(N193=4,V$95,IF(N193=5,V$96,IF(N193=6,V$97,IF(N193=7,V$98,IF(N193=8,V$99,""))))))))</f>
        <v xml:space="preserve"> хлеб, масло, сахар, чай, омлет, булочка</v>
      </c>
      <c r="O197" s="410" t="str">
        <f>IF($N193=9,$P$115,"")</f>
        <v/>
      </c>
      <c r="R197" s="465"/>
      <c r="S197" s="465"/>
      <c r="T197" s="465"/>
      <c r="U197" s="410"/>
      <c r="V197" s="410"/>
      <c r="W197" s="410"/>
      <c r="X197" s="410"/>
      <c r="Y197" s="410"/>
      <c r="Z197" s="410"/>
      <c r="AA197" s="410"/>
      <c r="AB197" s="410"/>
      <c r="AC197" s="410"/>
      <c r="AD197" s="410"/>
      <c r="AE197" s="410"/>
      <c r="AF197" s="410"/>
      <c r="AG197" s="410"/>
      <c r="AH197" s="410"/>
      <c r="AI197" s="410"/>
      <c r="AJ197" s="410"/>
      <c r="AK197" s="410"/>
    </row>
    <row r="198" spans="1:37" x14ac:dyDescent="0.2">
      <c r="A198" s="410"/>
      <c r="B198" s="410"/>
      <c r="C198" s="410"/>
      <c r="D198" s="1270" t="s">
        <v>100</v>
      </c>
      <c r="E198" s="862">
        <v>1</v>
      </c>
      <c r="F198" s="846"/>
      <c r="G198" s="858" t="str">
        <f>IF(E198=1,B$138,IF(E198=2,B$139,IF(E198=3,B$140,IF(E198=4,B$141,IF(E198=5,B$142,IF(E198=6,B$143,IF(E198=7,B$144,IF(E198=8,B$145,""))))))))</f>
        <v xml:space="preserve">Мясо отвар. с соусом </v>
      </c>
      <c r="H198" s="409"/>
      <c r="I198" s="410">
        <v>9</v>
      </c>
      <c r="J198" s="410"/>
      <c r="K198" s="410"/>
      <c r="L198" s="410" t="str">
        <f>IF(I198=1,B$177,IF(I198=2,B$178,IF(I198=3,B$179,IF(I198=4,B$180,IF(I198=5,B$181,IF(I198=6,B$182,IF(I198=7,B$183,IF(I198=8,B$184,""))))))))</f>
        <v/>
      </c>
      <c r="M198" s="410"/>
      <c r="N198" s="410">
        <v>3</v>
      </c>
      <c r="R198" s="465"/>
      <c r="S198" s="465"/>
      <c r="T198" s="465"/>
      <c r="U198" s="410"/>
      <c r="V198" s="410"/>
      <c r="W198" s="410"/>
      <c r="X198" s="410"/>
      <c r="Y198" s="410"/>
      <c r="Z198" s="410"/>
      <c r="AA198" s="410"/>
      <c r="AB198" s="410"/>
      <c r="AC198" s="410"/>
      <c r="AD198" s="410"/>
      <c r="AE198" s="410"/>
      <c r="AF198" s="410"/>
      <c r="AG198" s="410"/>
      <c r="AH198" s="410"/>
      <c r="AI198" s="410"/>
      <c r="AJ198" s="410"/>
      <c r="AK198" s="410"/>
    </row>
    <row r="199" spans="1:37" x14ac:dyDescent="0.2">
      <c r="A199" s="410"/>
      <c r="B199" s="410"/>
      <c r="C199" s="410"/>
      <c r="D199" s="1271"/>
      <c r="E199" s="410"/>
      <c r="F199" s="410"/>
      <c r="G199" s="859" t="str">
        <f>IF(E198=9,B$146,IF(E198=10,B$147,IF(E198=11,B$148,IF(E198=12,B$149,IF(E198=13,B$150,IF(E198=14,B$151,IF(E198=15,B$152,IF(E198=16,B$153,""))))))))</f>
        <v/>
      </c>
      <c r="H199" s="409"/>
      <c r="I199" s="410"/>
      <c r="J199" s="410"/>
      <c r="K199" s="410"/>
      <c r="L199" s="410" t="str">
        <f>IF(I198=9,B$185,IF(I198=10,B$186,IF(I198=11,B$187,IF(I198=12,B$188,IF(I198=13,B$189,IF(I198=14,B$190,IF(I198=15,B$191,IF(I198=16,B$192,""))))))))</f>
        <v>с кашей перловой рас,</v>
      </c>
      <c r="M199" s="410"/>
      <c r="N199" s="410"/>
      <c r="R199" s="465"/>
      <c r="S199" s="465"/>
      <c r="T199" s="465"/>
      <c r="U199" s="410"/>
      <c r="V199" s="410"/>
      <c r="W199" s="410"/>
      <c r="X199" s="410"/>
      <c r="Y199" s="410"/>
      <c r="Z199" s="410"/>
      <c r="AA199" s="410"/>
      <c r="AB199" s="410"/>
      <c r="AC199" s="410"/>
      <c r="AD199" s="410"/>
      <c r="AE199" s="410"/>
      <c r="AF199" s="410"/>
      <c r="AG199" s="410"/>
      <c r="AH199" s="410"/>
      <c r="AI199" s="410"/>
      <c r="AJ199" s="410"/>
      <c r="AK199" s="410"/>
    </row>
    <row r="200" spans="1:37" x14ac:dyDescent="0.2">
      <c r="A200" s="410"/>
      <c r="B200" s="410"/>
      <c r="C200" s="410"/>
      <c r="D200" s="1271"/>
      <c r="E200" s="410"/>
      <c r="F200" s="410"/>
      <c r="G200" s="859" t="str">
        <f>IF(E198=17,B$154,IF(E198=18,B$155,IF(E198=19,B$156,IF(E198=20,B$157,IF(E198=21,B$158,IF(E198=22,B$159,IF(E198=23,B$160,IF(E198=24,B$161,""))))))))</f>
        <v/>
      </c>
      <c r="H200" s="409"/>
      <c r="I200" s="410"/>
      <c r="J200" s="410"/>
      <c r="K200" s="410"/>
      <c r="L200" s="410" t="str">
        <f>IF(I198=17,B$193,IF(I198=18,B$194,IF(I198=19,B$195,IF(I198=20,B$196,IF(I198=21,B$197,"")))))</f>
        <v/>
      </c>
      <c r="M200" s="410"/>
      <c r="N200" s="410"/>
      <c r="R200" s="465"/>
      <c r="S200" s="465"/>
      <c r="T200" s="465"/>
      <c r="U200" s="410"/>
      <c r="V200" s="410"/>
      <c r="W200" s="410"/>
      <c r="X200" s="410"/>
      <c r="Y200" s="410"/>
      <c r="Z200" s="410"/>
      <c r="AA200" s="410"/>
      <c r="AB200" s="410"/>
      <c r="AC200" s="410"/>
      <c r="AD200" s="410"/>
      <c r="AE200" s="410"/>
      <c r="AF200" s="410"/>
      <c r="AG200" s="410"/>
      <c r="AH200" s="410"/>
      <c r="AI200" s="410"/>
      <c r="AJ200" s="410"/>
      <c r="AK200" s="410"/>
    </row>
    <row r="201" spans="1:37" x14ac:dyDescent="0.2">
      <c r="A201" s="410"/>
      <c r="B201" s="410"/>
      <c r="C201" s="410"/>
      <c r="D201" s="1271"/>
      <c r="E201" s="410"/>
      <c r="F201" s="410"/>
      <c r="G201" s="850" t="str">
        <f>IF(E198=25,B$162,IF(E198=26,B$163,IF(E198=27,B$164,IF(E198=28,B$165,IF(E198=29,B$166,IF(E198=30,B$167,""))))))</f>
        <v/>
      </c>
      <c r="H201" s="410"/>
      <c r="I201" s="410"/>
      <c r="J201" s="410"/>
      <c r="K201" s="410"/>
      <c r="L201" s="410"/>
      <c r="M201" s="410"/>
      <c r="N201" s="410"/>
      <c r="R201" s="465"/>
      <c r="S201" s="465"/>
      <c r="T201" s="465"/>
      <c r="U201" s="410"/>
      <c r="V201" s="410"/>
      <c r="W201" s="410"/>
      <c r="X201" s="410"/>
      <c r="Y201" s="410"/>
      <c r="Z201" s="410"/>
      <c r="AA201" s="410"/>
      <c r="AB201" s="410"/>
      <c r="AC201" s="410"/>
      <c r="AD201" s="410"/>
      <c r="AE201" s="410"/>
      <c r="AF201" s="410"/>
      <c r="AG201" s="410"/>
      <c r="AH201" s="410"/>
      <c r="AI201" s="410"/>
      <c r="AJ201" s="410"/>
      <c r="AK201" s="410"/>
    </row>
    <row r="202" spans="1:37" x14ac:dyDescent="0.2">
      <c r="A202" s="410"/>
      <c r="B202" s="410"/>
      <c r="C202" s="410"/>
      <c r="D202" s="1271"/>
      <c r="E202" s="410"/>
      <c r="F202" s="410"/>
      <c r="G202" s="863" t="str">
        <f>CONCATENATE(G198,G199,G200,G201)</f>
        <v xml:space="preserve">Мясо отвар. с соусом </v>
      </c>
      <c r="H202" s="463"/>
      <c r="I202" s="410"/>
      <c r="J202" s="410"/>
      <c r="K202" s="410"/>
      <c r="L202" s="865" t="str">
        <f>CONCATENATE(L198,L199,L200,L201)</f>
        <v>с кашей перловой рас,</v>
      </c>
      <c r="M202" s="410"/>
      <c r="N202" s="458" t="str">
        <f>IF(N198=1,U$22,IF(N198=2,U$23,IF(N198=3,U$24,IF(N198=4,U$25,IF(N198=5,U$26,IF(N198=6,U$27,IF(N198=7,U$28,IF(N198=8,U$29,""))))))))</f>
        <v xml:space="preserve"> хлеб, масло, сахар, кофе натур. с молоком, сыр, яйцо</v>
      </c>
      <c r="O202" s="410" t="str">
        <f>IF($N198=9,$P$115,"")</f>
        <v/>
      </c>
      <c r="R202" s="465"/>
      <c r="S202" s="465"/>
      <c r="T202" s="465"/>
      <c r="U202" s="410"/>
      <c r="V202" s="410"/>
      <c r="W202" s="410"/>
      <c r="X202" s="410"/>
      <c r="Y202" s="410"/>
      <c r="Z202" s="410"/>
      <c r="AA202" s="410"/>
      <c r="AB202" s="410"/>
      <c r="AC202" s="410"/>
      <c r="AD202" s="410"/>
      <c r="AE202" s="410"/>
      <c r="AF202" s="410"/>
      <c r="AG202" s="410"/>
      <c r="AH202" s="410"/>
      <c r="AI202" s="410"/>
      <c r="AJ202" s="410"/>
      <c r="AK202" s="410"/>
    </row>
    <row r="203" spans="1:37" x14ac:dyDescent="0.2">
      <c r="A203" s="410"/>
      <c r="B203" s="410"/>
      <c r="C203" s="410"/>
      <c r="D203" s="1271"/>
      <c r="E203" s="417">
        <v>21</v>
      </c>
      <c r="F203" s="410"/>
      <c r="G203" s="859" t="str">
        <f>IF(E203=1,B$138,IF(E203=2,B$139,IF(E203=3,B$140,IF(E203=4,B$141,IF(E203=5,B$142,IF(E203=6,B$143,IF(E203=7,B$144,IF(E203=8,B$145,""))))))))</f>
        <v/>
      </c>
      <c r="H203" s="409"/>
      <c r="I203" s="410">
        <v>1</v>
      </c>
      <c r="J203" s="410"/>
      <c r="K203" s="410"/>
      <c r="L203" s="410" t="str">
        <f>IF(I203=1,B$177,IF(I203=2,B$178,IF(I203=3,B$179,IF(I203=4,B$180,IF(I203=5,B$181,IF(I203=6,B$182,IF(I203=7,B$183,IF(I203=8,B$184,""))))))))</f>
        <v xml:space="preserve"> с картофельным пюре, </v>
      </c>
      <c r="M203" s="410"/>
      <c r="N203" s="410">
        <v>2</v>
      </c>
      <c r="R203" s="410"/>
      <c r="S203" s="410"/>
      <c r="T203" s="410"/>
      <c r="U203" s="410"/>
      <c r="V203" s="410"/>
      <c r="W203" s="410"/>
      <c r="X203" s="410"/>
      <c r="Y203" s="410"/>
      <c r="Z203" s="410"/>
      <c r="AA203" s="410"/>
      <c r="AB203" s="410"/>
      <c r="AC203" s="410"/>
      <c r="AD203" s="410"/>
      <c r="AE203" s="410"/>
      <c r="AF203" s="410"/>
      <c r="AG203" s="410"/>
      <c r="AH203" s="410"/>
      <c r="AI203" s="410"/>
      <c r="AJ203" s="410"/>
      <c r="AK203" s="410"/>
    </row>
    <row r="204" spans="1:37" x14ac:dyDescent="0.2">
      <c r="A204" s="410"/>
      <c r="B204" s="410"/>
      <c r="C204" s="410"/>
      <c r="D204" s="1271"/>
      <c r="E204" s="410"/>
      <c r="F204" s="410"/>
      <c r="G204" s="859" t="str">
        <f>IF(E203=9,B$146,IF(E203=10,B$147,IF(E203=11,B$148,IF(E203=12,B$149,IF(E203=13,B$150,IF(E203=14,B$151,IF(E203=15,B$152,IF(E203=16,B$153,""))))))))</f>
        <v/>
      </c>
      <c r="H204" s="409"/>
      <c r="I204" s="410"/>
      <c r="J204" s="410"/>
      <c r="K204" s="410"/>
      <c r="L204" s="410" t="str">
        <f>IF(I203=9,B$185,IF(I203=10,B$186,IF(I203=11,B$187,IF(I203=12,B$188,IF(I203=13,B$189,IF(I203=14,B$190,IF(I203=15,B$191,IF(I203=16,B$192,""))))))))</f>
        <v/>
      </c>
      <c r="M204" s="410"/>
      <c r="N204" s="410"/>
      <c r="R204" s="410"/>
      <c r="S204" s="410"/>
      <c r="T204" s="410"/>
      <c r="U204" s="410"/>
      <c r="V204" s="410"/>
      <c r="W204" s="410"/>
      <c r="X204" s="410"/>
      <c r="Y204" s="410"/>
      <c r="Z204" s="410"/>
      <c r="AA204" s="410"/>
      <c r="AB204" s="410"/>
      <c r="AC204" s="410"/>
      <c r="AD204" s="410"/>
      <c r="AE204" s="410"/>
      <c r="AF204" s="410"/>
      <c r="AG204" s="410"/>
      <c r="AH204" s="410"/>
      <c r="AI204" s="410"/>
      <c r="AJ204" s="410"/>
      <c r="AK204" s="410"/>
    </row>
    <row r="205" spans="1:37" x14ac:dyDescent="0.2">
      <c r="A205" s="410"/>
      <c r="B205" s="410"/>
      <c r="C205" s="410"/>
      <c r="D205" s="1271"/>
      <c r="E205" s="410"/>
      <c r="F205" s="410"/>
      <c r="G205" s="859" t="str">
        <f>IF(E203=17,B$154,IF(E203=18,B$155,IF(E203=19,B$156,IF(E203=20,B$157,IF(E203=21,B$158,IF(E203=22,B$159,IF(E203=23,B$160,IF(E203=24,B$161,""))))))))</f>
        <v xml:space="preserve">Рыба отварная, </v>
      </c>
      <c r="H205" s="409"/>
      <c r="I205" s="410"/>
      <c r="J205" s="410"/>
      <c r="K205" s="410"/>
      <c r="L205" s="410" t="str">
        <f>IF(I203=17,B$193,IF(I203=18,B$194,IF(I203=19,B$195,IF(I203=20,B$196,IF(I203=21,B$197,"")))))</f>
        <v/>
      </c>
      <c r="M205" s="410"/>
      <c r="N205" s="410"/>
      <c r="R205" s="410"/>
      <c r="S205" s="410"/>
      <c r="T205" s="410"/>
      <c r="U205" s="410"/>
      <c r="V205" s="410"/>
      <c r="W205" s="410"/>
      <c r="X205" s="410"/>
      <c r="Y205" s="410"/>
      <c r="Z205" s="410"/>
      <c r="AA205" s="410"/>
      <c r="AB205" s="410"/>
      <c r="AC205" s="413">
        <f>AC214</f>
        <v>60</v>
      </c>
      <c r="AD205" s="410"/>
      <c r="AE205" s="410"/>
      <c r="AF205" s="410"/>
      <c r="AG205" s="410"/>
      <c r="AH205" s="410"/>
      <c r="AI205" s="410"/>
      <c r="AJ205" s="410"/>
      <c r="AK205" s="410"/>
    </row>
    <row r="206" spans="1:37" x14ac:dyDescent="0.2">
      <c r="A206" s="410"/>
      <c r="B206" s="410"/>
      <c r="C206" s="410"/>
      <c r="D206" s="1271"/>
      <c r="E206" s="410"/>
      <c r="F206" s="410"/>
      <c r="G206" s="850" t="str">
        <f>IF(E203=25,B$162,IF(E203=26,B$163,IF(E203=27,B$164,IF(E203=28,B$165,""))))</f>
        <v/>
      </c>
      <c r="H206" s="410"/>
      <c r="I206" s="410"/>
      <c r="J206" s="410"/>
      <c r="K206" s="410"/>
      <c r="L206" s="410"/>
      <c r="M206" s="410"/>
      <c r="N206" s="410"/>
      <c r="R206" s="410"/>
      <c r="S206" s="410"/>
      <c r="T206" s="410"/>
      <c r="U206" s="410"/>
      <c r="V206" s="410"/>
      <c r="W206" s="410"/>
      <c r="X206" s="410"/>
      <c r="Y206" s="410"/>
      <c r="Z206" s="410"/>
      <c r="AA206" s="410"/>
      <c r="AB206" s="410"/>
      <c r="AC206" s="410"/>
      <c r="AD206" s="410"/>
      <c r="AE206" s="410"/>
      <c r="AF206" s="410"/>
      <c r="AG206" s="410"/>
      <c r="AH206" s="410"/>
      <c r="AI206" s="410"/>
      <c r="AJ206" s="410"/>
      <c r="AK206" s="410"/>
    </row>
    <row r="207" spans="1:37" ht="12.75" thickBot="1" x14ac:dyDescent="0.25">
      <c r="A207" s="410"/>
      <c r="B207" s="410"/>
      <c r="C207" s="410"/>
      <c r="D207" s="1272"/>
      <c r="E207" s="855"/>
      <c r="F207" s="855"/>
      <c r="G207" s="864" t="str">
        <f>CONCATENATE(G203,G204,G205,G206)</f>
        <v xml:space="preserve">Рыба отварная, </v>
      </c>
      <c r="H207" s="463"/>
      <c r="I207" s="410"/>
      <c r="J207" s="410"/>
      <c r="K207" s="410"/>
      <c r="L207" s="865" t="str">
        <f>CONCATENATE(L203,L204,L205,L206)</f>
        <v xml:space="preserve"> с картофельным пюре, </v>
      </c>
      <c r="M207" s="410"/>
      <c r="N207" s="458" t="str">
        <f>IF(N203=1,V$106,IF(N203=2,V$107,IF(N203=3,V$108,IF(N203=4,V$109,IF(N203=5,V$110,IF(N203=6,V$111,IF(N203=7,V$112,IF(N203=8,V$113,""))))))))</f>
        <v xml:space="preserve"> хлеб, масло, сахар, чай, яйцо</v>
      </c>
      <c r="O207" s="410" t="str">
        <f>IF($N203=9,$P$115,"")</f>
        <v/>
      </c>
      <c r="R207" s="428">
        <f>E178</f>
        <v>1</v>
      </c>
      <c r="S207" s="428">
        <f>I178</f>
        <v>11</v>
      </c>
      <c r="T207" s="428">
        <f>N178</f>
        <v>3</v>
      </c>
      <c r="U207" s="410"/>
      <c r="V207" s="410"/>
      <c r="W207" s="410"/>
      <c r="X207" s="410"/>
      <c r="Y207" s="410"/>
      <c r="Z207" s="410"/>
      <c r="AA207" s="410"/>
      <c r="AB207" s="410"/>
      <c r="AC207" s="410"/>
      <c r="AD207" s="410">
        <f>IF(R207=1,AI$118,IF(R207=2,AH$119,IF(R207=3,AH$120,IF(R207=4,AH$119,IF(R207=5,AH$121,IF(R207=6,AH$121,IF(R207=7,AH$121,IF(R207=8,AH$121,0))))))))</f>
        <v>46</v>
      </c>
      <c r="AE207" s="410">
        <f>IF(R207=9,AH$122,IF(R207=10,AH$122,IF(R207=11,AH$122,IF(R207=12,AH$123,IF(R207=13,AH$121,IF(R207=14,AH$121,IF(R207=15,AH$121,IF(R207=16,AI$118,0))))))))</f>
        <v>0</v>
      </c>
      <c r="AF207" s="410">
        <f>IF(R207=17,$AG$118,IF(R207=18,$AG$119,IF(R207=19,75,IF(R207=20,96,IF(R207=21,$AB$136,IF(R207=22,$AB$136,IF(R207=23,$AC$136,IF(R207=24,$AC$136,0))))))))</f>
        <v>0</v>
      </c>
      <c r="AG207" s="460">
        <f>SUM(AD207:AF207)</f>
        <v>46</v>
      </c>
      <c r="AH207" s="410"/>
      <c r="AI207" s="410"/>
      <c r="AJ207" s="410"/>
      <c r="AK207" s="410"/>
    </row>
    <row r="208" spans="1:37" x14ac:dyDescent="0.2">
      <c r="A208" s="410"/>
      <c r="B208" s="410"/>
      <c r="C208" s="410"/>
      <c r="D208" s="410"/>
      <c r="E208" s="410"/>
      <c r="F208" s="410"/>
      <c r="G208" s="410"/>
      <c r="H208" s="410"/>
      <c r="I208" s="410"/>
      <c r="J208" s="410"/>
      <c r="K208" s="410"/>
      <c r="L208" s="410"/>
      <c r="M208" s="410"/>
      <c r="N208" s="410"/>
      <c r="R208" s="428"/>
      <c r="S208" s="428"/>
      <c r="T208" s="428"/>
      <c r="U208" s="410"/>
      <c r="V208" s="410"/>
      <c r="W208" s="410"/>
      <c r="X208" s="410"/>
      <c r="Y208" s="410"/>
      <c r="Z208" s="410"/>
      <c r="AA208" s="410"/>
      <c r="AB208" s="410"/>
      <c r="AC208" s="410"/>
      <c r="AD208" s="410"/>
      <c r="AE208" s="410"/>
      <c r="AF208" s="410"/>
      <c r="AG208" s="410"/>
      <c r="AH208" s="410"/>
      <c r="AI208" s="410"/>
      <c r="AJ208" s="410"/>
      <c r="AK208" s="410"/>
    </row>
    <row r="209" spans="1:37" x14ac:dyDescent="0.2">
      <c r="A209" s="410"/>
      <c r="B209" s="410"/>
      <c r="C209" s="410"/>
      <c r="D209" s="410"/>
      <c r="E209" s="410"/>
      <c r="F209" s="410"/>
      <c r="G209" s="410"/>
      <c r="H209" s="410"/>
      <c r="I209" s="410"/>
      <c r="J209" s="410"/>
      <c r="K209" s="410"/>
      <c r="L209" s="410"/>
      <c r="M209" s="410"/>
      <c r="N209" s="410"/>
      <c r="R209" s="428"/>
      <c r="S209" s="428"/>
      <c r="T209" s="428"/>
      <c r="U209" s="410"/>
      <c r="V209" s="410"/>
      <c r="W209" s="410"/>
      <c r="X209" s="410"/>
      <c r="Y209" s="410"/>
      <c r="Z209" s="410"/>
      <c r="AA209" s="410"/>
      <c r="AB209" s="410"/>
      <c r="AC209" s="410"/>
      <c r="AD209" s="410"/>
      <c r="AE209" s="410"/>
      <c r="AF209" s="410"/>
      <c r="AG209" s="410"/>
      <c r="AH209" s="410"/>
      <c r="AI209" s="410"/>
      <c r="AJ209" s="410"/>
      <c r="AK209" s="410"/>
    </row>
    <row r="210" spans="1:37" x14ac:dyDescent="0.2">
      <c r="A210" s="410"/>
      <c r="B210" s="410"/>
      <c r="C210" s="410"/>
      <c r="D210" s="410"/>
      <c r="E210" s="410"/>
      <c r="F210" s="410"/>
      <c r="G210" s="410"/>
      <c r="H210" s="410"/>
      <c r="I210" s="410"/>
      <c r="J210" s="410"/>
      <c r="K210" s="410"/>
      <c r="L210" s="410"/>
      <c r="M210" s="410"/>
      <c r="N210" s="410"/>
      <c r="R210" s="428">
        <f>E52</f>
        <v>1</v>
      </c>
      <c r="S210" s="428"/>
      <c r="T210" s="428"/>
      <c r="U210" s="410"/>
      <c r="V210" s="1275" t="s">
        <v>98</v>
      </c>
      <c r="W210" s="417">
        <f>R213</f>
        <v>19</v>
      </c>
      <c r="X210" s="410">
        <f>S213</f>
        <v>15</v>
      </c>
      <c r="Y210" s="409" t="str">
        <f>IF(W210=1,B$138,IF(W210=2,B$139,IF(W210=3,B$140,IF(W210=4,B$141,IF(W210=5,B$142,IF(W210=6,B$143,IF(W210=7,B$144,IF(W210=8,B$145,""))))))))</f>
        <v/>
      </c>
      <c r="Z210" s="410">
        <f>S213</f>
        <v>15</v>
      </c>
      <c r="AA210" s="410" t="str">
        <f>IF(X210=1,B$177,IF(X210=2,B$178,IF(X210=3,B$179,IF(X210=4,B$180,IF(X210=5,B$181,IF(X210=6,B$182,IF(X210=7,B$183,IF(X210=8,B$184," "))))))))</f>
        <v xml:space="preserve"> </v>
      </c>
      <c r="AB210" s="410"/>
      <c r="AC210" s="410"/>
      <c r="AD210" s="410"/>
      <c r="AE210" s="410"/>
      <c r="AF210" s="410"/>
      <c r="AG210" s="410"/>
      <c r="AH210" s="410"/>
      <c r="AI210" s="410"/>
      <c r="AJ210" s="410"/>
      <c r="AK210" s="410"/>
    </row>
    <row r="211" spans="1:37" x14ac:dyDescent="0.2">
      <c r="A211" s="410"/>
      <c r="B211" s="410"/>
      <c r="C211" s="410"/>
      <c r="D211" s="410"/>
      <c r="E211" s="410"/>
      <c r="F211" s="410"/>
      <c r="G211" s="410"/>
      <c r="H211" s="410"/>
      <c r="I211" s="410"/>
      <c r="J211" s="410"/>
      <c r="K211" s="410"/>
      <c r="L211" s="410"/>
      <c r="M211" s="410"/>
      <c r="N211" s="410"/>
      <c r="R211" s="428">
        <f>E100</f>
        <v>19</v>
      </c>
      <c r="S211" s="428"/>
      <c r="T211" s="428"/>
      <c r="U211" s="410"/>
      <c r="V211" s="1275"/>
      <c r="W211" s="410"/>
      <c r="X211" s="410"/>
      <c r="Y211" s="409" t="str">
        <f>IF(W210=9,B$146,IF(W210=10,B$147,IF(W210=11,B$148,IF(W210=12,B$149,IF(W210=13,B$150,IF(W210=14,B$151,IF(W210=15,B$152,IF(W210=16,B$153,""))))))))</f>
        <v/>
      </c>
      <c r="Z211" s="410"/>
      <c r="AA211" s="410" t="str">
        <f>IF(X210=9,B$185,IF(X210=10,B$186,IF(X210=11,B$187,IF(X210=12,B$188,IF(X210=13,B$189,IF(X210=14,B$190,IF(X210=15,B$191,IF(X210=16,B$192,"  "))))))))</f>
        <v>с макаронами отварн.,</v>
      </c>
      <c r="AB211" s="410"/>
      <c r="AC211" s="410"/>
      <c r="AD211" s="410"/>
      <c r="AE211" s="410"/>
      <c r="AF211" s="410"/>
      <c r="AG211" s="410"/>
      <c r="AH211" s="410"/>
      <c r="AI211" s="410"/>
      <c r="AJ211" s="410"/>
      <c r="AK211" s="410"/>
    </row>
    <row r="212" spans="1:37" x14ac:dyDescent="0.2">
      <c r="A212" s="410"/>
      <c r="B212" s="410"/>
      <c r="C212" s="410"/>
      <c r="D212" s="410"/>
      <c r="E212" s="410"/>
      <c r="F212" s="410"/>
      <c r="G212" s="410"/>
      <c r="H212" s="410"/>
      <c r="I212" s="410"/>
      <c r="J212" s="410"/>
      <c r="K212" s="410"/>
      <c r="L212" s="410"/>
      <c r="M212" s="410"/>
      <c r="N212" s="410"/>
      <c r="R212" s="428">
        <f>E104</f>
        <v>19</v>
      </c>
      <c r="S212" s="428"/>
      <c r="T212" s="428"/>
      <c r="U212" s="410"/>
      <c r="V212" s="1275"/>
      <c r="W212" s="410"/>
      <c r="X212" s="410"/>
      <c r="Y212" s="409" t="str">
        <f>IF(W210=17,B$154,IF(W210=18,B$155,IF(W210=19,B$156,IF(W210=20,B$157,IF(W210=21,B$158,IF(W210=22,B$159,IF(W210=23,B$160,IF(W210=24,B$161," "))))))))</f>
        <v xml:space="preserve">Консервы мясные </v>
      </c>
      <c r="Z212" s="410"/>
      <c r="AA212" s="410" t="str">
        <f>IF(X210=17," ","  ")</f>
        <v xml:space="preserve">  </v>
      </c>
      <c r="AB212" s="410"/>
      <c r="AC212" s="410"/>
      <c r="AD212" s="410"/>
      <c r="AE212" s="410"/>
      <c r="AF212" s="410"/>
      <c r="AG212" s="410"/>
      <c r="AH212" s="410"/>
      <c r="AI212" s="410"/>
      <c r="AJ212" s="410"/>
      <c r="AK212" s="410"/>
    </row>
    <row r="213" spans="1:37" x14ac:dyDescent="0.2">
      <c r="A213" s="410"/>
      <c r="B213" s="410">
        <v>3</v>
      </c>
      <c r="C213" s="410"/>
      <c r="D213" s="410"/>
      <c r="E213" s="410"/>
      <c r="F213" s="410"/>
      <c r="G213" s="410"/>
      <c r="H213" s="410"/>
      <c r="I213" s="410"/>
      <c r="J213" s="410"/>
      <c r="K213" s="410"/>
      <c r="L213" s="410"/>
      <c r="M213" s="410"/>
      <c r="N213" s="410"/>
      <c r="R213" s="428">
        <v>19</v>
      </c>
      <c r="S213" s="428">
        <v>15</v>
      </c>
      <c r="T213" s="428"/>
      <c r="U213" s="410"/>
      <c r="V213" s="1275"/>
      <c r="W213" s="410"/>
      <c r="X213" s="410"/>
      <c r="Y213" s="410"/>
      <c r="Z213" s="410"/>
      <c r="AA213" s="410"/>
      <c r="AB213" s="410"/>
      <c r="AC213" s="410"/>
      <c r="AD213" s="410">
        <f>IF(R213=1,AI$118,IF(R213=2,AH$119,IF(R213=3,AH$120,IF(R213=4,AH$119,IF(R213=5,AH$121,IF(R213=6,AH$121,IF(R213=7,AH$121,IF(R213=8,AH$121,0))))))))</f>
        <v>0</v>
      </c>
      <c r="AE213" s="410">
        <f>IF(R213=9,#REF!,IF(R213=10,#REF!,IF(R213=11,#REF!,IF(R213=12,#REF!,IF(R213=13,#REF!,IF(R213=14,#REF!,IF(R213=15,#REF!,IF(R213=16,AI$118,0))))))))</f>
        <v>0</v>
      </c>
      <c r="AF213" s="410">
        <f>IF(R213=17,AG$118,IF(R213=18,AG$119,IF(R213=19,75,IF(R213=20,96,IF(R213=21,AB$136,IF(R213=22,AB$136,IF(R213&gt;22,$AC211,0)))))))</f>
        <v>75</v>
      </c>
      <c r="AG213" s="460">
        <f>SUM(AD213:AF213)</f>
        <v>75</v>
      </c>
      <c r="AH213" s="410"/>
      <c r="AI213" s="410"/>
      <c r="AJ213" s="410"/>
      <c r="AK213" s="410"/>
    </row>
    <row r="214" spans="1:37" x14ac:dyDescent="0.2">
      <c r="A214" s="410"/>
      <c r="B214" s="410" t="s">
        <v>252</v>
      </c>
      <c r="C214" s="410"/>
      <c r="D214" s="410"/>
      <c r="E214" s="410"/>
      <c r="F214" s="410"/>
      <c r="G214" s="410"/>
      <c r="H214" s="410"/>
      <c r="I214" s="410"/>
      <c r="J214" s="410"/>
      <c r="K214" s="410"/>
      <c r="L214" s="410"/>
      <c r="M214" s="410"/>
      <c r="N214" s="410"/>
      <c r="R214" s="428">
        <v>19</v>
      </c>
      <c r="S214" s="428">
        <v>10</v>
      </c>
      <c r="T214" s="428"/>
      <c r="U214" s="410"/>
      <c r="V214" s="1275"/>
      <c r="W214" s="410"/>
      <c r="X214" s="410"/>
      <c r="Y214" s="463" t="str">
        <f>CONCATENATE(Y210,Y211,Y212,Y213)</f>
        <v xml:space="preserve">Консервы мясные </v>
      </c>
      <c r="Z214" s="410"/>
      <c r="AA214" s="463" t="str">
        <f>CONCATENATE(AA210,AA211,AA212,AA213)</f>
        <v xml:space="preserve"> с макаронами отварн.,  </v>
      </c>
      <c r="AB214" s="410"/>
      <c r="AC214" s="413">
        <f>AC136</f>
        <v>60</v>
      </c>
      <c r="AD214" s="410">
        <f>IF(R214=1,AI$118,IF(R214=2,AH$119,IF(R214=3,AH$120,IF(R214=4,AH$119,IF(R214=5,AH$121,IF(R214=6,AH$121,IF(R214=7,AH$121,IF(R214=8,AH$121,0))))))))</f>
        <v>0</v>
      </c>
      <c r="AE214" s="410">
        <f>IF(R214=9,#REF!,IF(R214=10,#REF!,IF(R214=11,#REF!,IF(R214=12,#REF!,IF(R214=13,#REF!,IF(R214=14,#REF!,IF(R214=15,#REF!,IF(R214=16,AI$118,0))))))))</f>
        <v>0</v>
      </c>
      <c r="AF214" s="410">
        <f>IF(R214=17,AG$118,IF(R214=18,AG$119,IF(R214=19,75,IF(R214=20,96,IF(R214=21,AB$136,IF(R214=22,AB$136,IF(R214&gt;22,$AC212,0)))))))</f>
        <v>75</v>
      </c>
      <c r="AG214" s="460">
        <f>SUM(AD214:AF214)</f>
        <v>75</v>
      </c>
      <c r="AH214" s="410"/>
      <c r="AI214" s="410"/>
      <c r="AJ214" s="410"/>
      <c r="AK214" s="410"/>
    </row>
    <row r="215" spans="1:37" x14ac:dyDescent="0.2">
      <c r="A215" s="410"/>
      <c r="B215" s="410" t="s">
        <v>253</v>
      </c>
      <c r="C215" s="410"/>
      <c r="D215" s="410"/>
      <c r="E215" s="410"/>
      <c r="F215" s="410"/>
      <c r="G215" s="410"/>
      <c r="H215" s="410"/>
      <c r="I215" s="410"/>
      <c r="J215" s="410"/>
      <c r="K215" s="410"/>
      <c r="L215" s="410"/>
      <c r="M215" s="410"/>
      <c r="N215" s="410"/>
      <c r="R215" s="428">
        <v>2</v>
      </c>
      <c r="S215" s="428"/>
      <c r="T215" s="428"/>
      <c r="U215" s="410"/>
      <c r="V215" s="1275"/>
      <c r="W215" s="417">
        <f>R214</f>
        <v>19</v>
      </c>
      <c r="X215" s="410">
        <f>S214</f>
        <v>10</v>
      </c>
      <c r="Y215" s="409" t="str">
        <f>IF(W215=1,B$138,IF(W215=2,B$139,IF(W215=3,B$140,IF(W215=4,B$141,IF(W215=5,B$142,IF(W215=6,B$143,IF(W215=7,B$144,IF(W215=8,B$145,""))))))))</f>
        <v/>
      </c>
      <c r="Z215" s="410">
        <f>S214</f>
        <v>10</v>
      </c>
      <c r="AA215" s="410" t="str">
        <f>IF(X215=1,B$177,IF(X215=2,B$178,IF(X215=3,B$179,IF(X215=4,B$180,IF(X215=5,B$181,IF(X215=6,B$182,IF(X215=7,B$183,IF(X215=8,B$184," "))))))))</f>
        <v xml:space="preserve"> </v>
      </c>
      <c r="AB215" s="410"/>
      <c r="AC215" s="410"/>
      <c r="AD215" s="410"/>
      <c r="AE215" s="410"/>
      <c r="AF215" s="410"/>
      <c r="AG215" s="410"/>
      <c r="AH215" s="410"/>
      <c r="AI215" s="410"/>
      <c r="AJ215" s="410"/>
      <c r="AK215" s="410"/>
    </row>
    <row r="216" spans="1:37" x14ac:dyDescent="0.2">
      <c r="A216" s="410"/>
      <c r="B216" s="410" t="s">
        <v>581</v>
      </c>
      <c r="C216" s="410"/>
      <c r="D216" s="410"/>
      <c r="E216" s="410"/>
      <c r="F216" s="410"/>
      <c r="G216" s="410"/>
      <c r="H216" s="410"/>
      <c r="I216" s="410"/>
      <c r="J216" s="410"/>
      <c r="K216" s="410"/>
      <c r="L216" s="410"/>
      <c r="M216" s="410"/>
      <c r="N216" s="410"/>
      <c r="R216" s="428">
        <f>E183</f>
        <v>23</v>
      </c>
      <c r="S216" s="428">
        <f>I183</f>
        <v>1</v>
      </c>
      <c r="T216" s="428">
        <f>N183</f>
        <v>1</v>
      </c>
      <c r="U216" s="410"/>
      <c r="V216" s="1275"/>
      <c r="W216" s="410"/>
      <c r="X216" s="410"/>
      <c r="Y216" s="409" t="str">
        <f>IF(W215=9,B$146,IF(W215=10,B$147,IF(W215=11,B$148,IF(W215=12,B$149,IF(W215=13,B$150,IF(W215=14,B$151,IF(W215=15,B$152,IF(W215=16,B$153,""))))))))</f>
        <v/>
      </c>
      <c r="Z216" s="410"/>
      <c r="AA216" s="410" t="str">
        <f>IF(X215=9,B$185,IF(X215=10,B$186,IF(X215=11,B$187,IF(X215=12,B$188,IF(X215=13,B$189,IF(X215=14,B$190,IF(X215=15,B$191,IF(X215=16,B$192,"  "))))))))</f>
        <v>с кашей пшенной рас,</v>
      </c>
      <c r="AB216" s="410"/>
      <c r="AC216" s="410"/>
      <c r="AD216" s="410">
        <f>IF(R216=1,AI$118,IF(R216=2,AH$119,IF(R216=3,AH$120,IF(R216=4,AH$119,IF(R216=5,AH$121,IF(R216=6,AH$121,IF(R216=7,AH$121,IF(R216=8,AH$121,0))))))))</f>
        <v>0</v>
      </c>
      <c r="AE216" s="410">
        <f>IF(R216=9,#REF!,IF(R216=10,#REF!,IF(R216=11,#REF!,IF(R216=12,#REF!,IF(R216=13,#REF!,IF(R216=14,#REF!,IF(R216=15,#REF!,IF(R216=16,AI$118,0))))))))</f>
        <v>0</v>
      </c>
      <c r="AF216" s="410">
        <f>IF(R216=17,AI$118,IF(R216=18,#REF!,IF(R216=19,75,IF(R216=20,96,IF(R216=21,AB$136,IF(R216=22,AB$136,IF(R216&gt;22,$AC214,0)))))))</f>
        <v>60</v>
      </c>
      <c r="AG216" s="460">
        <f>SUM(AD216:AF216)</f>
        <v>60</v>
      </c>
      <c r="AH216" s="410"/>
      <c r="AI216" s="410"/>
      <c r="AJ216" s="410"/>
      <c r="AK216" s="410"/>
    </row>
    <row r="217" spans="1:37" x14ac:dyDescent="0.2">
      <c r="A217" s="410"/>
      <c r="B217" s="410">
        <v>1</v>
      </c>
      <c r="C217" s="410"/>
      <c r="D217" s="410"/>
      <c r="E217" s="410"/>
      <c r="F217" s="410"/>
      <c r="G217" s="410"/>
      <c r="H217" s="410"/>
      <c r="I217" s="410"/>
      <c r="J217" s="410"/>
      <c r="K217" s="410"/>
      <c r="L217" s="410"/>
      <c r="M217" s="410"/>
      <c r="N217" s="410"/>
      <c r="R217" s="428"/>
      <c r="S217" s="428"/>
      <c r="T217" s="428"/>
      <c r="U217" s="410"/>
      <c r="V217" s="1275"/>
      <c r="W217" s="410"/>
      <c r="X217" s="410"/>
      <c r="Y217" s="409" t="str">
        <f>IF(W215=17,B$154,IF(W215=18,B$155,IF(W215=19,B$156,IF(W215=20,B$157,IF(W215=21,B$158,IF(W215=22,B$159,IF(W215=23,B$160,IF(W215=24,B$161,""))))))))</f>
        <v xml:space="preserve">Консервы мясные </v>
      </c>
      <c r="Z217" s="410"/>
      <c r="AA217" s="410" t="str">
        <f>IF(X215=17," ","  ")</f>
        <v xml:space="preserve">  </v>
      </c>
      <c r="AB217" s="410"/>
      <c r="AC217" s="410"/>
      <c r="AD217" s="410"/>
      <c r="AE217" s="410"/>
      <c r="AF217" s="410"/>
      <c r="AG217" s="410"/>
      <c r="AH217" s="410"/>
      <c r="AI217" s="410"/>
      <c r="AJ217" s="410"/>
      <c r="AK217" s="410"/>
    </row>
    <row r="218" spans="1:37" x14ac:dyDescent="0.2">
      <c r="A218" s="410"/>
      <c r="B218" s="410"/>
      <c r="C218" s="410"/>
      <c r="D218" s="410"/>
      <c r="E218" s="410"/>
      <c r="F218" s="410"/>
      <c r="G218" s="410"/>
      <c r="H218" s="410"/>
      <c r="I218" s="410"/>
      <c r="J218" s="410"/>
      <c r="K218" s="410"/>
      <c r="L218" s="410"/>
      <c r="M218" s="410"/>
      <c r="N218" s="410"/>
      <c r="R218" s="428"/>
      <c r="S218" s="428"/>
      <c r="T218" s="428"/>
      <c r="U218" s="410"/>
      <c r="V218" s="1275"/>
      <c r="W218" s="410"/>
      <c r="X218" s="410"/>
      <c r="Y218" s="410"/>
      <c r="Z218" s="410"/>
      <c r="AA218" s="410"/>
      <c r="AB218" s="410"/>
      <c r="AC218" s="413">
        <f>AC214</f>
        <v>60</v>
      </c>
      <c r="AD218" s="410"/>
      <c r="AE218" s="410"/>
      <c r="AF218" s="410"/>
      <c r="AG218" s="410"/>
      <c r="AH218" s="410"/>
      <c r="AI218" s="410"/>
      <c r="AJ218" s="410"/>
      <c r="AK218" s="410"/>
    </row>
    <row r="219" spans="1:37" x14ac:dyDescent="0.2">
      <c r="A219" s="410"/>
      <c r="B219" s="410"/>
      <c r="C219" s="410"/>
      <c r="D219" s="410"/>
      <c r="E219" s="410"/>
      <c r="F219" s="410"/>
      <c r="G219" s="410"/>
      <c r="H219" s="410"/>
      <c r="I219" s="410"/>
      <c r="J219" s="410"/>
      <c r="K219" s="410"/>
      <c r="L219" s="410"/>
      <c r="M219" s="410"/>
      <c r="N219" s="410"/>
      <c r="R219" s="420"/>
      <c r="S219" s="420"/>
      <c r="T219" s="420"/>
      <c r="U219" s="410"/>
      <c r="V219" s="1275"/>
      <c r="W219" s="410"/>
      <c r="X219" s="410"/>
      <c r="Y219" s="463" t="str">
        <f>CONCATENATE(Y215,Y216,Y217,Y218)</f>
        <v xml:space="preserve">Консервы мясные </v>
      </c>
      <c r="Z219" s="410"/>
      <c r="AA219" s="463" t="str">
        <f>CONCATENATE(AA215,AA216,AA217,AA218)</f>
        <v xml:space="preserve"> с кашей пшенной рас,  </v>
      </c>
      <c r="AB219" s="410"/>
      <c r="AC219" s="410"/>
      <c r="AD219" s="410"/>
      <c r="AE219" s="410"/>
      <c r="AF219" s="410"/>
      <c r="AG219" s="410"/>
      <c r="AH219" s="410"/>
      <c r="AI219" s="410"/>
      <c r="AJ219" s="410"/>
      <c r="AK219" s="410"/>
    </row>
    <row r="220" spans="1:37" x14ac:dyDescent="0.2">
      <c r="A220" s="410"/>
      <c r="B220" s="410" t="s">
        <v>427</v>
      </c>
      <c r="C220" s="410"/>
      <c r="D220" s="410"/>
      <c r="E220" s="410"/>
      <c r="F220" s="410"/>
      <c r="G220" s="410"/>
      <c r="H220" s="410"/>
      <c r="I220" s="410"/>
      <c r="J220" s="410"/>
      <c r="K220" s="410"/>
      <c r="L220" s="410"/>
      <c r="M220" s="410"/>
      <c r="N220" s="410"/>
      <c r="Q220" s="410" t="str">
        <f>IF(A29=TRUE,$R$90,"")</f>
        <v/>
      </c>
      <c r="R220" s="428">
        <f>E188</f>
        <v>1</v>
      </c>
      <c r="S220" s="428">
        <f>I188</f>
        <v>8</v>
      </c>
      <c r="T220" s="428">
        <f>N188</f>
        <v>5</v>
      </c>
      <c r="U220" s="458" t="str">
        <f>IF(R215=1,CONCATENATE(P$128,$Q$151),IF(R215=2,CONCATENATE(P$129,$Q$151),IF(R215=3,CONCATENATE(P$130,$Q$151),IF(R215=4,CONCATENATE(P$131,$Q$151),IF(R215=5,CONCATENATE(P$132,$Q$151),IF(R215=6,CONCATENATE(P$133,$Q$151),P$134))))))</f>
        <v>Компот, хлеб</v>
      </c>
      <c r="V220" s="410"/>
      <c r="W220" s="410"/>
      <c r="X220" s="410"/>
      <c r="Y220" s="410"/>
      <c r="Z220" s="410"/>
      <c r="AA220" s="410"/>
      <c r="AB220" s="410"/>
      <c r="AC220" s="410"/>
      <c r="AD220" s="410">
        <f>IF(R220=1,AI$118,IF(R220=2,AH$119,IF(R220=3,AH$120,IF(R220=4,AH$119,IF(R220=5,AH$121,IF(R220=6,AH$121,IF(R220=7,AH$121,IF(R220=8,AH$121,0))))))))</f>
        <v>46</v>
      </c>
      <c r="AE220" s="410">
        <f>IF(R220=9,AH$122,IF(R220=10,AH$122,IF(R220=11,AH$122,IF(R220=12,AH$123,IF(R220=13,AH$121,IF(R220=14,AH$121,IF(R220=15,AH$121,IF(R220=16,AI$118,0))))))))</f>
        <v>0</v>
      </c>
      <c r="AF220" s="410">
        <f>IF(R220=17,$AG$118,IF(R220=18,$AG$119,IF(R220=19,75,IF(R220=20,96,IF(R220=21,$AB$136,IF(R220=22,$AB$136,IF(R220=23,$AC$136,IF(R220=24,$AC$136,0))))))))</f>
        <v>0</v>
      </c>
      <c r="AG220" s="466">
        <f t="shared" ref="AG220:AG227" si="44">SUM(AD220:AF220)</f>
        <v>46</v>
      </c>
      <c r="AH220" s="410"/>
      <c r="AI220" s="410"/>
      <c r="AJ220" s="410"/>
      <c r="AK220" s="410"/>
    </row>
    <row r="221" spans="1:37" x14ac:dyDescent="0.2">
      <c r="A221" s="410"/>
      <c r="B221" s="410">
        <v>0</v>
      </c>
      <c r="C221" s="410"/>
      <c r="D221" s="410"/>
      <c r="E221" s="410"/>
      <c r="F221" s="410"/>
      <c r="G221" s="410"/>
      <c r="H221" s="410"/>
      <c r="I221" s="410"/>
      <c r="J221" s="410"/>
      <c r="K221" s="410"/>
      <c r="L221" s="410"/>
      <c r="M221" s="410"/>
      <c r="N221" s="410"/>
      <c r="R221" s="428"/>
      <c r="S221" s="428"/>
      <c r="T221" s="428"/>
      <c r="U221" s="410"/>
      <c r="V221" s="410"/>
      <c r="W221" s="410"/>
      <c r="X221" s="410"/>
      <c r="Y221" s="410"/>
      <c r="Z221" s="410"/>
      <c r="AA221" s="410"/>
      <c r="AB221" s="410"/>
      <c r="AC221" s="410"/>
      <c r="AD221" s="410"/>
      <c r="AE221" s="410"/>
      <c r="AF221" s="410"/>
      <c r="AG221" s="460">
        <f t="shared" si="44"/>
        <v>0</v>
      </c>
      <c r="AH221" s="410"/>
      <c r="AI221" s="410"/>
      <c r="AJ221" s="410"/>
      <c r="AK221" s="410"/>
    </row>
    <row r="222" spans="1:37" x14ac:dyDescent="0.2">
      <c r="A222" s="410"/>
      <c r="B222" s="410"/>
      <c r="C222" s="410"/>
      <c r="D222" s="410"/>
      <c r="E222" s="410"/>
      <c r="F222" s="410"/>
      <c r="G222" s="410"/>
      <c r="H222" s="410"/>
      <c r="I222" s="410"/>
      <c r="J222" s="410"/>
      <c r="K222" s="410"/>
      <c r="L222" s="410"/>
      <c r="M222" s="410"/>
      <c r="N222" s="410"/>
      <c r="R222" s="428"/>
      <c r="S222" s="428"/>
      <c r="T222" s="428"/>
      <c r="U222" s="410"/>
      <c r="V222" s="410"/>
      <c r="W222" s="410"/>
      <c r="X222" s="410"/>
      <c r="Y222" s="410"/>
      <c r="Z222" s="410"/>
      <c r="AA222" s="410"/>
      <c r="AB222" s="410"/>
      <c r="AC222" s="410"/>
      <c r="AD222" s="410"/>
      <c r="AE222" s="410"/>
      <c r="AF222" s="410"/>
      <c r="AG222" s="460">
        <f t="shared" si="44"/>
        <v>0</v>
      </c>
      <c r="AH222" s="410"/>
      <c r="AI222" s="410"/>
      <c r="AJ222" s="410"/>
      <c r="AK222" s="410"/>
    </row>
    <row r="223" spans="1:37" x14ac:dyDescent="0.2">
      <c r="A223" s="410"/>
      <c r="B223" s="410">
        <v>0</v>
      </c>
      <c r="C223" s="410"/>
      <c r="D223" s="410"/>
      <c r="E223" s="410"/>
      <c r="F223" s="410"/>
      <c r="G223" s="410"/>
      <c r="H223" s="410"/>
      <c r="I223" s="410"/>
      <c r="J223" s="410"/>
      <c r="K223" s="410"/>
      <c r="L223" s="410"/>
      <c r="M223" s="410"/>
      <c r="N223" s="410"/>
      <c r="R223" s="428">
        <f>E55</f>
        <v>19</v>
      </c>
      <c r="S223" s="428"/>
      <c r="T223" s="428"/>
      <c r="U223" s="410"/>
      <c r="V223" s="1275" t="s">
        <v>99</v>
      </c>
      <c r="W223" s="417">
        <f>R226</f>
        <v>17</v>
      </c>
      <c r="X223" s="410">
        <f>S226</f>
        <v>16</v>
      </c>
      <c r="Y223" s="409" t="str">
        <f>IF(W223=1,B$138,IF(W223=2,B$139,IF(W223=3,B$140,IF(W223=4,B$141,IF(W223=5,B$142,IF(W223=6,B$143,IF(W223=7,B$144,IF(W223=8,B$145," "))))))))</f>
        <v xml:space="preserve"> </v>
      </c>
      <c r="Z223" s="410">
        <f>S226</f>
        <v>16</v>
      </c>
      <c r="AA223" s="410" t="str">
        <f>IF(X223=1,B$177,IF(X223=2,B$178,IF(X223=3,B$179,IF(X223=4,B$180,IF(X223=5,B$181,IF(X223=6,B$182,IF(X223=7,B$183,IF(X223=8,B$184," "))))))))</f>
        <v xml:space="preserve"> </v>
      </c>
      <c r="AB223" s="410"/>
      <c r="AC223" s="410"/>
      <c r="AD223" s="410"/>
      <c r="AE223" s="410"/>
      <c r="AF223" s="410"/>
      <c r="AG223" s="460">
        <f t="shared" si="44"/>
        <v>0</v>
      </c>
      <c r="AH223" s="410"/>
      <c r="AI223" s="410"/>
      <c r="AJ223" s="410"/>
      <c r="AK223" s="410"/>
    </row>
    <row r="224" spans="1:37" x14ac:dyDescent="0.2">
      <c r="A224" s="410"/>
      <c r="B224" s="410"/>
      <c r="C224" s="410"/>
      <c r="D224" s="410"/>
      <c r="E224" s="410"/>
      <c r="F224" s="410"/>
      <c r="G224" s="410"/>
      <c r="H224" s="410"/>
      <c r="I224" s="410"/>
      <c r="J224" s="410"/>
      <c r="K224" s="410"/>
      <c r="L224" s="410"/>
      <c r="M224" s="410"/>
      <c r="N224" s="410"/>
      <c r="R224" s="428">
        <f>E108</f>
        <v>4</v>
      </c>
      <c r="S224" s="428"/>
      <c r="T224" s="428"/>
      <c r="U224" s="410"/>
      <c r="V224" s="1275"/>
      <c r="W224" s="410"/>
      <c r="X224" s="410"/>
      <c r="Y224" s="409" t="str">
        <f>IF(W223=9,B$146,IF(W223=10,B$147,IF(W223=11,B$148,IF(W223=12,B$149,IF(W223=13,B$150,IF(W223=14,B$151,IF(W223=15,B$152,IF(W223=16,B$153," "))))))))</f>
        <v xml:space="preserve"> </v>
      </c>
      <c r="Z224" s="410"/>
      <c r="AA224" s="410" t="str">
        <f>IF(X223=9,B$185,IF(X223=10,B$186,IF(X223=11,B$187,IF(X223=12,B$188,IF(X223=13,B$189,IF(X223=14,B$190,IF(X223=15,B$191,IF(X223=16,B$192,"  "))))))))</f>
        <v>с кашей комбинированной,</v>
      </c>
      <c r="AB224" s="410"/>
      <c r="AC224" s="410"/>
      <c r="AD224" s="410"/>
      <c r="AE224" s="410"/>
      <c r="AF224" s="410"/>
      <c r="AG224" s="460">
        <f t="shared" si="44"/>
        <v>0</v>
      </c>
      <c r="AH224" s="410"/>
      <c r="AI224" s="410"/>
      <c r="AJ224" s="410"/>
      <c r="AK224" s="410"/>
    </row>
    <row r="225" spans="1:37" x14ac:dyDescent="0.2">
      <c r="A225" s="410"/>
      <c r="B225" s="410"/>
      <c r="C225" s="410"/>
      <c r="D225" s="410"/>
      <c r="E225" s="410"/>
      <c r="F225" s="410"/>
      <c r="G225" s="410"/>
      <c r="H225" s="410"/>
      <c r="I225" s="410"/>
      <c r="J225" s="410"/>
      <c r="K225" s="410"/>
      <c r="L225" s="410"/>
      <c r="M225" s="410"/>
      <c r="N225" s="410"/>
      <c r="R225" s="428">
        <f>E112</f>
        <v>2</v>
      </c>
      <c r="S225" s="428"/>
      <c r="T225" s="428"/>
      <c r="U225" s="410"/>
      <c r="V225" s="1275"/>
      <c r="W225" s="410"/>
      <c r="X225" s="410"/>
      <c r="Y225" s="409" t="str">
        <f>IF(W223=17,B$154,IF(W223=18,B$155,IF(W223=19,B$156,IF(W223=20,B$157,IF(W223=21,B$158,IF(W223=22,B$159,IF(W223=23,B$160,IF(W223=24,B$161," "))))))))</f>
        <v xml:space="preserve">Куры отварные с соусом </v>
      </c>
      <c r="Z225" s="410"/>
      <c r="AA225" s="410" t="str">
        <f>IF(X223=17," ","  ")</f>
        <v xml:space="preserve">  </v>
      </c>
      <c r="AB225" s="410"/>
      <c r="AC225" s="410"/>
      <c r="AD225" s="410"/>
      <c r="AE225" s="410"/>
      <c r="AF225" s="410"/>
      <c r="AG225" s="460">
        <f t="shared" si="44"/>
        <v>0</v>
      </c>
      <c r="AH225" s="410"/>
      <c r="AI225" s="410"/>
      <c r="AJ225" s="410"/>
      <c r="AK225" s="410"/>
    </row>
    <row r="226" spans="1:37" x14ac:dyDescent="0.2">
      <c r="A226" s="410"/>
      <c r="B226" s="410"/>
      <c r="C226" s="410"/>
      <c r="D226" s="410"/>
      <c r="E226" s="410"/>
      <c r="F226" s="410"/>
      <c r="G226" s="410"/>
      <c r="H226" s="410"/>
      <c r="I226" s="410"/>
      <c r="J226" s="410"/>
      <c r="K226" s="410"/>
      <c r="L226" s="410"/>
      <c r="M226" s="410"/>
      <c r="N226" s="410"/>
      <c r="R226" s="428">
        <v>17</v>
      </c>
      <c r="S226" s="428">
        <v>16</v>
      </c>
      <c r="T226" s="428"/>
      <c r="U226" s="410"/>
      <c r="V226" s="1275"/>
      <c r="W226" s="410"/>
      <c r="X226" s="410"/>
      <c r="Y226" s="410"/>
      <c r="Z226" s="410"/>
      <c r="AA226" s="410"/>
      <c r="AB226" s="410"/>
      <c r="AC226" s="410"/>
      <c r="AD226" s="410">
        <f>IF(R226=1,AI$118,IF(R226=2,AI$119,IF(R226=3,AI$120,IF(R226=4,AI$119,IF(R226=5,AI$121,IF(R226=6,AI$121,IF(R226=7,AI$121,IF(R226=8,AI$121,0))))))))</f>
        <v>0</v>
      </c>
      <c r="AE226" s="410">
        <f>IF(R226=9,#REF!,IF(R226=10,#REF!,IF(R226=11,#REF!,IF(R226=12,#REF!,IF(R226=13,#REF!,IF(R226=14,#REF!,IF(R226=15,#REF!,IF(R226=16,AI$118,0))))))))</f>
        <v>0</v>
      </c>
      <c r="AF226" s="410">
        <f>IF(R226=17,AG$118,IF(R226=18,AG$119,IF(R226=19,75,IF(R226=20,96,IF(R226=21,AB$136,IF(R226=22,AB$136,IF(R226&gt;22,$AC224,0)))))))</f>
        <v>64</v>
      </c>
      <c r="AG226" s="460">
        <f t="shared" si="44"/>
        <v>64</v>
      </c>
      <c r="AH226" s="410"/>
      <c r="AI226" s="410"/>
      <c r="AJ226" s="410"/>
      <c r="AK226" s="410"/>
    </row>
    <row r="227" spans="1:37" x14ac:dyDescent="0.2">
      <c r="A227" s="410"/>
      <c r="B227" s="410"/>
      <c r="C227" s="410"/>
      <c r="D227" s="410"/>
      <c r="E227" s="410"/>
      <c r="F227" s="410"/>
      <c r="G227" s="410"/>
      <c r="H227" s="410"/>
      <c r="I227" s="410"/>
      <c r="J227" s="410"/>
      <c r="K227" s="410"/>
      <c r="L227" s="410"/>
      <c r="M227" s="410"/>
      <c r="N227" s="410"/>
      <c r="R227" s="428">
        <v>18</v>
      </c>
      <c r="S227" s="428">
        <v>12</v>
      </c>
      <c r="T227" s="428"/>
      <c r="U227" s="410"/>
      <c r="V227" s="1275"/>
      <c r="W227" s="410"/>
      <c r="X227" s="410"/>
      <c r="Y227" s="463" t="str">
        <f>CONCATENATE(Y223,Y224,Y225,Y226)</f>
        <v xml:space="preserve">  Куры отварные с соусом </v>
      </c>
      <c r="Z227" s="410"/>
      <c r="AA227" s="463" t="str">
        <f>CONCATENATE(AA223,AA224,AA225,AA226)</f>
        <v xml:space="preserve"> с кашей комбинированной,  </v>
      </c>
      <c r="AB227" s="410"/>
      <c r="AC227" s="413">
        <f>AC231</f>
        <v>60</v>
      </c>
      <c r="AD227" s="410">
        <f>IF(R227=1,AI$118,IF(R227=2,AH$119,IF(R227=3,AH$120,IF(R227=4,AH$119,IF(R227=5,AH$121,IF(R227=6,AH$121,IF(R227=7,AH$121,IF(R227=8,AH$121,0))))))))</f>
        <v>0</v>
      </c>
      <c r="AE227" s="410">
        <f>IF(R227=9,AH$122,IF(R227=10,AH$122,IF(R227=11,AH$122,IF(R227=12,AH$123,IF(R227=13,AH$121,IF(R227=14,AH$121,IF(R227=15,AH$121,IF(R227=16,AI$118,0))))))))</f>
        <v>0</v>
      </c>
      <c r="AF227" s="410">
        <f>IF(R227=17,AG$118,IF(R227=18,AG$119,IF(R227=19,75,IF(R227=20,96,IF(R227=21,AB$136,IF(R227=22,AB$136,IF(R227&gt;22,$AC225,0)))))))</f>
        <v>61</v>
      </c>
      <c r="AG227" s="460">
        <f t="shared" si="44"/>
        <v>61</v>
      </c>
      <c r="AH227" s="410"/>
      <c r="AI227" s="410"/>
      <c r="AJ227" s="410"/>
      <c r="AK227" s="410"/>
    </row>
    <row r="228" spans="1:37" x14ac:dyDescent="0.2">
      <c r="A228" s="410"/>
      <c r="B228" s="410"/>
      <c r="C228" s="410"/>
      <c r="D228" s="410"/>
      <c r="E228" s="410"/>
      <c r="F228" s="410"/>
      <c r="G228" s="410"/>
      <c r="H228" s="410"/>
      <c r="I228" s="410"/>
      <c r="J228" s="410"/>
      <c r="K228" s="410"/>
      <c r="L228" s="410"/>
      <c r="M228" s="410"/>
      <c r="N228" s="410"/>
      <c r="R228" s="428">
        <v>1</v>
      </c>
      <c r="S228" s="428"/>
      <c r="T228" s="428"/>
      <c r="U228" s="410"/>
      <c r="V228" s="1275"/>
      <c r="W228" s="417">
        <f>R227</f>
        <v>18</v>
      </c>
      <c r="X228" s="410">
        <f>S227</f>
        <v>12</v>
      </c>
      <c r="Y228" s="409" t="str">
        <f>IF(W228=1,B$138,IF(W228=2,B$139,IF(W228=3,B$140,IF(W228=4,B$141,IF(W228=5,B$142,IF(W228=6,B$143,IF(W228=7,B$144,IF(W228=8,B$145,""))))))))</f>
        <v/>
      </c>
      <c r="Z228" s="410">
        <f>S227</f>
        <v>12</v>
      </c>
      <c r="AA228" s="410" t="str">
        <f>IF(X228=1,B$177,IF(X228=2,B$178,IF(X228=3,B$179,IF(X228=4,B$180,IF(X228=5,B$181,IF(X228=6,B$182,IF(X228=7,B$183,IF(X228=8,B$184," "))))))))</f>
        <v xml:space="preserve"> </v>
      </c>
      <c r="AB228" s="410"/>
      <c r="AC228" s="410"/>
      <c r="AD228" s="410"/>
      <c r="AE228" s="410"/>
      <c r="AF228" s="410"/>
      <c r="AG228" s="410"/>
      <c r="AH228" s="410"/>
      <c r="AI228" s="410"/>
      <c r="AJ228" s="410"/>
      <c r="AK228" s="410"/>
    </row>
    <row r="229" spans="1:37" x14ac:dyDescent="0.2">
      <c r="A229" s="410"/>
      <c r="B229" s="410"/>
      <c r="C229" s="410"/>
      <c r="D229" s="410"/>
      <c r="E229" s="410"/>
      <c r="F229" s="410"/>
      <c r="G229" s="410"/>
      <c r="H229" s="410"/>
      <c r="I229" s="410"/>
      <c r="J229" s="410"/>
      <c r="K229" s="410"/>
      <c r="L229" s="410"/>
      <c r="M229" s="410"/>
      <c r="N229" s="410"/>
      <c r="R229" s="428">
        <f>E193</f>
        <v>22</v>
      </c>
      <c r="S229" s="428">
        <f>I193</f>
        <v>10</v>
      </c>
      <c r="T229" s="428">
        <f>N193</f>
        <v>3</v>
      </c>
      <c r="U229" s="410"/>
      <c r="V229" s="1275"/>
      <c r="W229" s="410"/>
      <c r="X229" s="410"/>
      <c r="Y229" s="409" t="str">
        <f>IF(W228=9,B$146,IF(W228=10,B$147,IF(W228=11,B$148,IF(W228=12,B$149,IF(W228=13,B$150,IF(W228=14,B$151,IF(W228=15,B$152,IF(W228=16,B$153,""))))))))</f>
        <v/>
      </c>
      <c r="Z229" s="410"/>
      <c r="AA229" s="410" t="str">
        <f>IF(X228=9,B$185,IF(X228=10,B$186,IF(X228=11,B$187,IF(X228=12,B$188,IF(X228=13,B$189,IF(X228=14,B$190,IF(X228=15,B$191,IF(X228=16,B$192,"  "))))))))</f>
        <v>с кашей ячневой рас,</v>
      </c>
      <c r="AB229" s="410"/>
      <c r="AC229" s="410"/>
      <c r="AD229" s="410">
        <f>IF(R229=1,AI$118,IF(R229=2,AH$119,IF(R229=3,AH$120,IF(R229=4,AH$119,IF(R229=5,AH$121,IF(R229=6,AH$121,IF(R229=7,AH$121,IF(R229=8,AH$121,0))))))))</f>
        <v>0</v>
      </c>
      <c r="AE229" s="410">
        <f>IF(R229=9,#REF!,IF(R229=10,#REF!,IF(R229=11,#REF!,IF(R229=12,#REF!,IF(R229=13,#REF!,IF(R229=14,#REF!,IF(R229=15,#REF!,IF(R229=16,AI$118,0))))))))</f>
        <v>0</v>
      </c>
      <c r="AF229" s="410">
        <f>IF(R229=17,AI$118,IF(R229=18,#REF!,IF(R229=19,75,IF(R229=20,96,IF(R229=21,AB$136,IF(R229=22,AB$136,IF(R229&gt;22,$AC227,0)))))))</f>
        <v>80</v>
      </c>
      <c r="AG229" s="460">
        <f>SUM(AD229:AF229)</f>
        <v>80</v>
      </c>
      <c r="AH229" s="410"/>
      <c r="AI229" s="410"/>
      <c r="AJ229" s="410"/>
      <c r="AK229" s="410"/>
    </row>
    <row r="230" spans="1:37" x14ac:dyDescent="0.2">
      <c r="A230" s="410"/>
      <c r="B230" s="410"/>
      <c r="C230" s="410"/>
      <c r="D230" s="410"/>
      <c r="E230" s="410"/>
      <c r="F230" s="410"/>
      <c r="G230" s="410"/>
      <c r="H230" s="410"/>
      <c r="I230" s="410"/>
      <c r="J230" s="410"/>
      <c r="K230" s="410"/>
      <c r="L230" s="410"/>
      <c r="M230" s="410"/>
      <c r="N230" s="410"/>
      <c r="R230" s="428"/>
      <c r="S230" s="428"/>
      <c r="T230" s="428"/>
      <c r="U230" s="410"/>
      <c r="V230" s="1275"/>
      <c r="W230" s="410"/>
      <c r="X230" s="410"/>
      <c r="Y230" s="409" t="str">
        <f>IF(W228=17,B$154,IF(W228=18,B$155,IF(W228=19,B$156,IF(W228=20,B$157,IF(W228=21,B$158,IF(W228=22,B$159,IF(W228=23,B$160,IF(W228=24,B$161,""))))))))</f>
        <v xml:space="preserve">Куры жареные с соусом </v>
      </c>
      <c r="Z230" s="410"/>
      <c r="AA230" s="410" t="str">
        <f>IF(X228=17," ","  ")</f>
        <v xml:space="preserve">  </v>
      </c>
      <c r="AB230" s="410"/>
      <c r="AC230" s="410"/>
      <c r="AD230" s="410"/>
      <c r="AE230" s="410"/>
      <c r="AF230" s="410"/>
      <c r="AG230" s="410"/>
      <c r="AH230" s="410"/>
      <c r="AI230" s="410"/>
      <c r="AJ230" s="410"/>
      <c r="AK230" s="410"/>
    </row>
    <row r="231" spans="1:37" x14ac:dyDescent="0.2">
      <c r="A231" s="410"/>
      <c r="B231" s="410"/>
      <c r="C231" s="410"/>
      <c r="D231" s="410"/>
      <c r="E231" s="410"/>
      <c r="F231" s="410"/>
      <c r="G231" s="410"/>
      <c r="H231" s="410"/>
      <c r="I231" s="410"/>
      <c r="J231" s="410"/>
      <c r="K231" s="410"/>
      <c r="L231" s="410"/>
      <c r="M231" s="410"/>
      <c r="N231" s="410"/>
      <c r="R231" s="428"/>
      <c r="S231" s="428"/>
      <c r="T231" s="428"/>
      <c r="U231" s="410"/>
      <c r="V231" s="1275"/>
      <c r="W231" s="410"/>
      <c r="X231" s="410"/>
      <c r="Y231" s="410"/>
      <c r="Z231" s="410"/>
      <c r="AA231" s="410"/>
      <c r="AB231" s="410"/>
      <c r="AC231" s="413">
        <f>AC136</f>
        <v>60</v>
      </c>
      <c r="AD231" s="410"/>
      <c r="AE231" s="410"/>
      <c r="AF231" s="410"/>
      <c r="AG231" s="410"/>
      <c r="AH231" s="410"/>
      <c r="AI231" s="410"/>
      <c r="AJ231" s="410"/>
      <c r="AK231" s="410"/>
    </row>
    <row r="232" spans="1:37" x14ac:dyDescent="0.2">
      <c r="A232" s="410"/>
      <c r="B232" s="410"/>
      <c r="C232" s="410"/>
      <c r="D232" s="410"/>
      <c r="E232" s="410"/>
      <c r="F232" s="410"/>
      <c r="G232" s="410"/>
      <c r="H232" s="410"/>
      <c r="I232" s="410"/>
      <c r="J232" s="410"/>
      <c r="K232" s="410"/>
      <c r="L232" s="410"/>
      <c r="M232" s="410"/>
      <c r="N232" s="410"/>
      <c r="R232" s="420"/>
      <c r="S232" s="420"/>
      <c r="T232" s="420"/>
      <c r="U232" s="410"/>
      <c r="V232" s="1275"/>
      <c r="W232" s="410"/>
      <c r="X232" s="410"/>
      <c r="Y232" s="463" t="str">
        <f>CONCATENATE(Y228,Y229,Y230,Y231)</f>
        <v xml:space="preserve">Куры жареные с соусом </v>
      </c>
      <c r="Z232" s="410"/>
      <c r="AA232" s="463" t="str">
        <f>CONCATENATE(AA228,AA229,AA230,AA231)</f>
        <v xml:space="preserve"> с кашей ячневой рас,  </v>
      </c>
      <c r="AB232" s="410"/>
      <c r="AC232" s="410"/>
      <c r="AD232" s="410"/>
      <c r="AE232" s="410"/>
      <c r="AF232" s="410"/>
      <c r="AG232" s="410"/>
      <c r="AH232" s="410"/>
      <c r="AI232" s="410"/>
      <c r="AJ232" s="410"/>
      <c r="AK232" s="410"/>
    </row>
    <row r="233" spans="1:37" x14ac:dyDescent="0.2">
      <c r="A233" s="410"/>
      <c r="B233" s="410"/>
      <c r="C233" s="410"/>
      <c r="D233" s="410"/>
      <c r="E233" s="410"/>
      <c r="F233" s="410"/>
      <c r="G233" s="410"/>
      <c r="H233" s="410"/>
      <c r="I233" s="410"/>
      <c r="J233" s="410"/>
      <c r="K233" s="410"/>
      <c r="L233" s="410"/>
      <c r="M233" s="410"/>
      <c r="N233" s="410"/>
      <c r="Q233" s="410" t="str">
        <f>IF(A30=TRUE,$R$90,"")</f>
        <v/>
      </c>
      <c r="R233" s="428">
        <f>E198</f>
        <v>1</v>
      </c>
      <c r="S233" s="428">
        <f>I198</f>
        <v>9</v>
      </c>
      <c r="T233" s="428">
        <f>N198</f>
        <v>3</v>
      </c>
      <c r="U233" s="458" t="str">
        <f>IF(R228=1,CONCATENATE(P$128,$Q$151),IF(R228=2,CONCATENATE(P$129,$Q$151),IF(R228=3,CONCATENATE(P$130,$Q$151),IF(R228=4,CONCATENATE(P$131,$Q$151),IF(R228=5,CONCATENATE(P$132,$Q$151),IF(R228=6,CONCATENATE(P$133,$Q$151),P$134))))))</f>
        <v>Сок, хлеб</v>
      </c>
      <c r="V233" s="410"/>
      <c r="W233" s="410"/>
      <c r="X233" s="410"/>
      <c r="Y233" s="410"/>
      <c r="Z233" s="410"/>
      <c r="AA233" s="410"/>
      <c r="AB233" s="410"/>
      <c r="AC233" s="410"/>
      <c r="AD233" s="410">
        <f>IF(R233=1,AI$118,IF(R233=2,AI$119,IF(R233=3,AI$120,IF(R233=4,AI$119,IF(R233=5,AI$121,IF(R233=6,AI$121,IF(R233=7,AI$121,IF(R233=8,AI$121,0))))))))</f>
        <v>46</v>
      </c>
      <c r="AE233" s="410">
        <f>IF(R233=9,AH$122,IF(R233=10,AH$122,IF(R233=11,AH$122,IF(R233=12,AH$123,IF(R233=13,AH$121,IF(R233=14,AH$121,IF(R233=15,AH$121,IF(R233=16,AI$118,0))))))))</f>
        <v>0</v>
      </c>
      <c r="AF233" s="410">
        <f>IF(R233=17,$AG$118,IF(R233=18,$AG$119,IF(R233=19,75,IF(R233=20,96,IF(R233=21,$AB$136,IF(R233=22,$AB$136,IF(R233=23,$AC$136,IF(R233=24,$AC$136,0))))))))</f>
        <v>0</v>
      </c>
      <c r="AG233" s="460">
        <f>SUM(AD233:AF233)</f>
        <v>46</v>
      </c>
      <c r="AH233" s="410"/>
      <c r="AI233" s="410"/>
      <c r="AJ233" s="410"/>
      <c r="AK233" s="410"/>
    </row>
    <row r="234" spans="1:37" x14ac:dyDescent="0.2">
      <c r="A234" s="410"/>
      <c r="B234" s="410"/>
      <c r="C234" s="410"/>
      <c r="D234" s="410"/>
      <c r="E234" s="410"/>
      <c r="F234" s="410"/>
      <c r="G234" s="410"/>
      <c r="H234" s="410"/>
      <c r="I234" s="410"/>
      <c r="J234" s="410"/>
      <c r="K234" s="410"/>
      <c r="L234" s="410"/>
      <c r="M234" s="410"/>
      <c r="N234" s="410"/>
      <c r="R234" s="428"/>
      <c r="S234" s="428"/>
      <c r="T234" s="428"/>
      <c r="U234" s="410"/>
      <c r="V234" s="410"/>
      <c r="W234" s="410"/>
      <c r="X234" s="410"/>
      <c r="Y234" s="410"/>
      <c r="Z234" s="410"/>
      <c r="AA234" s="410"/>
      <c r="AB234" s="410"/>
      <c r="AC234" s="410"/>
      <c r="AD234" s="410"/>
      <c r="AE234" s="410"/>
      <c r="AF234" s="410"/>
      <c r="AG234" s="410"/>
      <c r="AH234" s="410"/>
      <c r="AI234" s="410"/>
      <c r="AJ234" s="410"/>
      <c r="AK234" s="410"/>
    </row>
    <row r="235" spans="1:37" x14ac:dyDescent="0.2">
      <c r="A235" s="410"/>
      <c r="B235" s="410"/>
      <c r="C235" s="410"/>
      <c r="D235" s="410"/>
      <c r="E235" s="410"/>
      <c r="F235" s="410"/>
      <c r="G235" s="410"/>
      <c r="H235" s="410"/>
      <c r="I235" s="410"/>
      <c r="J235" s="410"/>
      <c r="K235" s="410"/>
      <c r="L235" s="410"/>
      <c r="M235" s="410"/>
      <c r="N235" s="410"/>
      <c r="R235" s="428"/>
      <c r="S235" s="428"/>
      <c r="T235" s="428"/>
      <c r="U235" s="410"/>
      <c r="V235" s="410"/>
      <c r="W235" s="410"/>
      <c r="X235" s="410"/>
      <c r="Y235" s="410"/>
      <c r="Z235" s="410"/>
      <c r="AA235" s="410"/>
      <c r="AB235" s="410"/>
      <c r="AC235" s="410"/>
      <c r="AD235" s="410"/>
      <c r="AE235" s="410"/>
      <c r="AF235" s="410"/>
      <c r="AG235" s="410"/>
      <c r="AH235" s="410"/>
      <c r="AI235" s="410"/>
      <c r="AJ235" s="410"/>
      <c r="AK235" s="410"/>
    </row>
    <row r="236" spans="1:37" x14ac:dyDescent="0.2">
      <c r="A236" s="410"/>
      <c r="B236" s="410"/>
      <c r="C236" s="410"/>
      <c r="D236" s="410"/>
      <c r="E236" s="410"/>
      <c r="F236" s="410"/>
      <c r="G236" s="410"/>
      <c r="H236" s="410"/>
      <c r="I236" s="410"/>
      <c r="J236" s="410"/>
      <c r="K236" s="410"/>
      <c r="L236" s="410"/>
      <c r="M236" s="410"/>
      <c r="N236" s="410"/>
      <c r="R236" s="428">
        <f>E58</f>
        <v>9</v>
      </c>
      <c r="S236" s="428"/>
      <c r="T236" s="428"/>
      <c r="U236" s="410"/>
      <c r="V236" s="1275" t="s">
        <v>100</v>
      </c>
      <c r="W236" s="417">
        <f>R239</f>
        <v>17</v>
      </c>
      <c r="X236" s="410">
        <f>S239</f>
        <v>8</v>
      </c>
      <c r="Y236" s="409" t="str">
        <f>IF(W236=1,B$138,IF(W236=2,B$139,IF(W236=3,B$140,IF(W236=4,B$141,IF(W236=5,B$142,IF(W236=6,B$143,IF(W236=7,B$144,IF(W236=8,B$145,""))))))))</f>
        <v/>
      </c>
      <c r="Z236" s="410">
        <f>S239</f>
        <v>8</v>
      </c>
      <c r="AA236" s="410" t="str">
        <f>IF(X236=1,B$177,IF(X236=2,B$178,IF(X236=3,B$179,IF(X236=4,B$180,IF(X236=5,B$181,IF(X236=6,B$182,IF(X236=7,B$183,IF(X236=8,B$184," "))))))))</f>
        <v>с кашей гречневой рас,</v>
      </c>
      <c r="AB236" s="410"/>
      <c r="AC236" s="410"/>
      <c r="AD236" s="410"/>
      <c r="AE236" s="410"/>
      <c r="AF236" s="410"/>
      <c r="AG236" s="410"/>
      <c r="AH236" s="410"/>
      <c r="AI236" s="410"/>
      <c r="AJ236" s="410"/>
      <c r="AK236" s="410"/>
    </row>
    <row r="237" spans="1:37" x14ac:dyDescent="0.2">
      <c r="A237" s="410"/>
      <c r="B237" s="410"/>
      <c r="C237" s="410"/>
      <c r="D237" s="410"/>
      <c r="E237" s="410"/>
      <c r="F237" s="410"/>
      <c r="G237" s="410"/>
      <c r="H237" s="410"/>
      <c r="I237" s="410"/>
      <c r="J237" s="410"/>
      <c r="K237" s="410"/>
      <c r="L237" s="410"/>
      <c r="M237" s="410"/>
      <c r="N237" s="410"/>
      <c r="R237" s="428">
        <f>E116</f>
        <v>1</v>
      </c>
      <c r="S237" s="428"/>
      <c r="T237" s="428"/>
      <c r="U237" s="410"/>
      <c r="V237" s="1275"/>
      <c r="W237" s="410"/>
      <c r="X237" s="410"/>
      <c r="Y237" s="409" t="str">
        <f>IF(W236=9,B$146,IF(W236=10,B$147,IF(W236=11,B$148,IF(W236=12,B$149,IF(W236=13,B$150,IF(W236=14,B$151,IF(W236=15,B$152,IF(W236=16,B$153,""))))))))</f>
        <v/>
      </c>
      <c r="Z237" s="410"/>
      <c r="AA237" s="410" t="str">
        <f>IF(X236=9,B$185,IF(X236=10,B$186,IF(X236=11,B$187,IF(X236=12,B$188,IF(X236=13,B$189,IF(X236=14,B$190,IF(X236=15,B$191,IF(X236=16,B$192,"  "))))))))</f>
        <v xml:space="preserve">  </v>
      </c>
      <c r="AB237" s="410"/>
      <c r="AC237" s="410"/>
      <c r="AD237" s="410"/>
      <c r="AE237" s="410"/>
      <c r="AF237" s="410"/>
      <c r="AG237" s="410"/>
      <c r="AH237" s="410"/>
      <c r="AI237" s="410"/>
      <c r="AJ237" s="410"/>
      <c r="AK237" s="410"/>
    </row>
    <row r="238" spans="1:37" x14ac:dyDescent="0.2">
      <c r="A238" s="410"/>
      <c r="B238" s="410"/>
      <c r="C238" s="410"/>
      <c r="D238" s="410"/>
      <c r="E238" s="410"/>
      <c r="F238" s="410"/>
      <c r="G238" s="410"/>
      <c r="H238" s="410"/>
      <c r="I238" s="410"/>
      <c r="J238" s="410"/>
      <c r="K238" s="410"/>
      <c r="L238" s="410"/>
      <c r="M238" s="410"/>
      <c r="N238" s="410"/>
      <c r="R238" s="428">
        <f>E120</f>
        <v>1</v>
      </c>
      <c r="S238" s="428"/>
      <c r="T238" s="428"/>
      <c r="U238" s="410"/>
      <c r="V238" s="1275"/>
      <c r="W238" s="410"/>
      <c r="X238" s="410"/>
      <c r="Y238" s="409" t="str">
        <f>IF(W236=17,B$154,IF(W236=18,B$155,IF(W236=19,B$156,IF(W236=20,B$157,IF(W236=21,B$158,IF(W236=22,B$159,IF(W236=23,B$160,IF(W236=24,B$161," "))))))))</f>
        <v xml:space="preserve">Куры отварные с соусом </v>
      </c>
      <c r="Z238" s="410"/>
      <c r="AA238" s="410" t="str">
        <f>IF(X236=17," ","  ")</f>
        <v xml:space="preserve">  </v>
      </c>
      <c r="AB238" s="410"/>
      <c r="AC238" s="410"/>
      <c r="AD238" s="410"/>
      <c r="AE238" s="410"/>
      <c r="AF238" s="410"/>
      <c r="AG238" s="410"/>
      <c r="AH238" s="410"/>
      <c r="AI238" s="410"/>
      <c r="AJ238" s="410"/>
      <c r="AK238" s="410"/>
    </row>
    <row r="239" spans="1:37" x14ac:dyDescent="0.2">
      <c r="A239" s="410"/>
      <c r="B239" s="410"/>
      <c r="C239" s="410"/>
      <c r="D239" s="410"/>
      <c r="E239" s="410"/>
      <c r="F239" s="410"/>
      <c r="G239" s="410"/>
      <c r="H239" s="410"/>
      <c r="I239" s="410"/>
      <c r="J239" s="410"/>
      <c r="K239" s="410"/>
      <c r="L239" s="410"/>
      <c r="M239" s="410"/>
      <c r="N239" s="410"/>
      <c r="R239" s="428">
        <v>17</v>
      </c>
      <c r="S239" s="428">
        <v>8</v>
      </c>
      <c r="T239" s="428"/>
      <c r="U239" s="410"/>
      <c r="V239" s="1275"/>
      <c r="W239" s="410"/>
      <c r="X239" s="410"/>
      <c r="Y239" s="410"/>
      <c r="Z239" s="410"/>
      <c r="AA239" s="410"/>
      <c r="AB239" s="410"/>
      <c r="AC239" s="410"/>
      <c r="AD239" s="410">
        <f>IF(R239=1,AI$118,IF(R239=2,AH$119,IF(R239=3,AH$120,IF(R239=4,AH$119,IF(R239=5,AH$121,IF(R239=6,AH$121,IF(R239=7,AH$121,IF(R239=8,AH$121,0))))))))</f>
        <v>0</v>
      </c>
      <c r="AE239" s="410">
        <f>IF(R239=9,AH$122,IF(R239=10,AH$122,IF(R239=11,AH$122,IF(R239=12,AH$123,IF(R239=13,AH$121,IF(R239=14,AH$121,IF(R239=15,AH$121,IF(R239=16,AI$118,0))))))))</f>
        <v>0</v>
      </c>
      <c r="AF239" s="410">
        <f>IF(R239=17,AG$118,IF(R239=18,AG$119,IF(R239=19,75,IF(R239=20,96,IF(R239=21,AB$136,IF(R239=22,AB$136,IF(R239&gt;22,$AC237,0)))))))</f>
        <v>64</v>
      </c>
      <c r="AG239" s="460">
        <f>SUM(AD239:AF239)</f>
        <v>64</v>
      </c>
      <c r="AH239" s="410"/>
      <c r="AI239" s="410"/>
      <c r="AJ239" s="410"/>
      <c r="AK239" s="410"/>
    </row>
    <row r="240" spans="1:37" x14ac:dyDescent="0.2">
      <c r="A240" s="410"/>
      <c r="B240" s="410"/>
      <c r="C240" s="410"/>
      <c r="D240" s="410"/>
      <c r="E240" s="410"/>
      <c r="F240" s="410"/>
      <c r="G240" s="410"/>
      <c r="H240" s="410"/>
      <c r="I240" s="410"/>
      <c r="J240" s="410"/>
      <c r="K240" s="410"/>
      <c r="L240" s="410"/>
      <c r="M240" s="410"/>
      <c r="N240" s="410"/>
      <c r="R240" s="428">
        <v>18</v>
      </c>
      <c r="S240" s="428">
        <v>7</v>
      </c>
      <c r="T240" s="428"/>
      <c r="U240" s="410"/>
      <c r="V240" s="1275"/>
      <c r="W240" s="410"/>
      <c r="X240" s="410"/>
      <c r="Y240" s="463" t="str">
        <f>CONCATENATE(Y236,Y237,Y238,Y239)</f>
        <v xml:space="preserve">Куры отварные с соусом </v>
      </c>
      <c r="Z240" s="410"/>
      <c r="AA240" s="463" t="str">
        <f>CONCATENATE(AA236,AA237,AA238,AA239)</f>
        <v xml:space="preserve">с кашей гречневой рас,    </v>
      </c>
      <c r="AB240" s="410"/>
      <c r="AC240" s="413">
        <f>AC136</f>
        <v>60</v>
      </c>
      <c r="AD240" s="410">
        <f>IF(R240=1,AI$118,IF(R240=2,AH$119,IF(R240=3,AH$120,IF(R240=4,AH$119,IF(R240=5,AH$121,IF(R240=6,AH$121,IF(R240=7,AH$121,IF(R240=8,AH$121,0))))))))</f>
        <v>0</v>
      </c>
      <c r="AE240" s="410">
        <f>IF(R240=9,AH$122,IF(R240=10,AH$122,IF(R240=11,AH$122,IF(R240=12,AH$123,IF(R240=13,AH$121,IF(R240=14,AH$121,IF(R240=15,AH$121,IF(R240=16,AI$118,0))))))))</f>
        <v>0</v>
      </c>
      <c r="AF240" s="410">
        <f>IF(R240=17,AG$118,IF(R240=18,AG$119,IF(R240=19,75,IF(R240=20,96,IF(R240=21,AB$136,IF(R240=22,AB$136,IF(R240&gt;22,$AC238,0)))))))</f>
        <v>61</v>
      </c>
      <c r="AG240" s="460">
        <f>SUM(AD240:AF240)</f>
        <v>61</v>
      </c>
      <c r="AH240" s="410"/>
      <c r="AI240" s="410"/>
      <c r="AJ240" s="410"/>
      <c r="AK240" s="410"/>
    </row>
    <row r="241" spans="1:37" x14ac:dyDescent="0.2">
      <c r="A241" s="410"/>
      <c r="B241" s="410"/>
      <c r="C241" s="410"/>
      <c r="D241" s="410"/>
      <c r="E241" s="410"/>
      <c r="F241" s="410"/>
      <c r="G241" s="410"/>
      <c r="H241" s="410"/>
      <c r="I241" s="410"/>
      <c r="J241" s="410"/>
      <c r="K241" s="410"/>
      <c r="L241" s="410"/>
      <c r="M241" s="410"/>
      <c r="N241" s="410"/>
      <c r="R241" s="428">
        <v>2</v>
      </c>
      <c r="S241" s="428"/>
      <c r="T241" s="428"/>
      <c r="U241" s="410"/>
      <c r="V241" s="1275"/>
      <c r="W241" s="417">
        <f>R240</f>
        <v>18</v>
      </c>
      <c r="X241" s="410">
        <f>S240</f>
        <v>7</v>
      </c>
      <c r="Y241" s="409" t="str">
        <f>IF(W241=1,B$138,IF(W241=2,B$139,IF(W241=3,B$140,IF(W241=4,B$141,IF(W241=5,B$142,IF(W241=6,B$143,IF(W241=7,B$144,IF(W241=8,B$145,""))))))))</f>
        <v/>
      </c>
      <c r="Z241" s="410">
        <f>S240</f>
        <v>7</v>
      </c>
      <c r="AA241" s="410" t="str">
        <f>IF(X241=1,B$177,IF(X241=2,B$178,IF(X241=3,B$179,IF(X241=4,B$180,IF(X241=5,B$181,IF(X241=6,B$182,IF(X241=7,B$183,IF(X241=8,B$184," "))))))))</f>
        <v>с кашей рисовой рас,</v>
      </c>
      <c r="AB241" s="410"/>
      <c r="AC241" s="410"/>
      <c r="AD241" s="410"/>
      <c r="AE241" s="410"/>
      <c r="AF241" s="410"/>
      <c r="AG241" s="410"/>
      <c r="AH241" s="410"/>
      <c r="AI241" s="410"/>
      <c r="AJ241" s="410"/>
      <c r="AK241" s="410"/>
    </row>
    <row r="242" spans="1:37" x14ac:dyDescent="0.2">
      <c r="A242" s="410"/>
      <c r="B242" s="410"/>
      <c r="C242" s="410"/>
      <c r="D242" s="410"/>
      <c r="E242" s="410"/>
      <c r="F242" s="410"/>
      <c r="G242" s="410"/>
      <c r="H242" s="410"/>
      <c r="I242" s="410"/>
      <c r="J242" s="410"/>
      <c r="K242" s="410"/>
      <c r="L242" s="410"/>
      <c r="M242" s="410"/>
      <c r="N242" s="410"/>
      <c r="R242" s="428">
        <f>E203</f>
        <v>21</v>
      </c>
      <c r="S242" s="428">
        <f>I203</f>
        <v>1</v>
      </c>
      <c r="T242" s="428">
        <f>N203</f>
        <v>2</v>
      </c>
      <c r="U242" s="410"/>
      <c r="V242" s="1275"/>
      <c r="W242" s="410"/>
      <c r="X242" s="410"/>
      <c r="Y242" s="409" t="str">
        <f>IF(W241=9,B$146,IF(W241=10,B$147,IF(W241=11,B$148,IF(W241=12,B$149,IF(W241=13,B$150,IF(W241=14,B$151,IF(W241=15,B$152,IF(W241=16,B$153,""))))))))</f>
        <v/>
      </c>
      <c r="Z242" s="410"/>
      <c r="AA242" s="410" t="str">
        <f>IF(X241=9,B$185,IF(X241=10,B$186,IF(X241=11,B$187,IF(X241=12,B$188,IF(X241=13,B$189,IF(X241=14,B$190,IF(X241=15,B$191,IF(X241=16,B$192,"  "))))))))</f>
        <v xml:space="preserve">  </v>
      </c>
      <c r="AB242" s="410"/>
      <c r="AC242" s="410"/>
      <c r="AD242" s="410">
        <f>IF(R242=1,AI$118,IF(R242=2,AH$119,IF(R242=3,AH$120,IF(R242=4,AH$119,IF(R242=5,AH$121,IF(R242=6,AH$121,IF(R242=7,AH$121,IF(R242=8,AH$121,0))))))))</f>
        <v>0</v>
      </c>
      <c r="AE242" s="410">
        <f>IF(R242=9,#REF!,IF(R242=10,#REF!,IF(R242=11,#REF!,IF(R242=12,#REF!,IF(R242=13,#REF!,IF(R242=14,#REF!,IF(R242=15,#REF!,IF(R242=16,AI$118,0))))))))</f>
        <v>0</v>
      </c>
      <c r="AF242" s="410">
        <f>IF(R242=17,AI$118,IF(R242=18,#REF!,IF(R242=19,75,IF(R242=20,96,IF(R242=21,AB$136,IF(R242=22,AB$136,IF(R242&gt;22,$AC240,0)))))))</f>
        <v>80</v>
      </c>
      <c r="AG242" s="460">
        <f>SUM(AD242:AF242)</f>
        <v>80</v>
      </c>
      <c r="AH242" s="410"/>
      <c r="AI242" s="410"/>
      <c r="AJ242" s="410"/>
      <c r="AK242" s="410"/>
    </row>
    <row r="243" spans="1:37" x14ac:dyDescent="0.2">
      <c r="A243" s="410"/>
      <c r="B243" s="410"/>
      <c r="C243" s="410"/>
      <c r="D243" s="410"/>
      <c r="E243" s="410"/>
      <c r="F243" s="410"/>
      <c r="G243" s="410"/>
      <c r="H243" s="410"/>
      <c r="I243" s="410"/>
      <c r="J243" s="410"/>
      <c r="K243" s="410"/>
      <c r="L243" s="410"/>
      <c r="M243" s="410"/>
      <c r="N243" s="410"/>
      <c r="R243" s="428"/>
      <c r="S243" s="428"/>
      <c r="T243" s="428"/>
      <c r="U243" s="410"/>
      <c r="V243" s="1275"/>
      <c r="W243" s="410"/>
      <c r="X243" s="410"/>
      <c r="Y243" s="409" t="str">
        <f>IF(W241=17,B$154,IF(W241=18,B$155,IF(W241=19,B$156,IF(W241=20,B$157,IF(W241=21,B$158,IF(W241=22,B$159,IF(W241=23,B$160,IF(W241=24,B$161,""))))))))</f>
        <v xml:space="preserve">Куры жареные с соусом </v>
      </c>
      <c r="Z243" s="410"/>
      <c r="AA243" s="410" t="str">
        <f>IF(X241=17," ","  ")</f>
        <v xml:space="preserve">  </v>
      </c>
      <c r="AB243" s="410"/>
      <c r="AC243" s="410"/>
      <c r="AD243" s="410"/>
      <c r="AE243" s="410"/>
      <c r="AF243" s="410"/>
      <c r="AG243" s="410"/>
      <c r="AH243" s="410"/>
      <c r="AI243" s="410"/>
      <c r="AJ243" s="410"/>
      <c r="AK243" s="410"/>
    </row>
    <row r="244" spans="1:37" x14ac:dyDescent="0.2">
      <c r="A244" s="410"/>
      <c r="B244" s="410"/>
      <c r="C244" s="410"/>
      <c r="D244" s="410"/>
      <c r="E244" s="410"/>
      <c r="F244" s="410"/>
      <c r="G244" s="410"/>
      <c r="H244" s="410"/>
      <c r="I244" s="410"/>
      <c r="J244" s="410"/>
      <c r="K244" s="410"/>
      <c r="L244" s="410"/>
      <c r="M244" s="410"/>
      <c r="N244" s="410"/>
      <c r="R244" s="428"/>
      <c r="S244" s="428"/>
      <c r="T244" s="428"/>
      <c r="U244" s="410"/>
      <c r="V244" s="1275"/>
      <c r="W244" s="410"/>
      <c r="X244" s="410"/>
      <c r="Y244" s="410"/>
      <c r="Z244" s="410"/>
      <c r="AA244" s="410"/>
      <c r="AB244" s="410"/>
      <c r="AC244" s="410"/>
      <c r="AD244" s="410"/>
      <c r="AE244" s="410"/>
      <c r="AF244" s="410"/>
      <c r="AG244" s="410"/>
      <c r="AH244" s="410"/>
      <c r="AI244" s="410"/>
      <c r="AJ244" s="410"/>
      <c r="AK244" s="410"/>
    </row>
    <row r="245" spans="1:37" x14ac:dyDescent="0.2">
      <c r="A245" s="410"/>
      <c r="B245" s="410"/>
      <c r="C245" s="410"/>
      <c r="D245" s="410"/>
      <c r="E245" s="410"/>
      <c r="F245" s="410"/>
      <c r="G245" s="410"/>
      <c r="H245" s="410"/>
      <c r="I245" s="410"/>
      <c r="J245" s="410"/>
      <c r="K245" s="410"/>
      <c r="L245" s="410"/>
      <c r="M245" s="410"/>
      <c r="N245" s="410"/>
      <c r="R245" s="428"/>
      <c r="S245" s="428"/>
      <c r="T245" s="428"/>
      <c r="U245" s="410"/>
      <c r="V245" s="1275"/>
      <c r="W245" s="410"/>
      <c r="X245" s="410"/>
      <c r="Y245" s="463" t="str">
        <f>CONCATENATE(Y241,Y242,Y243,Y244)</f>
        <v xml:space="preserve">Куры жареные с соусом </v>
      </c>
      <c r="Z245" s="410"/>
      <c r="AA245" s="463" t="str">
        <f>CONCATENATE(AA241,AA242,AA243,AA244)</f>
        <v xml:space="preserve">с кашей рисовой рас,    </v>
      </c>
      <c r="AB245" s="410"/>
      <c r="AC245" s="410"/>
      <c r="AD245" s="410"/>
      <c r="AE245" s="410"/>
      <c r="AF245" s="410"/>
      <c r="AG245" s="410"/>
      <c r="AH245" s="410"/>
      <c r="AI245" s="410"/>
      <c r="AJ245" s="410"/>
      <c r="AK245" s="410"/>
    </row>
    <row r="246" spans="1:37" x14ac:dyDescent="0.2">
      <c r="A246" s="410"/>
      <c r="B246" s="410"/>
      <c r="C246" s="410"/>
      <c r="D246" s="410"/>
      <c r="E246" s="410"/>
      <c r="F246" s="410"/>
      <c r="G246" s="410"/>
      <c r="H246" s="410"/>
      <c r="I246" s="410"/>
      <c r="J246" s="410"/>
      <c r="K246" s="410"/>
      <c r="L246" s="410"/>
      <c r="M246" s="410"/>
      <c r="N246" s="410"/>
      <c r="Q246" s="410" t="str">
        <f>IF(A31=TRUE,$R$90,"")</f>
        <v/>
      </c>
      <c r="R246" s="410"/>
      <c r="S246" s="410"/>
      <c r="T246" s="410"/>
      <c r="U246" s="458" t="str">
        <f>IF(R241=1,CONCATENATE(P$128,$Q$151),IF(R241=2,CONCATENATE(P$129,$Q$151),IF(R241=3,CONCATENATE(P$130,$Q$151),IF(R241=4,CONCATENATE(P$131,$Q$151),IF(R241=5,CONCATENATE(P$132,$Q$151),IF(R241=6,CONCATENATE(P$133,$Q$151),P$134))))))</f>
        <v>Компот, хлеб</v>
      </c>
      <c r="V246" s="410"/>
      <c r="W246" s="410"/>
      <c r="X246" s="410"/>
      <c r="Y246" s="410"/>
      <c r="Z246" s="410"/>
      <c r="AA246" s="410"/>
      <c r="AB246" s="410"/>
      <c r="AC246" s="410"/>
      <c r="AD246" s="410"/>
      <c r="AE246" s="410"/>
      <c r="AF246" s="410"/>
      <c r="AG246" s="410"/>
      <c r="AH246" s="410"/>
      <c r="AI246" s="410"/>
      <c r="AJ246" s="410"/>
      <c r="AK246" s="410"/>
    </row>
    <row r="247" spans="1:37" x14ac:dyDescent="0.2">
      <c r="A247" s="410"/>
      <c r="B247" s="410"/>
      <c r="C247" s="410"/>
      <c r="D247" s="410"/>
      <c r="E247" s="410"/>
      <c r="F247" s="410"/>
      <c r="G247" s="410"/>
      <c r="H247" s="410"/>
      <c r="I247" s="410"/>
      <c r="J247" s="410"/>
      <c r="K247" s="410"/>
      <c r="L247" s="410"/>
      <c r="M247" s="410"/>
      <c r="N247" s="410"/>
      <c r="R247" s="410"/>
      <c r="S247" s="410"/>
      <c r="T247" s="410"/>
      <c r="U247" s="410"/>
      <c r="V247" s="410"/>
      <c r="W247" s="410"/>
      <c r="X247" s="410"/>
      <c r="Y247" s="410"/>
      <c r="Z247" s="410"/>
      <c r="AA247" s="410"/>
      <c r="AB247" s="410"/>
      <c r="AC247" s="410"/>
      <c r="AD247" s="410"/>
      <c r="AE247" s="410"/>
      <c r="AF247" s="410"/>
      <c r="AG247" s="410"/>
      <c r="AH247" s="410"/>
      <c r="AI247" s="410"/>
      <c r="AJ247" s="410"/>
      <c r="AK247" s="410"/>
    </row>
    <row r="248" spans="1:37" x14ac:dyDescent="0.2">
      <c r="A248" s="410"/>
      <c r="B248" s="410"/>
      <c r="C248" s="410"/>
      <c r="D248" s="410"/>
      <c r="E248" s="410"/>
      <c r="F248" s="410"/>
      <c r="G248" s="410"/>
      <c r="H248" s="410"/>
      <c r="I248" s="410"/>
      <c r="J248" s="410"/>
      <c r="K248" s="410"/>
      <c r="L248" s="410"/>
      <c r="M248" s="410"/>
      <c r="N248" s="410"/>
      <c r="R248" s="410"/>
      <c r="S248" s="410"/>
      <c r="T248" s="410"/>
      <c r="U248" s="410"/>
      <c r="V248" s="410"/>
      <c r="W248" s="410"/>
      <c r="X248" s="410"/>
      <c r="Y248" s="410"/>
      <c r="Z248" s="410"/>
      <c r="AA248" s="410"/>
      <c r="AB248" s="410"/>
      <c r="AC248" s="410"/>
      <c r="AD248" s="410"/>
      <c r="AE248" s="410"/>
      <c r="AF248" s="410"/>
      <c r="AG248" s="410"/>
      <c r="AH248" s="410"/>
      <c r="AI248" s="410"/>
      <c r="AJ248" s="410"/>
      <c r="AK248" s="410"/>
    </row>
    <row r="249" spans="1:37" x14ac:dyDescent="0.2">
      <c r="A249" s="410"/>
      <c r="B249" s="410"/>
      <c r="C249" s="410"/>
      <c r="D249" s="410"/>
      <c r="E249" s="410"/>
      <c r="F249" s="410"/>
      <c r="G249" s="410"/>
      <c r="H249" s="410"/>
      <c r="I249" s="410"/>
      <c r="J249" s="410"/>
      <c r="K249" s="410"/>
      <c r="L249" s="410"/>
      <c r="M249" s="410"/>
      <c r="N249" s="410"/>
      <c r="R249" s="410"/>
      <c r="S249" s="410"/>
      <c r="T249" s="410"/>
      <c r="U249" s="410"/>
      <c r="V249" s="410"/>
      <c r="W249" s="410"/>
      <c r="X249" s="410"/>
      <c r="Y249" s="410"/>
      <c r="Z249" s="410"/>
      <c r="AA249" s="410"/>
      <c r="AB249" s="410"/>
      <c r="AC249" s="410"/>
      <c r="AD249" s="410"/>
      <c r="AE249" s="410"/>
      <c r="AF249" s="410"/>
      <c r="AG249" s="410"/>
      <c r="AH249" s="410"/>
      <c r="AI249" s="410"/>
      <c r="AJ249" s="410"/>
      <c r="AK249" s="410"/>
    </row>
    <row r="250" spans="1:37" x14ac:dyDescent="0.2">
      <c r="A250" s="410"/>
      <c r="B250" s="410"/>
      <c r="C250" s="410"/>
      <c r="D250" s="410"/>
      <c r="E250" s="410"/>
      <c r="F250" s="410"/>
      <c r="G250" s="410"/>
      <c r="H250" s="410"/>
      <c r="I250" s="410"/>
      <c r="J250" s="410"/>
      <c r="K250" s="410"/>
      <c r="L250" s="410"/>
      <c r="M250" s="410"/>
      <c r="N250" s="410"/>
      <c r="R250" s="410"/>
      <c r="S250" s="410"/>
      <c r="T250" s="410"/>
      <c r="U250" s="410"/>
      <c r="V250" s="410"/>
      <c r="W250" s="410"/>
      <c r="X250" s="410"/>
      <c r="Y250" s="410"/>
      <c r="Z250" s="410"/>
      <c r="AA250" s="410"/>
      <c r="AB250" s="410"/>
      <c r="AC250" s="410"/>
      <c r="AD250" s="410"/>
      <c r="AE250" s="410"/>
      <c r="AF250" s="410"/>
      <c r="AG250" s="410"/>
      <c r="AH250" s="410"/>
      <c r="AI250" s="410"/>
      <c r="AJ250" s="410"/>
      <c r="AK250" s="410"/>
    </row>
    <row r="251" spans="1:37" x14ac:dyDescent="0.2">
      <c r="A251" s="410"/>
      <c r="B251" s="410"/>
      <c r="C251" s="410"/>
      <c r="D251" s="410"/>
      <c r="E251" s="410"/>
      <c r="F251" s="410"/>
      <c r="G251" s="410"/>
      <c r="H251" s="410"/>
      <c r="I251" s="410"/>
      <c r="J251" s="410"/>
      <c r="K251" s="410"/>
      <c r="L251" s="410"/>
      <c r="M251" s="410"/>
      <c r="N251" s="410"/>
      <c r="R251" s="410"/>
      <c r="S251" s="410"/>
      <c r="T251" s="410"/>
      <c r="U251" s="410"/>
      <c r="V251" s="410"/>
      <c r="W251" s="410"/>
      <c r="X251" s="410"/>
      <c r="Y251" s="410"/>
      <c r="Z251" s="410"/>
      <c r="AA251" s="410"/>
      <c r="AB251" s="410"/>
      <c r="AC251" s="410"/>
      <c r="AD251" s="410"/>
      <c r="AE251" s="410"/>
      <c r="AF251" s="410"/>
      <c r="AG251" s="410"/>
      <c r="AH251" s="410"/>
      <c r="AI251" s="410"/>
      <c r="AJ251" s="410"/>
      <c r="AK251" s="410"/>
    </row>
    <row r="252" spans="1:37" x14ac:dyDescent="0.2">
      <c r="A252" s="410"/>
      <c r="B252" s="410"/>
      <c r="C252" s="410"/>
      <c r="D252" s="410"/>
      <c r="E252" s="410"/>
      <c r="F252" s="410"/>
      <c r="G252" s="410"/>
      <c r="H252" s="410"/>
      <c r="I252" s="410"/>
      <c r="J252" s="410"/>
      <c r="K252" s="410"/>
      <c r="L252" s="410"/>
      <c r="M252" s="410"/>
      <c r="N252" s="410"/>
      <c r="R252" s="410"/>
      <c r="S252" s="410"/>
      <c r="T252" s="410"/>
      <c r="U252" s="410"/>
      <c r="V252" s="410"/>
      <c r="W252" s="410"/>
      <c r="X252" s="410"/>
      <c r="Y252" s="410"/>
      <c r="Z252" s="410"/>
      <c r="AA252" s="410"/>
      <c r="AB252" s="410"/>
      <c r="AC252" s="410"/>
      <c r="AD252" s="410"/>
      <c r="AE252" s="410"/>
      <c r="AF252" s="410"/>
      <c r="AG252" s="410"/>
      <c r="AH252" s="410"/>
      <c r="AI252" s="410"/>
      <c r="AJ252" s="410"/>
      <c r="AK252" s="410"/>
    </row>
    <row r="253" spans="1:37" x14ac:dyDescent="0.2">
      <c r="A253" s="410"/>
      <c r="B253" s="410"/>
      <c r="C253" s="410"/>
      <c r="D253" s="410"/>
      <c r="E253" s="410"/>
      <c r="F253" s="410"/>
      <c r="G253" s="410"/>
      <c r="H253" s="410"/>
      <c r="I253" s="410"/>
      <c r="J253" s="410"/>
      <c r="K253" s="410"/>
      <c r="L253" s="410"/>
      <c r="M253" s="410"/>
      <c r="N253" s="410"/>
      <c r="R253" s="410"/>
      <c r="S253" s="410"/>
      <c r="T253" s="410"/>
      <c r="U253" s="410"/>
      <c r="V253" s="410"/>
      <c r="W253" s="410"/>
      <c r="X253" s="410"/>
      <c r="Y253" s="410"/>
      <c r="Z253" s="410"/>
      <c r="AA253" s="410"/>
      <c r="AB253" s="410"/>
      <c r="AC253" s="410"/>
      <c r="AD253" s="410"/>
      <c r="AE253" s="410"/>
      <c r="AF253" s="410"/>
      <c r="AG253" s="410"/>
      <c r="AH253" s="410"/>
      <c r="AI253" s="410"/>
      <c r="AJ253" s="410"/>
      <c r="AK253" s="410"/>
    </row>
    <row r="254" spans="1:37" x14ac:dyDescent="0.2">
      <c r="A254" s="410"/>
      <c r="B254" s="410"/>
      <c r="C254" s="410"/>
      <c r="D254" s="410"/>
      <c r="E254" s="410"/>
      <c r="F254" s="410"/>
      <c r="G254" s="410"/>
      <c r="H254" s="410"/>
      <c r="I254" s="410"/>
      <c r="J254" s="410"/>
      <c r="K254" s="410"/>
      <c r="L254" s="410"/>
      <c r="M254" s="410"/>
      <c r="N254" s="410"/>
      <c r="R254" s="410"/>
      <c r="S254" s="410"/>
      <c r="T254" s="410"/>
      <c r="U254" s="410"/>
      <c r="V254" s="410"/>
      <c r="W254" s="410"/>
      <c r="X254" s="410"/>
      <c r="Y254" s="410"/>
      <c r="Z254" s="410"/>
      <c r="AA254" s="410"/>
      <c r="AB254" s="410"/>
      <c r="AC254" s="410"/>
      <c r="AD254" s="410"/>
      <c r="AE254" s="410"/>
      <c r="AF254" s="410"/>
      <c r="AG254" s="410"/>
      <c r="AH254" s="410"/>
      <c r="AI254" s="410"/>
      <c r="AJ254" s="410"/>
      <c r="AK254" s="410"/>
    </row>
    <row r="255" spans="1:37" x14ac:dyDescent="0.2">
      <c r="A255" s="410"/>
      <c r="B255" s="410"/>
      <c r="C255" s="410"/>
      <c r="D255" s="410"/>
      <c r="E255" s="410"/>
      <c r="F255" s="410"/>
      <c r="G255" s="410"/>
      <c r="H255" s="410"/>
      <c r="I255" s="410"/>
      <c r="J255" s="410"/>
      <c r="K255" s="410"/>
      <c r="L255" s="410"/>
      <c r="M255" s="410"/>
      <c r="N255" s="410"/>
      <c r="R255" s="410"/>
      <c r="S255" s="410"/>
      <c r="T255" s="410"/>
      <c r="U255" s="410"/>
      <c r="V255" s="410"/>
      <c r="W255" s="410"/>
      <c r="X255" s="410"/>
      <c r="Y255" s="410"/>
      <c r="Z255" s="410"/>
      <c r="AA255" s="410"/>
      <c r="AB255" s="410"/>
      <c r="AC255" s="410"/>
      <c r="AD255" s="410"/>
      <c r="AE255" s="410"/>
      <c r="AF255" s="410"/>
      <c r="AG255" s="410"/>
      <c r="AH255" s="410"/>
      <c r="AI255" s="410"/>
      <c r="AJ255" s="410"/>
      <c r="AK255" s="410"/>
    </row>
    <row r="256" spans="1:37" x14ac:dyDescent="0.2">
      <c r="A256" s="410"/>
      <c r="B256" s="410"/>
      <c r="C256" s="410"/>
      <c r="D256" s="410"/>
      <c r="E256" s="410"/>
      <c r="F256" s="410"/>
      <c r="G256" s="410"/>
      <c r="H256" s="410"/>
      <c r="I256" s="410"/>
      <c r="J256" s="410"/>
      <c r="K256" s="410"/>
      <c r="L256" s="410"/>
      <c r="M256" s="410"/>
      <c r="N256" s="410"/>
      <c r="R256" s="410"/>
      <c r="S256" s="410"/>
      <c r="T256" s="410"/>
      <c r="U256" s="410"/>
      <c r="V256" s="410"/>
      <c r="W256" s="410"/>
      <c r="X256" s="410"/>
      <c r="Y256" s="410"/>
      <c r="Z256" s="410"/>
      <c r="AA256" s="410"/>
      <c r="AB256" s="410"/>
      <c r="AC256" s="410"/>
      <c r="AD256" s="410"/>
      <c r="AE256" s="410"/>
      <c r="AF256" s="410"/>
      <c r="AG256" s="410"/>
      <c r="AH256" s="410"/>
      <c r="AI256" s="410"/>
      <c r="AJ256" s="410"/>
      <c r="AK256" s="410"/>
    </row>
    <row r="257" spans="1:37" x14ac:dyDescent="0.2">
      <c r="A257" s="410"/>
      <c r="B257" s="410"/>
      <c r="C257" s="410"/>
      <c r="D257" s="410"/>
      <c r="E257" s="410"/>
      <c r="F257" s="410"/>
      <c r="G257" s="410"/>
      <c r="H257" s="410"/>
      <c r="I257" s="410"/>
      <c r="J257" s="410"/>
      <c r="K257" s="410"/>
      <c r="L257" s="410"/>
      <c r="M257" s="410"/>
      <c r="N257" s="410"/>
      <c r="R257" s="410"/>
      <c r="S257" s="410"/>
      <c r="T257" s="410"/>
      <c r="U257" s="410"/>
      <c r="V257" s="410"/>
      <c r="W257" s="410"/>
      <c r="X257" s="410"/>
      <c r="Y257" s="410"/>
      <c r="Z257" s="410"/>
      <c r="AA257" s="410"/>
      <c r="AB257" s="410"/>
      <c r="AC257" s="410"/>
      <c r="AD257" s="410"/>
      <c r="AE257" s="410"/>
      <c r="AF257" s="410"/>
      <c r="AG257" s="410"/>
      <c r="AH257" s="410"/>
      <c r="AI257" s="410"/>
      <c r="AJ257" s="410"/>
      <c r="AK257" s="410"/>
    </row>
    <row r="258" spans="1:37" x14ac:dyDescent="0.2">
      <c r="A258" s="410"/>
      <c r="B258" s="410"/>
      <c r="C258" s="410"/>
      <c r="D258" s="410"/>
      <c r="E258" s="410"/>
      <c r="F258" s="410"/>
      <c r="G258" s="410"/>
      <c r="H258" s="410"/>
      <c r="I258" s="410"/>
      <c r="J258" s="410"/>
      <c r="K258" s="410"/>
      <c r="L258" s="410"/>
      <c r="M258" s="410"/>
      <c r="N258" s="410"/>
      <c r="R258" s="410"/>
      <c r="S258" s="410"/>
      <c r="T258" s="410"/>
      <c r="U258" s="410"/>
      <c r="V258" s="410"/>
      <c r="W258" s="410"/>
      <c r="X258" s="410"/>
      <c r="Y258" s="410"/>
      <c r="Z258" s="410"/>
      <c r="AA258" s="410"/>
      <c r="AB258" s="410"/>
      <c r="AC258" s="410"/>
      <c r="AD258" s="410"/>
      <c r="AE258" s="410"/>
      <c r="AF258" s="410"/>
      <c r="AG258" s="410"/>
      <c r="AH258" s="410"/>
      <c r="AI258" s="410"/>
      <c r="AJ258" s="410"/>
      <c r="AK258" s="410"/>
    </row>
    <row r="259" spans="1:37" x14ac:dyDescent="0.2">
      <c r="A259" s="410"/>
      <c r="B259" s="410"/>
      <c r="C259" s="410"/>
      <c r="D259" s="410"/>
      <c r="E259" s="410"/>
      <c r="F259" s="410"/>
      <c r="G259" s="410"/>
      <c r="H259" s="410"/>
      <c r="I259" s="410"/>
      <c r="J259" s="410"/>
      <c r="K259" s="410"/>
      <c r="L259" s="410"/>
      <c r="M259" s="410"/>
      <c r="N259" s="410"/>
      <c r="R259" s="410"/>
      <c r="S259" s="410"/>
      <c r="T259" s="410"/>
      <c r="U259" s="410"/>
      <c r="V259" s="410"/>
      <c r="W259" s="410"/>
      <c r="X259" s="410"/>
      <c r="Y259" s="410"/>
      <c r="Z259" s="410"/>
      <c r="AA259" s="410"/>
      <c r="AB259" s="410"/>
      <c r="AC259" s="410"/>
      <c r="AD259" s="410"/>
      <c r="AE259" s="410"/>
      <c r="AF259" s="410"/>
      <c r="AG259" s="410"/>
      <c r="AH259" s="410"/>
      <c r="AI259" s="410"/>
      <c r="AJ259" s="410"/>
      <c r="AK259" s="410"/>
    </row>
    <row r="260" spans="1:37" x14ac:dyDescent="0.2">
      <c r="A260" s="410"/>
      <c r="B260" s="410"/>
      <c r="C260" s="410"/>
      <c r="D260" s="410"/>
      <c r="E260" s="410"/>
      <c r="F260" s="410"/>
      <c r="G260" s="410"/>
      <c r="H260" s="410"/>
      <c r="I260" s="410"/>
      <c r="J260" s="410"/>
      <c r="K260" s="410"/>
      <c r="L260" s="410"/>
      <c r="M260" s="410"/>
      <c r="N260" s="410"/>
      <c r="R260" s="410"/>
      <c r="S260" s="410"/>
      <c r="T260" s="410"/>
      <c r="U260" s="410"/>
      <c r="V260" s="410"/>
      <c r="W260" s="410"/>
      <c r="X260" s="410"/>
      <c r="Y260" s="410"/>
      <c r="Z260" s="410"/>
      <c r="AA260" s="410"/>
      <c r="AB260" s="410"/>
      <c r="AC260" s="410"/>
      <c r="AD260" s="410"/>
      <c r="AE260" s="410"/>
      <c r="AF260" s="410"/>
      <c r="AG260" s="410"/>
      <c r="AH260" s="410"/>
      <c r="AI260" s="410"/>
      <c r="AJ260" s="410"/>
      <c r="AK260" s="410"/>
    </row>
    <row r="261" spans="1:37" x14ac:dyDescent="0.2">
      <c r="A261" s="410"/>
      <c r="B261" s="410"/>
      <c r="C261" s="410"/>
      <c r="D261" s="410"/>
      <c r="E261" s="410"/>
      <c r="F261" s="410"/>
      <c r="G261" s="410"/>
      <c r="H261" s="410"/>
      <c r="I261" s="410"/>
      <c r="J261" s="410"/>
      <c r="K261" s="410"/>
      <c r="L261" s="410"/>
      <c r="M261" s="410"/>
      <c r="N261" s="410"/>
      <c r="R261" s="410"/>
      <c r="S261" s="410"/>
      <c r="T261" s="410"/>
      <c r="U261" s="410"/>
      <c r="V261" s="410"/>
      <c r="W261" s="410"/>
      <c r="X261" s="410"/>
      <c r="Y261" s="410"/>
      <c r="Z261" s="410"/>
      <c r="AA261" s="410"/>
      <c r="AB261" s="410"/>
      <c r="AC261" s="410"/>
      <c r="AD261" s="410"/>
      <c r="AE261" s="410"/>
      <c r="AF261" s="410"/>
      <c r="AG261" s="410"/>
      <c r="AH261" s="410"/>
      <c r="AI261" s="410"/>
      <c r="AJ261" s="410"/>
      <c r="AK261" s="410"/>
    </row>
    <row r="262" spans="1:37" x14ac:dyDescent="0.2">
      <c r="A262" s="410"/>
      <c r="B262" s="410"/>
      <c r="C262" s="410"/>
      <c r="D262" s="410"/>
      <c r="E262" s="410"/>
      <c r="F262" s="410"/>
      <c r="G262" s="410"/>
      <c r="H262" s="410"/>
      <c r="I262" s="410"/>
      <c r="J262" s="410"/>
      <c r="K262" s="410"/>
      <c r="L262" s="410"/>
      <c r="M262" s="410"/>
      <c r="N262" s="410"/>
      <c r="R262" s="410"/>
      <c r="S262" s="410"/>
      <c r="T262" s="410"/>
      <c r="U262" s="406"/>
      <c r="V262" s="406"/>
      <c r="W262" s="406"/>
      <c r="X262" s="406"/>
      <c r="Y262" s="406"/>
      <c r="Z262" s="406"/>
      <c r="AA262" s="406"/>
      <c r="AB262" s="406"/>
      <c r="AC262" s="406"/>
      <c r="AD262" s="410"/>
      <c r="AE262" s="410"/>
      <c r="AF262" s="410"/>
      <c r="AG262" s="410"/>
      <c r="AH262" s="410"/>
      <c r="AI262" s="410"/>
      <c r="AJ262" s="410"/>
      <c r="AK262" s="410"/>
    </row>
    <row r="263" spans="1:37" x14ac:dyDescent="0.2">
      <c r="A263" s="410"/>
      <c r="B263" s="410"/>
      <c r="C263" s="410"/>
      <c r="D263" s="410"/>
      <c r="E263" s="410"/>
      <c r="F263" s="410"/>
      <c r="G263" s="410"/>
      <c r="H263" s="410"/>
      <c r="I263" s="410"/>
      <c r="J263" s="410"/>
      <c r="K263" s="410"/>
      <c r="L263" s="410"/>
      <c r="M263" s="410"/>
      <c r="N263" s="410"/>
      <c r="R263" s="410"/>
      <c r="S263" s="410"/>
      <c r="T263" s="410"/>
      <c r="U263" s="406"/>
      <c r="V263" s="406"/>
      <c r="W263" s="406"/>
      <c r="X263" s="406"/>
      <c r="Y263" s="406"/>
      <c r="Z263" s="406"/>
      <c r="AA263" s="406"/>
      <c r="AB263" s="406"/>
      <c r="AC263" s="406"/>
      <c r="AD263" s="410"/>
      <c r="AE263" s="410"/>
      <c r="AF263" s="410"/>
      <c r="AG263" s="410"/>
      <c r="AH263" s="410"/>
      <c r="AI263" s="410"/>
      <c r="AJ263" s="410"/>
      <c r="AK263" s="410"/>
    </row>
    <row r="264" spans="1:37" x14ac:dyDescent="0.2">
      <c r="A264" s="410"/>
      <c r="B264" s="410"/>
      <c r="C264" s="410"/>
      <c r="D264" s="410"/>
      <c r="E264" s="410"/>
      <c r="F264" s="410"/>
      <c r="G264" s="410"/>
      <c r="H264" s="410"/>
      <c r="I264" s="410"/>
      <c r="J264" s="410"/>
      <c r="K264" s="410"/>
      <c r="L264" s="410"/>
      <c r="M264" s="410"/>
      <c r="N264" s="410"/>
      <c r="R264" s="410"/>
      <c r="S264" s="410"/>
      <c r="T264" s="410"/>
      <c r="U264" s="406"/>
      <c r="V264" s="406"/>
      <c r="W264" s="406"/>
      <c r="X264" s="406"/>
      <c r="Y264" s="406"/>
      <c r="Z264" s="406"/>
      <c r="AA264" s="406"/>
      <c r="AB264" s="406"/>
      <c r="AC264" s="406"/>
      <c r="AD264" s="410"/>
      <c r="AE264" s="410"/>
      <c r="AF264" s="410"/>
      <c r="AG264" s="410"/>
      <c r="AH264" s="410"/>
      <c r="AI264" s="410"/>
      <c r="AJ264" s="410"/>
      <c r="AK264" s="410"/>
    </row>
    <row r="265" spans="1:37" x14ac:dyDescent="0.2">
      <c r="A265" s="410"/>
      <c r="B265" s="410"/>
      <c r="C265" s="410"/>
      <c r="D265" s="410"/>
      <c r="E265" s="410"/>
      <c r="F265" s="410"/>
      <c r="G265" s="410"/>
      <c r="H265" s="410"/>
      <c r="I265" s="410"/>
      <c r="J265" s="410"/>
      <c r="K265" s="410"/>
      <c r="L265" s="410"/>
      <c r="M265" s="410"/>
      <c r="N265" s="410"/>
      <c r="R265" s="410"/>
      <c r="S265" s="410"/>
      <c r="T265" s="410"/>
      <c r="U265" s="406"/>
      <c r="V265" s="406"/>
      <c r="W265" s="406"/>
      <c r="X265" s="406"/>
      <c r="Y265" s="406"/>
      <c r="Z265" s="406"/>
      <c r="AA265" s="406"/>
      <c r="AB265" s="406"/>
      <c r="AC265" s="406"/>
      <c r="AD265" s="410"/>
      <c r="AE265" s="410"/>
      <c r="AF265" s="410"/>
      <c r="AG265" s="410"/>
      <c r="AH265" s="410"/>
      <c r="AI265" s="410"/>
      <c r="AJ265" s="410"/>
      <c r="AK265" s="410"/>
    </row>
    <row r="266" spans="1:37" x14ac:dyDescent="0.2">
      <c r="A266" s="410"/>
      <c r="B266" s="410"/>
      <c r="C266" s="410"/>
      <c r="D266" s="410"/>
      <c r="E266" s="410"/>
      <c r="F266" s="410"/>
      <c r="G266" s="410"/>
      <c r="H266" s="410"/>
      <c r="I266" s="410"/>
      <c r="J266" s="410"/>
      <c r="K266" s="410"/>
      <c r="L266" s="410"/>
      <c r="M266" s="410"/>
      <c r="N266" s="410"/>
      <c r="R266" s="410"/>
      <c r="S266" s="410"/>
      <c r="T266" s="410"/>
      <c r="U266" s="406"/>
      <c r="V266" s="406"/>
      <c r="W266" s="406"/>
      <c r="X266" s="406"/>
      <c r="Y266" s="406"/>
      <c r="Z266" s="406"/>
      <c r="AA266" s="406"/>
      <c r="AB266" s="406"/>
      <c r="AC266" s="406"/>
      <c r="AD266" s="410"/>
      <c r="AE266" s="410"/>
      <c r="AF266" s="410"/>
      <c r="AG266" s="410"/>
      <c r="AH266" s="410"/>
      <c r="AI266" s="410"/>
      <c r="AJ266" s="410"/>
      <c r="AK266" s="410"/>
    </row>
    <row r="267" spans="1:37" x14ac:dyDescent="0.2">
      <c r="A267" s="410"/>
      <c r="B267" s="410"/>
      <c r="C267" s="410"/>
      <c r="D267" s="410"/>
      <c r="E267" s="410"/>
      <c r="F267" s="410"/>
      <c r="G267" s="410"/>
      <c r="H267" s="410"/>
      <c r="I267" s="410"/>
      <c r="J267" s="410"/>
      <c r="K267" s="410"/>
      <c r="L267" s="410"/>
      <c r="M267" s="410"/>
      <c r="N267" s="410"/>
      <c r="R267" s="410"/>
      <c r="S267" s="410"/>
      <c r="T267" s="410"/>
      <c r="U267" s="406"/>
      <c r="V267" s="406"/>
      <c r="W267" s="406"/>
      <c r="X267" s="406"/>
      <c r="Y267" s="406"/>
      <c r="Z267" s="406"/>
      <c r="AA267" s="406"/>
      <c r="AB267" s="406"/>
      <c r="AC267" s="406"/>
      <c r="AD267" s="410"/>
      <c r="AE267" s="410"/>
      <c r="AF267" s="410"/>
      <c r="AG267" s="410"/>
      <c r="AH267" s="410"/>
      <c r="AI267" s="410"/>
      <c r="AJ267" s="410"/>
      <c r="AK267" s="410"/>
    </row>
    <row r="268" spans="1:37" x14ac:dyDescent="0.2">
      <c r="A268" s="410"/>
      <c r="B268" s="410"/>
      <c r="C268" s="410"/>
      <c r="D268" s="410"/>
      <c r="E268" s="410"/>
      <c r="F268" s="410"/>
      <c r="G268" s="410"/>
      <c r="H268" s="410"/>
      <c r="I268" s="410"/>
      <c r="J268" s="410"/>
      <c r="K268" s="410"/>
      <c r="L268" s="410"/>
      <c r="M268" s="410"/>
      <c r="N268" s="410"/>
      <c r="R268" s="410"/>
      <c r="S268" s="410"/>
      <c r="T268" s="410"/>
      <c r="U268" s="406"/>
      <c r="V268" s="406"/>
      <c r="W268" s="406"/>
      <c r="X268" s="406"/>
      <c r="Y268" s="406"/>
      <c r="Z268" s="406"/>
      <c r="AA268" s="406"/>
      <c r="AB268" s="406"/>
      <c r="AC268" s="406"/>
      <c r="AD268" s="410"/>
      <c r="AE268" s="410"/>
      <c r="AF268" s="410"/>
      <c r="AG268" s="410"/>
      <c r="AH268" s="410"/>
      <c r="AI268" s="410"/>
      <c r="AJ268" s="410"/>
      <c r="AK268" s="410"/>
    </row>
    <row r="269" spans="1:37" x14ac:dyDescent="0.2">
      <c r="A269" s="410"/>
      <c r="B269" s="410"/>
      <c r="C269" s="410"/>
      <c r="D269" s="410"/>
      <c r="E269" s="410"/>
      <c r="F269" s="410"/>
      <c r="G269" s="410"/>
      <c r="H269" s="410"/>
      <c r="I269" s="410"/>
      <c r="J269" s="410"/>
      <c r="K269" s="410"/>
      <c r="L269" s="410"/>
      <c r="M269" s="410"/>
      <c r="N269" s="410"/>
      <c r="R269" s="410"/>
      <c r="S269" s="410"/>
      <c r="T269" s="410"/>
      <c r="U269" s="406"/>
      <c r="V269" s="406"/>
      <c r="W269" s="406"/>
      <c r="X269" s="406"/>
      <c r="Y269" s="406"/>
      <c r="Z269" s="406"/>
      <c r="AA269" s="406"/>
      <c r="AB269" s="406"/>
      <c r="AC269" s="406"/>
      <c r="AD269" s="410"/>
      <c r="AE269" s="410"/>
      <c r="AF269" s="410"/>
      <c r="AG269" s="410"/>
      <c r="AH269" s="410"/>
      <c r="AI269" s="410"/>
      <c r="AJ269" s="410"/>
      <c r="AK269" s="410"/>
    </row>
    <row r="270" spans="1:37" x14ac:dyDescent="0.2">
      <c r="A270" s="410"/>
      <c r="B270" s="410"/>
      <c r="C270" s="410"/>
      <c r="D270" s="410"/>
      <c r="E270" s="410"/>
      <c r="F270" s="410"/>
      <c r="G270" s="410"/>
      <c r="H270" s="410"/>
      <c r="I270" s="410"/>
      <c r="J270" s="410"/>
      <c r="K270" s="410"/>
      <c r="L270" s="410"/>
      <c r="M270" s="410"/>
      <c r="N270" s="410"/>
      <c r="R270" s="410"/>
      <c r="S270" s="410"/>
      <c r="T270" s="410"/>
      <c r="U270" s="406"/>
      <c r="V270" s="406"/>
      <c r="W270" s="406"/>
      <c r="X270" s="406"/>
      <c r="Y270" s="406"/>
      <c r="Z270" s="406"/>
      <c r="AA270" s="406"/>
      <c r="AB270" s="406"/>
      <c r="AC270" s="406"/>
      <c r="AD270" s="410"/>
      <c r="AE270" s="410"/>
      <c r="AF270" s="410"/>
      <c r="AG270" s="410"/>
      <c r="AH270" s="410"/>
      <c r="AI270" s="410"/>
      <c r="AJ270" s="410"/>
      <c r="AK270" s="410"/>
    </row>
    <row r="271" spans="1:37" x14ac:dyDescent="0.2">
      <c r="A271" s="410"/>
      <c r="B271" s="410"/>
      <c r="C271" s="410"/>
      <c r="D271" s="410"/>
      <c r="E271" s="410"/>
      <c r="F271" s="410"/>
      <c r="G271" s="410"/>
      <c r="H271" s="410"/>
      <c r="I271" s="410"/>
      <c r="J271" s="410"/>
      <c r="K271" s="410"/>
      <c r="L271" s="410"/>
      <c r="M271" s="410"/>
      <c r="N271" s="410"/>
      <c r="R271" s="410"/>
      <c r="S271" s="410"/>
      <c r="T271" s="410"/>
      <c r="U271" s="406"/>
      <c r="V271" s="406"/>
      <c r="W271" s="406"/>
      <c r="X271" s="406"/>
      <c r="Y271" s="406"/>
      <c r="Z271" s="406"/>
      <c r="AA271" s="406"/>
      <c r="AB271" s="406"/>
      <c r="AC271" s="406"/>
      <c r="AD271" s="410"/>
      <c r="AE271" s="410"/>
      <c r="AF271" s="410"/>
      <c r="AG271" s="410"/>
      <c r="AH271" s="410"/>
      <c r="AI271" s="410"/>
      <c r="AJ271" s="410"/>
      <c r="AK271" s="410"/>
    </row>
    <row r="272" spans="1:37" x14ac:dyDescent="0.2">
      <c r="A272" s="410"/>
      <c r="B272" s="410"/>
      <c r="C272" s="410"/>
      <c r="D272" s="410"/>
      <c r="E272" s="410"/>
      <c r="F272" s="410"/>
      <c r="G272" s="410"/>
      <c r="H272" s="410"/>
      <c r="I272" s="410"/>
      <c r="J272" s="410"/>
      <c r="K272" s="410"/>
      <c r="L272" s="410"/>
      <c r="M272" s="410"/>
      <c r="N272" s="410"/>
      <c r="R272" s="410"/>
      <c r="S272" s="410"/>
      <c r="T272" s="410"/>
      <c r="U272" s="406"/>
      <c r="V272" s="406"/>
      <c r="W272" s="406"/>
      <c r="X272" s="406"/>
      <c r="Y272" s="406"/>
      <c r="Z272" s="406"/>
      <c r="AA272" s="406"/>
      <c r="AB272" s="406"/>
      <c r="AC272" s="406"/>
      <c r="AD272" s="410"/>
      <c r="AE272" s="410"/>
      <c r="AF272" s="410"/>
      <c r="AG272" s="410"/>
      <c r="AH272" s="410"/>
      <c r="AI272" s="410"/>
      <c r="AJ272" s="410"/>
      <c r="AK272" s="410"/>
    </row>
    <row r="273" spans="1:37" x14ac:dyDescent="0.2">
      <c r="A273" s="410"/>
      <c r="B273" s="410"/>
      <c r="C273" s="410"/>
      <c r="D273" s="410"/>
      <c r="E273" s="410"/>
      <c r="F273" s="410"/>
      <c r="G273" s="410"/>
      <c r="H273" s="410"/>
      <c r="I273" s="410"/>
      <c r="J273" s="410"/>
      <c r="K273" s="410"/>
      <c r="L273" s="410"/>
      <c r="M273" s="410"/>
      <c r="N273" s="410"/>
      <c r="R273" s="410"/>
      <c r="S273" s="410"/>
      <c r="T273" s="410"/>
      <c r="U273" s="406"/>
      <c r="V273" s="406"/>
      <c r="W273" s="406"/>
      <c r="X273" s="406"/>
      <c r="Y273" s="406"/>
      <c r="Z273" s="406"/>
      <c r="AA273" s="406"/>
      <c r="AB273" s="406"/>
      <c r="AC273" s="406"/>
      <c r="AD273" s="410"/>
      <c r="AE273" s="410"/>
      <c r="AF273" s="410"/>
      <c r="AG273" s="410"/>
      <c r="AH273" s="410"/>
      <c r="AI273" s="410"/>
      <c r="AJ273" s="410"/>
      <c r="AK273" s="410"/>
    </row>
    <row r="274" spans="1:37" x14ac:dyDescent="0.2">
      <c r="A274" s="410"/>
      <c r="B274" s="410">
        <f>C274</f>
        <v>9091</v>
      </c>
      <c r="C274" s="467">
        <v>9091</v>
      </c>
      <c r="D274" s="410"/>
      <c r="E274" s="410"/>
      <c r="F274" s="410"/>
      <c r="G274" s="410"/>
      <c r="H274" s="410"/>
      <c r="I274" s="410"/>
      <c r="J274" s="410"/>
      <c r="K274" s="410"/>
      <c r="L274" s="410"/>
      <c r="M274" s="410"/>
      <c r="N274" s="410"/>
      <c r="R274" s="410"/>
      <c r="S274" s="410"/>
      <c r="T274" s="410"/>
      <c r="U274" s="406"/>
      <c r="V274" s="406"/>
      <c r="W274" s="406"/>
      <c r="X274" s="406"/>
      <c r="Y274" s="406"/>
      <c r="Z274" s="406"/>
      <c r="AA274" s="406"/>
      <c r="AB274" s="406"/>
      <c r="AC274" s="406"/>
      <c r="AD274" s="410"/>
      <c r="AE274" s="410"/>
      <c r="AF274" s="410"/>
      <c r="AG274" s="410"/>
      <c r="AH274" s="410"/>
      <c r="AI274" s="410"/>
      <c r="AJ274" s="410"/>
      <c r="AK274" s="410"/>
    </row>
    <row r="275" spans="1:37" x14ac:dyDescent="0.2">
      <c r="A275" s="410"/>
      <c r="B275" s="410"/>
      <c r="C275" s="410"/>
      <c r="D275" s="410"/>
      <c r="E275" s="410"/>
      <c r="F275" s="410"/>
      <c r="G275" s="410"/>
      <c r="H275" s="410"/>
      <c r="I275" s="410"/>
      <c r="J275" s="410"/>
      <c r="K275" s="410"/>
      <c r="L275" s="410"/>
      <c r="M275" s="410"/>
      <c r="N275" s="410"/>
      <c r="R275" s="410"/>
      <c r="S275" s="410"/>
      <c r="T275" s="410"/>
      <c r="U275" s="406"/>
      <c r="V275" s="406"/>
      <c r="W275" s="406"/>
      <c r="X275" s="406"/>
      <c r="Y275" s="406"/>
      <c r="Z275" s="406"/>
      <c r="AA275" s="406"/>
      <c r="AB275" s="406"/>
      <c r="AC275" s="406"/>
      <c r="AD275" s="410"/>
      <c r="AE275" s="410"/>
      <c r="AF275" s="410"/>
      <c r="AG275" s="410"/>
      <c r="AH275" s="410"/>
      <c r="AI275" s="410"/>
      <c r="AJ275" s="410"/>
      <c r="AK275" s="410"/>
    </row>
    <row r="276" spans="1:37" x14ac:dyDescent="0.2">
      <c r="A276" s="410"/>
      <c r="B276" s="410"/>
      <c r="C276" s="410"/>
      <c r="D276" s="410"/>
      <c r="E276" s="410"/>
      <c r="F276" s="410"/>
      <c r="G276" s="410"/>
      <c r="H276" s="410"/>
      <c r="I276" s="410"/>
      <c r="J276" s="410"/>
      <c r="K276" s="410"/>
      <c r="L276" s="410"/>
      <c r="M276" s="410"/>
      <c r="N276" s="410"/>
      <c r="R276" s="410"/>
      <c r="S276" s="410"/>
      <c r="T276" s="410"/>
      <c r="U276" s="406"/>
      <c r="V276" s="406"/>
      <c r="W276" s="406"/>
      <c r="X276" s="406"/>
      <c r="Y276" s="406"/>
      <c r="Z276" s="406"/>
      <c r="AA276" s="406"/>
      <c r="AB276" s="406"/>
      <c r="AC276" s="406"/>
      <c r="AD276" s="410"/>
      <c r="AE276" s="410"/>
      <c r="AF276" s="410"/>
      <c r="AG276" s="410"/>
      <c r="AH276" s="410"/>
      <c r="AI276" s="410"/>
      <c r="AJ276" s="410"/>
      <c r="AK276" s="410"/>
    </row>
    <row r="277" spans="1:37" x14ac:dyDescent="0.2">
      <c r="A277" s="410"/>
      <c r="B277" s="410"/>
      <c r="C277" s="468">
        <f>WEEKDAY(C274,1)</f>
        <v>5</v>
      </c>
      <c r="D277" s="410"/>
      <c r="E277" s="410"/>
      <c r="F277" s="410"/>
      <c r="G277" s="410"/>
      <c r="H277" s="410"/>
      <c r="I277" s="410"/>
      <c r="J277" s="410"/>
      <c r="K277" s="410"/>
      <c r="L277" s="410"/>
      <c r="M277" s="410"/>
      <c r="N277" s="410"/>
      <c r="R277" s="410"/>
      <c r="S277" s="410"/>
      <c r="T277" s="410"/>
      <c r="U277" s="406"/>
      <c r="V277" s="406"/>
      <c r="W277" s="406"/>
      <c r="X277" s="406"/>
      <c r="Y277" s="406"/>
      <c r="Z277" s="406"/>
      <c r="AA277" s="406"/>
      <c r="AB277" s="406"/>
      <c r="AC277" s="406"/>
      <c r="AD277" s="410"/>
      <c r="AE277" s="410"/>
      <c r="AF277" s="410"/>
      <c r="AG277" s="410"/>
      <c r="AH277" s="410"/>
      <c r="AI277" s="410"/>
      <c r="AJ277" s="410"/>
      <c r="AK277" s="410"/>
    </row>
    <row r="278" spans="1:37" x14ac:dyDescent="0.2">
      <c r="A278" s="410"/>
      <c r="B278" s="410"/>
      <c r="C278" s="410"/>
      <c r="D278" s="410"/>
      <c r="E278" s="410"/>
      <c r="F278" s="410"/>
      <c r="G278" s="410"/>
      <c r="H278" s="410"/>
      <c r="I278" s="410"/>
      <c r="J278" s="410"/>
      <c r="K278" s="410"/>
      <c r="L278" s="410"/>
      <c r="M278" s="410"/>
      <c r="N278" s="410"/>
      <c r="R278" s="410"/>
      <c r="S278" s="410"/>
      <c r="T278" s="410"/>
      <c r="U278" s="406"/>
      <c r="V278" s="406"/>
      <c r="W278" s="406"/>
      <c r="X278" s="406"/>
      <c r="Y278" s="406"/>
      <c r="Z278" s="406"/>
      <c r="AA278" s="406"/>
      <c r="AB278" s="406"/>
      <c r="AC278" s="406"/>
      <c r="AD278" s="410"/>
      <c r="AE278" s="410"/>
      <c r="AF278" s="410"/>
      <c r="AG278" s="410"/>
      <c r="AH278" s="410"/>
      <c r="AI278" s="410"/>
      <c r="AJ278" s="410"/>
      <c r="AK278" s="410"/>
    </row>
    <row r="279" spans="1:37" x14ac:dyDescent="0.2">
      <c r="A279" s="410"/>
      <c r="B279" s="410"/>
      <c r="C279" s="410"/>
      <c r="D279" s="410"/>
      <c r="E279" s="410"/>
      <c r="F279" s="410"/>
      <c r="G279" s="410"/>
      <c r="H279" s="410"/>
      <c r="I279" s="410"/>
      <c r="J279" s="410"/>
      <c r="K279" s="410"/>
      <c r="L279" s="410"/>
      <c r="M279" s="410"/>
      <c r="N279" s="410"/>
      <c r="R279" s="410"/>
      <c r="S279" s="410"/>
      <c r="T279" s="410"/>
      <c r="U279" s="406"/>
      <c r="V279" s="406"/>
      <c r="W279" s="406"/>
      <c r="X279" s="406"/>
      <c r="Y279" s="406"/>
      <c r="Z279" s="406"/>
      <c r="AA279" s="406"/>
      <c r="AB279" s="406"/>
      <c r="AC279" s="406"/>
      <c r="AD279" s="410"/>
      <c r="AE279" s="410"/>
      <c r="AF279" s="410"/>
      <c r="AG279" s="410"/>
      <c r="AH279" s="410"/>
      <c r="AI279" s="410"/>
      <c r="AJ279" s="410"/>
      <c r="AK279" s="410"/>
    </row>
    <row r="280" spans="1:37" x14ac:dyDescent="0.2">
      <c r="A280" s="410"/>
      <c r="B280" s="410"/>
      <c r="C280" s="410"/>
      <c r="D280" s="410"/>
      <c r="E280" s="410"/>
      <c r="F280" s="410"/>
      <c r="G280" s="410"/>
      <c r="H280" s="410"/>
      <c r="I280" s="410"/>
      <c r="J280" s="410"/>
      <c r="K280" s="410"/>
      <c r="L280" s="410"/>
      <c r="M280" s="410"/>
      <c r="N280" s="410"/>
      <c r="R280" s="410"/>
      <c r="S280" s="410"/>
      <c r="T280" s="410"/>
      <c r="U280" s="406"/>
      <c r="V280" s="406"/>
      <c r="W280" s="406"/>
      <c r="X280" s="406"/>
      <c r="Y280" s="406"/>
      <c r="Z280" s="406"/>
      <c r="AA280" s="406"/>
      <c r="AB280" s="406"/>
      <c r="AC280" s="406"/>
      <c r="AD280" s="410"/>
      <c r="AE280" s="410"/>
      <c r="AF280" s="410"/>
      <c r="AG280" s="410"/>
      <c r="AH280" s="410"/>
      <c r="AI280" s="410"/>
      <c r="AJ280" s="410"/>
      <c r="AK280" s="410"/>
    </row>
    <row r="281" spans="1:37" x14ac:dyDescent="0.2">
      <c r="A281" s="410"/>
      <c r="B281" s="410"/>
      <c r="C281" s="410"/>
      <c r="D281" s="410"/>
      <c r="E281" s="410"/>
      <c r="F281" s="410"/>
      <c r="G281" s="410"/>
      <c r="H281" s="410"/>
      <c r="I281" s="410"/>
      <c r="J281" s="410"/>
      <c r="K281" s="410"/>
      <c r="L281" s="410"/>
      <c r="M281" s="410"/>
      <c r="N281" s="410"/>
      <c r="R281" s="410"/>
      <c r="S281" s="410"/>
      <c r="T281" s="410"/>
      <c r="U281" s="406"/>
      <c r="V281" s="406"/>
      <c r="W281" s="406"/>
      <c r="X281" s="406"/>
      <c r="Y281" s="406"/>
      <c r="Z281" s="406"/>
      <c r="AA281" s="406"/>
      <c r="AB281" s="406"/>
      <c r="AC281" s="406"/>
      <c r="AD281" s="410"/>
      <c r="AE281" s="410"/>
      <c r="AF281" s="410"/>
      <c r="AG281" s="410"/>
      <c r="AH281" s="410"/>
      <c r="AI281" s="410"/>
      <c r="AJ281" s="410"/>
      <c r="AK281" s="410"/>
    </row>
    <row r="282" spans="1:37" x14ac:dyDescent="0.2">
      <c r="A282" s="410"/>
      <c r="B282" s="410"/>
      <c r="C282" s="410"/>
      <c r="D282" s="410"/>
      <c r="E282" s="410"/>
      <c r="F282" s="410"/>
      <c r="G282" s="410"/>
      <c r="H282" s="410"/>
      <c r="I282" s="410"/>
      <c r="J282" s="410"/>
      <c r="K282" s="410"/>
      <c r="L282" s="410"/>
      <c r="M282" s="410"/>
      <c r="N282" s="410"/>
      <c r="R282" s="410"/>
      <c r="S282" s="410"/>
      <c r="T282" s="410"/>
      <c r="U282" s="406"/>
      <c r="V282" s="406"/>
      <c r="W282" s="406"/>
      <c r="X282" s="406"/>
      <c r="Y282" s="406"/>
      <c r="Z282" s="406"/>
      <c r="AA282" s="406"/>
      <c r="AB282" s="406"/>
      <c r="AC282" s="406"/>
      <c r="AD282" s="410"/>
      <c r="AE282" s="410"/>
      <c r="AF282" s="410"/>
      <c r="AG282" s="410"/>
      <c r="AH282" s="410"/>
      <c r="AI282" s="410"/>
      <c r="AJ282" s="410"/>
      <c r="AK282" s="410"/>
    </row>
    <row r="283" spans="1:37" x14ac:dyDescent="0.2">
      <c r="A283" s="410"/>
      <c r="B283" s="410"/>
      <c r="C283" s="410"/>
      <c r="D283" s="410"/>
      <c r="E283" s="410"/>
      <c r="F283" s="410"/>
      <c r="G283" s="410"/>
      <c r="H283" s="410"/>
      <c r="I283" s="410"/>
      <c r="J283" s="410"/>
      <c r="K283" s="410"/>
      <c r="L283" s="410"/>
      <c r="M283" s="410"/>
      <c r="N283" s="410"/>
      <c r="R283" s="410"/>
      <c r="S283" s="410"/>
      <c r="T283" s="410"/>
      <c r="U283" s="406"/>
      <c r="V283" s="406"/>
      <c r="W283" s="406"/>
      <c r="X283" s="406"/>
      <c r="Y283" s="406"/>
      <c r="Z283" s="406"/>
      <c r="AA283" s="406"/>
      <c r="AB283" s="406"/>
      <c r="AC283" s="406"/>
      <c r="AD283" s="410"/>
      <c r="AE283" s="410"/>
      <c r="AF283" s="410"/>
      <c r="AG283" s="410"/>
      <c r="AH283" s="410"/>
      <c r="AI283" s="410"/>
      <c r="AJ283" s="410"/>
      <c r="AK283" s="410"/>
    </row>
    <row r="284" spans="1:37" x14ac:dyDescent="0.2">
      <c r="A284" s="410"/>
      <c r="B284" s="410"/>
      <c r="C284" s="410"/>
      <c r="D284" s="410"/>
      <c r="E284" s="410"/>
      <c r="F284" s="410"/>
      <c r="G284" s="410"/>
      <c r="H284" s="410"/>
      <c r="I284" s="410"/>
      <c r="J284" s="410"/>
      <c r="K284" s="410"/>
      <c r="L284" s="410"/>
      <c r="M284" s="410"/>
      <c r="N284" s="410"/>
      <c r="R284" s="410"/>
      <c r="S284" s="410"/>
      <c r="T284" s="410"/>
      <c r="U284" s="406"/>
      <c r="V284" s="406"/>
      <c r="W284" s="406"/>
      <c r="X284" s="406"/>
      <c r="Y284" s="406"/>
      <c r="Z284" s="406"/>
      <c r="AA284" s="406"/>
      <c r="AB284" s="406"/>
      <c r="AC284" s="406"/>
      <c r="AD284" s="410"/>
      <c r="AE284" s="410"/>
      <c r="AF284" s="410"/>
      <c r="AG284" s="410"/>
      <c r="AH284" s="410"/>
      <c r="AI284" s="410"/>
      <c r="AJ284" s="410"/>
      <c r="AK284" s="410"/>
    </row>
    <row r="285" spans="1:37" x14ac:dyDescent="0.2">
      <c r="A285" s="410"/>
      <c r="B285" s="410"/>
      <c r="C285" s="410"/>
      <c r="D285" s="410"/>
      <c r="E285" s="410"/>
      <c r="F285" s="410"/>
      <c r="G285" s="410"/>
      <c r="H285" s="410"/>
      <c r="I285" s="410"/>
      <c r="J285" s="410"/>
      <c r="K285" s="410"/>
      <c r="L285" s="410"/>
      <c r="M285" s="410"/>
      <c r="N285" s="410"/>
      <c r="R285" s="410"/>
      <c r="S285" s="410"/>
      <c r="T285" s="410"/>
      <c r="U285" s="406"/>
      <c r="V285" s="406"/>
      <c r="W285" s="406"/>
      <c r="X285" s="406"/>
      <c r="Y285" s="406"/>
      <c r="Z285" s="406"/>
      <c r="AA285" s="406"/>
      <c r="AB285" s="406"/>
      <c r="AC285" s="406"/>
      <c r="AD285" s="410"/>
      <c r="AE285" s="410"/>
      <c r="AF285" s="410"/>
      <c r="AG285" s="410"/>
      <c r="AH285" s="410"/>
      <c r="AI285" s="410"/>
      <c r="AJ285" s="410"/>
      <c r="AK285" s="410"/>
    </row>
    <row r="286" spans="1:37" x14ac:dyDescent="0.2">
      <c r="A286" s="410"/>
      <c r="B286" s="410"/>
      <c r="C286" s="410"/>
      <c r="D286" s="410"/>
      <c r="E286" s="410"/>
      <c r="F286" s="410"/>
      <c r="G286" s="410"/>
      <c r="H286" s="410"/>
      <c r="I286" s="410"/>
      <c r="J286" s="410"/>
      <c r="K286" s="410"/>
      <c r="L286" s="410"/>
      <c r="M286" s="410"/>
      <c r="N286" s="410"/>
      <c r="R286" s="410"/>
      <c r="S286" s="410"/>
      <c r="T286" s="410"/>
      <c r="U286" s="410"/>
      <c r="V286" s="410"/>
      <c r="W286" s="410"/>
      <c r="X286" s="410"/>
      <c r="Y286" s="410"/>
      <c r="Z286" s="410"/>
      <c r="AA286" s="410"/>
      <c r="AB286" s="410"/>
      <c r="AC286" s="410"/>
      <c r="AD286" s="410"/>
      <c r="AE286" s="410"/>
      <c r="AF286" s="410"/>
      <c r="AG286" s="410"/>
      <c r="AH286" s="410"/>
      <c r="AI286" s="410"/>
      <c r="AJ286" s="410"/>
      <c r="AK286" s="410"/>
    </row>
    <row r="287" spans="1:37" x14ac:dyDescent="0.2">
      <c r="A287" s="410"/>
      <c r="B287" s="410"/>
      <c r="C287" s="410"/>
      <c r="D287" s="410"/>
      <c r="E287" s="410"/>
      <c r="F287" s="410"/>
      <c r="G287" s="410"/>
      <c r="H287" s="410"/>
      <c r="I287" s="410"/>
      <c r="J287" s="410"/>
      <c r="K287" s="410"/>
      <c r="L287" s="410"/>
      <c r="M287" s="410"/>
      <c r="N287" s="410"/>
      <c r="R287" s="410"/>
      <c r="S287" s="410"/>
      <c r="T287" s="410"/>
      <c r="U287" s="410"/>
      <c r="V287" s="410"/>
      <c r="W287" s="410"/>
      <c r="X287" s="410"/>
      <c r="Y287" s="410"/>
      <c r="Z287" s="410"/>
      <c r="AA287" s="410"/>
      <c r="AB287" s="410"/>
      <c r="AC287" s="410"/>
      <c r="AD287" s="410"/>
      <c r="AE287" s="410"/>
      <c r="AF287" s="410"/>
      <c r="AG287" s="410"/>
      <c r="AH287" s="410"/>
      <c r="AI287" s="410"/>
      <c r="AJ287" s="410"/>
      <c r="AK287" s="410"/>
    </row>
    <row r="288" spans="1:37" x14ac:dyDescent="0.2">
      <c r="A288" s="410"/>
      <c r="B288" s="410"/>
      <c r="C288" s="410"/>
      <c r="D288" s="410"/>
      <c r="E288" s="410"/>
      <c r="F288" s="410"/>
      <c r="G288" s="410"/>
      <c r="H288" s="410"/>
      <c r="I288" s="410"/>
      <c r="J288" s="410"/>
      <c r="K288" s="410"/>
      <c r="L288" s="410"/>
      <c r="M288" s="410"/>
      <c r="N288" s="410"/>
      <c r="R288" s="410"/>
      <c r="S288" s="410"/>
      <c r="T288" s="410"/>
      <c r="U288" s="410"/>
      <c r="V288" s="410"/>
      <c r="W288" s="410"/>
      <c r="X288" s="410"/>
      <c r="Y288" s="410"/>
      <c r="Z288" s="410"/>
      <c r="AA288" s="410"/>
      <c r="AB288" s="410"/>
      <c r="AC288" s="410"/>
      <c r="AD288" s="410"/>
      <c r="AE288" s="410"/>
      <c r="AF288" s="410"/>
      <c r="AG288" s="410"/>
      <c r="AH288" s="410"/>
      <c r="AI288" s="410"/>
      <c r="AJ288" s="410"/>
      <c r="AK288" s="410"/>
    </row>
    <row r="289" spans="1:37" x14ac:dyDescent="0.2">
      <c r="A289" s="410"/>
      <c r="B289" s="410"/>
      <c r="C289" s="410"/>
      <c r="D289" s="410"/>
      <c r="E289" s="410"/>
      <c r="F289" s="410"/>
      <c r="G289" s="410"/>
      <c r="H289" s="410"/>
      <c r="I289" s="410"/>
      <c r="J289" s="410"/>
      <c r="K289" s="410"/>
      <c r="L289" s="410"/>
      <c r="M289" s="410"/>
      <c r="N289" s="410"/>
      <c r="R289" s="410"/>
      <c r="S289" s="410"/>
      <c r="T289" s="410"/>
      <c r="U289" s="410"/>
      <c r="V289" s="410"/>
      <c r="W289" s="410"/>
      <c r="X289" s="410"/>
      <c r="Y289" s="410"/>
      <c r="Z289" s="410"/>
      <c r="AA289" s="410"/>
      <c r="AB289" s="410"/>
      <c r="AC289" s="410"/>
      <c r="AD289" s="410"/>
      <c r="AE289" s="410"/>
      <c r="AF289" s="410"/>
      <c r="AG289" s="410"/>
      <c r="AH289" s="410"/>
      <c r="AI289" s="410"/>
      <c r="AJ289" s="410"/>
      <c r="AK289" s="410"/>
    </row>
    <row r="290" spans="1:37" x14ac:dyDescent="0.2">
      <c r="A290" s="410"/>
      <c r="B290" s="410"/>
      <c r="C290" s="410"/>
      <c r="D290" s="410"/>
      <c r="E290" s="410"/>
      <c r="F290" s="410"/>
      <c r="G290" s="410"/>
      <c r="H290" s="410"/>
      <c r="I290" s="410"/>
      <c r="J290" s="410"/>
      <c r="K290" s="410"/>
      <c r="L290" s="410"/>
      <c r="M290" s="410"/>
      <c r="N290" s="410"/>
      <c r="R290" s="410"/>
      <c r="S290" s="410"/>
      <c r="T290" s="410"/>
      <c r="U290" s="410"/>
      <c r="V290" s="410"/>
      <c r="W290" s="410"/>
      <c r="X290" s="410"/>
      <c r="Y290" s="410"/>
      <c r="Z290" s="410"/>
      <c r="AA290" s="410"/>
      <c r="AB290" s="410"/>
      <c r="AC290" s="410"/>
      <c r="AD290" s="410"/>
      <c r="AE290" s="410"/>
      <c r="AF290" s="410"/>
      <c r="AG290" s="410"/>
      <c r="AH290" s="410"/>
      <c r="AI290" s="410"/>
      <c r="AJ290" s="410"/>
      <c r="AK290" s="410"/>
    </row>
    <row r="291" spans="1:37" x14ac:dyDescent="0.2">
      <c r="A291" s="410"/>
      <c r="B291" s="410"/>
      <c r="C291" s="410"/>
      <c r="D291" s="410"/>
      <c r="E291" s="410"/>
      <c r="F291" s="410"/>
      <c r="G291" s="410"/>
      <c r="H291" s="410"/>
      <c r="I291" s="410"/>
      <c r="J291" s="410"/>
      <c r="K291" s="410"/>
      <c r="L291" s="410"/>
      <c r="M291" s="410"/>
      <c r="N291" s="410"/>
      <c r="R291" s="410"/>
      <c r="S291" s="410"/>
      <c r="T291" s="410"/>
      <c r="U291" s="410"/>
      <c r="V291" s="410"/>
      <c r="W291" s="410"/>
      <c r="X291" s="410"/>
      <c r="Y291" s="410"/>
      <c r="Z291" s="410"/>
      <c r="AA291" s="410"/>
      <c r="AB291" s="410"/>
      <c r="AC291" s="410"/>
      <c r="AD291" s="410"/>
      <c r="AE291" s="410"/>
      <c r="AF291" s="410"/>
      <c r="AG291" s="410"/>
      <c r="AH291" s="410"/>
      <c r="AI291" s="410"/>
      <c r="AJ291" s="410"/>
      <c r="AK291" s="410"/>
    </row>
    <row r="292" spans="1:37" x14ac:dyDescent="0.2">
      <c r="A292" s="410"/>
      <c r="B292" s="410"/>
      <c r="C292" s="410"/>
      <c r="D292" s="410"/>
      <c r="E292" s="410"/>
      <c r="F292" s="410"/>
      <c r="G292" s="410"/>
      <c r="H292" s="410"/>
      <c r="I292" s="410"/>
      <c r="J292" s="410"/>
      <c r="K292" s="410"/>
      <c r="L292" s="410"/>
      <c r="M292" s="410"/>
      <c r="N292" s="410"/>
      <c r="R292" s="410"/>
      <c r="S292" s="410"/>
      <c r="T292" s="410"/>
      <c r="U292" s="410"/>
      <c r="V292" s="410"/>
      <c r="W292" s="410"/>
      <c r="X292" s="410"/>
      <c r="Y292" s="410"/>
      <c r="Z292" s="410"/>
      <c r="AA292" s="410"/>
      <c r="AB292" s="410"/>
      <c r="AC292" s="410"/>
      <c r="AD292" s="410"/>
      <c r="AE292" s="410"/>
      <c r="AF292" s="410"/>
      <c r="AG292" s="410"/>
      <c r="AH292" s="410"/>
      <c r="AI292" s="410"/>
      <c r="AJ292" s="410"/>
      <c r="AK292" s="410"/>
    </row>
    <row r="293" spans="1:37" x14ac:dyDescent="0.2">
      <c r="A293" s="410"/>
      <c r="B293" s="410"/>
      <c r="C293" s="410"/>
      <c r="D293" s="410"/>
      <c r="E293" s="410"/>
      <c r="F293" s="410"/>
      <c r="G293" s="410"/>
      <c r="H293" s="410"/>
      <c r="I293" s="410"/>
      <c r="J293" s="410"/>
      <c r="K293" s="410"/>
      <c r="L293" s="410"/>
      <c r="M293" s="410"/>
      <c r="N293" s="410"/>
      <c r="R293" s="410"/>
      <c r="S293" s="410"/>
      <c r="T293" s="410"/>
      <c r="U293" s="410"/>
      <c r="V293" s="410"/>
      <c r="W293" s="410"/>
      <c r="X293" s="410"/>
      <c r="Y293" s="410"/>
      <c r="Z293" s="410"/>
      <c r="AA293" s="410"/>
      <c r="AB293" s="410"/>
      <c r="AC293" s="410"/>
      <c r="AD293" s="410"/>
      <c r="AE293" s="410"/>
      <c r="AF293" s="410"/>
      <c r="AG293" s="410"/>
      <c r="AH293" s="410"/>
      <c r="AI293" s="410"/>
      <c r="AJ293" s="410"/>
      <c r="AK293" s="410"/>
    </row>
    <row r="294" spans="1:37" x14ac:dyDescent="0.2">
      <c r="A294" s="410"/>
      <c r="B294" s="410"/>
      <c r="C294" s="410"/>
      <c r="D294" s="410"/>
      <c r="E294" s="410"/>
      <c r="F294" s="410"/>
      <c r="G294" s="410"/>
      <c r="H294" s="410"/>
      <c r="I294" s="410"/>
      <c r="J294" s="410"/>
      <c r="K294" s="410"/>
      <c r="L294" s="410"/>
      <c r="M294" s="410"/>
      <c r="N294" s="410"/>
      <c r="R294" s="410"/>
      <c r="S294" s="410"/>
      <c r="T294" s="410"/>
      <c r="U294" s="410"/>
      <c r="V294" s="410"/>
      <c r="W294" s="410"/>
      <c r="X294" s="410"/>
      <c r="Y294" s="410"/>
      <c r="Z294" s="410"/>
      <c r="AA294" s="410"/>
      <c r="AB294" s="410"/>
      <c r="AC294" s="410"/>
      <c r="AD294" s="410"/>
      <c r="AE294" s="410"/>
      <c r="AF294" s="410"/>
      <c r="AG294" s="410"/>
      <c r="AH294" s="410"/>
      <c r="AI294" s="410"/>
      <c r="AJ294" s="410"/>
      <c r="AK294" s="410"/>
    </row>
    <row r="295" spans="1:37" x14ac:dyDescent="0.2">
      <c r="A295" s="410"/>
      <c r="B295" s="410"/>
      <c r="C295" s="410"/>
      <c r="D295" s="410"/>
      <c r="E295" s="410"/>
      <c r="F295" s="410"/>
      <c r="G295" s="410"/>
      <c r="H295" s="410"/>
      <c r="I295" s="410"/>
      <c r="J295" s="410"/>
      <c r="K295" s="410"/>
      <c r="L295" s="410"/>
      <c r="M295" s="410"/>
      <c r="N295" s="410"/>
      <c r="R295" s="410"/>
      <c r="S295" s="410"/>
      <c r="T295" s="410"/>
      <c r="U295" s="410"/>
      <c r="V295" s="410"/>
      <c r="W295" s="410"/>
      <c r="X295" s="410"/>
      <c r="Y295" s="410"/>
      <c r="Z295" s="410"/>
      <c r="AA295" s="410"/>
      <c r="AB295" s="410"/>
      <c r="AC295" s="410"/>
      <c r="AD295" s="410"/>
      <c r="AE295" s="410"/>
      <c r="AF295" s="410"/>
      <c r="AG295" s="410"/>
      <c r="AH295" s="410"/>
      <c r="AI295" s="410"/>
      <c r="AJ295" s="410"/>
      <c r="AK295" s="410"/>
    </row>
    <row r="296" spans="1:37" x14ac:dyDescent="0.2">
      <c r="A296" s="410"/>
      <c r="B296" s="410"/>
      <c r="C296" s="410"/>
      <c r="D296" s="410"/>
      <c r="E296" s="410"/>
      <c r="F296" s="410"/>
      <c r="G296" s="410"/>
      <c r="H296" s="410"/>
      <c r="I296" s="410"/>
      <c r="J296" s="410"/>
      <c r="K296" s="410"/>
      <c r="L296" s="410"/>
      <c r="M296" s="410"/>
      <c r="N296" s="410"/>
      <c r="R296" s="410"/>
      <c r="S296" s="410"/>
      <c r="T296" s="410"/>
      <c r="U296" s="410"/>
      <c r="V296" s="410"/>
      <c r="W296" s="410"/>
      <c r="X296" s="410"/>
      <c r="Y296" s="410"/>
      <c r="Z296" s="410"/>
      <c r="AA296" s="410"/>
      <c r="AB296" s="410"/>
      <c r="AC296" s="410"/>
      <c r="AD296" s="410"/>
      <c r="AE296" s="410"/>
      <c r="AF296" s="410"/>
      <c r="AG296" s="410"/>
      <c r="AH296" s="410"/>
      <c r="AI296" s="410"/>
      <c r="AJ296" s="410"/>
      <c r="AK296" s="410"/>
    </row>
    <row r="297" spans="1:37" x14ac:dyDescent="0.2">
      <c r="A297" s="410"/>
      <c r="B297" s="410"/>
      <c r="C297" s="410"/>
      <c r="D297" s="410"/>
      <c r="E297" s="410"/>
      <c r="F297" s="410"/>
      <c r="G297" s="410"/>
      <c r="H297" s="410"/>
      <c r="I297" s="410"/>
      <c r="J297" s="410"/>
      <c r="K297" s="410"/>
      <c r="L297" s="410"/>
      <c r="M297" s="410"/>
      <c r="N297" s="410"/>
      <c r="R297" s="410"/>
      <c r="S297" s="410"/>
      <c r="T297" s="410"/>
      <c r="U297" s="410"/>
      <c r="V297" s="410"/>
      <c r="W297" s="410"/>
      <c r="X297" s="410"/>
      <c r="Y297" s="410"/>
      <c r="Z297" s="410"/>
      <c r="AA297" s="410"/>
      <c r="AB297" s="410"/>
      <c r="AC297" s="410"/>
      <c r="AD297" s="410"/>
      <c r="AE297" s="410"/>
      <c r="AF297" s="410"/>
      <c r="AG297" s="410"/>
      <c r="AH297" s="410"/>
      <c r="AI297" s="410"/>
      <c r="AJ297" s="410"/>
      <c r="AK297" s="410"/>
    </row>
    <row r="298" spans="1:37" x14ac:dyDescent="0.2">
      <c r="A298" s="410"/>
      <c r="B298" s="410"/>
      <c r="C298" s="410"/>
      <c r="D298" s="410"/>
      <c r="E298" s="410"/>
      <c r="F298" s="410"/>
      <c r="G298" s="410"/>
      <c r="H298" s="410"/>
      <c r="I298" s="410"/>
      <c r="J298" s="410"/>
      <c r="K298" s="410"/>
      <c r="L298" s="410"/>
      <c r="M298" s="410"/>
      <c r="N298" s="410"/>
      <c r="R298" s="410"/>
      <c r="S298" s="410"/>
      <c r="T298" s="410"/>
      <c r="U298" s="410"/>
      <c r="V298" s="410"/>
      <c r="W298" s="410"/>
      <c r="X298" s="410"/>
      <c r="Y298" s="410"/>
      <c r="Z298" s="410"/>
      <c r="AA298" s="410"/>
      <c r="AB298" s="410"/>
      <c r="AC298" s="410"/>
      <c r="AD298" s="410"/>
      <c r="AE298" s="410"/>
      <c r="AF298" s="410"/>
      <c r="AG298" s="410"/>
      <c r="AH298" s="410"/>
      <c r="AI298" s="410"/>
      <c r="AJ298" s="410"/>
      <c r="AK298" s="410"/>
    </row>
    <row r="299" spans="1:37" x14ac:dyDescent="0.2">
      <c r="A299" s="410"/>
      <c r="B299" s="410"/>
      <c r="C299" s="410"/>
      <c r="D299" s="410"/>
      <c r="E299" s="410"/>
      <c r="F299" s="410"/>
      <c r="G299" s="410"/>
      <c r="H299" s="410"/>
      <c r="I299" s="410"/>
      <c r="J299" s="410"/>
      <c r="K299" s="410"/>
      <c r="L299" s="410"/>
      <c r="M299" s="410"/>
      <c r="N299" s="410"/>
      <c r="R299" s="410"/>
      <c r="S299" s="410"/>
      <c r="T299" s="410"/>
      <c r="U299" s="410"/>
      <c r="V299" s="410"/>
      <c r="W299" s="410"/>
      <c r="X299" s="410"/>
      <c r="Y299" s="410"/>
      <c r="Z299" s="410"/>
      <c r="AA299" s="410"/>
      <c r="AB299" s="410"/>
      <c r="AC299" s="410"/>
      <c r="AD299" s="410"/>
      <c r="AE299" s="410"/>
      <c r="AF299" s="410"/>
      <c r="AG299" s="410"/>
      <c r="AH299" s="410"/>
      <c r="AI299" s="410"/>
      <c r="AJ299" s="410"/>
      <c r="AK299" s="410"/>
    </row>
    <row r="300" spans="1:37" x14ac:dyDescent="0.2">
      <c r="A300" s="410"/>
      <c r="B300" s="410"/>
      <c r="C300" s="410"/>
      <c r="D300" s="410"/>
      <c r="E300" s="410"/>
      <c r="F300" s="410"/>
      <c r="G300" s="410"/>
      <c r="H300" s="410"/>
      <c r="I300" s="410"/>
      <c r="J300" s="410"/>
      <c r="K300" s="410"/>
      <c r="L300" s="410"/>
      <c r="M300" s="410"/>
      <c r="N300" s="410"/>
      <c r="R300" s="410"/>
      <c r="S300" s="410"/>
      <c r="T300" s="410"/>
      <c r="U300" s="410"/>
      <c r="V300" s="410"/>
      <c r="W300" s="410"/>
      <c r="X300" s="410"/>
      <c r="Y300" s="410"/>
      <c r="Z300" s="410"/>
      <c r="AA300" s="410"/>
      <c r="AB300" s="410"/>
      <c r="AC300" s="410"/>
      <c r="AD300" s="410"/>
      <c r="AE300" s="410"/>
      <c r="AF300" s="410"/>
      <c r="AG300" s="410"/>
      <c r="AH300" s="410"/>
      <c r="AI300" s="410"/>
      <c r="AJ300" s="410"/>
      <c r="AK300" s="410"/>
    </row>
    <row r="301" spans="1:37" x14ac:dyDescent="0.2">
      <c r="A301" s="410"/>
      <c r="B301" s="410"/>
      <c r="C301" s="410"/>
      <c r="D301" s="410"/>
      <c r="E301" s="410"/>
      <c r="F301" s="410"/>
      <c r="G301" s="410"/>
      <c r="H301" s="410"/>
      <c r="I301" s="410"/>
      <c r="J301" s="410"/>
      <c r="K301" s="410"/>
      <c r="L301" s="410"/>
      <c r="M301" s="410"/>
      <c r="N301" s="410"/>
      <c r="R301" s="410"/>
      <c r="S301" s="410"/>
      <c r="T301" s="410"/>
      <c r="U301" s="410"/>
      <c r="V301" s="410"/>
      <c r="W301" s="410"/>
      <c r="X301" s="410"/>
      <c r="Y301" s="410"/>
      <c r="Z301" s="410"/>
      <c r="AA301" s="410"/>
      <c r="AB301" s="410"/>
      <c r="AC301" s="410"/>
      <c r="AD301" s="410"/>
      <c r="AE301" s="410"/>
      <c r="AF301" s="410"/>
      <c r="AG301" s="410"/>
      <c r="AH301" s="410"/>
      <c r="AI301" s="410"/>
      <c r="AJ301" s="410"/>
      <c r="AK301" s="410"/>
    </row>
    <row r="302" spans="1:37" x14ac:dyDescent="0.2">
      <c r="A302" s="410"/>
      <c r="B302" s="410"/>
      <c r="C302" s="410"/>
      <c r="D302" s="410"/>
      <c r="E302" s="410"/>
      <c r="F302" s="410"/>
      <c r="G302" s="410"/>
      <c r="H302" s="410"/>
      <c r="I302" s="410"/>
      <c r="J302" s="410"/>
      <c r="K302" s="410"/>
      <c r="L302" s="410"/>
      <c r="M302" s="410"/>
      <c r="N302" s="410"/>
      <c r="R302" s="410"/>
      <c r="S302" s="410"/>
      <c r="T302" s="410"/>
      <c r="U302" s="410"/>
      <c r="V302" s="410"/>
      <c r="W302" s="410"/>
      <c r="X302" s="410"/>
      <c r="Y302" s="410"/>
      <c r="Z302" s="410"/>
      <c r="AA302" s="410"/>
      <c r="AB302" s="410"/>
      <c r="AC302" s="410"/>
      <c r="AD302" s="410"/>
      <c r="AE302" s="410"/>
      <c r="AF302" s="410"/>
      <c r="AG302" s="410"/>
      <c r="AH302" s="410"/>
      <c r="AI302" s="410"/>
      <c r="AJ302" s="410"/>
      <c r="AK302" s="410"/>
    </row>
    <row r="303" spans="1:37" x14ac:dyDescent="0.2">
      <c r="A303" s="410"/>
      <c r="B303" s="410"/>
      <c r="C303" s="410"/>
      <c r="D303" s="410"/>
      <c r="E303" s="410"/>
      <c r="F303" s="410"/>
      <c r="G303" s="410"/>
      <c r="H303" s="410"/>
      <c r="I303" s="410"/>
      <c r="J303" s="410"/>
      <c r="K303" s="410"/>
      <c r="L303" s="410"/>
      <c r="M303" s="410"/>
      <c r="N303" s="410"/>
      <c r="R303" s="410"/>
      <c r="S303" s="410"/>
      <c r="T303" s="410"/>
      <c r="U303" s="410"/>
      <c r="V303" s="410"/>
      <c r="W303" s="410"/>
      <c r="X303" s="410"/>
      <c r="Y303" s="410"/>
      <c r="Z303" s="410"/>
      <c r="AA303" s="410"/>
      <c r="AB303" s="410"/>
      <c r="AC303" s="410"/>
      <c r="AD303" s="410"/>
      <c r="AE303" s="410"/>
      <c r="AF303" s="410"/>
      <c r="AG303" s="410"/>
      <c r="AH303" s="410"/>
      <c r="AI303" s="410"/>
      <c r="AJ303" s="410"/>
      <c r="AK303" s="410"/>
    </row>
    <row r="304" spans="1:37" x14ac:dyDescent="0.2">
      <c r="A304" s="410"/>
      <c r="B304" s="410"/>
      <c r="C304" s="410"/>
      <c r="D304" s="410"/>
      <c r="E304" s="410"/>
      <c r="F304" s="410"/>
      <c r="G304" s="410"/>
      <c r="H304" s="410"/>
      <c r="I304" s="410"/>
      <c r="J304" s="410"/>
      <c r="K304" s="410"/>
      <c r="L304" s="410"/>
      <c r="M304" s="410"/>
      <c r="N304" s="410"/>
      <c r="R304" s="410"/>
      <c r="S304" s="410"/>
      <c r="T304" s="410"/>
      <c r="U304" s="410"/>
      <c r="V304" s="410"/>
      <c r="W304" s="410"/>
      <c r="X304" s="410"/>
      <c r="Y304" s="410"/>
      <c r="Z304" s="410"/>
      <c r="AA304" s="410"/>
      <c r="AB304" s="410"/>
      <c r="AC304" s="410"/>
      <c r="AD304" s="410"/>
      <c r="AE304" s="410"/>
      <c r="AF304" s="410"/>
      <c r="AG304" s="410"/>
      <c r="AH304" s="410"/>
      <c r="AI304" s="410"/>
      <c r="AJ304" s="410"/>
      <c r="AK304" s="410"/>
    </row>
    <row r="305" spans="1:37" x14ac:dyDescent="0.2">
      <c r="A305" s="410"/>
      <c r="B305" s="410"/>
      <c r="C305" s="410"/>
      <c r="D305" s="410"/>
      <c r="E305" s="410"/>
      <c r="F305" s="410"/>
      <c r="G305" s="410"/>
      <c r="H305" s="410"/>
      <c r="I305" s="410"/>
      <c r="J305" s="410"/>
      <c r="K305" s="410"/>
      <c r="L305" s="410"/>
      <c r="M305" s="410"/>
      <c r="N305" s="410"/>
      <c r="R305" s="410"/>
      <c r="S305" s="410"/>
      <c r="T305" s="410"/>
      <c r="U305" s="410"/>
      <c r="V305" s="410"/>
      <c r="W305" s="410"/>
      <c r="X305" s="410"/>
      <c r="Y305" s="410"/>
      <c r="Z305" s="410"/>
      <c r="AA305" s="410"/>
      <c r="AB305" s="410"/>
      <c r="AC305" s="410"/>
      <c r="AD305" s="410"/>
      <c r="AE305" s="410"/>
      <c r="AF305" s="410"/>
      <c r="AG305" s="410"/>
      <c r="AH305" s="410"/>
      <c r="AI305" s="410"/>
      <c r="AJ305" s="410"/>
      <c r="AK305" s="410"/>
    </row>
    <row r="306" spans="1:37" x14ac:dyDescent="0.2">
      <c r="A306" s="410"/>
      <c r="B306" s="410"/>
      <c r="C306" s="410"/>
      <c r="D306" s="410"/>
      <c r="E306" s="410"/>
      <c r="F306" s="410"/>
      <c r="G306" s="410"/>
      <c r="H306" s="410"/>
      <c r="I306" s="410"/>
      <c r="J306" s="410"/>
      <c r="K306" s="410"/>
      <c r="L306" s="410"/>
      <c r="M306" s="410"/>
      <c r="N306" s="410"/>
      <c r="R306" s="410"/>
      <c r="S306" s="410"/>
      <c r="T306" s="410"/>
      <c r="U306" s="410"/>
      <c r="V306" s="410"/>
      <c r="W306" s="410"/>
      <c r="X306" s="410"/>
      <c r="Y306" s="410"/>
      <c r="Z306" s="410"/>
      <c r="AA306" s="410"/>
      <c r="AB306" s="410"/>
      <c r="AC306" s="410"/>
      <c r="AD306" s="410"/>
      <c r="AE306" s="410"/>
      <c r="AF306" s="410"/>
      <c r="AG306" s="410"/>
      <c r="AH306" s="410"/>
      <c r="AI306" s="410"/>
      <c r="AJ306" s="410"/>
      <c r="AK306" s="410"/>
    </row>
    <row r="307" spans="1:37" x14ac:dyDescent="0.2">
      <c r="A307" s="410"/>
      <c r="B307" s="410"/>
      <c r="C307" s="410"/>
      <c r="D307" s="410"/>
      <c r="E307" s="410"/>
      <c r="F307" s="410"/>
      <c r="G307" s="410"/>
      <c r="H307" s="410"/>
      <c r="I307" s="410"/>
      <c r="J307" s="410"/>
      <c r="K307" s="410"/>
      <c r="L307" s="410"/>
      <c r="M307" s="410"/>
      <c r="N307" s="410"/>
      <c r="R307" s="410"/>
      <c r="S307" s="410"/>
      <c r="T307" s="410"/>
      <c r="U307" s="410"/>
      <c r="V307" s="410"/>
      <c r="W307" s="410"/>
      <c r="X307" s="410"/>
      <c r="Y307" s="410"/>
      <c r="Z307" s="410"/>
      <c r="AA307" s="410"/>
      <c r="AB307" s="410"/>
      <c r="AC307" s="410"/>
      <c r="AD307" s="410"/>
      <c r="AE307" s="410"/>
      <c r="AF307" s="410"/>
      <c r="AG307" s="410"/>
      <c r="AH307" s="410"/>
      <c r="AI307" s="410"/>
      <c r="AJ307" s="410"/>
      <c r="AK307" s="410"/>
    </row>
    <row r="308" spans="1:37" x14ac:dyDescent="0.2">
      <c r="A308" s="410"/>
      <c r="B308" s="410"/>
      <c r="C308" s="410"/>
      <c r="D308" s="410"/>
      <c r="E308" s="410"/>
      <c r="F308" s="410"/>
      <c r="G308" s="410"/>
      <c r="H308" s="410"/>
      <c r="I308" s="410"/>
      <c r="J308" s="410"/>
      <c r="K308" s="410"/>
      <c r="L308" s="410"/>
      <c r="M308" s="410"/>
      <c r="N308" s="410"/>
      <c r="R308" s="410"/>
      <c r="S308" s="410"/>
      <c r="T308" s="410"/>
      <c r="U308" s="410"/>
      <c r="V308" s="410"/>
      <c r="W308" s="410"/>
      <c r="X308" s="410"/>
      <c r="Y308" s="410"/>
      <c r="Z308" s="410"/>
      <c r="AA308" s="410"/>
      <c r="AB308" s="410"/>
      <c r="AC308" s="410"/>
      <c r="AD308" s="410"/>
      <c r="AE308" s="410"/>
      <c r="AF308" s="410"/>
      <c r="AG308" s="410"/>
      <c r="AH308" s="410"/>
      <c r="AI308" s="410"/>
      <c r="AJ308" s="410"/>
      <c r="AK308" s="410"/>
    </row>
    <row r="309" spans="1:37" x14ac:dyDescent="0.2">
      <c r="A309" s="410"/>
      <c r="B309" s="410"/>
      <c r="C309" s="410"/>
      <c r="D309" s="410"/>
      <c r="E309" s="410"/>
      <c r="F309" s="410"/>
      <c r="G309" s="410"/>
      <c r="H309" s="410"/>
      <c r="I309" s="410"/>
      <c r="J309" s="410"/>
      <c r="K309" s="410"/>
      <c r="L309" s="410"/>
      <c r="M309" s="410"/>
      <c r="N309" s="410"/>
      <c r="R309" s="410"/>
      <c r="S309" s="410"/>
      <c r="T309" s="410"/>
      <c r="U309" s="410"/>
      <c r="V309" s="410"/>
      <c r="W309" s="410"/>
      <c r="X309" s="410"/>
      <c r="Y309" s="410"/>
      <c r="Z309" s="410"/>
      <c r="AA309" s="410"/>
      <c r="AB309" s="410"/>
      <c r="AC309" s="410"/>
      <c r="AD309" s="410"/>
      <c r="AE309" s="410"/>
      <c r="AF309" s="410"/>
      <c r="AG309" s="410"/>
      <c r="AH309" s="410"/>
      <c r="AI309" s="410"/>
      <c r="AJ309" s="410"/>
      <c r="AK309" s="410"/>
    </row>
    <row r="310" spans="1:37" x14ac:dyDescent="0.2">
      <c r="A310" s="410"/>
      <c r="B310" s="410"/>
      <c r="C310" s="410"/>
      <c r="D310" s="410"/>
      <c r="E310" s="410"/>
      <c r="F310" s="410"/>
      <c r="G310" s="410"/>
      <c r="H310" s="410"/>
      <c r="I310" s="410"/>
      <c r="J310" s="410"/>
      <c r="K310" s="410"/>
      <c r="L310" s="410"/>
      <c r="M310" s="410"/>
      <c r="N310" s="410"/>
      <c r="R310" s="410"/>
      <c r="S310" s="410"/>
      <c r="T310" s="410"/>
      <c r="U310" s="410"/>
      <c r="V310" s="410"/>
      <c r="W310" s="410"/>
      <c r="X310" s="410"/>
      <c r="Y310" s="410"/>
      <c r="Z310" s="410"/>
      <c r="AA310" s="410"/>
      <c r="AB310" s="410"/>
      <c r="AC310" s="410"/>
      <c r="AD310" s="410"/>
      <c r="AE310" s="410"/>
      <c r="AF310" s="410"/>
      <c r="AG310" s="410"/>
      <c r="AH310" s="410"/>
      <c r="AI310" s="410"/>
      <c r="AJ310" s="410"/>
      <c r="AK310" s="410"/>
    </row>
    <row r="311" spans="1:37" x14ac:dyDescent="0.2">
      <c r="A311" s="410"/>
      <c r="B311" s="410"/>
      <c r="C311" s="410"/>
      <c r="D311" s="410"/>
      <c r="E311" s="410"/>
      <c r="F311" s="410"/>
      <c r="G311" s="410"/>
      <c r="H311" s="410"/>
      <c r="I311" s="410"/>
      <c r="J311" s="410"/>
      <c r="K311" s="410"/>
      <c r="L311" s="410"/>
      <c r="M311" s="410"/>
      <c r="N311" s="410"/>
      <c r="R311" s="410"/>
      <c r="S311" s="410"/>
      <c r="T311" s="410"/>
      <c r="U311" s="410"/>
      <c r="V311" s="410"/>
      <c r="W311" s="410"/>
      <c r="X311" s="410"/>
      <c r="Y311" s="410"/>
      <c r="Z311" s="410"/>
      <c r="AA311" s="410"/>
      <c r="AB311" s="410"/>
      <c r="AC311" s="410"/>
      <c r="AD311" s="410"/>
      <c r="AE311" s="410"/>
      <c r="AF311" s="410"/>
      <c r="AG311" s="410"/>
      <c r="AH311" s="410"/>
      <c r="AI311" s="410"/>
      <c r="AJ311" s="410"/>
      <c r="AK311" s="410"/>
    </row>
    <row r="312" spans="1:37" x14ac:dyDescent="0.2">
      <c r="A312" s="410"/>
      <c r="B312" s="410"/>
      <c r="C312" s="410"/>
      <c r="D312" s="410"/>
      <c r="E312" s="410"/>
      <c r="F312" s="410"/>
      <c r="G312" s="410"/>
      <c r="H312" s="410"/>
      <c r="I312" s="410"/>
      <c r="J312" s="410"/>
      <c r="K312" s="410"/>
      <c r="L312" s="410"/>
      <c r="M312" s="410"/>
      <c r="N312" s="410"/>
      <c r="R312" s="410"/>
      <c r="S312" s="410"/>
      <c r="T312" s="410"/>
      <c r="U312" s="410"/>
      <c r="V312" s="410"/>
      <c r="W312" s="410"/>
      <c r="X312" s="410"/>
      <c r="Y312" s="410"/>
      <c r="Z312" s="410"/>
      <c r="AA312" s="410"/>
      <c r="AB312" s="410"/>
      <c r="AC312" s="410"/>
      <c r="AD312" s="410"/>
      <c r="AE312" s="410"/>
      <c r="AF312" s="410"/>
      <c r="AG312" s="410"/>
      <c r="AH312" s="410"/>
      <c r="AI312" s="410"/>
      <c r="AJ312" s="410"/>
      <c r="AK312" s="410"/>
    </row>
    <row r="313" spans="1:37" x14ac:dyDescent="0.2">
      <c r="A313" s="410"/>
      <c r="B313" s="410"/>
      <c r="C313" s="410"/>
      <c r="D313" s="410"/>
      <c r="E313" s="410"/>
      <c r="F313" s="410"/>
      <c r="G313" s="410"/>
      <c r="H313" s="410"/>
      <c r="I313" s="410"/>
      <c r="J313" s="410"/>
      <c r="K313" s="410"/>
      <c r="L313" s="410"/>
      <c r="M313" s="410"/>
      <c r="N313" s="410"/>
      <c r="R313" s="410"/>
      <c r="S313" s="410"/>
      <c r="T313" s="410"/>
      <c r="U313" s="410"/>
      <c r="V313" s="410"/>
      <c r="W313" s="410"/>
      <c r="X313" s="410"/>
      <c r="Y313" s="410"/>
      <c r="Z313" s="410"/>
      <c r="AA313" s="410"/>
      <c r="AB313" s="410"/>
      <c r="AC313" s="410"/>
      <c r="AD313" s="410"/>
      <c r="AE313" s="410"/>
      <c r="AF313" s="410"/>
      <c r="AG313" s="410"/>
      <c r="AH313" s="410"/>
      <c r="AI313" s="410"/>
      <c r="AJ313" s="410"/>
      <c r="AK313" s="410"/>
    </row>
    <row r="314" spans="1:37" x14ac:dyDescent="0.2">
      <c r="A314" s="410"/>
      <c r="B314" s="410"/>
      <c r="C314" s="410"/>
      <c r="D314" s="410"/>
      <c r="E314" s="410"/>
      <c r="F314" s="410"/>
      <c r="G314" s="410"/>
      <c r="H314" s="410"/>
      <c r="I314" s="410"/>
      <c r="J314" s="410"/>
      <c r="K314" s="410"/>
      <c r="L314" s="410"/>
      <c r="M314" s="410"/>
      <c r="N314" s="410"/>
      <c r="R314" s="410"/>
      <c r="S314" s="410"/>
      <c r="T314" s="410"/>
      <c r="U314" s="410"/>
      <c r="V314" s="410"/>
      <c r="W314" s="410"/>
      <c r="X314" s="410"/>
      <c r="Y314" s="410"/>
      <c r="Z314" s="410"/>
      <c r="AA314" s="410"/>
      <c r="AB314" s="410"/>
      <c r="AC314" s="410"/>
      <c r="AD314" s="410"/>
      <c r="AE314" s="410"/>
      <c r="AF314" s="410"/>
      <c r="AG314" s="410"/>
      <c r="AH314" s="410"/>
      <c r="AI314" s="410"/>
      <c r="AJ314" s="410"/>
      <c r="AK314" s="410"/>
    </row>
    <row r="315" spans="1:37" x14ac:dyDescent="0.2">
      <c r="A315" s="410"/>
      <c r="B315" s="410"/>
      <c r="C315" s="410"/>
      <c r="D315" s="410"/>
      <c r="E315" s="410"/>
      <c r="F315" s="410"/>
      <c r="G315" s="410"/>
      <c r="H315" s="410"/>
      <c r="I315" s="410"/>
      <c r="J315" s="410"/>
      <c r="K315" s="410"/>
      <c r="L315" s="410"/>
      <c r="M315" s="410"/>
      <c r="N315" s="410"/>
      <c r="R315" s="410"/>
      <c r="S315" s="410"/>
      <c r="T315" s="410"/>
      <c r="U315" s="410"/>
      <c r="V315" s="410"/>
      <c r="W315" s="410"/>
      <c r="X315" s="410"/>
      <c r="Y315" s="410"/>
      <c r="Z315" s="410"/>
      <c r="AA315" s="410"/>
      <c r="AB315" s="410"/>
      <c r="AC315" s="410"/>
      <c r="AD315" s="410"/>
      <c r="AE315" s="410"/>
      <c r="AF315" s="410"/>
      <c r="AG315" s="410"/>
      <c r="AH315" s="410"/>
      <c r="AI315" s="410"/>
      <c r="AJ315" s="410"/>
      <c r="AK315" s="410"/>
    </row>
    <row r="316" spans="1:37" x14ac:dyDescent="0.2">
      <c r="A316" s="410"/>
      <c r="B316" s="410"/>
      <c r="C316" s="410"/>
      <c r="D316" s="410"/>
      <c r="E316" s="410"/>
      <c r="F316" s="410"/>
      <c r="G316" s="410"/>
      <c r="H316" s="410"/>
      <c r="I316" s="410"/>
      <c r="J316" s="410"/>
      <c r="K316" s="410"/>
      <c r="L316" s="410"/>
      <c r="M316" s="410"/>
      <c r="N316" s="410"/>
      <c r="R316" s="410"/>
      <c r="S316" s="410"/>
      <c r="T316" s="410"/>
      <c r="U316" s="410"/>
      <c r="V316" s="410"/>
      <c r="W316" s="410"/>
      <c r="X316" s="410"/>
      <c r="Y316" s="410"/>
      <c r="Z316" s="410"/>
      <c r="AA316" s="410"/>
      <c r="AB316" s="410"/>
      <c r="AC316" s="410"/>
      <c r="AD316" s="410"/>
      <c r="AE316" s="410"/>
      <c r="AF316" s="410"/>
      <c r="AG316" s="410"/>
      <c r="AH316" s="410"/>
      <c r="AI316" s="410"/>
      <c r="AJ316" s="410"/>
      <c r="AK316" s="410"/>
    </row>
    <row r="317" spans="1:37" x14ac:dyDescent="0.2">
      <c r="A317" s="410"/>
      <c r="B317" s="410"/>
      <c r="C317" s="410"/>
      <c r="D317" s="410"/>
      <c r="E317" s="410"/>
      <c r="F317" s="410"/>
      <c r="G317" s="410"/>
      <c r="H317" s="410"/>
      <c r="I317" s="410"/>
      <c r="J317" s="410"/>
      <c r="K317" s="410"/>
      <c r="L317" s="410"/>
      <c r="M317" s="410"/>
      <c r="N317" s="410"/>
      <c r="R317" s="410"/>
      <c r="S317" s="410"/>
      <c r="T317" s="410"/>
      <c r="U317" s="410"/>
      <c r="V317" s="410"/>
      <c r="W317" s="410"/>
      <c r="X317" s="410"/>
      <c r="Y317" s="410"/>
      <c r="Z317" s="410"/>
      <c r="AA317" s="410"/>
      <c r="AB317" s="410"/>
      <c r="AC317" s="410"/>
      <c r="AD317" s="410"/>
      <c r="AE317" s="410"/>
      <c r="AF317" s="410"/>
      <c r="AG317" s="410"/>
      <c r="AH317" s="410"/>
      <c r="AI317" s="410"/>
      <c r="AJ317" s="410"/>
      <c r="AK317" s="410"/>
    </row>
    <row r="318" spans="1:37" x14ac:dyDescent="0.2">
      <c r="A318" s="410"/>
      <c r="B318" s="410"/>
      <c r="C318" s="410"/>
      <c r="D318" s="410"/>
      <c r="E318" s="410"/>
      <c r="F318" s="410"/>
      <c r="G318" s="410"/>
      <c r="H318" s="410"/>
      <c r="I318" s="410"/>
      <c r="J318" s="410"/>
      <c r="K318" s="410"/>
      <c r="L318" s="410"/>
      <c r="M318" s="410"/>
      <c r="N318" s="410"/>
      <c r="R318" s="410"/>
      <c r="S318" s="410"/>
      <c r="T318" s="410"/>
      <c r="U318" s="410"/>
      <c r="V318" s="410"/>
      <c r="W318" s="410"/>
      <c r="X318" s="410"/>
      <c r="Y318" s="410"/>
      <c r="Z318" s="410"/>
      <c r="AA318" s="410"/>
      <c r="AB318" s="410"/>
      <c r="AC318" s="410"/>
      <c r="AD318" s="410"/>
      <c r="AE318" s="410"/>
      <c r="AF318" s="410"/>
      <c r="AG318" s="410"/>
      <c r="AH318" s="410"/>
      <c r="AI318" s="410"/>
      <c r="AJ318" s="410"/>
      <c r="AK318" s="410"/>
    </row>
    <row r="319" spans="1:37" x14ac:dyDescent="0.2">
      <c r="A319" s="410"/>
      <c r="B319" s="410"/>
      <c r="C319" s="410"/>
      <c r="D319" s="410"/>
      <c r="E319" s="410"/>
      <c r="F319" s="410"/>
      <c r="G319" s="410"/>
      <c r="H319" s="410"/>
      <c r="I319" s="410"/>
      <c r="J319" s="410"/>
      <c r="K319" s="410"/>
      <c r="L319" s="410"/>
      <c r="M319" s="410"/>
      <c r="N319" s="410"/>
      <c r="R319" s="410"/>
      <c r="S319" s="410"/>
      <c r="T319" s="410"/>
      <c r="U319" s="410"/>
      <c r="V319" s="410"/>
      <c r="W319" s="410"/>
      <c r="X319" s="410"/>
      <c r="Y319" s="410"/>
      <c r="Z319" s="410"/>
      <c r="AA319" s="410"/>
      <c r="AB319" s="410"/>
      <c r="AC319" s="410"/>
      <c r="AD319" s="410"/>
      <c r="AE319" s="410"/>
      <c r="AF319" s="410"/>
      <c r="AG319" s="410"/>
      <c r="AH319" s="410"/>
      <c r="AI319" s="410"/>
      <c r="AJ319" s="410"/>
      <c r="AK319" s="410"/>
    </row>
    <row r="320" spans="1:37" x14ac:dyDescent="0.2">
      <c r="A320" s="410"/>
      <c r="B320" s="410"/>
      <c r="C320" s="410"/>
      <c r="D320" s="410"/>
      <c r="E320" s="410"/>
      <c r="F320" s="410"/>
      <c r="G320" s="410"/>
      <c r="H320" s="410"/>
      <c r="I320" s="410"/>
      <c r="J320" s="410"/>
      <c r="K320" s="410"/>
      <c r="L320" s="410"/>
      <c r="M320" s="410"/>
      <c r="N320" s="410"/>
      <c r="R320" s="410"/>
      <c r="S320" s="410"/>
      <c r="T320" s="410"/>
      <c r="U320" s="410"/>
      <c r="V320" s="410"/>
      <c r="W320" s="410"/>
      <c r="X320" s="410"/>
      <c r="Y320" s="410"/>
      <c r="Z320" s="410"/>
      <c r="AA320" s="410"/>
      <c r="AB320" s="410"/>
      <c r="AC320" s="410"/>
      <c r="AD320" s="410"/>
      <c r="AE320" s="410"/>
      <c r="AF320" s="410"/>
      <c r="AG320" s="410"/>
      <c r="AH320" s="410"/>
      <c r="AI320" s="410"/>
      <c r="AJ320" s="410"/>
      <c r="AK320" s="410"/>
    </row>
    <row r="321" spans="1:37" x14ac:dyDescent="0.2">
      <c r="A321" s="410"/>
      <c r="B321" s="410"/>
      <c r="C321" s="410"/>
      <c r="D321" s="410"/>
      <c r="E321" s="410"/>
      <c r="F321" s="410"/>
      <c r="G321" s="410"/>
      <c r="H321" s="410"/>
      <c r="I321" s="410"/>
      <c r="J321" s="410"/>
      <c r="K321" s="410"/>
      <c r="L321" s="410"/>
      <c r="M321" s="410"/>
      <c r="N321" s="410"/>
      <c r="R321" s="410"/>
      <c r="S321" s="410"/>
      <c r="T321" s="410"/>
      <c r="U321" s="410"/>
      <c r="V321" s="410"/>
      <c r="W321" s="410"/>
      <c r="X321" s="410"/>
      <c r="Y321" s="410"/>
      <c r="Z321" s="410"/>
      <c r="AA321" s="410"/>
      <c r="AB321" s="410"/>
      <c r="AC321" s="410"/>
      <c r="AD321" s="410"/>
      <c r="AE321" s="410"/>
      <c r="AF321" s="410"/>
      <c r="AG321" s="410"/>
      <c r="AH321" s="410"/>
      <c r="AI321" s="410"/>
      <c r="AJ321" s="410"/>
      <c r="AK321" s="410"/>
    </row>
    <row r="322" spans="1:37" x14ac:dyDescent="0.2">
      <c r="A322" s="410"/>
      <c r="B322" s="410"/>
      <c r="C322" s="410"/>
      <c r="D322" s="410"/>
      <c r="E322" s="410"/>
      <c r="F322" s="410"/>
      <c r="G322" s="410"/>
      <c r="H322" s="410"/>
      <c r="I322" s="410"/>
      <c r="J322" s="410"/>
      <c r="K322" s="410"/>
      <c r="L322" s="410"/>
      <c r="M322" s="410"/>
      <c r="N322" s="410"/>
      <c r="R322" s="410"/>
      <c r="S322" s="410"/>
      <c r="T322" s="410"/>
      <c r="U322" s="410"/>
      <c r="V322" s="410"/>
      <c r="W322" s="410"/>
      <c r="X322" s="410"/>
      <c r="Y322" s="410"/>
      <c r="Z322" s="410"/>
      <c r="AA322" s="410"/>
      <c r="AB322" s="410"/>
      <c r="AC322" s="410"/>
      <c r="AD322" s="410"/>
      <c r="AE322" s="410"/>
      <c r="AF322" s="410"/>
      <c r="AG322" s="410"/>
      <c r="AH322" s="410"/>
      <c r="AI322" s="410"/>
      <c r="AJ322" s="410"/>
      <c r="AK322" s="410"/>
    </row>
    <row r="323" spans="1:37" x14ac:dyDescent="0.2">
      <c r="A323" s="410"/>
      <c r="B323" s="410"/>
      <c r="C323" s="410"/>
      <c r="D323" s="410"/>
      <c r="E323" s="410"/>
      <c r="F323" s="410"/>
      <c r="G323" s="410"/>
      <c r="H323" s="410"/>
      <c r="I323" s="410"/>
      <c r="J323" s="410"/>
      <c r="K323" s="410"/>
      <c r="L323" s="410"/>
      <c r="M323" s="410"/>
      <c r="N323" s="410"/>
      <c r="R323" s="410"/>
      <c r="S323" s="410"/>
      <c r="T323" s="410"/>
      <c r="U323" s="410"/>
      <c r="V323" s="410"/>
      <c r="W323" s="410"/>
      <c r="X323" s="410"/>
      <c r="Y323" s="410"/>
      <c r="Z323" s="410"/>
      <c r="AA323" s="410"/>
      <c r="AB323" s="410"/>
      <c r="AC323" s="410"/>
      <c r="AD323" s="410"/>
      <c r="AE323" s="410"/>
      <c r="AF323" s="410"/>
      <c r="AG323" s="410"/>
      <c r="AH323" s="410"/>
      <c r="AI323" s="410"/>
      <c r="AJ323" s="410"/>
      <c r="AK323" s="410"/>
    </row>
    <row r="324" spans="1:37" x14ac:dyDescent="0.2">
      <c r="A324" s="410"/>
      <c r="B324" s="410"/>
      <c r="C324" s="410"/>
      <c r="D324" s="410"/>
      <c r="E324" s="410"/>
      <c r="F324" s="410"/>
      <c r="G324" s="410"/>
      <c r="H324" s="410"/>
      <c r="I324" s="410"/>
      <c r="J324" s="410"/>
      <c r="K324" s="410"/>
      <c r="L324" s="410"/>
      <c r="M324" s="410"/>
      <c r="N324" s="410"/>
      <c r="R324" s="410"/>
      <c r="S324" s="410"/>
      <c r="T324" s="410"/>
      <c r="U324" s="410"/>
      <c r="V324" s="410"/>
      <c r="W324" s="410"/>
      <c r="X324" s="410"/>
      <c r="Y324" s="410"/>
      <c r="Z324" s="410"/>
      <c r="AA324" s="410"/>
      <c r="AB324" s="410"/>
      <c r="AC324" s="410"/>
      <c r="AD324" s="410"/>
      <c r="AE324" s="410"/>
      <c r="AF324" s="410"/>
      <c r="AG324" s="410"/>
      <c r="AH324" s="410"/>
      <c r="AI324" s="410"/>
      <c r="AJ324" s="410"/>
      <c r="AK324" s="410"/>
    </row>
    <row r="325" spans="1:37" x14ac:dyDescent="0.2">
      <c r="A325" s="410"/>
      <c r="B325" s="410"/>
      <c r="C325" s="410"/>
      <c r="D325" s="410"/>
      <c r="E325" s="410"/>
      <c r="F325" s="410"/>
      <c r="G325" s="410"/>
      <c r="H325" s="410"/>
      <c r="I325" s="410"/>
      <c r="J325" s="410"/>
      <c r="K325" s="410"/>
      <c r="L325" s="410"/>
      <c r="M325" s="410"/>
      <c r="N325" s="410"/>
      <c r="R325" s="410"/>
      <c r="S325" s="410"/>
      <c r="T325" s="410"/>
      <c r="U325" s="410"/>
      <c r="V325" s="410"/>
      <c r="W325" s="410"/>
      <c r="X325" s="410"/>
      <c r="Y325" s="410"/>
      <c r="Z325" s="410"/>
      <c r="AA325" s="410"/>
      <c r="AB325" s="410"/>
      <c r="AC325" s="410"/>
      <c r="AD325" s="410"/>
      <c r="AE325" s="410"/>
      <c r="AF325" s="410"/>
      <c r="AG325" s="410"/>
      <c r="AH325" s="410"/>
      <c r="AI325" s="410"/>
      <c r="AJ325" s="410"/>
      <c r="AK325" s="410"/>
    </row>
    <row r="326" spans="1:37" x14ac:dyDescent="0.2">
      <c r="A326" s="410"/>
      <c r="B326" s="410"/>
      <c r="C326" s="410"/>
      <c r="D326" s="410"/>
      <c r="E326" s="410"/>
      <c r="F326" s="410"/>
      <c r="G326" s="410"/>
      <c r="H326" s="410"/>
      <c r="I326" s="410"/>
      <c r="J326" s="410"/>
      <c r="K326" s="410"/>
      <c r="L326" s="410"/>
      <c r="M326" s="410"/>
      <c r="N326" s="410"/>
      <c r="R326" s="410"/>
      <c r="S326" s="410"/>
      <c r="T326" s="410"/>
      <c r="U326" s="410"/>
      <c r="V326" s="410"/>
      <c r="W326" s="410"/>
      <c r="X326" s="410"/>
      <c r="Y326" s="410"/>
      <c r="Z326" s="410"/>
      <c r="AA326" s="410"/>
      <c r="AB326" s="410"/>
      <c r="AC326" s="410"/>
      <c r="AD326" s="410"/>
      <c r="AE326" s="410"/>
      <c r="AF326" s="410"/>
      <c r="AG326" s="410"/>
      <c r="AH326" s="410"/>
      <c r="AI326" s="410"/>
      <c r="AJ326" s="410"/>
      <c r="AK326" s="410"/>
    </row>
    <row r="327" spans="1:37" x14ac:dyDescent="0.2">
      <c r="A327" s="410"/>
      <c r="B327" s="410"/>
      <c r="C327" s="410"/>
      <c r="D327" s="410"/>
      <c r="E327" s="410"/>
      <c r="F327" s="410"/>
      <c r="G327" s="410"/>
      <c r="H327" s="410"/>
      <c r="I327" s="410"/>
      <c r="J327" s="410"/>
      <c r="K327" s="410"/>
      <c r="L327" s="410"/>
      <c r="M327" s="410"/>
      <c r="N327" s="410"/>
      <c r="R327" s="410"/>
      <c r="S327" s="410"/>
      <c r="T327" s="410"/>
      <c r="U327" s="410"/>
      <c r="V327" s="410"/>
      <c r="W327" s="410"/>
      <c r="X327" s="410"/>
      <c r="Y327" s="410"/>
      <c r="Z327" s="410"/>
      <c r="AA327" s="410"/>
      <c r="AB327" s="410"/>
      <c r="AC327" s="410"/>
      <c r="AD327" s="410"/>
      <c r="AE327" s="410"/>
      <c r="AF327" s="410"/>
      <c r="AG327" s="410"/>
      <c r="AH327" s="410"/>
      <c r="AI327" s="410"/>
      <c r="AJ327" s="410"/>
      <c r="AK327" s="410"/>
    </row>
    <row r="328" spans="1:37" x14ac:dyDescent="0.2">
      <c r="A328" s="410"/>
      <c r="B328" s="410"/>
      <c r="C328" s="410"/>
      <c r="D328" s="410"/>
      <c r="E328" s="410"/>
      <c r="F328" s="410"/>
      <c r="G328" s="410"/>
      <c r="H328" s="410"/>
      <c r="I328" s="410"/>
      <c r="J328" s="410"/>
      <c r="K328" s="410"/>
      <c r="L328" s="410"/>
      <c r="M328" s="410"/>
      <c r="N328" s="410"/>
      <c r="R328" s="410"/>
      <c r="S328" s="410"/>
      <c r="T328" s="410"/>
      <c r="U328" s="410"/>
      <c r="V328" s="410"/>
      <c r="W328" s="410"/>
      <c r="X328" s="410"/>
      <c r="Y328" s="410"/>
      <c r="Z328" s="410"/>
      <c r="AA328" s="410"/>
      <c r="AB328" s="410"/>
      <c r="AC328" s="410"/>
      <c r="AD328" s="410"/>
      <c r="AE328" s="410"/>
      <c r="AF328" s="410"/>
      <c r="AG328" s="410"/>
      <c r="AH328" s="410"/>
      <c r="AI328" s="410"/>
      <c r="AJ328" s="410"/>
      <c r="AK328" s="410"/>
    </row>
    <row r="329" spans="1:37" x14ac:dyDescent="0.2">
      <c r="A329" s="410"/>
      <c r="B329" s="410"/>
      <c r="C329" s="410"/>
      <c r="D329" s="410"/>
      <c r="E329" s="410"/>
      <c r="F329" s="410"/>
      <c r="G329" s="410"/>
      <c r="H329" s="410"/>
      <c r="I329" s="410"/>
      <c r="J329" s="410"/>
      <c r="K329" s="410"/>
      <c r="L329" s="410"/>
      <c r="M329" s="410"/>
      <c r="N329" s="410"/>
      <c r="R329" s="410"/>
      <c r="S329" s="410"/>
      <c r="T329" s="410"/>
      <c r="U329" s="410"/>
      <c r="V329" s="410"/>
      <c r="W329" s="410"/>
      <c r="X329" s="410"/>
      <c r="Y329" s="410"/>
      <c r="Z329" s="410"/>
      <c r="AA329" s="410"/>
      <c r="AB329" s="410"/>
      <c r="AC329" s="410"/>
      <c r="AD329" s="410"/>
      <c r="AE329" s="410"/>
      <c r="AF329" s="410"/>
      <c r="AG329" s="410"/>
      <c r="AH329" s="410"/>
      <c r="AI329" s="410"/>
      <c r="AJ329" s="410"/>
      <c r="AK329" s="410"/>
    </row>
    <row r="330" spans="1:37" x14ac:dyDescent="0.2">
      <c r="A330" s="410"/>
      <c r="B330" s="410"/>
      <c r="C330" s="410"/>
      <c r="D330" s="410"/>
      <c r="E330" s="410"/>
      <c r="F330" s="410"/>
      <c r="G330" s="410"/>
      <c r="H330" s="410"/>
      <c r="I330" s="410"/>
      <c r="J330" s="410"/>
      <c r="K330" s="410"/>
      <c r="L330" s="410"/>
      <c r="M330" s="410"/>
      <c r="N330" s="410"/>
      <c r="R330" s="410"/>
      <c r="S330" s="410"/>
      <c r="T330" s="410"/>
      <c r="U330" s="410"/>
      <c r="V330" s="410"/>
      <c r="W330" s="410"/>
      <c r="X330" s="410"/>
      <c r="Y330" s="410"/>
      <c r="Z330" s="410"/>
      <c r="AA330" s="410"/>
      <c r="AB330" s="410"/>
      <c r="AC330" s="410"/>
      <c r="AD330" s="410"/>
      <c r="AE330" s="410"/>
      <c r="AF330" s="410"/>
      <c r="AG330" s="410"/>
      <c r="AH330" s="410"/>
      <c r="AI330" s="410"/>
      <c r="AJ330" s="410"/>
      <c r="AK330" s="410"/>
    </row>
    <row r="331" spans="1:37" x14ac:dyDescent="0.2">
      <c r="A331" s="410"/>
      <c r="B331" s="410"/>
      <c r="C331" s="410"/>
      <c r="D331" s="410"/>
      <c r="E331" s="410"/>
      <c r="F331" s="410"/>
      <c r="G331" s="410"/>
      <c r="H331" s="410"/>
      <c r="I331" s="410"/>
      <c r="J331" s="410"/>
      <c r="K331" s="410"/>
      <c r="L331" s="410"/>
      <c r="M331" s="410"/>
      <c r="N331" s="410"/>
      <c r="R331" s="410"/>
      <c r="S331" s="410"/>
      <c r="T331" s="410"/>
      <c r="U331" s="410"/>
      <c r="V331" s="410"/>
      <c r="W331" s="410"/>
      <c r="X331" s="410"/>
      <c r="Y331" s="410"/>
      <c r="Z331" s="410"/>
      <c r="AA331" s="410"/>
      <c r="AB331" s="410"/>
      <c r="AC331" s="410"/>
      <c r="AD331" s="410"/>
      <c r="AE331" s="410"/>
      <c r="AF331" s="410"/>
      <c r="AG331" s="410"/>
      <c r="AH331" s="410"/>
      <c r="AI331" s="410"/>
      <c r="AJ331" s="410"/>
      <c r="AK331" s="410"/>
    </row>
    <row r="332" spans="1:37" x14ac:dyDescent="0.2">
      <c r="A332" s="410"/>
      <c r="B332" s="410"/>
      <c r="C332" s="410"/>
      <c r="D332" s="410"/>
      <c r="E332" s="410"/>
      <c r="F332" s="410"/>
      <c r="G332" s="410"/>
      <c r="H332" s="410"/>
      <c r="I332" s="410"/>
      <c r="J332" s="410"/>
      <c r="K332" s="410"/>
      <c r="L332" s="410"/>
      <c r="M332" s="410"/>
      <c r="N332" s="410"/>
      <c r="R332" s="410"/>
      <c r="S332" s="410"/>
      <c r="T332" s="410"/>
      <c r="U332" s="410"/>
      <c r="V332" s="410"/>
      <c r="W332" s="410"/>
      <c r="X332" s="410"/>
      <c r="Y332" s="410"/>
      <c r="Z332" s="410"/>
      <c r="AA332" s="410"/>
      <c r="AB332" s="410"/>
      <c r="AC332" s="410"/>
      <c r="AD332" s="410"/>
      <c r="AE332" s="410"/>
      <c r="AF332" s="410"/>
      <c r="AG332" s="410"/>
      <c r="AH332" s="410"/>
      <c r="AI332" s="410"/>
      <c r="AJ332" s="410"/>
      <c r="AK332" s="410"/>
    </row>
    <row r="333" spans="1:37" x14ac:dyDescent="0.2">
      <c r="A333" s="410"/>
      <c r="B333" s="410"/>
      <c r="C333" s="410"/>
      <c r="D333" s="410"/>
      <c r="E333" s="410"/>
      <c r="F333" s="410"/>
      <c r="G333" s="410"/>
      <c r="H333" s="410"/>
      <c r="I333" s="410"/>
      <c r="J333" s="410"/>
      <c r="K333" s="410"/>
      <c r="L333" s="410"/>
      <c r="M333" s="410"/>
      <c r="N333" s="410"/>
      <c r="R333" s="410"/>
      <c r="S333" s="410"/>
      <c r="T333" s="410"/>
      <c r="U333" s="410"/>
      <c r="V333" s="410"/>
      <c r="W333" s="410"/>
      <c r="X333" s="410"/>
      <c r="Y333" s="410"/>
      <c r="Z333" s="410"/>
      <c r="AA333" s="410"/>
      <c r="AB333" s="410"/>
      <c r="AC333" s="410"/>
      <c r="AD333" s="410"/>
      <c r="AE333" s="410"/>
      <c r="AF333" s="410"/>
      <c r="AG333" s="410"/>
      <c r="AH333" s="410"/>
      <c r="AI333" s="410"/>
      <c r="AJ333" s="410"/>
      <c r="AK333" s="410"/>
    </row>
    <row r="334" spans="1:37" x14ac:dyDescent="0.2">
      <c r="A334" s="410"/>
      <c r="B334" s="410"/>
      <c r="C334" s="410"/>
      <c r="D334" s="410"/>
      <c r="E334" s="410"/>
      <c r="F334" s="410"/>
      <c r="G334" s="410"/>
      <c r="H334" s="410"/>
      <c r="I334" s="410"/>
      <c r="J334" s="410"/>
      <c r="K334" s="410"/>
      <c r="L334" s="410"/>
      <c r="M334" s="410"/>
      <c r="N334" s="410"/>
      <c r="R334" s="410"/>
      <c r="S334" s="410"/>
      <c r="T334" s="410"/>
      <c r="U334" s="410"/>
      <c r="V334" s="410"/>
      <c r="W334" s="410"/>
      <c r="X334" s="410"/>
      <c r="Y334" s="410"/>
      <c r="Z334" s="410"/>
      <c r="AA334" s="410"/>
      <c r="AB334" s="410"/>
      <c r="AC334" s="410"/>
      <c r="AD334" s="410"/>
      <c r="AE334" s="410"/>
      <c r="AF334" s="410"/>
      <c r="AG334" s="410"/>
      <c r="AH334" s="410"/>
      <c r="AI334" s="410"/>
      <c r="AJ334" s="410"/>
      <c r="AK334" s="410"/>
    </row>
    <row r="335" spans="1:37" x14ac:dyDescent="0.2">
      <c r="A335" s="410"/>
      <c r="B335" s="410"/>
      <c r="C335" s="410"/>
      <c r="D335" s="410"/>
      <c r="E335" s="410"/>
      <c r="F335" s="410"/>
      <c r="G335" s="410"/>
      <c r="H335" s="410"/>
      <c r="I335" s="410"/>
      <c r="J335" s="410"/>
      <c r="K335" s="410"/>
      <c r="L335" s="410"/>
      <c r="M335" s="410"/>
      <c r="N335" s="410"/>
      <c r="R335" s="410"/>
      <c r="S335" s="410"/>
      <c r="T335" s="410"/>
      <c r="U335" s="410"/>
      <c r="V335" s="410"/>
      <c r="W335" s="410"/>
      <c r="X335" s="410"/>
      <c r="Y335" s="410"/>
      <c r="Z335" s="410"/>
      <c r="AA335" s="410"/>
      <c r="AB335" s="410"/>
      <c r="AC335" s="410"/>
      <c r="AD335" s="410"/>
      <c r="AE335" s="410"/>
      <c r="AF335" s="410"/>
      <c r="AG335" s="410"/>
      <c r="AH335" s="410"/>
      <c r="AI335" s="410"/>
      <c r="AJ335" s="410"/>
      <c r="AK335" s="410"/>
    </row>
    <row r="336" spans="1:37" x14ac:dyDescent="0.2">
      <c r="A336" s="410"/>
      <c r="B336" s="410"/>
      <c r="C336" s="410"/>
      <c r="D336" s="410"/>
      <c r="E336" s="410"/>
      <c r="F336" s="410"/>
      <c r="G336" s="410"/>
      <c r="H336" s="410"/>
      <c r="I336" s="410"/>
      <c r="J336" s="410"/>
      <c r="K336" s="410"/>
      <c r="L336" s="410"/>
      <c r="M336" s="410"/>
      <c r="N336" s="410"/>
      <c r="R336" s="410"/>
      <c r="S336" s="410"/>
      <c r="T336" s="410"/>
      <c r="U336" s="410"/>
      <c r="V336" s="410"/>
      <c r="W336" s="410"/>
      <c r="X336" s="410"/>
      <c r="Y336" s="410"/>
      <c r="Z336" s="410"/>
      <c r="AA336" s="410"/>
      <c r="AB336" s="410"/>
      <c r="AC336" s="410"/>
      <c r="AD336" s="410"/>
      <c r="AE336" s="410"/>
      <c r="AF336" s="410"/>
      <c r="AG336" s="410"/>
      <c r="AH336" s="410"/>
      <c r="AI336" s="410"/>
      <c r="AJ336" s="410"/>
      <c r="AK336" s="410"/>
    </row>
    <row r="337" spans="1:37" x14ac:dyDescent="0.2">
      <c r="A337" s="410"/>
      <c r="B337" s="410"/>
      <c r="C337" s="410"/>
      <c r="D337" s="410"/>
      <c r="E337" s="410"/>
      <c r="F337" s="410"/>
      <c r="G337" s="410"/>
      <c r="H337" s="410"/>
      <c r="I337" s="410"/>
      <c r="J337" s="410"/>
      <c r="K337" s="410"/>
      <c r="L337" s="410"/>
      <c r="M337" s="410"/>
      <c r="N337" s="410"/>
      <c r="R337" s="410"/>
      <c r="S337" s="410"/>
      <c r="T337" s="410"/>
      <c r="U337" s="410"/>
      <c r="V337" s="410"/>
      <c r="W337" s="410"/>
      <c r="X337" s="410"/>
      <c r="Y337" s="410"/>
      <c r="Z337" s="410"/>
      <c r="AA337" s="410"/>
      <c r="AB337" s="410"/>
      <c r="AC337" s="410"/>
      <c r="AD337" s="410"/>
      <c r="AE337" s="410"/>
      <c r="AF337" s="410"/>
      <c r="AG337" s="410"/>
      <c r="AH337" s="410"/>
      <c r="AI337" s="410"/>
      <c r="AJ337" s="410"/>
      <c r="AK337" s="410"/>
    </row>
    <row r="338" spans="1:37" x14ac:dyDescent="0.2">
      <c r="A338" s="410"/>
      <c r="B338" s="410"/>
      <c r="C338" s="410"/>
      <c r="D338" s="410"/>
      <c r="E338" s="410"/>
      <c r="F338" s="410"/>
      <c r="G338" s="410"/>
      <c r="H338" s="410"/>
      <c r="I338" s="410"/>
      <c r="J338" s="410"/>
      <c r="K338" s="410"/>
      <c r="L338" s="410"/>
      <c r="M338" s="410"/>
      <c r="N338" s="410"/>
      <c r="R338" s="410"/>
      <c r="S338" s="410"/>
      <c r="T338" s="410"/>
      <c r="U338" s="410"/>
      <c r="V338" s="410"/>
      <c r="W338" s="410"/>
      <c r="X338" s="410"/>
      <c r="Y338" s="410"/>
      <c r="Z338" s="410"/>
      <c r="AA338" s="410"/>
      <c r="AB338" s="410"/>
      <c r="AC338" s="410"/>
      <c r="AD338" s="410"/>
      <c r="AE338" s="410"/>
      <c r="AF338" s="410"/>
      <c r="AG338" s="410"/>
      <c r="AH338" s="410"/>
      <c r="AI338" s="410"/>
      <c r="AJ338" s="410"/>
      <c r="AK338" s="410"/>
    </row>
    <row r="339" spans="1:37" x14ac:dyDescent="0.2">
      <c r="A339" s="410"/>
      <c r="B339" s="410"/>
      <c r="C339" s="410"/>
      <c r="D339" s="410"/>
      <c r="E339" s="410"/>
      <c r="F339" s="410"/>
      <c r="G339" s="410"/>
      <c r="H339" s="410"/>
      <c r="I339" s="410"/>
      <c r="J339" s="410"/>
      <c r="K339" s="410"/>
      <c r="L339" s="410"/>
      <c r="M339" s="410"/>
      <c r="N339" s="410"/>
      <c r="R339" s="410"/>
      <c r="S339" s="410"/>
      <c r="T339" s="410"/>
      <c r="U339" s="410"/>
      <c r="V339" s="410"/>
      <c r="W339" s="410"/>
      <c r="X339" s="410"/>
      <c r="Y339" s="410"/>
      <c r="Z339" s="410"/>
      <c r="AA339" s="410"/>
      <c r="AB339" s="410"/>
      <c r="AC339" s="410"/>
      <c r="AD339" s="410"/>
      <c r="AE339" s="410"/>
      <c r="AF339" s="410"/>
      <c r="AG339" s="410"/>
      <c r="AH339" s="410"/>
      <c r="AI339" s="410"/>
      <c r="AJ339" s="410"/>
      <c r="AK339" s="410"/>
    </row>
    <row r="340" spans="1:37" x14ac:dyDescent="0.2">
      <c r="A340" s="410"/>
      <c r="B340" s="410"/>
      <c r="C340" s="410"/>
      <c r="D340" s="410"/>
      <c r="E340" s="410"/>
      <c r="F340" s="410"/>
      <c r="G340" s="410"/>
      <c r="H340" s="410"/>
      <c r="I340" s="410"/>
      <c r="J340" s="410"/>
      <c r="K340" s="410"/>
      <c r="L340" s="410"/>
      <c r="M340" s="410"/>
      <c r="N340" s="410"/>
      <c r="R340" s="410"/>
      <c r="S340" s="410"/>
      <c r="T340" s="410"/>
      <c r="U340" s="410"/>
      <c r="V340" s="410"/>
      <c r="W340" s="410"/>
      <c r="X340" s="410"/>
      <c r="Y340" s="410"/>
      <c r="Z340" s="410"/>
      <c r="AA340" s="410"/>
      <c r="AB340" s="410"/>
      <c r="AC340" s="410"/>
      <c r="AD340" s="410"/>
      <c r="AE340" s="410"/>
      <c r="AF340" s="410"/>
      <c r="AG340" s="410"/>
      <c r="AH340" s="410"/>
      <c r="AI340" s="410"/>
      <c r="AJ340" s="410"/>
      <c r="AK340" s="410"/>
    </row>
    <row r="341" spans="1:37" x14ac:dyDescent="0.2">
      <c r="A341" s="410"/>
      <c r="B341" s="410"/>
      <c r="C341" s="410"/>
      <c r="D341" s="410"/>
      <c r="E341" s="410"/>
      <c r="F341" s="410"/>
      <c r="G341" s="410"/>
      <c r="H341" s="410"/>
      <c r="I341" s="410"/>
      <c r="J341" s="410"/>
      <c r="K341" s="410"/>
      <c r="L341" s="410"/>
      <c r="M341" s="410"/>
      <c r="N341" s="410"/>
      <c r="R341" s="410"/>
      <c r="S341" s="410"/>
      <c r="T341" s="410"/>
      <c r="U341" s="410"/>
      <c r="V341" s="410"/>
      <c r="W341" s="410"/>
      <c r="X341" s="410"/>
      <c r="Y341" s="410"/>
      <c r="Z341" s="410"/>
      <c r="AA341" s="410"/>
      <c r="AB341" s="410"/>
      <c r="AC341" s="410"/>
      <c r="AD341" s="410"/>
      <c r="AE341" s="410"/>
      <c r="AF341" s="410"/>
      <c r="AG341" s="410"/>
      <c r="AH341" s="410"/>
      <c r="AI341" s="410"/>
      <c r="AJ341" s="410"/>
      <c r="AK341" s="410"/>
    </row>
    <row r="342" spans="1:37" x14ac:dyDescent="0.2">
      <c r="A342" s="410"/>
      <c r="B342" s="410"/>
      <c r="C342" s="410"/>
      <c r="D342" s="410"/>
      <c r="E342" s="410"/>
      <c r="F342" s="410"/>
      <c r="G342" s="410"/>
      <c r="H342" s="410"/>
      <c r="I342" s="410"/>
      <c r="J342" s="410"/>
      <c r="K342" s="410"/>
      <c r="L342" s="410"/>
      <c r="M342" s="410"/>
      <c r="N342" s="410"/>
      <c r="R342" s="410"/>
      <c r="S342" s="410"/>
      <c r="T342" s="410"/>
      <c r="U342" s="410"/>
      <c r="V342" s="410"/>
      <c r="W342" s="410"/>
      <c r="X342" s="410"/>
      <c r="Y342" s="410"/>
      <c r="Z342" s="410"/>
      <c r="AA342" s="410"/>
      <c r="AB342" s="410"/>
      <c r="AC342" s="410"/>
      <c r="AD342" s="410"/>
      <c r="AE342" s="410"/>
      <c r="AF342" s="410"/>
      <c r="AG342" s="410"/>
      <c r="AH342" s="410"/>
      <c r="AI342" s="410"/>
      <c r="AJ342" s="410"/>
      <c r="AK342" s="410"/>
    </row>
    <row r="343" spans="1:37" x14ac:dyDescent="0.2">
      <c r="A343" s="410"/>
      <c r="B343" s="410"/>
      <c r="C343" s="410"/>
      <c r="D343" s="410"/>
      <c r="E343" s="410"/>
      <c r="F343" s="410"/>
      <c r="G343" s="410"/>
      <c r="H343" s="410"/>
      <c r="I343" s="410"/>
      <c r="J343" s="410"/>
      <c r="K343" s="410"/>
      <c r="L343" s="410"/>
      <c r="M343" s="410"/>
      <c r="N343" s="410"/>
      <c r="R343" s="410"/>
      <c r="S343" s="410"/>
      <c r="T343" s="410"/>
      <c r="U343" s="410"/>
      <c r="V343" s="410"/>
      <c r="W343" s="410"/>
      <c r="X343" s="410"/>
      <c r="Y343" s="410"/>
      <c r="Z343" s="410"/>
      <c r="AA343" s="410"/>
      <c r="AB343" s="410"/>
      <c r="AC343" s="410"/>
      <c r="AD343" s="410"/>
      <c r="AE343" s="410"/>
      <c r="AF343" s="410"/>
      <c r="AG343" s="410"/>
      <c r="AH343" s="410"/>
      <c r="AI343" s="410"/>
      <c r="AJ343" s="410"/>
      <c r="AK343" s="410"/>
    </row>
    <row r="344" spans="1:37" x14ac:dyDescent="0.2">
      <c r="A344" s="410"/>
      <c r="B344" s="410"/>
      <c r="C344" s="410"/>
      <c r="D344" s="410"/>
      <c r="E344" s="410"/>
      <c r="F344" s="410"/>
      <c r="G344" s="410"/>
      <c r="H344" s="410"/>
      <c r="I344" s="410"/>
      <c r="J344" s="410"/>
      <c r="K344" s="410"/>
      <c r="L344" s="410"/>
      <c r="M344" s="410"/>
      <c r="N344" s="410"/>
      <c r="R344" s="410"/>
      <c r="S344" s="410"/>
      <c r="T344" s="410"/>
      <c r="U344" s="410"/>
      <c r="V344" s="410"/>
      <c r="W344" s="410"/>
      <c r="X344" s="410"/>
      <c r="Y344" s="410"/>
      <c r="Z344" s="410"/>
      <c r="AA344" s="410"/>
      <c r="AB344" s="410"/>
      <c r="AC344" s="410"/>
      <c r="AD344" s="410"/>
      <c r="AE344" s="410"/>
      <c r="AF344" s="410"/>
      <c r="AG344" s="410"/>
      <c r="AH344" s="410"/>
      <c r="AI344" s="410"/>
      <c r="AJ344" s="410"/>
      <c r="AK344" s="410"/>
    </row>
    <row r="345" spans="1:37" x14ac:dyDescent="0.2">
      <c r="A345" s="410"/>
      <c r="B345" s="410"/>
      <c r="C345" s="410"/>
      <c r="D345" s="410"/>
      <c r="E345" s="410"/>
      <c r="F345" s="410"/>
      <c r="G345" s="410"/>
      <c r="H345" s="410"/>
      <c r="I345" s="410"/>
      <c r="J345" s="410"/>
      <c r="K345" s="410"/>
      <c r="L345" s="410"/>
      <c r="M345" s="410"/>
      <c r="N345" s="410"/>
      <c r="R345" s="410"/>
      <c r="S345" s="410"/>
      <c r="T345" s="410"/>
      <c r="U345" s="410"/>
      <c r="V345" s="410"/>
      <c r="W345" s="410"/>
      <c r="X345" s="410"/>
      <c r="Y345" s="410"/>
      <c r="Z345" s="410"/>
      <c r="AA345" s="410"/>
      <c r="AB345" s="410"/>
      <c r="AC345" s="410"/>
      <c r="AD345" s="410"/>
      <c r="AE345" s="410"/>
      <c r="AF345" s="410"/>
      <c r="AG345" s="410"/>
      <c r="AH345" s="410"/>
      <c r="AI345" s="410"/>
      <c r="AJ345" s="410"/>
      <c r="AK345" s="410"/>
    </row>
    <row r="346" spans="1:37" x14ac:dyDescent="0.2">
      <c r="A346" s="410"/>
      <c r="B346" s="410"/>
      <c r="C346" s="410"/>
      <c r="D346" s="410"/>
      <c r="E346" s="410"/>
      <c r="F346" s="410"/>
      <c r="G346" s="410"/>
      <c r="H346" s="410"/>
      <c r="I346" s="410"/>
      <c r="J346" s="410"/>
      <c r="K346" s="410"/>
      <c r="L346" s="410"/>
      <c r="M346" s="410"/>
      <c r="N346" s="410"/>
      <c r="R346" s="410"/>
      <c r="S346" s="410"/>
      <c r="T346" s="410"/>
      <c r="U346" s="410"/>
      <c r="V346" s="410"/>
      <c r="W346" s="410"/>
      <c r="X346" s="410"/>
      <c r="Y346" s="410"/>
      <c r="Z346" s="410"/>
      <c r="AA346" s="410"/>
      <c r="AB346" s="410"/>
      <c r="AC346" s="410"/>
      <c r="AD346" s="410"/>
      <c r="AE346" s="410"/>
      <c r="AF346" s="410"/>
      <c r="AG346" s="410"/>
      <c r="AH346" s="410"/>
      <c r="AI346" s="410"/>
      <c r="AJ346" s="410"/>
      <c r="AK346" s="410"/>
    </row>
    <row r="347" spans="1:37" x14ac:dyDescent="0.2">
      <c r="A347" s="410"/>
      <c r="B347" s="410"/>
      <c r="C347" s="410"/>
      <c r="D347" s="410"/>
      <c r="E347" s="410"/>
      <c r="F347" s="410"/>
      <c r="G347" s="410"/>
      <c r="H347" s="410"/>
      <c r="I347" s="410"/>
      <c r="J347" s="410"/>
      <c r="K347" s="410"/>
      <c r="L347" s="410"/>
      <c r="M347" s="410"/>
      <c r="N347" s="410"/>
      <c r="R347" s="410"/>
      <c r="S347" s="410"/>
      <c r="T347" s="410"/>
      <c r="U347" s="410"/>
      <c r="V347" s="410"/>
      <c r="W347" s="410"/>
      <c r="X347" s="410"/>
      <c r="Y347" s="410"/>
      <c r="Z347" s="410"/>
      <c r="AA347" s="410"/>
      <c r="AB347" s="410"/>
      <c r="AC347" s="410"/>
      <c r="AD347" s="410"/>
      <c r="AE347" s="410"/>
      <c r="AF347" s="410"/>
      <c r="AG347" s="410"/>
      <c r="AH347" s="410"/>
      <c r="AI347" s="410"/>
      <c r="AJ347" s="410"/>
      <c r="AK347" s="410"/>
    </row>
    <row r="348" spans="1:37" x14ac:dyDescent="0.2">
      <c r="A348" s="410"/>
      <c r="B348" s="410"/>
      <c r="C348" s="410"/>
      <c r="D348" s="410"/>
      <c r="E348" s="410"/>
      <c r="F348" s="410"/>
      <c r="G348" s="410"/>
      <c r="H348" s="410"/>
      <c r="I348" s="410"/>
      <c r="J348" s="410"/>
      <c r="K348" s="410"/>
      <c r="L348" s="410"/>
      <c r="M348" s="410"/>
      <c r="N348" s="410"/>
      <c r="R348" s="410"/>
      <c r="S348" s="410"/>
      <c r="T348" s="410"/>
      <c r="U348" s="410"/>
      <c r="V348" s="410"/>
      <c r="W348" s="410"/>
      <c r="X348" s="410"/>
      <c r="Y348" s="410"/>
      <c r="Z348" s="410"/>
      <c r="AA348" s="410"/>
      <c r="AB348" s="410"/>
      <c r="AC348" s="410"/>
      <c r="AD348" s="410"/>
      <c r="AE348" s="410"/>
      <c r="AF348" s="410"/>
      <c r="AG348" s="410"/>
      <c r="AH348" s="410"/>
      <c r="AI348" s="410"/>
      <c r="AJ348" s="410"/>
      <c r="AK348" s="410"/>
    </row>
    <row r="349" spans="1:37" x14ac:dyDescent="0.2">
      <c r="A349" s="410"/>
      <c r="B349" s="410"/>
      <c r="C349" s="410"/>
      <c r="D349" s="410"/>
      <c r="E349" s="410"/>
      <c r="F349" s="410"/>
      <c r="G349" s="410"/>
      <c r="H349" s="410"/>
      <c r="I349" s="410"/>
      <c r="J349" s="410"/>
      <c r="K349" s="410"/>
      <c r="L349" s="410"/>
      <c r="M349" s="410"/>
      <c r="N349" s="410"/>
      <c r="R349" s="410"/>
      <c r="S349" s="410"/>
      <c r="T349" s="410"/>
      <c r="U349" s="410"/>
      <c r="V349" s="410"/>
      <c r="W349" s="410"/>
      <c r="X349" s="410"/>
      <c r="Y349" s="410"/>
      <c r="Z349" s="410"/>
      <c r="AA349" s="410"/>
      <c r="AB349" s="410"/>
      <c r="AC349" s="410"/>
      <c r="AD349" s="410"/>
      <c r="AE349" s="410"/>
      <c r="AF349" s="410"/>
      <c r="AG349" s="410"/>
      <c r="AH349" s="410"/>
      <c r="AI349" s="410"/>
      <c r="AJ349" s="410"/>
      <c r="AK349" s="410"/>
    </row>
    <row r="350" spans="1:37" x14ac:dyDescent="0.2">
      <c r="A350" s="410"/>
      <c r="B350" s="410"/>
      <c r="C350" s="410"/>
      <c r="D350" s="410"/>
      <c r="E350" s="410"/>
      <c r="F350" s="410"/>
      <c r="G350" s="410"/>
      <c r="H350" s="410"/>
      <c r="I350" s="410"/>
      <c r="J350" s="410"/>
      <c r="K350" s="410"/>
      <c r="L350" s="410"/>
      <c r="M350" s="410"/>
      <c r="N350" s="410"/>
      <c r="R350" s="410"/>
      <c r="S350" s="410"/>
      <c r="T350" s="410"/>
      <c r="U350" s="410"/>
      <c r="V350" s="410"/>
      <c r="W350" s="410"/>
      <c r="X350" s="410"/>
      <c r="Y350" s="410"/>
      <c r="Z350" s="410"/>
      <c r="AA350" s="410"/>
      <c r="AB350" s="410"/>
      <c r="AC350" s="410"/>
      <c r="AD350" s="410"/>
      <c r="AE350" s="410"/>
      <c r="AF350" s="410"/>
      <c r="AG350" s="410"/>
      <c r="AH350" s="410"/>
      <c r="AI350" s="410"/>
      <c r="AJ350" s="410"/>
      <c r="AK350" s="410"/>
    </row>
    <row r="351" spans="1:37" x14ac:dyDescent="0.2">
      <c r="A351" s="410"/>
      <c r="B351" s="410"/>
      <c r="C351" s="410"/>
      <c r="D351" s="410"/>
      <c r="E351" s="410"/>
      <c r="F351" s="410"/>
      <c r="G351" s="410"/>
      <c r="H351" s="410"/>
      <c r="I351" s="410"/>
      <c r="J351" s="410"/>
      <c r="K351" s="410"/>
      <c r="L351" s="410"/>
      <c r="M351" s="410"/>
      <c r="N351" s="410"/>
      <c r="R351" s="410"/>
      <c r="S351" s="410"/>
      <c r="T351" s="410"/>
      <c r="U351" s="410"/>
      <c r="V351" s="410"/>
      <c r="W351" s="410"/>
      <c r="X351" s="410"/>
      <c r="Y351" s="410"/>
      <c r="Z351" s="410"/>
      <c r="AA351" s="410"/>
      <c r="AB351" s="410"/>
      <c r="AC351" s="410"/>
      <c r="AD351" s="410"/>
      <c r="AE351" s="410"/>
      <c r="AF351" s="410"/>
      <c r="AG351" s="410"/>
      <c r="AH351" s="410"/>
      <c r="AI351" s="410"/>
      <c r="AJ351" s="410"/>
      <c r="AK351" s="410"/>
    </row>
    <row r="352" spans="1:37" x14ac:dyDescent="0.2">
      <c r="A352" s="410"/>
      <c r="B352" s="410"/>
      <c r="C352" s="410"/>
      <c r="D352" s="410"/>
      <c r="E352" s="410"/>
      <c r="F352" s="410"/>
      <c r="G352" s="410"/>
      <c r="H352" s="410"/>
      <c r="I352" s="410"/>
      <c r="J352" s="410"/>
      <c r="K352" s="410"/>
      <c r="L352" s="410"/>
      <c r="M352" s="410"/>
      <c r="N352" s="410"/>
      <c r="R352" s="410"/>
      <c r="S352" s="410"/>
      <c r="T352" s="410"/>
      <c r="U352" s="410"/>
      <c r="V352" s="410"/>
      <c r="W352" s="410"/>
      <c r="X352" s="410"/>
      <c r="Y352" s="410"/>
      <c r="Z352" s="410"/>
      <c r="AA352" s="410"/>
      <c r="AB352" s="410"/>
      <c r="AC352" s="410"/>
      <c r="AD352" s="410"/>
      <c r="AE352" s="410"/>
      <c r="AF352" s="410"/>
      <c r="AG352" s="410"/>
      <c r="AH352" s="410"/>
      <c r="AI352" s="410"/>
      <c r="AJ352" s="410"/>
      <c r="AK352" s="410"/>
    </row>
    <row r="353" spans="1:37" x14ac:dyDescent="0.2">
      <c r="A353" s="410"/>
      <c r="B353" s="410"/>
      <c r="C353" s="410"/>
      <c r="D353" s="410"/>
      <c r="E353" s="410"/>
      <c r="F353" s="410"/>
      <c r="G353" s="410"/>
      <c r="H353" s="410"/>
      <c r="I353" s="410"/>
      <c r="J353" s="410"/>
      <c r="K353" s="410"/>
      <c r="L353" s="410"/>
      <c r="M353" s="410"/>
      <c r="N353" s="410"/>
      <c r="R353" s="410"/>
      <c r="S353" s="410"/>
      <c r="T353" s="410"/>
      <c r="U353" s="410"/>
      <c r="V353" s="410"/>
      <c r="W353" s="410"/>
      <c r="X353" s="410"/>
      <c r="Y353" s="410"/>
      <c r="Z353" s="410"/>
      <c r="AA353" s="410"/>
      <c r="AB353" s="410"/>
      <c r="AC353" s="410"/>
      <c r="AD353" s="410"/>
      <c r="AE353" s="410"/>
      <c r="AF353" s="410"/>
      <c r="AG353" s="410"/>
      <c r="AH353" s="410"/>
      <c r="AI353" s="410"/>
      <c r="AJ353" s="410"/>
      <c r="AK353" s="410"/>
    </row>
    <row r="354" spans="1:37" x14ac:dyDescent="0.2">
      <c r="A354" s="410"/>
      <c r="B354" s="410"/>
      <c r="C354" s="410"/>
      <c r="D354" s="410"/>
      <c r="E354" s="410"/>
      <c r="F354" s="410"/>
      <c r="G354" s="410"/>
      <c r="H354" s="410"/>
      <c r="I354" s="410"/>
      <c r="J354" s="410"/>
      <c r="K354" s="410"/>
      <c r="L354" s="410"/>
      <c r="M354" s="410"/>
      <c r="N354" s="410"/>
      <c r="R354" s="410"/>
      <c r="S354" s="410"/>
      <c r="T354" s="410"/>
      <c r="U354" s="410"/>
      <c r="V354" s="410"/>
      <c r="W354" s="410"/>
      <c r="X354" s="410"/>
      <c r="Y354" s="410"/>
      <c r="Z354" s="410"/>
      <c r="AA354" s="410"/>
      <c r="AB354" s="410"/>
      <c r="AC354" s="410"/>
      <c r="AD354" s="410"/>
      <c r="AE354" s="410"/>
      <c r="AF354" s="410"/>
      <c r="AG354" s="410"/>
      <c r="AH354" s="410"/>
      <c r="AI354" s="410"/>
      <c r="AJ354" s="410"/>
      <c r="AK354" s="410"/>
    </row>
    <row r="355" spans="1:37" x14ac:dyDescent="0.2">
      <c r="A355" s="410"/>
      <c r="B355" s="410"/>
      <c r="C355" s="410"/>
      <c r="D355" s="410"/>
      <c r="E355" s="410"/>
      <c r="F355" s="410"/>
      <c r="G355" s="410"/>
      <c r="H355" s="410"/>
      <c r="I355" s="410"/>
      <c r="J355" s="410"/>
      <c r="K355" s="410"/>
      <c r="L355" s="410"/>
      <c r="M355" s="410"/>
      <c r="N355" s="410"/>
      <c r="R355" s="410"/>
      <c r="S355" s="410"/>
      <c r="T355" s="410"/>
      <c r="U355" s="410"/>
      <c r="V355" s="410"/>
      <c r="W355" s="410"/>
      <c r="X355" s="410"/>
      <c r="Y355" s="410"/>
      <c r="Z355" s="410"/>
      <c r="AA355" s="410"/>
      <c r="AB355" s="410"/>
      <c r="AC355" s="410"/>
      <c r="AD355" s="410"/>
      <c r="AE355" s="410"/>
      <c r="AF355" s="410"/>
      <c r="AG355" s="410"/>
      <c r="AH355" s="410"/>
      <c r="AI355" s="410"/>
      <c r="AJ355" s="410"/>
      <c r="AK355" s="410"/>
    </row>
    <row r="356" spans="1:37" x14ac:dyDescent="0.2">
      <c r="A356" s="410"/>
      <c r="B356" s="410"/>
      <c r="C356" s="410"/>
      <c r="D356" s="410"/>
      <c r="E356" s="410"/>
      <c r="F356" s="410"/>
      <c r="G356" s="410"/>
      <c r="H356" s="410"/>
      <c r="I356" s="410"/>
      <c r="J356" s="410"/>
      <c r="K356" s="410"/>
      <c r="L356" s="410"/>
      <c r="M356" s="410"/>
      <c r="N356" s="410"/>
      <c r="R356" s="410"/>
      <c r="S356" s="410"/>
      <c r="T356" s="410"/>
      <c r="U356" s="410"/>
      <c r="V356" s="410"/>
      <c r="W356" s="410"/>
      <c r="X356" s="410"/>
      <c r="Y356" s="410"/>
      <c r="Z356" s="410"/>
      <c r="AA356" s="410"/>
      <c r="AB356" s="410"/>
      <c r="AC356" s="410"/>
      <c r="AD356" s="410"/>
      <c r="AE356" s="410"/>
      <c r="AF356" s="410"/>
      <c r="AG356" s="410"/>
      <c r="AH356" s="410"/>
      <c r="AI356" s="410"/>
      <c r="AJ356" s="410"/>
      <c r="AK356" s="410"/>
    </row>
    <row r="357" spans="1:37" x14ac:dyDescent="0.2">
      <c r="A357" s="410"/>
      <c r="B357" s="410"/>
      <c r="C357" s="410"/>
      <c r="D357" s="410"/>
      <c r="E357" s="410"/>
      <c r="F357" s="410"/>
      <c r="G357" s="410"/>
      <c r="H357" s="410"/>
      <c r="I357" s="410"/>
      <c r="J357" s="410"/>
      <c r="K357" s="410"/>
      <c r="L357" s="410"/>
      <c r="M357" s="410"/>
      <c r="N357" s="410"/>
      <c r="R357" s="410"/>
      <c r="S357" s="410"/>
      <c r="T357" s="410"/>
      <c r="U357" s="410"/>
      <c r="V357" s="410"/>
      <c r="W357" s="410"/>
      <c r="X357" s="410"/>
      <c r="Y357" s="410"/>
      <c r="Z357" s="410"/>
      <c r="AA357" s="410"/>
      <c r="AB357" s="410"/>
      <c r="AC357" s="410"/>
      <c r="AD357" s="410"/>
      <c r="AE357" s="410"/>
      <c r="AF357" s="410"/>
      <c r="AG357" s="410"/>
      <c r="AH357" s="410"/>
      <c r="AI357" s="410"/>
      <c r="AJ357" s="410"/>
      <c r="AK357" s="410"/>
    </row>
    <row r="358" spans="1:37" x14ac:dyDescent="0.2">
      <c r="A358" s="410"/>
      <c r="B358" s="410"/>
      <c r="C358" s="410"/>
      <c r="D358" s="410"/>
      <c r="E358" s="410"/>
      <c r="F358" s="410"/>
      <c r="G358" s="410"/>
      <c r="H358" s="410"/>
      <c r="I358" s="410"/>
      <c r="J358" s="410"/>
      <c r="K358" s="410"/>
      <c r="L358" s="410"/>
      <c r="M358" s="410"/>
      <c r="N358" s="410"/>
      <c r="R358" s="410"/>
      <c r="S358" s="410"/>
      <c r="T358" s="410"/>
      <c r="U358" s="410"/>
      <c r="V358" s="410"/>
      <c r="W358" s="410"/>
      <c r="X358" s="410"/>
      <c r="Y358" s="410"/>
      <c r="Z358" s="410"/>
      <c r="AA358" s="410"/>
      <c r="AB358" s="410"/>
      <c r="AC358" s="410"/>
      <c r="AD358" s="410"/>
      <c r="AE358" s="410"/>
      <c r="AF358" s="410"/>
      <c r="AG358" s="410"/>
      <c r="AH358" s="410"/>
      <c r="AI358" s="410"/>
      <c r="AJ358" s="410"/>
      <c r="AK358" s="410"/>
    </row>
    <row r="359" spans="1:37" x14ac:dyDescent="0.2">
      <c r="A359" s="410"/>
      <c r="B359" s="410"/>
      <c r="C359" s="410"/>
      <c r="D359" s="410"/>
      <c r="E359" s="410"/>
      <c r="F359" s="410"/>
      <c r="G359" s="410"/>
      <c r="H359" s="410"/>
      <c r="I359" s="410"/>
      <c r="J359" s="410"/>
      <c r="K359" s="410"/>
      <c r="L359" s="410"/>
      <c r="M359" s="410"/>
      <c r="N359" s="410"/>
      <c r="R359" s="410"/>
      <c r="S359" s="410"/>
      <c r="T359" s="410"/>
      <c r="U359" s="410"/>
      <c r="V359" s="410"/>
      <c r="W359" s="410"/>
      <c r="X359" s="410"/>
      <c r="Y359" s="410"/>
      <c r="Z359" s="410"/>
      <c r="AA359" s="410"/>
      <c r="AB359" s="410"/>
      <c r="AC359" s="410"/>
      <c r="AD359" s="410"/>
      <c r="AE359" s="410"/>
      <c r="AF359" s="410"/>
      <c r="AG359" s="410"/>
      <c r="AH359" s="410"/>
      <c r="AI359" s="410"/>
      <c r="AJ359" s="410"/>
      <c r="AK359" s="410"/>
    </row>
    <row r="360" spans="1:37" x14ac:dyDescent="0.2">
      <c r="A360" s="410"/>
      <c r="B360" s="410"/>
      <c r="C360" s="410"/>
      <c r="D360" s="410"/>
      <c r="E360" s="410"/>
      <c r="F360" s="410"/>
      <c r="G360" s="410"/>
      <c r="H360" s="410"/>
      <c r="I360" s="410"/>
      <c r="J360" s="410"/>
      <c r="K360" s="410"/>
      <c r="L360" s="410"/>
      <c r="M360" s="410"/>
      <c r="N360" s="410"/>
      <c r="R360" s="410"/>
      <c r="S360" s="410"/>
      <c r="T360" s="410"/>
      <c r="U360" s="410"/>
      <c r="V360" s="410"/>
      <c r="W360" s="410"/>
      <c r="X360" s="410"/>
      <c r="Y360" s="410"/>
      <c r="Z360" s="410"/>
      <c r="AA360" s="410"/>
      <c r="AB360" s="410"/>
      <c r="AC360" s="410"/>
      <c r="AD360" s="410"/>
      <c r="AE360" s="410"/>
      <c r="AF360" s="410"/>
      <c r="AG360" s="410"/>
      <c r="AH360" s="410"/>
      <c r="AI360" s="410"/>
      <c r="AJ360" s="410"/>
      <c r="AK360" s="410"/>
    </row>
    <row r="361" spans="1:37" x14ac:dyDescent="0.2">
      <c r="A361" s="410"/>
      <c r="B361" s="410"/>
      <c r="C361" s="410"/>
      <c r="D361" s="410"/>
      <c r="E361" s="410"/>
      <c r="F361" s="410"/>
      <c r="G361" s="410"/>
      <c r="H361" s="410"/>
      <c r="I361" s="410"/>
      <c r="J361" s="410"/>
      <c r="K361" s="410"/>
      <c r="L361" s="410"/>
      <c r="M361" s="410"/>
      <c r="N361" s="410"/>
      <c r="R361" s="410"/>
      <c r="S361" s="410"/>
      <c r="T361" s="410"/>
      <c r="U361" s="410"/>
      <c r="V361" s="410"/>
      <c r="W361" s="410"/>
      <c r="X361" s="410"/>
      <c r="Y361" s="410"/>
      <c r="Z361" s="410"/>
      <c r="AA361" s="410"/>
      <c r="AB361" s="410"/>
      <c r="AC361" s="410"/>
      <c r="AD361" s="410"/>
      <c r="AE361" s="410"/>
      <c r="AF361" s="410"/>
      <c r="AG361" s="410"/>
      <c r="AH361" s="410"/>
      <c r="AI361" s="410"/>
      <c r="AJ361" s="410"/>
      <c r="AK361" s="410"/>
    </row>
    <row r="362" spans="1:37" x14ac:dyDescent="0.2">
      <c r="A362" s="410"/>
      <c r="B362" s="410"/>
      <c r="C362" s="410"/>
      <c r="D362" s="410"/>
      <c r="E362" s="410"/>
      <c r="F362" s="410"/>
      <c r="G362" s="410"/>
      <c r="H362" s="410"/>
      <c r="I362" s="410"/>
      <c r="J362" s="410"/>
      <c r="K362" s="410"/>
      <c r="L362" s="410"/>
      <c r="M362" s="410"/>
      <c r="N362" s="410"/>
      <c r="R362" s="410"/>
      <c r="S362" s="410"/>
      <c r="T362" s="410"/>
      <c r="U362" s="410"/>
      <c r="V362" s="410"/>
      <c r="W362" s="410"/>
      <c r="X362" s="410"/>
      <c r="Y362" s="410"/>
      <c r="Z362" s="410"/>
      <c r="AA362" s="410"/>
      <c r="AB362" s="410"/>
      <c r="AC362" s="410"/>
      <c r="AD362" s="410"/>
      <c r="AE362" s="410"/>
      <c r="AF362" s="410"/>
      <c r="AG362" s="410"/>
      <c r="AH362" s="410"/>
      <c r="AI362" s="410"/>
      <c r="AJ362" s="410"/>
      <c r="AK362" s="410"/>
    </row>
    <row r="363" spans="1:37" x14ac:dyDescent="0.2">
      <c r="A363" s="410"/>
      <c r="B363" s="410"/>
      <c r="C363" s="410"/>
      <c r="D363" s="410"/>
      <c r="E363" s="410"/>
      <c r="F363" s="410"/>
      <c r="G363" s="410"/>
      <c r="H363" s="410"/>
      <c r="I363" s="410"/>
      <c r="J363" s="410"/>
      <c r="K363" s="410"/>
      <c r="L363" s="410"/>
      <c r="M363" s="410"/>
      <c r="N363" s="410"/>
      <c r="R363" s="410"/>
      <c r="S363" s="410"/>
      <c r="T363" s="410"/>
      <c r="U363" s="410"/>
      <c r="V363" s="410"/>
      <c r="W363" s="410"/>
      <c r="X363" s="410"/>
      <c r="Y363" s="410"/>
      <c r="Z363" s="410"/>
      <c r="AA363" s="410"/>
      <c r="AB363" s="410"/>
      <c r="AC363" s="410"/>
      <c r="AD363" s="410"/>
      <c r="AE363" s="410"/>
      <c r="AF363" s="410"/>
      <c r="AG363" s="410"/>
      <c r="AH363" s="410"/>
      <c r="AI363" s="410"/>
      <c r="AJ363" s="410"/>
      <c r="AK363" s="410"/>
    </row>
    <row r="364" spans="1:37" x14ac:dyDescent="0.2">
      <c r="A364" s="410"/>
      <c r="B364" s="410"/>
      <c r="C364" s="410"/>
      <c r="D364" s="410"/>
      <c r="E364" s="410"/>
      <c r="F364" s="410"/>
      <c r="G364" s="410"/>
      <c r="H364" s="410"/>
      <c r="I364" s="410"/>
      <c r="J364" s="410"/>
      <c r="K364" s="410"/>
      <c r="L364" s="410"/>
      <c r="M364" s="410"/>
      <c r="N364" s="410"/>
      <c r="R364" s="410"/>
      <c r="S364" s="410"/>
      <c r="T364" s="410"/>
      <c r="U364" s="410"/>
      <c r="V364" s="410"/>
      <c r="W364" s="410"/>
      <c r="X364" s="410"/>
      <c r="Y364" s="410"/>
      <c r="Z364" s="410"/>
      <c r="AA364" s="410"/>
      <c r="AB364" s="410"/>
      <c r="AC364" s="410"/>
      <c r="AD364" s="410"/>
      <c r="AE364" s="410"/>
      <c r="AF364" s="410"/>
      <c r="AG364" s="410"/>
      <c r="AH364" s="410"/>
      <c r="AI364" s="410"/>
      <c r="AJ364" s="410"/>
      <c r="AK364" s="410"/>
    </row>
    <row r="365" spans="1:37" x14ac:dyDescent="0.2">
      <c r="A365" s="410"/>
      <c r="B365" s="410"/>
      <c r="C365" s="410"/>
      <c r="D365" s="410"/>
      <c r="E365" s="410"/>
      <c r="F365" s="410"/>
      <c r="G365" s="410"/>
      <c r="H365" s="410"/>
      <c r="I365" s="410"/>
      <c r="J365" s="410"/>
      <c r="K365" s="410"/>
      <c r="L365" s="410"/>
      <c r="M365" s="410"/>
      <c r="N365" s="410"/>
      <c r="R365" s="410"/>
      <c r="S365" s="410"/>
      <c r="T365" s="410"/>
      <c r="U365" s="410"/>
      <c r="V365" s="410"/>
      <c r="W365" s="410"/>
      <c r="X365" s="410"/>
      <c r="Y365" s="410"/>
      <c r="Z365" s="410"/>
      <c r="AA365" s="410"/>
      <c r="AB365" s="410"/>
      <c r="AC365" s="410"/>
      <c r="AD365" s="410"/>
      <c r="AE365" s="410"/>
      <c r="AF365" s="410"/>
      <c r="AG365" s="410"/>
      <c r="AH365" s="410"/>
      <c r="AI365" s="410"/>
      <c r="AJ365" s="410"/>
      <c r="AK365" s="410"/>
    </row>
    <row r="366" spans="1:37" x14ac:dyDescent="0.2">
      <c r="A366" s="410"/>
      <c r="B366" s="410"/>
      <c r="C366" s="410"/>
      <c r="D366" s="410"/>
      <c r="E366" s="410"/>
      <c r="F366" s="410"/>
      <c r="G366" s="410"/>
      <c r="H366" s="410"/>
      <c r="I366" s="410"/>
      <c r="J366" s="410"/>
      <c r="K366" s="410"/>
      <c r="L366" s="410"/>
      <c r="M366" s="410"/>
      <c r="N366" s="410"/>
      <c r="R366" s="410"/>
      <c r="S366" s="410"/>
      <c r="T366" s="410"/>
      <c r="U366" s="410"/>
      <c r="V366" s="410"/>
      <c r="W366" s="410"/>
      <c r="X366" s="410"/>
      <c r="Y366" s="410"/>
      <c r="Z366" s="410"/>
      <c r="AA366" s="410"/>
      <c r="AB366" s="410"/>
      <c r="AC366" s="410"/>
      <c r="AD366" s="410"/>
      <c r="AE366" s="410"/>
      <c r="AF366" s="410"/>
      <c r="AG366" s="410"/>
      <c r="AH366" s="410"/>
      <c r="AI366" s="410"/>
      <c r="AJ366" s="410"/>
      <c r="AK366" s="410"/>
    </row>
    <row r="367" spans="1:37" x14ac:dyDescent="0.2">
      <c r="A367" s="410"/>
      <c r="B367" s="410"/>
      <c r="C367" s="410"/>
      <c r="D367" s="410"/>
      <c r="E367" s="410"/>
      <c r="F367" s="410"/>
      <c r="G367" s="410"/>
      <c r="H367" s="410"/>
      <c r="I367" s="410"/>
      <c r="J367" s="410"/>
      <c r="K367" s="410"/>
      <c r="L367" s="410"/>
      <c r="M367" s="410"/>
      <c r="N367" s="410"/>
      <c r="R367" s="410"/>
      <c r="S367" s="410"/>
      <c r="T367" s="410"/>
      <c r="U367" s="410"/>
      <c r="V367" s="410"/>
      <c r="W367" s="410"/>
      <c r="X367" s="410"/>
      <c r="Y367" s="410"/>
      <c r="Z367" s="410"/>
      <c r="AA367" s="410"/>
      <c r="AB367" s="410"/>
      <c r="AC367" s="410"/>
      <c r="AD367" s="410"/>
      <c r="AE367" s="410"/>
      <c r="AF367" s="410"/>
      <c r="AG367" s="410"/>
      <c r="AH367" s="410"/>
      <c r="AI367" s="410"/>
      <c r="AJ367" s="410"/>
      <c r="AK367" s="410"/>
    </row>
    <row r="368" spans="1:37" x14ac:dyDescent="0.2">
      <c r="A368" s="410"/>
      <c r="B368" s="410"/>
      <c r="C368" s="410"/>
      <c r="D368" s="410"/>
      <c r="E368" s="410"/>
      <c r="F368" s="410"/>
      <c r="G368" s="410"/>
      <c r="H368" s="410"/>
      <c r="I368" s="410"/>
      <c r="J368" s="410"/>
      <c r="K368" s="410"/>
      <c r="L368" s="410"/>
      <c r="M368" s="410"/>
      <c r="N368" s="410"/>
      <c r="R368" s="410"/>
      <c r="S368" s="410"/>
      <c r="T368" s="410"/>
      <c r="U368" s="410"/>
      <c r="V368" s="410"/>
      <c r="W368" s="410"/>
      <c r="X368" s="410"/>
      <c r="Y368" s="410"/>
      <c r="Z368" s="410"/>
      <c r="AA368" s="410"/>
      <c r="AB368" s="410"/>
      <c r="AC368" s="410"/>
      <c r="AD368" s="410"/>
      <c r="AE368" s="410"/>
      <c r="AF368" s="410"/>
      <c r="AG368" s="410"/>
      <c r="AH368" s="410"/>
      <c r="AI368" s="410"/>
      <c r="AJ368" s="410"/>
      <c r="AK368" s="410"/>
    </row>
    <row r="369" spans="1:37" x14ac:dyDescent="0.2">
      <c r="A369" s="410"/>
      <c r="B369" s="410"/>
      <c r="C369" s="410"/>
      <c r="D369" s="410"/>
      <c r="E369" s="410"/>
      <c r="F369" s="410"/>
      <c r="G369" s="410"/>
      <c r="H369" s="410"/>
      <c r="I369" s="410"/>
      <c r="J369" s="410"/>
      <c r="K369" s="410"/>
      <c r="L369" s="410"/>
      <c r="M369" s="410"/>
      <c r="N369" s="410"/>
      <c r="R369" s="410"/>
      <c r="S369" s="410"/>
      <c r="T369" s="410"/>
      <c r="U369" s="410"/>
      <c r="V369" s="410"/>
      <c r="W369" s="410"/>
      <c r="X369" s="410"/>
      <c r="Y369" s="410"/>
      <c r="Z369" s="410"/>
      <c r="AA369" s="410"/>
      <c r="AB369" s="410"/>
      <c r="AC369" s="410"/>
      <c r="AD369" s="410"/>
      <c r="AE369" s="410"/>
      <c r="AF369" s="410"/>
      <c r="AG369" s="410"/>
      <c r="AH369" s="410"/>
      <c r="AI369" s="410"/>
      <c r="AJ369" s="410"/>
      <c r="AK369" s="410"/>
    </row>
    <row r="370" spans="1:37" x14ac:dyDescent="0.2">
      <c r="A370" s="410"/>
      <c r="B370" s="410"/>
      <c r="C370" s="410"/>
      <c r="D370" s="410"/>
      <c r="E370" s="410"/>
      <c r="F370" s="410"/>
      <c r="G370" s="410"/>
      <c r="H370" s="410"/>
      <c r="I370" s="410"/>
      <c r="J370" s="410"/>
      <c r="K370" s="410"/>
      <c r="L370" s="410"/>
      <c r="M370" s="410"/>
      <c r="N370" s="410"/>
      <c r="R370" s="410"/>
      <c r="S370" s="410"/>
      <c r="T370" s="410"/>
      <c r="U370" s="410"/>
      <c r="V370" s="410"/>
      <c r="W370" s="410"/>
      <c r="X370" s="410"/>
      <c r="Y370" s="410"/>
      <c r="Z370" s="410"/>
      <c r="AA370" s="410"/>
      <c r="AB370" s="410"/>
      <c r="AC370" s="410"/>
      <c r="AD370" s="410"/>
      <c r="AE370" s="410"/>
      <c r="AF370" s="410"/>
      <c r="AG370" s="410"/>
      <c r="AH370" s="410"/>
      <c r="AI370" s="410"/>
      <c r="AJ370" s="410"/>
      <c r="AK370" s="410"/>
    </row>
    <row r="371" spans="1:37" x14ac:dyDescent="0.2">
      <c r="A371" s="410"/>
      <c r="B371" s="410"/>
      <c r="C371" s="410"/>
      <c r="D371" s="410"/>
      <c r="E371" s="410"/>
      <c r="F371" s="410"/>
      <c r="G371" s="410"/>
      <c r="H371" s="410"/>
      <c r="I371" s="410"/>
      <c r="J371" s="410"/>
      <c r="K371" s="410"/>
      <c r="L371" s="410"/>
      <c r="M371" s="410"/>
      <c r="N371" s="410"/>
      <c r="R371" s="410"/>
      <c r="S371" s="410"/>
      <c r="T371" s="410"/>
      <c r="U371" s="410"/>
      <c r="V371" s="410"/>
      <c r="W371" s="410"/>
      <c r="X371" s="410"/>
      <c r="Y371" s="410"/>
      <c r="Z371" s="410"/>
      <c r="AA371" s="410"/>
      <c r="AB371" s="410"/>
      <c r="AC371" s="410"/>
      <c r="AD371" s="410"/>
      <c r="AE371" s="410"/>
      <c r="AF371" s="410"/>
      <c r="AG371" s="410"/>
      <c r="AH371" s="410"/>
      <c r="AI371" s="410"/>
      <c r="AJ371" s="410"/>
      <c r="AK371" s="410"/>
    </row>
    <row r="372" spans="1:37" x14ac:dyDescent="0.2">
      <c r="A372" s="410"/>
      <c r="B372" s="410"/>
      <c r="C372" s="410"/>
      <c r="D372" s="410"/>
      <c r="E372" s="410"/>
      <c r="F372" s="410"/>
      <c r="G372" s="410"/>
      <c r="H372" s="410"/>
      <c r="I372" s="410"/>
      <c r="J372" s="410"/>
      <c r="K372" s="410"/>
      <c r="L372" s="410"/>
      <c r="M372" s="410"/>
      <c r="N372" s="410"/>
      <c r="R372" s="410"/>
      <c r="S372" s="410"/>
      <c r="T372" s="410"/>
      <c r="U372" s="410"/>
      <c r="V372" s="410"/>
      <c r="W372" s="410"/>
      <c r="X372" s="410"/>
      <c r="Y372" s="410"/>
      <c r="Z372" s="410"/>
      <c r="AA372" s="410"/>
      <c r="AB372" s="410"/>
      <c r="AC372" s="410"/>
      <c r="AD372" s="410"/>
      <c r="AE372" s="410"/>
      <c r="AF372" s="410"/>
      <c r="AG372" s="410"/>
      <c r="AH372" s="410"/>
      <c r="AI372" s="410"/>
      <c r="AJ372" s="410"/>
      <c r="AK372" s="410"/>
    </row>
    <row r="373" spans="1:37" x14ac:dyDescent="0.2">
      <c r="A373" s="410"/>
      <c r="B373" s="410"/>
      <c r="C373" s="410"/>
      <c r="D373" s="410"/>
      <c r="E373" s="410"/>
      <c r="F373" s="410"/>
      <c r="G373" s="410"/>
      <c r="H373" s="410"/>
      <c r="I373" s="410"/>
      <c r="J373" s="410"/>
      <c r="K373" s="410"/>
      <c r="L373" s="410"/>
      <c r="M373" s="410"/>
      <c r="N373" s="410"/>
      <c r="R373" s="410"/>
      <c r="S373" s="410"/>
      <c r="T373" s="410"/>
      <c r="U373" s="410"/>
      <c r="V373" s="410"/>
      <c r="W373" s="410"/>
      <c r="X373" s="410"/>
      <c r="Y373" s="410"/>
      <c r="Z373" s="410"/>
      <c r="AA373" s="410"/>
      <c r="AB373" s="410"/>
      <c r="AC373" s="410"/>
      <c r="AD373" s="410"/>
      <c r="AE373" s="410"/>
      <c r="AF373" s="410"/>
      <c r="AG373" s="410"/>
      <c r="AH373" s="410"/>
      <c r="AI373" s="410"/>
      <c r="AJ373" s="410"/>
      <c r="AK373" s="410"/>
    </row>
    <row r="374" spans="1:37" x14ac:dyDescent="0.2">
      <c r="A374" s="410"/>
      <c r="B374" s="410"/>
      <c r="C374" s="410"/>
      <c r="D374" s="410"/>
      <c r="E374" s="410"/>
      <c r="F374" s="410"/>
      <c r="G374" s="410"/>
      <c r="H374" s="410"/>
      <c r="I374" s="410"/>
      <c r="J374" s="410"/>
      <c r="K374" s="410"/>
      <c r="L374" s="410"/>
      <c r="M374" s="410"/>
      <c r="N374" s="410"/>
      <c r="R374" s="410"/>
      <c r="S374" s="410"/>
      <c r="T374" s="410"/>
      <c r="U374" s="410"/>
      <c r="V374" s="410"/>
      <c r="W374" s="410"/>
      <c r="X374" s="410"/>
      <c r="Y374" s="410"/>
      <c r="Z374" s="410"/>
      <c r="AA374" s="410"/>
      <c r="AB374" s="410"/>
      <c r="AC374" s="410"/>
      <c r="AD374" s="410"/>
      <c r="AE374" s="410"/>
      <c r="AF374" s="410"/>
      <c r="AG374" s="410"/>
      <c r="AH374" s="410"/>
      <c r="AI374" s="410"/>
      <c r="AJ374" s="410"/>
      <c r="AK374" s="410"/>
    </row>
    <row r="375" spans="1:37" x14ac:dyDescent="0.2">
      <c r="A375" s="410"/>
      <c r="B375" s="410"/>
      <c r="C375" s="410"/>
      <c r="D375" s="410"/>
      <c r="E375" s="410"/>
      <c r="F375" s="410"/>
      <c r="G375" s="410"/>
      <c r="H375" s="410"/>
      <c r="I375" s="410"/>
      <c r="J375" s="410"/>
      <c r="K375" s="410"/>
      <c r="L375" s="410"/>
      <c r="M375" s="410"/>
      <c r="N375" s="410"/>
      <c r="R375" s="410"/>
      <c r="S375" s="410"/>
      <c r="T375" s="410"/>
      <c r="U375" s="410"/>
      <c r="V375" s="410"/>
      <c r="W375" s="410"/>
      <c r="X375" s="410"/>
      <c r="Y375" s="410"/>
      <c r="Z375" s="410"/>
      <c r="AA375" s="410"/>
      <c r="AB375" s="410"/>
      <c r="AC375" s="410"/>
      <c r="AD375" s="410"/>
      <c r="AE375" s="410"/>
      <c r="AF375" s="410"/>
      <c r="AG375" s="410"/>
      <c r="AH375" s="410"/>
      <c r="AI375" s="410"/>
      <c r="AJ375" s="410"/>
      <c r="AK375" s="410"/>
    </row>
    <row r="376" spans="1:37" x14ac:dyDescent="0.2">
      <c r="A376" s="410"/>
      <c r="B376" s="410"/>
      <c r="C376" s="410"/>
      <c r="D376" s="410"/>
      <c r="E376" s="410"/>
      <c r="F376" s="410"/>
      <c r="G376" s="410"/>
      <c r="H376" s="410"/>
      <c r="I376" s="410"/>
      <c r="J376" s="410"/>
      <c r="K376" s="410"/>
      <c r="L376" s="410"/>
      <c r="M376" s="410"/>
      <c r="N376" s="410"/>
      <c r="R376" s="410"/>
      <c r="S376" s="410"/>
      <c r="T376" s="410"/>
      <c r="U376" s="410"/>
      <c r="V376" s="410"/>
      <c r="W376" s="410"/>
      <c r="X376" s="410"/>
      <c r="Y376" s="410"/>
      <c r="Z376" s="410"/>
      <c r="AA376" s="410"/>
      <c r="AB376" s="410"/>
      <c r="AC376" s="410"/>
      <c r="AD376" s="410"/>
      <c r="AE376" s="410"/>
      <c r="AF376" s="410"/>
      <c r="AG376" s="410"/>
      <c r="AH376" s="410"/>
      <c r="AI376" s="410"/>
      <c r="AJ376" s="410"/>
      <c r="AK376" s="410"/>
    </row>
    <row r="377" spans="1:37" x14ac:dyDescent="0.2">
      <c r="A377" s="410"/>
      <c r="B377" s="410"/>
      <c r="C377" s="410"/>
      <c r="D377" s="410"/>
      <c r="E377" s="410"/>
      <c r="F377" s="410"/>
      <c r="G377" s="410"/>
      <c r="H377" s="410"/>
      <c r="I377" s="410"/>
      <c r="J377" s="410"/>
      <c r="K377" s="410"/>
      <c r="L377" s="410"/>
      <c r="M377" s="410"/>
      <c r="N377" s="410"/>
      <c r="R377" s="410"/>
      <c r="S377" s="410"/>
      <c r="T377" s="410"/>
      <c r="U377" s="410"/>
      <c r="V377" s="410"/>
      <c r="W377" s="410"/>
      <c r="X377" s="410"/>
      <c r="Y377" s="410"/>
      <c r="Z377" s="410"/>
      <c r="AA377" s="410"/>
      <c r="AB377" s="410"/>
      <c r="AC377" s="410"/>
      <c r="AD377" s="410"/>
      <c r="AE377" s="410"/>
      <c r="AF377" s="410"/>
      <c r="AG377" s="410"/>
      <c r="AH377" s="410"/>
      <c r="AI377" s="410"/>
      <c r="AJ377" s="410"/>
      <c r="AK377" s="410"/>
    </row>
    <row r="378" spans="1:37" x14ac:dyDescent="0.2">
      <c r="A378" s="410"/>
      <c r="B378" s="410"/>
      <c r="C378" s="410"/>
      <c r="D378" s="410"/>
      <c r="E378" s="410"/>
      <c r="F378" s="410"/>
      <c r="G378" s="410"/>
      <c r="H378" s="410"/>
      <c r="I378" s="410"/>
      <c r="J378" s="410"/>
      <c r="K378" s="410"/>
      <c r="L378" s="410"/>
      <c r="M378" s="410"/>
      <c r="N378" s="410"/>
      <c r="R378" s="410"/>
      <c r="S378" s="410"/>
      <c r="T378" s="410"/>
      <c r="U378" s="410"/>
      <c r="V378" s="410"/>
      <c r="W378" s="410"/>
      <c r="X378" s="410"/>
      <c r="Y378" s="410"/>
      <c r="Z378" s="410"/>
      <c r="AA378" s="410"/>
      <c r="AB378" s="410"/>
      <c r="AC378" s="410"/>
      <c r="AD378" s="410"/>
      <c r="AE378" s="410"/>
      <c r="AF378" s="410"/>
      <c r="AG378" s="410"/>
      <c r="AH378" s="410"/>
      <c r="AI378" s="410"/>
      <c r="AJ378" s="410"/>
      <c r="AK378" s="410"/>
    </row>
    <row r="379" spans="1:37" x14ac:dyDescent="0.2">
      <c r="A379" s="410"/>
      <c r="B379" s="410"/>
      <c r="C379" s="410"/>
      <c r="D379" s="410"/>
      <c r="E379" s="410"/>
      <c r="F379" s="410"/>
      <c r="G379" s="410"/>
      <c r="H379" s="410"/>
      <c r="I379" s="410"/>
      <c r="J379" s="410"/>
      <c r="K379" s="410"/>
      <c r="L379" s="410"/>
      <c r="M379" s="410"/>
      <c r="N379" s="410"/>
      <c r="R379" s="410"/>
      <c r="S379" s="410"/>
      <c r="T379" s="410"/>
      <c r="U379" s="410"/>
      <c r="V379" s="410"/>
      <c r="W379" s="410"/>
      <c r="X379" s="410"/>
      <c r="Y379" s="410"/>
      <c r="Z379" s="410"/>
      <c r="AA379" s="410"/>
      <c r="AB379" s="410"/>
      <c r="AC379" s="410"/>
      <c r="AD379" s="410"/>
      <c r="AE379" s="410"/>
      <c r="AF379" s="410"/>
      <c r="AG379" s="410"/>
      <c r="AH379" s="410"/>
      <c r="AI379" s="410"/>
      <c r="AJ379" s="410"/>
      <c r="AK379" s="410"/>
    </row>
    <row r="380" spans="1:37" x14ac:dyDescent="0.2">
      <c r="A380" s="410"/>
      <c r="B380" s="410"/>
      <c r="C380" s="410"/>
      <c r="D380" s="410"/>
      <c r="E380" s="410"/>
      <c r="F380" s="410"/>
      <c r="G380" s="410"/>
      <c r="H380" s="410"/>
      <c r="I380" s="410"/>
      <c r="J380" s="410"/>
      <c r="K380" s="410"/>
      <c r="L380" s="410"/>
      <c r="M380" s="410"/>
      <c r="N380" s="410"/>
      <c r="R380" s="410"/>
      <c r="S380" s="410"/>
      <c r="T380" s="410"/>
      <c r="U380" s="410"/>
      <c r="V380" s="410"/>
      <c r="W380" s="410"/>
      <c r="X380" s="410"/>
      <c r="Y380" s="410"/>
      <c r="Z380" s="410"/>
      <c r="AA380" s="410"/>
      <c r="AB380" s="410"/>
      <c r="AC380" s="410"/>
      <c r="AD380" s="410"/>
      <c r="AE380" s="410"/>
      <c r="AF380" s="410"/>
      <c r="AG380" s="410"/>
      <c r="AH380" s="410"/>
      <c r="AI380" s="410"/>
      <c r="AJ380" s="410"/>
      <c r="AK380" s="410"/>
    </row>
    <row r="381" spans="1:37" x14ac:dyDescent="0.2">
      <c r="A381" s="410"/>
      <c r="B381" s="410"/>
      <c r="C381" s="410"/>
      <c r="D381" s="410"/>
      <c r="E381" s="410"/>
      <c r="F381" s="410"/>
      <c r="G381" s="410"/>
      <c r="H381" s="410"/>
      <c r="I381" s="410"/>
      <c r="J381" s="410"/>
      <c r="K381" s="410"/>
      <c r="L381" s="410"/>
      <c r="M381" s="410"/>
      <c r="N381" s="410"/>
      <c r="R381" s="410"/>
      <c r="S381" s="410"/>
      <c r="T381" s="410"/>
      <c r="U381" s="410"/>
      <c r="V381" s="410"/>
      <c r="W381" s="410"/>
      <c r="X381" s="410"/>
      <c r="Y381" s="410"/>
      <c r="Z381" s="410"/>
      <c r="AA381" s="410"/>
      <c r="AB381" s="410"/>
      <c r="AC381" s="410"/>
      <c r="AD381" s="410"/>
      <c r="AE381" s="410"/>
      <c r="AF381" s="410"/>
      <c r="AG381" s="410"/>
      <c r="AH381" s="410"/>
      <c r="AI381" s="410"/>
      <c r="AJ381" s="410"/>
      <c r="AK381" s="410"/>
    </row>
    <row r="382" spans="1:37" x14ac:dyDescent="0.2">
      <c r="A382" s="410"/>
      <c r="B382" s="410"/>
      <c r="C382" s="410"/>
      <c r="D382" s="410"/>
      <c r="E382" s="410"/>
      <c r="F382" s="410"/>
      <c r="G382" s="410"/>
      <c r="H382" s="410"/>
      <c r="I382" s="410"/>
      <c r="J382" s="410"/>
      <c r="K382" s="410"/>
      <c r="L382" s="410"/>
      <c r="M382" s="410"/>
      <c r="N382" s="410"/>
      <c r="R382" s="410"/>
      <c r="S382" s="410"/>
      <c r="T382" s="410"/>
      <c r="U382" s="410"/>
      <c r="V382" s="410"/>
      <c r="W382" s="410"/>
      <c r="X382" s="410"/>
      <c r="Y382" s="410"/>
      <c r="Z382" s="410"/>
      <c r="AA382" s="410"/>
      <c r="AB382" s="410"/>
      <c r="AC382" s="410"/>
      <c r="AD382" s="410"/>
      <c r="AE382" s="410"/>
      <c r="AF382" s="410"/>
      <c r="AG382" s="410"/>
      <c r="AH382" s="410"/>
      <c r="AI382" s="410"/>
      <c r="AJ382" s="410"/>
      <c r="AK382" s="410"/>
    </row>
    <row r="383" spans="1:37" x14ac:dyDescent="0.2">
      <c r="A383" s="410"/>
      <c r="B383" s="410"/>
      <c r="C383" s="410"/>
      <c r="D383" s="410"/>
      <c r="E383" s="410"/>
      <c r="F383" s="410"/>
      <c r="G383" s="410"/>
      <c r="H383" s="410"/>
      <c r="I383" s="410"/>
      <c r="J383" s="410"/>
      <c r="K383" s="410"/>
      <c r="L383" s="410"/>
      <c r="M383" s="410"/>
      <c r="N383" s="410"/>
      <c r="R383" s="410"/>
      <c r="S383" s="410"/>
      <c r="T383" s="410"/>
      <c r="U383" s="410"/>
      <c r="V383" s="410"/>
      <c r="W383" s="410"/>
      <c r="X383" s="410"/>
      <c r="Y383" s="410"/>
      <c r="Z383" s="410"/>
      <c r="AA383" s="410"/>
      <c r="AB383" s="410"/>
      <c r="AC383" s="410"/>
      <c r="AD383" s="410"/>
      <c r="AE383" s="410"/>
      <c r="AF383" s="410"/>
      <c r="AG383" s="410"/>
      <c r="AH383" s="410"/>
      <c r="AI383" s="410"/>
      <c r="AJ383" s="410"/>
      <c r="AK383" s="410"/>
    </row>
    <row r="384" spans="1:37" x14ac:dyDescent="0.2">
      <c r="A384" s="410"/>
      <c r="B384" s="410"/>
      <c r="C384" s="410"/>
      <c r="D384" s="410"/>
      <c r="E384" s="410"/>
      <c r="F384" s="410"/>
      <c r="G384" s="410"/>
      <c r="H384" s="410"/>
      <c r="I384" s="410"/>
      <c r="J384" s="410"/>
      <c r="K384" s="410"/>
      <c r="L384" s="410"/>
      <c r="M384" s="410"/>
      <c r="N384" s="410"/>
      <c r="R384" s="410"/>
      <c r="S384" s="410"/>
      <c r="T384" s="410"/>
      <c r="U384" s="410"/>
      <c r="V384" s="410"/>
      <c r="W384" s="410"/>
      <c r="X384" s="410"/>
      <c r="Y384" s="410"/>
      <c r="Z384" s="410"/>
      <c r="AA384" s="410"/>
      <c r="AB384" s="410"/>
      <c r="AC384" s="410"/>
      <c r="AD384" s="410"/>
      <c r="AE384" s="410"/>
      <c r="AF384" s="410"/>
      <c r="AG384" s="410"/>
      <c r="AH384" s="410"/>
      <c r="AI384" s="410"/>
      <c r="AJ384" s="410"/>
      <c r="AK384" s="410"/>
    </row>
    <row r="385" spans="1:37" x14ac:dyDescent="0.2">
      <c r="A385" s="410"/>
      <c r="B385" s="410"/>
      <c r="C385" s="410"/>
      <c r="D385" s="410"/>
      <c r="E385" s="410"/>
      <c r="F385" s="410"/>
      <c r="G385" s="410"/>
      <c r="H385" s="410"/>
      <c r="I385" s="410"/>
      <c r="J385" s="410"/>
      <c r="K385" s="410"/>
      <c r="L385" s="410"/>
      <c r="M385" s="410"/>
      <c r="N385" s="410"/>
      <c r="R385" s="410"/>
      <c r="S385" s="410"/>
      <c r="T385" s="410"/>
      <c r="U385" s="410"/>
      <c r="V385" s="410"/>
      <c r="W385" s="410"/>
      <c r="X385" s="410"/>
      <c r="Y385" s="410"/>
      <c r="Z385" s="410"/>
      <c r="AA385" s="410"/>
      <c r="AB385" s="410"/>
      <c r="AC385" s="410"/>
      <c r="AD385" s="410"/>
      <c r="AE385" s="410"/>
      <c r="AF385" s="410"/>
      <c r="AG385" s="410"/>
      <c r="AH385" s="410"/>
      <c r="AI385" s="410"/>
      <c r="AJ385" s="410"/>
      <c r="AK385" s="410"/>
    </row>
    <row r="386" spans="1:37" x14ac:dyDescent="0.2">
      <c r="A386" s="410"/>
      <c r="B386" s="410"/>
      <c r="C386" s="410"/>
      <c r="D386" s="410"/>
      <c r="E386" s="410"/>
      <c r="F386" s="410"/>
      <c r="G386" s="410"/>
      <c r="H386" s="410"/>
      <c r="I386" s="410"/>
      <c r="J386" s="410"/>
      <c r="K386" s="410"/>
      <c r="L386" s="410"/>
      <c r="M386" s="410"/>
      <c r="N386" s="410"/>
      <c r="R386" s="410"/>
      <c r="S386" s="410"/>
      <c r="T386" s="410"/>
      <c r="U386" s="410"/>
      <c r="V386" s="410"/>
      <c r="W386" s="410"/>
      <c r="X386" s="410"/>
      <c r="Y386" s="410"/>
      <c r="Z386" s="410"/>
      <c r="AA386" s="410"/>
      <c r="AB386" s="410"/>
      <c r="AC386" s="410"/>
      <c r="AD386" s="410"/>
      <c r="AE386" s="410"/>
      <c r="AF386" s="410"/>
      <c r="AG386" s="410"/>
      <c r="AH386" s="410"/>
      <c r="AI386" s="410"/>
      <c r="AJ386" s="410"/>
      <c r="AK386" s="410"/>
    </row>
    <row r="387" spans="1:37" x14ac:dyDescent="0.2">
      <c r="A387" s="410"/>
      <c r="B387" s="410"/>
      <c r="C387" s="410"/>
      <c r="D387" s="410"/>
      <c r="E387" s="410"/>
      <c r="F387" s="410"/>
      <c r="G387" s="410"/>
      <c r="H387" s="410"/>
      <c r="I387" s="410"/>
      <c r="J387" s="410"/>
      <c r="K387" s="410"/>
      <c r="L387" s="410"/>
      <c r="M387" s="410"/>
      <c r="N387" s="410"/>
      <c r="R387" s="410"/>
      <c r="S387" s="410"/>
      <c r="T387" s="410"/>
      <c r="U387" s="410"/>
      <c r="V387" s="410"/>
      <c r="W387" s="410"/>
      <c r="X387" s="410"/>
      <c r="Y387" s="410"/>
      <c r="Z387" s="410"/>
      <c r="AA387" s="410"/>
      <c r="AB387" s="410"/>
      <c r="AC387" s="410"/>
      <c r="AD387" s="410"/>
      <c r="AE387" s="410"/>
      <c r="AF387" s="410"/>
      <c r="AG387" s="410"/>
      <c r="AH387" s="410"/>
      <c r="AI387" s="410"/>
      <c r="AJ387" s="410"/>
      <c r="AK387" s="410"/>
    </row>
    <row r="388" spans="1:37" x14ac:dyDescent="0.2">
      <c r="A388" s="410"/>
      <c r="B388" s="410"/>
      <c r="C388" s="410"/>
      <c r="D388" s="410"/>
      <c r="E388" s="410"/>
      <c r="F388" s="410"/>
      <c r="G388" s="410"/>
      <c r="H388" s="410"/>
      <c r="I388" s="410"/>
      <c r="J388" s="410"/>
      <c r="K388" s="410"/>
      <c r="L388" s="410"/>
      <c r="M388" s="410"/>
      <c r="N388" s="410"/>
      <c r="R388" s="410"/>
      <c r="S388" s="410"/>
      <c r="T388" s="410"/>
      <c r="U388" s="410"/>
      <c r="V388" s="410"/>
      <c r="W388" s="410"/>
      <c r="X388" s="410"/>
      <c r="Y388" s="410"/>
      <c r="Z388" s="410"/>
      <c r="AA388" s="410"/>
      <c r="AB388" s="410"/>
      <c r="AC388" s="410"/>
      <c r="AD388" s="410"/>
      <c r="AE388" s="410"/>
      <c r="AF388" s="410"/>
      <c r="AG388" s="410"/>
      <c r="AH388" s="410"/>
      <c r="AI388" s="410"/>
      <c r="AJ388" s="410"/>
      <c r="AK388" s="410"/>
    </row>
    <row r="389" spans="1:37" x14ac:dyDescent="0.2">
      <c r="A389" s="410"/>
      <c r="B389" s="410"/>
      <c r="C389" s="410"/>
      <c r="D389" s="410"/>
      <c r="E389" s="410"/>
      <c r="F389" s="410"/>
      <c r="G389" s="410"/>
      <c r="H389" s="410"/>
      <c r="I389" s="410"/>
      <c r="J389" s="410"/>
      <c r="K389" s="410"/>
      <c r="L389" s="410"/>
      <c r="M389" s="410"/>
      <c r="N389" s="410"/>
      <c r="R389" s="410"/>
      <c r="S389" s="410"/>
      <c r="T389" s="410"/>
      <c r="U389" s="410"/>
      <c r="V389" s="410"/>
      <c r="W389" s="410"/>
      <c r="X389" s="410"/>
      <c r="Y389" s="410"/>
      <c r="Z389" s="410"/>
      <c r="AA389" s="410"/>
      <c r="AB389" s="410"/>
      <c r="AC389" s="410"/>
      <c r="AD389" s="410"/>
      <c r="AE389" s="410"/>
      <c r="AF389" s="410"/>
      <c r="AG389" s="410"/>
      <c r="AH389" s="410"/>
      <c r="AI389" s="410"/>
      <c r="AJ389" s="410"/>
      <c r="AK389" s="410"/>
    </row>
    <row r="390" spans="1:37" x14ac:dyDescent="0.2">
      <c r="A390" s="410"/>
      <c r="B390" s="410"/>
      <c r="C390" s="410"/>
      <c r="D390" s="410"/>
      <c r="E390" s="410"/>
      <c r="F390" s="410"/>
      <c r="G390" s="410"/>
      <c r="H390" s="410"/>
      <c r="I390" s="410"/>
      <c r="J390" s="410"/>
      <c r="K390" s="410"/>
      <c r="L390" s="410"/>
      <c r="M390" s="410"/>
      <c r="N390" s="410"/>
      <c r="R390" s="410"/>
      <c r="S390" s="410"/>
      <c r="T390" s="410"/>
      <c r="U390" s="410"/>
      <c r="V390" s="410"/>
      <c r="W390" s="410"/>
      <c r="X390" s="410"/>
      <c r="Y390" s="410"/>
      <c r="Z390" s="410"/>
      <c r="AA390" s="410"/>
      <c r="AB390" s="410"/>
      <c r="AC390" s="410"/>
      <c r="AD390" s="410"/>
      <c r="AE390" s="410"/>
      <c r="AF390" s="410"/>
      <c r="AG390" s="410"/>
      <c r="AH390" s="410"/>
      <c r="AI390" s="410"/>
      <c r="AJ390" s="410"/>
      <c r="AK390" s="410"/>
    </row>
    <row r="391" spans="1:37" x14ac:dyDescent="0.2">
      <c r="A391" s="410"/>
      <c r="B391" s="410"/>
      <c r="C391" s="410"/>
      <c r="D391" s="410"/>
      <c r="E391" s="410"/>
      <c r="F391" s="410"/>
      <c r="G391" s="410"/>
      <c r="H391" s="410"/>
      <c r="I391" s="410"/>
      <c r="J391" s="410"/>
      <c r="K391" s="410"/>
      <c r="L391" s="410"/>
      <c r="M391" s="410"/>
      <c r="N391" s="410"/>
      <c r="R391" s="410"/>
      <c r="S391" s="410"/>
      <c r="T391" s="410"/>
      <c r="U391" s="410"/>
      <c r="V391" s="410"/>
      <c r="W391" s="410"/>
      <c r="X391" s="410"/>
      <c r="Y391" s="410"/>
      <c r="Z391" s="410"/>
      <c r="AA391" s="410"/>
      <c r="AB391" s="410"/>
      <c r="AC391" s="410"/>
      <c r="AD391" s="410"/>
      <c r="AE391" s="410"/>
      <c r="AF391" s="410"/>
      <c r="AG391" s="410"/>
      <c r="AH391" s="410"/>
      <c r="AI391" s="410"/>
      <c r="AJ391" s="410"/>
      <c r="AK391" s="410"/>
    </row>
    <row r="392" spans="1:37" x14ac:dyDescent="0.2">
      <c r="A392" s="410"/>
      <c r="B392" s="410"/>
      <c r="C392" s="410"/>
      <c r="D392" s="410"/>
      <c r="E392" s="410"/>
      <c r="F392" s="410"/>
      <c r="G392" s="410"/>
      <c r="H392" s="410"/>
      <c r="I392" s="410"/>
      <c r="J392" s="410"/>
      <c r="K392" s="410"/>
      <c r="L392" s="410"/>
      <c r="M392" s="410"/>
      <c r="N392" s="410"/>
      <c r="R392" s="410"/>
      <c r="S392" s="410"/>
      <c r="T392" s="410"/>
      <c r="U392" s="410"/>
      <c r="V392" s="410"/>
      <c r="W392" s="410"/>
      <c r="X392" s="410"/>
      <c r="Y392" s="410"/>
      <c r="Z392" s="410"/>
      <c r="AA392" s="410"/>
      <c r="AB392" s="410"/>
      <c r="AC392" s="410"/>
      <c r="AD392" s="410"/>
      <c r="AE392" s="410"/>
      <c r="AF392" s="410"/>
      <c r="AG392" s="410"/>
      <c r="AH392" s="410"/>
      <c r="AI392" s="410"/>
      <c r="AJ392" s="410"/>
      <c r="AK392" s="410"/>
    </row>
    <row r="393" spans="1:37" x14ac:dyDescent="0.2">
      <c r="A393" s="410"/>
      <c r="B393" s="410"/>
      <c r="C393" s="410"/>
      <c r="D393" s="410"/>
      <c r="E393" s="410"/>
      <c r="F393" s="410"/>
      <c r="G393" s="410"/>
      <c r="H393" s="410"/>
      <c r="I393" s="410"/>
      <c r="J393" s="410"/>
      <c r="K393" s="410"/>
      <c r="L393" s="410"/>
      <c r="M393" s="410"/>
      <c r="N393" s="410"/>
      <c r="R393" s="410"/>
      <c r="S393" s="410"/>
      <c r="T393" s="410"/>
      <c r="U393" s="410"/>
      <c r="V393" s="410"/>
      <c r="W393" s="410"/>
      <c r="X393" s="410"/>
      <c r="Y393" s="410"/>
      <c r="Z393" s="410"/>
      <c r="AA393" s="410"/>
      <c r="AB393" s="410"/>
      <c r="AC393" s="410"/>
      <c r="AD393" s="410"/>
      <c r="AE393" s="410"/>
      <c r="AF393" s="410"/>
      <c r="AG393" s="410"/>
      <c r="AH393" s="410"/>
      <c r="AI393" s="410"/>
      <c r="AJ393" s="410"/>
      <c r="AK393" s="410"/>
    </row>
    <row r="394" spans="1:37" x14ac:dyDescent="0.2">
      <c r="A394" s="410"/>
      <c r="B394" s="410"/>
      <c r="C394" s="410"/>
      <c r="D394" s="410"/>
      <c r="E394" s="410"/>
      <c r="F394" s="410"/>
      <c r="G394" s="410"/>
      <c r="H394" s="410"/>
      <c r="I394" s="410"/>
      <c r="J394" s="410"/>
      <c r="K394" s="410"/>
      <c r="L394" s="410"/>
      <c r="M394" s="410"/>
      <c r="N394" s="410"/>
      <c r="R394" s="410"/>
      <c r="S394" s="410"/>
      <c r="T394" s="410"/>
      <c r="U394" s="410"/>
      <c r="V394" s="410"/>
      <c r="W394" s="410"/>
      <c r="X394" s="410"/>
      <c r="Y394" s="410"/>
      <c r="Z394" s="410"/>
      <c r="AA394" s="410"/>
      <c r="AB394" s="410"/>
      <c r="AC394" s="410"/>
      <c r="AD394" s="410"/>
      <c r="AE394" s="410"/>
      <c r="AF394" s="410"/>
      <c r="AG394" s="410"/>
      <c r="AH394" s="410"/>
      <c r="AI394" s="410"/>
      <c r="AJ394" s="410"/>
      <c r="AK394" s="410"/>
    </row>
    <row r="395" spans="1:37" x14ac:dyDescent="0.2">
      <c r="A395" s="410"/>
      <c r="B395" s="410"/>
      <c r="C395" s="410"/>
      <c r="D395" s="410"/>
      <c r="E395" s="410"/>
      <c r="F395" s="410"/>
      <c r="G395" s="410"/>
      <c r="H395" s="410"/>
      <c r="I395" s="410"/>
      <c r="J395" s="410"/>
      <c r="K395" s="410"/>
      <c r="L395" s="410"/>
      <c r="M395" s="410"/>
      <c r="N395" s="410"/>
      <c r="R395" s="410"/>
      <c r="S395" s="410"/>
      <c r="T395" s="410"/>
      <c r="U395" s="410"/>
      <c r="V395" s="410"/>
      <c r="W395" s="410"/>
      <c r="X395" s="410"/>
      <c r="Y395" s="410"/>
      <c r="Z395" s="410"/>
      <c r="AA395" s="410"/>
      <c r="AB395" s="410"/>
      <c r="AC395" s="410"/>
      <c r="AD395" s="410"/>
      <c r="AE395" s="410"/>
      <c r="AF395" s="410"/>
      <c r="AG395" s="410"/>
      <c r="AH395" s="410"/>
      <c r="AI395" s="410"/>
      <c r="AJ395" s="410"/>
      <c r="AK395" s="410"/>
    </row>
    <row r="396" spans="1:37" x14ac:dyDescent="0.2">
      <c r="A396" s="410"/>
      <c r="B396" s="410"/>
      <c r="C396" s="410"/>
      <c r="D396" s="410"/>
      <c r="E396" s="410"/>
      <c r="F396" s="410"/>
      <c r="G396" s="410"/>
      <c r="H396" s="410"/>
      <c r="I396" s="410"/>
      <c r="J396" s="410"/>
      <c r="K396" s="410"/>
      <c r="L396" s="410"/>
      <c r="M396" s="410"/>
      <c r="N396" s="410"/>
      <c r="R396" s="410"/>
      <c r="S396" s="410"/>
      <c r="T396" s="410"/>
      <c r="U396" s="410"/>
      <c r="V396" s="410"/>
      <c r="W396" s="410"/>
      <c r="X396" s="410"/>
      <c r="Y396" s="410"/>
      <c r="Z396" s="410"/>
      <c r="AA396" s="410"/>
      <c r="AB396" s="410"/>
      <c r="AC396" s="410"/>
      <c r="AD396" s="410"/>
      <c r="AE396" s="410"/>
      <c r="AF396" s="410"/>
      <c r="AG396" s="410"/>
      <c r="AH396" s="410"/>
      <c r="AI396" s="410"/>
      <c r="AJ396" s="410"/>
      <c r="AK396" s="410"/>
    </row>
    <row r="397" spans="1:37" x14ac:dyDescent="0.2">
      <c r="A397" s="410"/>
      <c r="B397" s="410"/>
      <c r="C397" s="410"/>
      <c r="D397" s="410"/>
      <c r="E397" s="410"/>
      <c r="F397" s="410"/>
      <c r="G397" s="410"/>
      <c r="H397" s="410"/>
      <c r="I397" s="410"/>
      <c r="J397" s="410"/>
      <c r="K397" s="410"/>
      <c r="L397" s="410"/>
      <c r="M397" s="410"/>
      <c r="N397" s="410"/>
      <c r="R397" s="410"/>
      <c r="S397" s="410"/>
      <c r="T397" s="410"/>
      <c r="U397" s="410"/>
      <c r="V397" s="410"/>
      <c r="W397" s="410"/>
      <c r="X397" s="410"/>
      <c r="Y397" s="410"/>
      <c r="Z397" s="410"/>
      <c r="AA397" s="410"/>
      <c r="AB397" s="410"/>
      <c r="AC397" s="410"/>
      <c r="AD397" s="410"/>
      <c r="AE397" s="410"/>
      <c r="AF397" s="410"/>
      <c r="AG397" s="410"/>
      <c r="AH397" s="410"/>
      <c r="AI397" s="410"/>
      <c r="AJ397" s="410"/>
      <c r="AK397" s="410"/>
    </row>
    <row r="398" spans="1:37" x14ac:dyDescent="0.2">
      <c r="A398" s="410"/>
      <c r="B398" s="410"/>
      <c r="C398" s="410"/>
      <c r="D398" s="410"/>
      <c r="E398" s="410"/>
      <c r="F398" s="410"/>
      <c r="G398" s="410"/>
      <c r="H398" s="410"/>
      <c r="I398" s="410"/>
      <c r="J398" s="410"/>
      <c r="K398" s="410"/>
      <c r="L398" s="410"/>
      <c r="M398" s="410"/>
      <c r="N398" s="410"/>
      <c r="R398" s="410"/>
      <c r="S398" s="410"/>
      <c r="T398" s="410"/>
      <c r="U398" s="410"/>
      <c r="V398" s="410"/>
      <c r="W398" s="410"/>
      <c r="X398" s="410"/>
      <c r="Y398" s="410"/>
      <c r="Z398" s="410"/>
      <c r="AA398" s="410"/>
      <c r="AB398" s="410"/>
      <c r="AC398" s="410"/>
      <c r="AD398" s="410"/>
      <c r="AE398" s="410"/>
      <c r="AF398" s="410"/>
      <c r="AG398" s="410"/>
      <c r="AH398" s="410"/>
      <c r="AI398" s="410"/>
      <c r="AJ398" s="410"/>
      <c r="AK398" s="410"/>
    </row>
    <row r="399" spans="1:37" x14ac:dyDescent="0.2">
      <c r="A399" s="410"/>
      <c r="B399" s="410"/>
      <c r="C399" s="410"/>
      <c r="D399" s="410"/>
      <c r="E399" s="410"/>
      <c r="F399" s="410"/>
      <c r="G399" s="410"/>
      <c r="H399" s="410"/>
      <c r="I399" s="410"/>
      <c r="J399" s="410"/>
      <c r="K399" s="410"/>
      <c r="L399" s="410"/>
      <c r="M399" s="410"/>
      <c r="N399" s="410"/>
      <c r="R399" s="410"/>
      <c r="S399" s="410"/>
      <c r="T399" s="410"/>
      <c r="U399" s="410"/>
      <c r="V399" s="410"/>
      <c r="W399" s="410"/>
      <c r="X399" s="410"/>
      <c r="Y399" s="410"/>
      <c r="Z399" s="410"/>
      <c r="AA399" s="410"/>
      <c r="AB399" s="410"/>
      <c r="AC399" s="410"/>
      <c r="AD399" s="410"/>
      <c r="AE399" s="410"/>
      <c r="AF399" s="410"/>
      <c r="AG399" s="410"/>
      <c r="AH399" s="410"/>
      <c r="AI399" s="410"/>
      <c r="AJ399" s="410"/>
      <c r="AK399" s="410"/>
    </row>
    <row r="400" spans="1:37" x14ac:dyDescent="0.2">
      <c r="A400" s="410"/>
      <c r="B400" s="410"/>
      <c r="C400" s="410"/>
      <c r="D400" s="410"/>
      <c r="E400" s="410"/>
      <c r="F400" s="410"/>
      <c r="G400" s="410"/>
      <c r="H400" s="410"/>
      <c r="I400" s="410"/>
      <c r="J400" s="410"/>
      <c r="K400" s="410"/>
      <c r="L400" s="410"/>
      <c r="M400" s="410"/>
      <c r="N400" s="410"/>
      <c r="R400" s="410"/>
      <c r="S400" s="410"/>
      <c r="T400" s="410"/>
      <c r="U400" s="410"/>
      <c r="V400" s="410"/>
      <c r="W400" s="410"/>
      <c r="X400" s="410"/>
      <c r="Y400" s="410"/>
      <c r="Z400" s="410"/>
      <c r="AA400" s="410"/>
      <c r="AB400" s="410"/>
      <c r="AC400" s="410"/>
      <c r="AD400" s="410"/>
      <c r="AE400" s="410"/>
      <c r="AF400" s="410"/>
      <c r="AG400" s="410"/>
      <c r="AH400" s="410"/>
      <c r="AI400" s="410"/>
      <c r="AJ400" s="410"/>
      <c r="AK400" s="410"/>
    </row>
    <row r="401" spans="1:37" x14ac:dyDescent="0.2">
      <c r="A401" s="410"/>
      <c r="B401" s="410"/>
      <c r="C401" s="410"/>
      <c r="D401" s="410"/>
      <c r="E401" s="410"/>
      <c r="F401" s="410"/>
      <c r="G401" s="410"/>
      <c r="H401" s="410"/>
      <c r="I401" s="410"/>
      <c r="J401" s="410"/>
      <c r="K401" s="410"/>
      <c r="L401" s="410"/>
      <c r="M401" s="410"/>
      <c r="N401" s="410"/>
      <c r="R401" s="410"/>
      <c r="S401" s="410"/>
      <c r="T401" s="410"/>
      <c r="U401" s="410"/>
      <c r="V401" s="410"/>
      <c r="W401" s="410"/>
      <c r="X401" s="410"/>
      <c r="Y401" s="410"/>
      <c r="Z401" s="410"/>
      <c r="AA401" s="410"/>
      <c r="AB401" s="410"/>
      <c r="AC401" s="410"/>
      <c r="AD401" s="410"/>
      <c r="AE401" s="410"/>
      <c r="AF401" s="410"/>
      <c r="AG401" s="410"/>
      <c r="AH401" s="410"/>
      <c r="AI401" s="410"/>
      <c r="AJ401" s="410"/>
      <c r="AK401" s="410"/>
    </row>
    <row r="402" spans="1:37" x14ac:dyDescent="0.2">
      <c r="A402" s="410"/>
      <c r="B402" s="410"/>
      <c r="C402" s="410"/>
      <c r="D402" s="410"/>
      <c r="E402" s="410"/>
      <c r="F402" s="410"/>
      <c r="G402" s="410"/>
      <c r="H402" s="410"/>
      <c r="I402" s="410"/>
      <c r="J402" s="410"/>
      <c r="K402" s="410"/>
      <c r="L402" s="410"/>
      <c r="M402" s="410"/>
      <c r="N402" s="410"/>
      <c r="R402" s="410"/>
      <c r="S402" s="410"/>
      <c r="T402" s="410"/>
      <c r="U402" s="410"/>
      <c r="V402" s="410"/>
      <c r="W402" s="410"/>
      <c r="X402" s="410"/>
      <c r="Y402" s="410"/>
      <c r="Z402" s="410"/>
      <c r="AA402" s="410"/>
      <c r="AB402" s="410"/>
      <c r="AC402" s="410"/>
      <c r="AD402" s="410"/>
      <c r="AE402" s="410"/>
      <c r="AF402" s="410"/>
      <c r="AG402" s="410"/>
      <c r="AH402" s="410"/>
      <c r="AI402" s="410"/>
      <c r="AJ402" s="410"/>
      <c r="AK402" s="410"/>
    </row>
    <row r="403" spans="1:37" x14ac:dyDescent="0.2">
      <c r="A403" s="410"/>
      <c r="B403" s="410"/>
      <c r="C403" s="410"/>
      <c r="D403" s="410"/>
      <c r="E403" s="410"/>
      <c r="F403" s="410"/>
      <c r="G403" s="410"/>
      <c r="H403" s="410"/>
      <c r="I403" s="410"/>
      <c r="J403" s="410"/>
      <c r="K403" s="410"/>
      <c r="L403" s="410"/>
      <c r="M403" s="410"/>
      <c r="N403" s="410"/>
      <c r="R403" s="410"/>
      <c r="S403" s="410"/>
      <c r="T403" s="410"/>
      <c r="U403" s="410"/>
      <c r="V403" s="410"/>
      <c r="W403" s="410"/>
      <c r="X403" s="410"/>
      <c r="Y403" s="410"/>
      <c r="Z403" s="410"/>
      <c r="AA403" s="410"/>
      <c r="AB403" s="410"/>
      <c r="AC403" s="410"/>
      <c r="AD403" s="410"/>
      <c r="AE403" s="410"/>
      <c r="AF403" s="410"/>
      <c r="AG403" s="410"/>
      <c r="AH403" s="410"/>
      <c r="AI403" s="410"/>
      <c r="AJ403" s="410"/>
      <c r="AK403" s="410"/>
    </row>
    <row r="404" spans="1:37" x14ac:dyDescent="0.2">
      <c r="A404" s="410"/>
      <c r="B404" s="410"/>
      <c r="C404" s="410"/>
      <c r="D404" s="410"/>
      <c r="E404" s="410"/>
      <c r="F404" s="410"/>
      <c r="G404" s="410"/>
      <c r="H404" s="410"/>
      <c r="I404" s="410"/>
      <c r="J404" s="410"/>
      <c r="K404" s="410"/>
      <c r="L404" s="410"/>
      <c r="M404" s="410"/>
      <c r="N404" s="410"/>
      <c r="R404" s="410"/>
      <c r="S404" s="410"/>
      <c r="T404" s="410"/>
      <c r="U404" s="410"/>
      <c r="V404" s="410"/>
      <c r="W404" s="410"/>
      <c r="X404" s="410"/>
      <c r="Y404" s="410"/>
      <c r="Z404" s="410"/>
      <c r="AA404" s="410"/>
      <c r="AB404" s="410"/>
      <c r="AC404" s="410"/>
      <c r="AD404" s="410"/>
      <c r="AE404" s="410"/>
      <c r="AF404" s="410"/>
      <c r="AG404" s="410"/>
      <c r="AH404" s="410"/>
      <c r="AI404" s="410"/>
      <c r="AJ404" s="410"/>
      <c r="AK404" s="410"/>
    </row>
    <row r="405" spans="1:37" x14ac:dyDescent="0.2">
      <c r="A405" s="410"/>
      <c r="B405" s="410"/>
      <c r="C405" s="410"/>
      <c r="D405" s="410"/>
      <c r="E405" s="410"/>
      <c r="F405" s="410"/>
      <c r="G405" s="410"/>
      <c r="H405" s="410"/>
      <c r="I405" s="410"/>
      <c r="J405" s="410"/>
      <c r="K405" s="410"/>
      <c r="L405" s="410"/>
      <c r="M405" s="410"/>
      <c r="N405" s="410"/>
      <c r="R405" s="410"/>
      <c r="S405" s="410"/>
      <c r="T405" s="410"/>
      <c r="U405" s="410"/>
      <c r="V405" s="410"/>
      <c r="W405" s="410"/>
      <c r="X405" s="410"/>
      <c r="Y405" s="410"/>
      <c r="Z405" s="410"/>
      <c r="AA405" s="410"/>
      <c r="AB405" s="410"/>
      <c r="AC405" s="410"/>
      <c r="AD405" s="410"/>
      <c r="AE405" s="410"/>
      <c r="AF405" s="410"/>
      <c r="AG405" s="410"/>
      <c r="AH405" s="410"/>
      <c r="AI405" s="410"/>
      <c r="AJ405" s="410"/>
      <c r="AK405" s="410"/>
    </row>
    <row r="406" spans="1:37" x14ac:dyDescent="0.2">
      <c r="A406" s="410"/>
      <c r="B406" s="410"/>
      <c r="C406" s="410"/>
      <c r="D406" s="410"/>
      <c r="E406" s="410"/>
      <c r="F406" s="410"/>
      <c r="G406" s="410"/>
      <c r="H406" s="410"/>
      <c r="I406" s="410"/>
      <c r="J406" s="410"/>
      <c r="K406" s="410"/>
      <c r="L406" s="410"/>
      <c r="M406" s="410"/>
      <c r="N406" s="410"/>
      <c r="R406" s="410"/>
      <c r="S406" s="410"/>
      <c r="T406" s="410"/>
      <c r="U406" s="410"/>
      <c r="V406" s="410"/>
      <c r="W406" s="410"/>
      <c r="X406" s="410"/>
      <c r="Y406" s="410"/>
      <c r="Z406" s="410"/>
      <c r="AA406" s="410"/>
      <c r="AB406" s="410"/>
      <c r="AC406" s="410"/>
      <c r="AD406" s="410"/>
      <c r="AE406" s="410"/>
      <c r="AF406" s="410"/>
      <c r="AG406" s="410"/>
      <c r="AH406" s="410"/>
      <c r="AI406" s="410"/>
      <c r="AJ406" s="410"/>
      <c r="AK406" s="410"/>
    </row>
    <row r="407" spans="1:37" x14ac:dyDescent="0.2">
      <c r="A407" s="410"/>
      <c r="B407" s="410"/>
      <c r="C407" s="410"/>
      <c r="D407" s="410"/>
      <c r="E407" s="410"/>
      <c r="F407" s="410"/>
      <c r="G407" s="410"/>
      <c r="H407" s="410"/>
      <c r="I407" s="410"/>
      <c r="J407" s="410"/>
      <c r="K407" s="410"/>
      <c r="L407" s="410"/>
      <c r="M407" s="410"/>
      <c r="N407" s="410"/>
      <c r="R407" s="410"/>
      <c r="S407" s="410"/>
      <c r="T407" s="410"/>
      <c r="U407" s="410"/>
      <c r="V407" s="410"/>
      <c r="W407" s="410"/>
      <c r="X407" s="410"/>
      <c r="Y407" s="410"/>
      <c r="Z407" s="410"/>
      <c r="AA407" s="410"/>
      <c r="AB407" s="410"/>
      <c r="AC407" s="410"/>
      <c r="AD407" s="410"/>
      <c r="AE407" s="410"/>
      <c r="AF407" s="410"/>
      <c r="AG407" s="410"/>
      <c r="AH407" s="410"/>
      <c r="AI407" s="410"/>
      <c r="AJ407" s="410"/>
      <c r="AK407" s="410"/>
    </row>
    <row r="408" spans="1:37" x14ac:dyDescent="0.2">
      <c r="A408" s="410"/>
      <c r="B408" s="410"/>
      <c r="C408" s="410"/>
      <c r="D408" s="410"/>
      <c r="E408" s="410"/>
      <c r="F408" s="410"/>
      <c r="G408" s="410"/>
      <c r="H408" s="410"/>
      <c r="I408" s="410"/>
      <c r="J408" s="410"/>
      <c r="K408" s="410"/>
      <c r="L408" s="410"/>
      <c r="M408" s="410"/>
      <c r="N408" s="410"/>
      <c r="R408" s="410"/>
      <c r="S408" s="410"/>
      <c r="T408" s="410"/>
      <c r="U408" s="410"/>
      <c r="V408" s="410"/>
      <c r="W408" s="410"/>
      <c r="X408" s="410"/>
      <c r="Y408" s="410"/>
      <c r="Z408" s="410"/>
      <c r="AA408" s="410"/>
      <c r="AB408" s="410"/>
      <c r="AC408" s="410"/>
      <c r="AD408" s="410"/>
      <c r="AE408" s="410"/>
      <c r="AF408" s="410"/>
      <c r="AG408" s="410"/>
      <c r="AH408" s="410"/>
      <c r="AI408" s="410"/>
      <c r="AJ408" s="410"/>
      <c r="AK408" s="410"/>
    </row>
    <row r="409" spans="1:37" x14ac:dyDescent="0.2">
      <c r="A409" s="410"/>
      <c r="B409" s="410"/>
      <c r="C409" s="410"/>
      <c r="D409" s="410"/>
      <c r="E409" s="410"/>
      <c r="F409" s="410"/>
      <c r="G409" s="410"/>
      <c r="H409" s="410"/>
      <c r="I409" s="410"/>
      <c r="J409" s="410"/>
      <c r="K409" s="410"/>
      <c r="L409" s="410"/>
      <c r="M409" s="410"/>
      <c r="N409" s="410"/>
      <c r="R409" s="410"/>
      <c r="S409" s="410"/>
      <c r="T409" s="410"/>
      <c r="U409" s="410"/>
      <c r="V409" s="410"/>
      <c r="W409" s="410"/>
      <c r="X409" s="410"/>
      <c r="Y409" s="410"/>
      <c r="Z409" s="410"/>
      <c r="AA409" s="410"/>
      <c r="AB409" s="410"/>
      <c r="AC409" s="410"/>
      <c r="AD409" s="410"/>
      <c r="AE409" s="410"/>
      <c r="AF409" s="410"/>
      <c r="AG409" s="410"/>
      <c r="AH409" s="410"/>
      <c r="AI409" s="410"/>
      <c r="AJ409" s="410"/>
      <c r="AK409" s="410"/>
    </row>
    <row r="410" spans="1:37" x14ac:dyDescent="0.2">
      <c r="A410" s="410"/>
      <c r="B410" s="410"/>
      <c r="C410" s="410"/>
      <c r="D410" s="410"/>
      <c r="E410" s="410"/>
      <c r="F410" s="410"/>
      <c r="G410" s="410"/>
      <c r="H410" s="410"/>
      <c r="I410" s="410"/>
      <c r="J410" s="410"/>
      <c r="K410" s="410"/>
      <c r="L410" s="410"/>
      <c r="M410" s="410"/>
      <c r="N410" s="410"/>
      <c r="R410" s="410"/>
      <c r="S410" s="410"/>
      <c r="T410" s="410"/>
      <c r="U410" s="410"/>
      <c r="V410" s="410"/>
      <c r="W410" s="410"/>
      <c r="X410" s="410"/>
      <c r="Y410" s="410"/>
      <c r="Z410" s="410"/>
      <c r="AA410" s="410"/>
      <c r="AB410" s="410"/>
      <c r="AC410" s="410"/>
      <c r="AD410" s="410"/>
      <c r="AE410" s="410"/>
      <c r="AF410" s="410"/>
      <c r="AG410" s="410"/>
      <c r="AH410" s="410"/>
      <c r="AI410" s="410"/>
      <c r="AJ410" s="410"/>
      <c r="AK410" s="410"/>
    </row>
    <row r="411" spans="1:37" x14ac:dyDescent="0.2">
      <c r="A411" s="410"/>
      <c r="B411" s="410"/>
      <c r="C411" s="410"/>
      <c r="D411" s="410"/>
      <c r="E411" s="410"/>
      <c r="F411" s="410"/>
      <c r="G411" s="410"/>
      <c r="H411" s="410"/>
      <c r="I411" s="410"/>
      <c r="J411" s="410"/>
      <c r="K411" s="410"/>
      <c r="L411" s="410"/>
      <c r="M411" s="410"/>
      <c r="N411" s="410"/>
      <c r="R411" s="410"/>
      <c r="S411" s="410"/>
      <c r="T411" s="410"/>
      <c r="U411" s="410"/>
      <c r="V411" s="410"/>
      <c r="W411" s="410"/>
      <c r="X411" s="410"/>
      <c r="Y411" s="410"/>
      <c r="Z411" s="410"/>
      <c r="AA411" s="410"/>
      <c r="AB411" s="410"/>
      <c r="AC411" s="410"/>
      <c r="AD411" s="410"/>
      <c r="AE411" s="410"/>
      <c r="AF411" s="410"/>
      <c r="AG411" s="410"/>
      <c r="AH411" s="410"/>
      <c r="AI411" s="410"/>
      <c r="AJ411" s="410"/>
      <c r="AK411" s="410"/>
    </row>
    <row r="412" spans="1:37" x14ac:dyDescent="0.2">
      <c r="A412" s="410"/>
      <c r="B412" s="410"/>
      <c r="C412" s="410"/>
      <c r="D412" s="410"/>
      <c r="E412" s="410"/>
      <c r="F412" s="410"/>
      <c r="G412" s="410"/>
      <c r="H412" s="410"/>
      <c r="I412" s="410"/>
      <c r="J412" s="410"/>
      <c r="K412" s="410"/>
      <c r="L412" s="410"/>
      <c r="M412" s="410"/>
      <c r="N412" s="410"/>
      <c r="R412" s="410"/>
      <c r="S412" s="410"/>
      <c r="T412" s="410"/>
      <c r="U412" s="410"/>
      <c r="V412" s="410"/>
      <c r="W412" s="410"/>
      <c r="X412" s="410"/>
      <c r="Y412" s="410"/>
      <c r="Z412" s="410"/>
      <c r="AA412" s="410"/>
      <c r="AB412" s="410"/>
      <c r="AC412" s="410"/>
      <c r="AD412" s="410"/>
      <c r="AE412" s="410"/>
      <c r="AF412" s="410"/>
      <c r="AG412" s="410"/>
      <c r="AH412" s="410"/>
      <c r="AI412" s="410"/>
      <c r="AJ412" s="410"/>
      <c r="AK412" s="410"/>
    </row>
    <row r="413" spans="1:37" x14ac:dyDescent="0.2">
      <c r="A413" s="410"/>
      <c r="B413" s="410"/>
      <c r="C413" s="410"/>
      <c r="D413" s="410"/>
      <c r="E413" s="410"/>
      <c r="F413" s="410"/>
      <c r="G413" s="410"/>
      <c r="H413" s="410"/>
      <c r="I413" s="410"/>
      <c r="J413" s="410"/>
      <c r="K413" s="410"/>
      <c r="L413" s="410"/>
      <c r="M413" s="410"/>
      <c r="N413" s="410"/>
      <c r="R413" s="410"/>
      <c r="S413" s="410"/>
      <c r="T413" s="410"/>
      <c r="U413" s="410"/>
      <c r="V413" s="410"/>
      <c r="W413" s="410"/>
      <c r="X413" s="410"/>
      <c r="Y413" s="410"/>
      <c r="Z413" s="410"/>
      <c r="AA413" s="410"/>
      <c r="AB413" s="410"/>
      <c r="AC413" s="410"/>
      <c r="AD413" s="410"/>
      <c r="AE413" s="410"/>
      <c r="AF413" s="410"/>
      <c r="AG413" s="410"/>
      <c r="AH413" s="410"/>
      <c r="AI413" s="410"/>
      <c r="AJ413" s="410"/>
      <c r="AK413" s="410"/>
    </row>
    <row r="414" spans="1:37" x14ac:dyDescent="0.2">
      <c r="A414" s="410"/>
      <c r="B414" s="410"/>
      <c r="C414" s="410"/>
      <c r="D414" s="410"/>
      <c r="E414" s="410"/>
      <c r="F414" s="410"/>
      <c r="G414" s="410"/>
      <c r="H414" s="410"/>
      <c r="I414" s="410"/>
      <c r="J414" s="410"/>
      <c r="K414" s="410"/>
      <c r="L414" s="410"/>
      <c r="M414" s="410"/>
      <c r="N414" s="410"/>
      <c r="R414" s="410"/>
      <c r="S414" s="410"/>
      <c r="T414" s="410"/>
      <c r="U414" s="410"/>
      <c r="V414" s="410"/>
      <c r="W414" s="410"/>
      <c r="X414" s="410"/>
      <c r="Y414" s="410"/>
      <c r="Z414" s="410"/>
      <c r="AA414" s="410"/>
      <c r="AB414" s="410"/>
      <c r="AC414" s="410"/>
      <c r="AD414" s="410"/>
      <c r="AE414" s="410"/>
      <c r="AF414" s="410"/>
      <c r="AG414" s="410"/>
      <c r="AH414" s="410"/>
      <c r="AI414" s="410"/>
      <c r="AJ414" s="410"/>
      <c r="AK414" s="410"/>
    </row>
    <row r="415" spans="1:37" x14ac:dyDescent="0.2">
      <c r="A415" s="410"/>
      <c r="B415" s="410"/>
      <c r="C415" s="410"/>
      <c r="D415" s="410"/>
      <c r="E415" s="410"/>
      <c r="F415" s="410"/>
      <c r="G415" s="410"/>
      <c r="H415" s="410"/>
      <c r="I415" s="410"/>
      <c r="J415" s="410"/>
      <c r="K415" s="410"/>
      <c r="L415" s="410"/>
      <c r="M415" s="410"/>
      <c r="N415" s="410"/>
      <c r="R415" s="410"/>
      <c r="S415" s="410"/>
      <c r="T415" s="410"/>
      <c r="U415" s="410"/>
      <c r="V415" s="410"/>
      <c r="W415" s="410"/>
      <c r="X415" s="410"/>
      <c r="Y415" s="410"/>
      <c r="Z415" s="410"/>
      <c r="AA415" s="410"/>
      <c r="AB415" s="410"/>
      <c r="AC415" s="410"/>
      <c r="AD415" s="410"/>
      <c r="AE415" s="410"/>
      <c r="AF415" s="410"/>
      <c r="AG415" s="410"/>
      <c r="AH415" s="410"/>
      <c r="AI415" s="410"/>
      <c r="AJ415" s="410"/>
      <c r="AK415" s="410"/>
    </row>
    <row r="416" spans="1:37" x14ac:dyDescent="0.2">
      <c r="A416" s="410"/>
      <c r="B416" s="410"/>
      <c r="C416" s="410"/>
      <c r="D416" s="410"/>
      <c r="E416" s="410"/>
      <c r="F416" s="410"/>
      <c r="G416" s="410"/>
      <c r="H416" s="410"/>
      <c r="I416" s="410"/>
      <c r="J416" s="410"/>
      <c r="K416" s="410"/>
      <c r="L416" s="410"/>
      <c r="M416" s="410"/>
      <c r="N416" s="410"/>
      <c r="R416" s="410"/>
      <c r="S416" s="410"/>
      <c r="T416" s="410"/>
      <c r="U416" s="410"/>
      <c r="V416" s="410"/>
      <c r="W416" s="410"/>
      <c r="X416" s="410"/>
      <c r="Y416" s="410"/>
      <c r="Z416" s="410"/>
      <c r="AA416" s="410"/>
      <c r="AB416" s="410"/>
      <c r="AC416" s="410"/>
      <c r="AD416" s="410"/>
      <c r="AE416" s="410"/>
      <c r="AF416" s="410"/>
      <c r="AG416" s="410"/>
      <c r="AH416" s="410"/>
      <c r="AI416" s="410"/>
      <c r="AJ416" s="410"/>
      <c r="AK416" s="410"/>
    </row>
    <row r="417" spans="1:37" x14ac:dyDescent="0.2">
      <c r="A417" s="410"/>
      <c r="B417" s="410"/>
      <c r="C417" s="410"/>
      <c r="D417" s="410"/>
      <c r="E417" s="410"/>
      <c r="F417" s="410"/>
      <c r="G417" s="410"/>
      <c r="H417" s="410"/>
      <c r="I417" s="410"/>
      <c r="J417" s="410"/>
      <c r="K417" s="410"/>
      <c r="L417" s="410"/>
      <c r="M417" s="410"/>
      <c r="N417" s="410"/>
      <c r="R417" s="410"/>
      <c r="S417" s="410"/>
      <c r="T417" s="410"/>
      <c r="U417" s="410"/>
      <c r="V417" s="410"/>
      <c r="W417" s="410"/>
      <c r="X417" s="410"/>
      <c r="Y417" s="410"/>
      <c r="Z417" s="410"/>
      <c r="AA417" s="410"/>
      <c r="AB417" s="410"/>
      <c r="AC417" s="410"/>
      <c r="AD417" s="410"/>
      <c r="AE417" s="410"/>
      <c r="AF417" s="410"/>
      <c r="AG417" s="410"/>
      <c r="AH417" s="410"/>
      <c r="AI417" s="410"/>
      <c r="AJ417" s="410"/>
      <c r="AK417" s="410"/>
    </row>
    <row r="418" spans="1:37" x14ac:dyDescent="0.2">
      <c r="A418" s="410"/>
      <c r="B418" s="410"/>
      <c r="C418" s="410"/>
      <c r="D418" s="410"/>
      <c r="E418" s="410"/>
      <c r="F418" s="410"/>
      <c r="G418" s="410"/>
      <c r="H418" s="410"/>
      <c r="I418" s="410"/>
      <c r="J418" s="410"/>
      <c r="K418" s="410"/>
      <c r="L418" s="410"/>
      <c r="M418" s="410"/>
      <c r="N418" s="410"/>
      <c r="R418" s="410"/>
      <c r="S418" s="410"/>
      <c r="T418" s="410"/>
      <c r="U418" s="410"/>
      <c r="V418" s="410"/>
      <c r="W418" s="410"/>
      <c r="X418" s="410"/>
      <c r="Y418" s="410"/>
      <c r="Z418" s="410"/>
      <c r="AA418" s="410"/>
      <c r="AB418" s="410"/>
      <c r="AC418" s="410"/>
      <c r="AD418" s="410"/>
      <c r="AE418" s="410"/>
      <c r="AF418" s="410"/>
      <c r="AG418" s="410"/>
      <c r="AH418" s="410"/>
      <c r="AI418" s="410"/>
      <c r="AJ418" s="410"/>
      <c r="AK418" s="410"/>
    </row>
    <row r="419" spans="1:37" x14ac:dyDescent="0.2">
      <c r="A419" s="410"/>
      <c r="B419" s="410"/>
      <c r="C419" s="410"/>
      <c r="D419" s="410"/>
      <c r="E419" s="410"/>
      <c r="F419" s="410"/>
      <c r="G419" s="410"/>
      <c r="H419" s="410"/>
      <c r="I419" s="410"/>
      <c r="J419" s="410"/>
      <c r="K419" s="410"/>
      <c r="L419" s="410"/>
      <c r="M419" s="410"/>
      <c r="N419" s="410"/>
      <c r="R419" s="410"/>
      <c r="S419" s="410"/>
      <c r="T419" s="410"/>
      <c r="U419" s="410"/>
      <c r="V419" s="410"/>
      <c r="W419" s="410"/>
      <c r="X419" s="410"/>
      <c r="Y419" s="410"/>
      <c r="Z419" s="410"/>
      <c r="AA419" s="410"/>
      <c r="AB419" s="410"/>
      <c r="AC419" s="410"/>
      <c r="AD419" s="410"/>
      <c r="AE419" s="410"/>
      <c r="AF419" s="410"/>
      <c r="AG419" s="410"/>
      <c r="AH419" s="410"/>
      <c r="AI419" s="410"/>
      <c r="AJ419" s="410"/>
      <c r="AK419" s="410"/>
    </row>
    <row r="420" spans="1:37" x14ac:dyDescent="0.2">
      <c r="A420" s="410"/>
      <c r="B420" s="410"/>
      <c r="C420" s="410"/>
      <c r="D420" s="410"/>
      <c r="E420" s="410"/>
      <c r="F420" s="410"/>
      <c r="G420" s="410"/>
      <c r="H420" s="410"/>
      <c r="I420" s="410"/>
      <c r="J420" s="410"/>
      <c r="K420" s="410"/>
      <c r="L420" s="410"/>
      <c r="M420" s="410"/>
      <c r="N420" s="410"/>
      <c r="R420" s="410"/>
      <c r="S420" s="410"/>
      <c r="T420" s="410"/>
      <c r="U420" s="410"/>
      <c r="V420" s="410"/>
      <c r="W420" s="410"/>
      <c r="X420" s="410"/>
      <c r="Y420" s="410"/>
      <c r="Z420" s="410"/>
      <c r="AA420" s="410"/>
      <c r="AB420" s="410"/>
      <c r="AC420" s="410"/>
      <c r="AD420" s="410"/>
      <c r="AE420" s="410"/>
      <c r="AF420" s="410"/>
      <c r="AG420" s="410"/>
      <c r="AH420" s="410"/>
      <c r="AI420" s="410"/>
      <c r="AJ420" s="410"/>
      <c r="AK420" s="410"/>
    </row>
    <row r="421" spans="1:37" x14ac:dyDescent="0.2">
      <c r="A421" s="410"/>
      <c r="B421" s="410"/>
      <c r="C421" s="410"/>
      <c r="D421" s="410"/>
      <c r="E421" s="410"/>
      <c r="F421" s="410"/>
      <c r="G421" s="410"/>
      <c r="H421" s="410"/>
      <c r="I421" s="410"/>
      <c r="J421" s="410"/>
      <c r="K421" s="410"/>
      <c r="L421" s="410"/>
      <c r="M421" s="410"/>
      <c r="N421" s="410"/>
      <c r="R421" s="410"/>
      <c r="S421" s="410"/>
      <c r="T421" s="410"/>
      <c r="U421" s="410"/>
      <c r="V421" s="410"/>
      <c r="W421" s="410"/>
      <c r="X421" s="410"/>
      <c r="Y421" s="410"/>
      <c r="Z421" s="410"/>
      <c r="AA421" s="410"/>
      <c r="AB421" s="410"/>
      <c r="AC421" s="410"/>
      <c r="AD421" s="410"/>
      <c r="AE421" s="410"/>
      <c r="AF421" s="410"/>
      <c r="AG421" s="410"/>
      <c r="AH421" s="410"/>
      <c r="AI421" s="410"/>
      <c r="AJ421" s="410"/>
      <c r="AK421" s="410"/>
    </row>
    <row r="422" spans="1:37" x14ac:dyDescent="0.2">
      <c r="A422" s="410"/>
      <c r="B422" s="410"/>
      <c r="C422" s="410"/>
      <c r="D422" s="410"/>
      <c r="E422" s="410"/>
      <c r="F422" s="410"/>
      <c r="G422" s="410"/>
      <c r="H422" s="410"/>
      <c r="I422" s="410"/>
      <c r="J422" s="410"/>
      <c r="K422" s="410"/>
      <c r="L422" s="410"/>
      <c r="M422" s="410"/>
      <c r="N422" s="410"/>
      <c r="R422" s="410"/>
      <c r="S422" s="410"/>
      <c r="T422" s="410"/>
      <c r="U422" s="410"/>
      <c r="V422" s="410"/>
      <c r="W422" s="410"/>
      <c r="X422" s="410"/>
      <c r="Y422" s="410"/>
      <c r="Z422" s="410"/>
      <c r="AA422" s="410"/>
      <c r="AB422" s="410"/>
      <c r="AC422" s="410"/>
      <c r="AD422" s="410"/>
      <c r="AE422" s="410"/>
      <c r="AF422" s="410"/>
      <c r="AG422" s="410"/>
      <c r="AH422" s="410"/>
      <c r="AI422" s="410"/>
      <c r="AJ422" s="410"/>
      <c r="AK422" s="410"/>
    </row>
    <row r="423" spans="1:37" x14ac:dyDescent="0.2">
      <c r="A423" s="410"/>
      <c r="B423" s="410"/>
      <c r="C423" s="410"/>
      <c r="D423" s="410"/>
      <c r="E423" s="410"/>
      <c r="F423" s="410"/>
      <c r="G423" s="410"/>
      <c r="H423" s="410"/>
      <c r="I423" s="410"/>
      <c r="J423" s="410"/>
      <c r="K423" s="410"/>
      <c r="L423" s="410"/>
      <c r="M423" s="410"/>
      <c r="N423" s="410"/>
      <c r="R423" s="410"/>
      <c r="S423" s="410"/>
      <c r="T423" s="410"/>
      <c r="U423" s="410"/>
      <c r="V423" s="410"/>
      <c r="W423" s="410"/>
      <c r="X423" s="410"/>
      <c r="Y423" s="410"/>
      <c r="Z423" s="410"/>
      <c r="AA423" s="410"/>
      <c r="AB423" s="410"/>
      <c r="AC423" s="410"/>
      <c r="AD423" s="410"/>
      <c r="AE423" s="410"/>
      <c r="AF423" s="410"/>
      <c r="AG423" s="410"/>
      <c r="AH423" s="410"/>
      <c r="AI423" s="410"/>
      <c r="AJ423" s="410"/>
      <c r="AK423" s="410"/>
    </row>
    <row r="424" spans="1:37" x14ac:dyDescent="0.2">
      <c r="A424" s="410"/>
      <c r="B424" s="410"/>
      <c r="C424" s="410"/>
      <c r="D424" s="410"/>
      <c r="E424" s="410"/>
      <c r="F424" s="410"/>
      <c r="G424" s="410"/>
      <c r="H424" s="410"/>
      <c r="I424" s="410"/>
      <c r="J424" s="410"/>
      <c r="K424" s="410"/>
      <c r="L424" s="410"/>
      <c r="M424" s="410"/>
      <c r="N424" s="410"/>
      <c r="R424" s="410"/>
      <c r="S424" s="410"/>
      <c r="T424" s="410"/>
      <c r="U424" s="410"/>
      <c r="V424" s="410"/>
      <c r="W424" s="410"/>
      <c r="X424" s="410"/>
      <c r="Y424" s="410"/>
      <c r="Z424" s="410"/>
      <c r="AA424" s="410"/>
      <c r="AB424" s="410"/>
      <c r="AC424" s="410"/>
      <c r="AD424" s="410"/>
      <c r="AE424" s="410"/>
      <c r="AF424" s="410"/>
      <c r="AG424" s="410"/>
      <c r="AH424" s="410"/>
      <c r="AI424" s="410"/>
      <c r="AJ424" s="410"/>
      <c r="AK424" s="410"/>
    </row>
    <row r="425" spans="1:37" x14ac:dyDescent="0.2">
      <c r="A425" s="410"/>
      <c r="B425" s="410"/>
      <c r="C425" s="410"/>
      <c r="D425" s="410"/>
      <c r="E425" s="410"/>
      <c r="F425" s="410"/>
      <c r="G425" s="410"/>
      <c r="H425" s="410"/>
      <c r="I425" s="410"/>
      <c r="J425" s="410"/>
      <c r="K425" s="410"/>
      <c r="L425" s="410"/>
      <c r="M425" s="410"/>
      <c r="N425" s="410"/>
      <c r="R425" s="410"/>
      <c r="S425" s="410"/>
      <c r="T425" s="410"/>
      <c r="U425" s="410"/>
      <c r="V425" s="410"/>
      <c r="W425" s="410"/>
      <c r="X425" s="410"/>
      <c r="Y425" s="410"/>
      <c r="Z425" s="410"/>
      <c r="AA425" s="410"/>
      <c r="AB425" s="410"/>
      <c r="AC425" s="410"/>
      <c r="AD425" s="410"/>
      <c r="AE425" s="410"/>
      <c r="AF425" s="410"/>
      <c r="AG425" s="410"/>
      <c r="AH425" s="410"/>
      <c r="AI425" s="410"/>
      <c r="AJ425" s="410"/>
      <c r="AK425" s="410"/>
    </row>
    <row r="426" spans="1:37" x14ac:dyDescent="0.2">
      <c r="A426" s="410"/>
      <c r="B426" s="410"/>
      <c r="C426" s="410"/>
      <c r="D426" s="410"/>
      <c r="E426" s="410"/>
      <c r="F426" s="410"/>
      <c r="G426" s="410"/>
      <c r="H426" s="410"/>
      <c r="I426" s="410"/>
      <c r="J426" s="410"/>
      <c r="K426" s="410"/>
      <c r="L426" s="410"/>
      <c r="M426" s="410"/>
      <c r="N426" s="410"/>
      <c r="R426" s="410"/>
      <c r="S426" s="410"/>
      <c r="T426" s="410"/>
      <c r="U426" s="410"/>
      <c r="V426" s="410"/>
      <c r="W426" s="410"/>
      <c r="X426" s="410"/>
      <c r="Y426" s="410"/>
      <c r="Z426" s="410"/>
      <c r="AA426" s="410"/>
      <c r="AB426" s="410"/>
      <c r="AC426" s="410"/>
      <c r="AD426" s="410"/>
      <c r="AE426" s="410"/>
      <c r="AF426" s="410"/>
      <c r="AG426" s="410"/>
      <c r="AH426" s="410"/>
      <c r="AI426" s="410"/>
      <c r="AJ426" s="410"/>
      <c r="AK426" s="410"/>
    </row>
    <row r="427" spans="1:37" x14ac:dyDescent="0.2">
      <c r="A427" s="410"/>
      <c r="B427" s="410"/>
      <c r="C427" s="410"/>
      <c r="D427" s="410"/>
      <c r="E427" s="410"/>
      <c r="F427" s="410"/>
      <c r="G427" s="410"/>
      <c r="H427" s="410"/>
      <c r="I427" s="410"/>
      <c r="J427" s="410"/>
      <c r="K427" s="410"/>
      <c r="L427" s="410"/>
      <c r="M427" s="410"/>
      <c r="N427" s="410"/>
      <c r="R427" s="410"/>
      <c r="S427" s="410"/>
      <c r="T427" s="410"/>
      <c r="U427" s="410"/>
      <c r="V427" s="410"/>
      <c r="W427" s="410"/>
      <c r="X427" s="410"/>
      <c r="Y427" s="410"/>
      <c r="Z427" s="410"/>
      <c r="AA427" s="410"/>
      <c r="AB427" s="410"/>
      <c r="AC427" s="410"/>
      <c r="AD427" s="410"/>
      <c r="AE427" s="410"/>
      <c r="AF427" s="410"/>
      <c r="AG427" s="410"/>
      <c r="AH427" s="410"/>
      <c r="AI427" s="410"/>
      <c r="AJ427" s="410"/>
      <c r="AK427" s="410"/>
    </row>
    <row r="428" spans="1:37" x14ac:dyDescent="0.2">
      <c r="A428" s="410"/>
      <c r="B428" s="410"/>
      <c r="C428" s="410"/>
      <c r="D428" s="410"/>
      <c r="E428" s="410"/>
      <c r="F428" s="410"/>
      <c r="G428" s="410"/>
      <c r="H428" s="410"/>
      <c r="I428" s="410"/>
      <c r="J428" s="410"/>
      <c r="K428" s="410"/>
      <c r="L428" s="410"/>
      <c r="M428" s="410"/>
      <c r="N428" s="410"/>
      <c r="R428" s="410"/>
      <c r="S428" s="410"/>
      <c r="T428" s="410"/>
      <c r="U428" s="410"/>
      <c r="V428" s="410"/>
      <c r="W428" s="410"/>
      <c r="X428" s="410"/>
      <c r="Y428" s="410"/>
      <c r="Z428" s="410"/>
      <c r="AA428" s="410"/>
      <c r="AB428" s="410"/>
      <c r="AC428" s="410"/>
      <c r="AD428" s="410"/>
      <c r="AE428" s="410"/>
      <c r="AF428" s="410"/>
      <c r="AG428" s="410"/>
      <c r="AH428" s="410"/>
      <c r="AI428" s="410"/>
      <c r="AJ428" s="410"/>
      <c r="AK428" s="410"/>
    </row>
    <row r="429" spans="1:37" x14ac:dyDescent="0.2">
      <c r="A429" s="410"/>
      <c r="B429" s="410"/>
      <c r="C429" s="410"/>
      <c r="D429" s="410"/>
      <c r="E429" s="410"/>
      <c r="F429" s="410"/>
      <c r="G429" s="410"/>
      <c r="H429" s="410"/>
      <c r="I429" s="410"/>
      <c r="J429" s="410"/>
      <c r="K429" s="410"/>
      <c r="L429" s="410"/>
      <c r="M429" s="410"/>
      <c r="N429" s="410"/>
      <c r="R429" s="410"/>
      <c r="S429" s="410"/>
      <c r="T429" s="410"/>
      <c r="U429" s="410"/>
      <c r="V429" s="410"/>
      <c r="W429" s="410"/>
      <c r="X429" s="410"/>
      <c r="Y429" s="410"/>
      <c r="Z429" s="410"/>
      <c r="AA429" s="410"/>
      <c r="AB429" s="410"/>
      <c r="AC429" s="410"/>
      <c r="AD429" s="410"/>
      <c r="AE429" s="410"/>
      <c r="AF429" s="410"/>
      <c r="AG429" s="410"/>
      <c r="AH429" s="410"/>
      <c r="AI429" s="410"/>
      <c r="AJ429" s="410"/>
      <c r="AK429" s="410"/>
    </row>
    <row r="430" spans="1:37" x14ac:dyDescent="0.2">
      <c r="A430" s="410"/>
      <c r="B430" s="410"/>
      <c r="C430" s="410"/>
      <c r="D430" s="410"/>
      <c r="E430" s="410"/>
      <c r="F430" s="410"/>
      <c r="G430" s="410"/>
      <c r="H430" s="410"/>
      <c r="I430" s="410"/>
      <c r="J430" s="410"/>
      <c r="K430" s="410"/>
      <c r="L430" s="410"/>
      <c r="M430" s="410"/>
      <c r="N430" s="410"/>
      <c r="R430" s="410"/>
      <c r="S430" s="410"/>
      <c r="T430" s="410"/>
      <c r="U430" s="410"/>
      <c r="V430" s="410"/>
      <c r="W430" s="410"/>
      <c r="X430" s="410"/>
      <c r="Y430" s="410"/>
      <c r="Z430" s="410"/>
      <c r="AA430" s="410"/>
      <c r="AB430" s="410"/>
      <c r="AC430" s="410"/>
      <c r="AD430" s="410"/>
      <c r="AE430" s="410"/>
      <c r="AF430" s="410"/>
      <c r="AG430" s="410"/>
      <c r="AH430" s="410"/>
      <c r="AI430" s="410"/>
      <c r="AJ430" s="410"/>
      <c r="AK430" s="410"/>
    </row>
    <row r="431" spans="1:37" x14ac:dyDescent="0.2">
      <c r="A431" s="410"/>
      <c r="B431" s="410"/>
      <c r="C431" s="410"/>
      <c r="D431" s="410"/>
      <c r="E431" s="410"/>
      <c r="F431" s="410"/>
      <c r="G431" s="410"/>
      <c r="H431" s="410"/>
      <c r="I431" s="410"/>
      <c r="J431" s="410"/>
      <c r="K431" s="410"/>
      <c r="L431" s="410"/>
      <c r="M431" s="410"/>
      <c r="N431" s="410"/>
      <c r="R431" s="410"/>
      <c r="S431" s="410"/>
      <c r="T431" s="410"/>
      <c r="U431" s="410"/>
      <c r="V431" s="410"/>
      <c r="W431" s="410"/>
      <c r="X431" s="410"/>
      <c r="Y431" s="410"/>
      <c r="Z431" s="410"/>
      <c r="AA431" s="410"/>
      <c r="AB431" s="410"/>
      <c r="AC431" s="410"/>
      <c r="AD431" s="410"/>
      <c r="AE431" s="410"/>
      <c r="AF431" s="410"/>
      <c r="AG431" s="410"/>
      <c r="AH431" s="410"/>
      <c r="AI431" s="410"/>
      <c r="AJ431" s="410"/>
      <c r="AK431" s="410"/>
    </row>
    <row r="432" spans="1:37" x14ac:dyDescent="0.2">
      <c r="A432" s="410"/>
      <c r="B432" s="410"/>
      <c r="C432" s="410"/>
      <c r="D432" s="410"/>
      <c r="E432" s="410"/>
      <c r="F432" s="410"/>
      <c r="G432" s="410"/>
      <c r="H432" s="410"/>
      <c r="I432" s="410"/>
      <c r="J432" s="410"/>
      <c r="K432" s="410"/>
      <c r="L432" s="410"/>
      <c r="M432" s="410"/>
      <c r="N432" s="410"/>
      <c r="R432" s="410"/>
      <c r="S432" s="410"/>
      <c r="T432" s="410"/>
      <c r="U432" s="410"/>
      <c r="V432" s="410"/>
      <c r="W432" s="410"/>
      <c r="X432" s="410"/>
      <c r="Y432" s="410"/>
      <c r="Z432" s="410"/>
      <c r="AA432" s="410"/>
      <c r="AB432" s="410"/>
      <c r="AC432" s="410"/>
      <c r="AD432" s="410"/>
      <c r="AE432" s="410"/>
      <c r="AF432" s="410"/>
      <c r="AG432" s="410"/>
      <c r="AH432" s="410"/>
      <c r="AI432" s="410"/>
      <c r="AJ432" s="410"/>
      <c r="AK432" s="410"/>
    </row>
    <row r="433" spans="1:37" x14ac:dyDescent="0.2">
      <c r="A433" s="410"/>
      <c r="B433" s="410"/>
      <c r="C433" s="410"/>
      <c r="D433" s="410"/>
      <c r="E433" s="410"/>
      <c r="F433" s="410"/>
      <c r="G433" s="410"/>
      <c r="H433" s="410"/>
      <c r="I433" s="410"/>
      <c r="J433" s="410"/>
      <c r="K433" s="410"/>
      <c r="L433" s="410"/>
      <c r="M433" s="410"/>
      <c r="N433" s="410"/>
      <c r="R433" s="410"/>
      <c r="S433" s="410"/>
      <c r="T433" s="410"/>
      <c r="U433" s="410"/>
      <c r="V433" s="410"/>
      <c r="W433" s="410"/>
      <c r="X433" s="410"/>
      <c r="Y433" s="410"/>
      <c r="Z433" s="410"/>
      <c r="AA433" s="410"/>
      <c r="AB433" s="410"/>
      <c r="AC433" s="410"/>
      <c r="AD433" s="410"/>
      <c r="AE433" s="410"/>
      <c r="AF433" s="410"/>
      <c r="AG433" s="410"/>
      <c r="AH433" s="410"/>
      <c r="AI433" s="410"/>
      <c r="AJ433" s="410"/>
      <c r="AK433" s="410"/>
    </row>
    <row r="434" spans="1:37" x14ac:dyDescent="0.2">
      <c r="A434" s="410"/>
      <c r="B434" s="410"/>
      <c r="C434" s="410"/>
      <c r="D434" s="410"/>
      <c r="E434" s="410"/>
      <c r="F434" s="410"/>
      <c r="G434" s="410"/>
      <c r="H434" s="410"/>
      <c r="I434" s="410"/>
      <c r="J434" s="410"/>
      <c r="K434" s="410"/>
      <c r="L434" s="410"/>
      <c r="M434" s="410"/>
      <c r="N434" s="410"/>
      <c r="R434" s="410"/>
      <c r="S434" s="410"/>
      <c r="T434" s="410"/>
      <c r="U434" s="410"/>
      <c r="V434" s="410"/>
      <c r="W434" s="410"/>
      <c r="X434" s="410"/>
      <c r="Y434" s="410"/>
      <c r="Z434" s="410"/>
      <c r="AA434" s="410"/>
      <c r="AB434" s="410"/>
      <c r="AC434" s="410"/>
      <c r="AD434" s="410"/>
      <c r="AE434" s="410"/>
      <c r="AF434" s="410"/>
      <c r="AG434" s="410"/>
      <c r="AH434" s="410"/>
      <c r="AI434" s="410"/>
      <c r="AJ434" s="410"/>
      <c r="AK434" s="410"/>
    </row>
    <row r="435" spans="1:37" x14ac:dyDescent="0.2">
      <c r="A435" s="410"/>
      <c r="B435" s="410"/>
      <c r="C435" s="410"/>
      <c r="D435" s="410"/>
      <c r="E435" s="410"/>
      <c r="F435" s="410"/>
      <c r="G435" s="410"/>
      <c r="H435" s="410"/>
      <c r="I435" s="410"/>
      <c r="J435" s="410"/>
      <c r="K435" s="410"/>
      <c r="L435" s="410"/>
      <c r="M435" s="410"/>
      <c r="N435" s="410"/>
      <c r="R435" s="410"/>
      <c r="S435" s="410"/>
      <c r="T435" s="410"/>
      <c r="U435" s="410"/>
      <c r="V435" s="410"/>
      <c r="W435" s="410"/>
      <c r="X435" s="410"/>
      <c r="Y435" s="410"/>
      <c r="Z435" s="410"/>
      <c r="AA435" s="410"/>
      <c r="AB435" s="410"/>
      <c r="AC435" s="410"/>
      <c r="AD435" s="410"/>
      <c r="AE435" s="410"/>
      <c r="AF435" s="410"/>
      <c r="AG435" s="410"/>
      <c r="AH435" s="410"/>
      <c r="AI435" s="410"/>
      <c r="AJ435" s="410"/>
      <c r="AK435" s="410"/>
    </row>
    <row r="436" spans="1:37" x14ac:dyDescent="0.2">
      <c r="A436" s="410"/>
      <c r="B436" s="410"/>
      <c r="C436" s="410"/>
      <c r="D436" s="410"/>
      <c r="E436" s="410"/>
      <c r="F436" s="410"/>
      <c r="G436" s="410"/>
      <c r="H436" s="410"/>
      <c r="I436" s="410"/>
      <c r="J436" s="410"/>
      <c r="K436" s="410"/>
      <c r="L436" s="410"/>
      <c r="M436" s="410"/>
      <c r="N436" s="410"/>
      <c r="R436" s="410"/>
      <c r="S436" s="410"/>
      <c r="T436" s="410"/>
      <c r="U436" s="410"/>
      <c r="V436" s="410"/>
      <c r="W436" s="410"/>
      <c r="X436" s="410"/>
      <c r="Y436" s="410"/>
      <c r="Z436" s="410"/>
      <c r="AA436" s="410"/>
      <c r="AB436" s="410"/>
      <c r="AC436" s="410"/>
      <c r="AD436" s="410"/>
      <c r="AE436" s="410"/>
      <c r="AF436" s="410"/>
      <c r="AG436" s="410"/>
      <c r="AH436" s="410"/>
      <c r="AI436" s="410"/>
      <c r="AJ436" s="410"/>
      <c r="AK436" s="410"/>
    </row>
    <row r="437" spans="1:37" x14ac:dyDescent="0.2">
      <c r="A437" s="410"/>
      <c r="B437" s="410"/>
      <c r="C437" s="410"/>
      <c r="D437" s="410"/>
      <c r="E437" s="410"/>
      <c r="F437" s="410"/>
      <c r="G437" s="410"/>
      <c r="H437" s="410"/>
      <c r="I437" s="410"/>
      <c r="J437" s="410"/>
      <c r="K437" s="410"/>
      <c r="L437" s="410"/>
      <c r="M437" s="410"/>
      <c r="N437" s="410"/>
      <c r="R437" s="410"/>
      <c r="S437" s="410"/>
      <c r="T437" s="410"/>
      <c r="U437" s="410"/>
      <c r="V437" s="410"/>
      <c r="W437" s="410"/>
      <c r="X437" s="410"/>
      <c r="Y437" s="410"/>
      <c r="Z437" s="410"/>
      <c r="AA437" s="410"/>
      <c r="AB437" s="410"/>
      <c r="AC437" s="410"/>
      <c r="AD437" s="410"/>
      <c r="AE437" s="410"/>
      <c r="AF437" s="410"/>
      <c r="AG437" s="410"/>
      <c r="AH437" s="410"/>
      <c r="AI437" s="410"/>
      <c r="AJ437" s="410"/>
      <c r="AK437" s="410"/>
    </row>
    <row r="438" spans="1:37" x14ac:dyDescent="0.2">
      <c r="A438" s="410"/>
      <c r="B438" s="410"/>
      <c r="C438" s="410"/>
      <c r="D438" s="410"/>
      <c r="E438" s="410"/>
      <c r="F438" s="410"/>
      <c r="G438" s="410"/>
      <c r="H438" s="410"/>
      <c r="I438" s="410"/>
      <c r="J438" s="410"/>
      <c r="K438" s="410"/>
      <c r="L438" s="410"/>
      <c r="M438" s="410"/>
      <c r="N438" s="410"/>
      <c r="R438" s="410"/>
      <c r="S438" s="410"/>
      <c r="T438" s="410"/>
      <c r="U438" s="410"/>
      <c r="V438" s="410"/>
      <c r="W438" s="410"/>
      <c r="X438" s="410"/>
      <c r="Y438" s="410"/>
      <c r="Z438" s="410"/>
      <c r="AA438" s="410"/>
      <c r="AB438" s="410"/>
      <c r="AC438" s="410"/>
      <c r="AD438" s="410"/>
      <c r="AE438" s="410"/>
      <c r="AF438" s="410"/>
      <c r="AG438" s="410"/>
      <c r="AH438" s="410"/>
      <c r="AI438" s="410"/>
      <c r="AJ438" s="410"/>
      <c r="AK438" s="410"/>
    </row>
    <row r="439" spans="1:37" x14ac:dyDescent="0.2">
      <c r="A439" s="410"/>
      <c r="B439" s="410"/>
      <c r="C439" s="410"/>
      <c r="D439" s="410"/>
      <c r="E439" s="410"/>
      <c r="F439" s="410"/>
      <c r="G439" s="410"/>
      <c r="H439" s="410"/>
      <c r="I439" s="410"/>
      <c r="J439" s="410"/>
      <c r="K439" s="410"/>
      <c r="L439" s="410"/>
      <c r="M439" s="410"/>
      <c r="N439" s="410"/>
      <c r="R439" s="410"/>
      <c r="S439" s="410"/>
      <c r="T439" s="410"/>
      <c r="U439" s="410"/>
      <c r="V439" s="410"/>
      <c r="W439" s="410"/>
      <c r="X439" s="410"/>
      <c r="Y439" s="410"/>
      <c r="Z439" s="410"/>
      <c r="AA439" s="410"/>
      <c r="AB439" s="410"/>
      <c r="AC439" s="410"/>
      <c r="AD439" s="410"/>
      <c r="AE439" s="410"/>
      <c r="AF439" s="410"/>
      <c r="AG439" s="410"/>
      <c r="AH439" s="410"/>
      <c r="AI439" s="410"/>
      <c r="AJ439" s="410"/>
      <c r="AK439" s="410"/>
    </row>
    <row r="440" spans="1:37" x14ac:dyDescent="0.2">
      <c r="A440" s="410"/>
      <c r="B440" s="410"/>
      <c r="C440" s="410"/>
      <c r="D440" s="410"/>
      <c r="E440" s="410"/>
      <c r="F440" s="410"/>
      <c r="G440" s="410"/>
      <c r="H440" s="410"/>
      <c r="I440" s="410"/>
      <c r="J440" s="410"/>
      <c r="K440" s="410"/>
      <c r="L440" s="410"/>
      <c r="M440" s="410"/>
      <c r="N440" s="410"/>
      <c r="R440" s="410"/>
      <c r="S440" s="410"/>
      <c r="T440" s="410"/>
      <c r="U440" s="410"/>
      <c r="V440" s="410"/>
      <c r="W440" s="410"/>
      <c r="X440" s="410"/>
      <c r="Y440" s="410"/>
      <c r="Z440" s="410"/>
      <c r="AA440" s="410"/>
      <c r="AB440" s="410"/>
      <c r="AC440" s="410"/>
      <c r="AD440" s="410"/>
      <c r="AE440" s="410"/>
      <c r="AF440" s="410"/>
      <c r="AG440" s="410"/>
      <c r="AH440" s="410"/>
      <c r="AI440" s="410"/>
      <c r="AJ440" s="410"/>
      <c r="AK440" s="410"/>
    </row>
    <row r="441" spans="1:37" x14ac:dyDescent="0.2">
      <c r="A441" s="410"/>
      <c r="B441" s="410"/>
      <c r="C441" s="410"/>
      <c r="D441" s="410"/>
      <c r="E441" s="410"/>
      <c r="F441" s="410"/>
      <c r="G441" s="410"/>
      <c r="H441" s="410"/>
      <c r="I441" s="410"/>
      <c r="J441" s="410"/>
      <c r="K441" s="410"/>
      <c r="L441" s="410"/>
      <c r="M441" s="410"/>
      <c r="N441" s="410"/>
      <c r="R441" s="410"/>
      <c r="S441" s="410"/>
      <c r="T441" s="410"/>
      <c r="U441" s="410"/>
      <c r="V441" s="410"/>
      <c r="W441" s="410"/>
      <c r="X441" s="410"/>
      <c r="Y441" s="410"/>
      <c r="Z441" s="410"/>
      <c r="AA441" s="410"/>
      <c r="AB441" s="410"/>
      <c r="AC441" s="410"/>
      <c r="AD441" s="410"/>
      <c r="AE441" s="410"/>
      <c r="AF441" s="410"/>
      <c r="AG441" s="410"/>
      <c r="AH441" s="410"/>
      <c r="AI441" s="410"/>
      <c r="AJ441" s="410"/>
      <c r="AK441" s="410"/>
    </row>
    <row r="442" spans="1:37" x14ac:dyDescent="0.2">
      <c r="A442" s="410"/>
      <c r="B442" s="410"/>
      <c r="C442" s="410"/>
      <c r="D442" s="410"/>
      <c r="E442" s="410"/>
      <c r="F442" s="410"/>
      <c r="G442" s="410"/>
      <c r="H442" s="410"/>
      <c r="I442" s="410"/>
      <c r="J442" s="410"/>
      <c r="K442" s="410"/>
      <c r="L442" s="410"/>
      <c r="M442" s="410"/>
      <c r="N442" s="410"/>
      <c r="R442" s="410"/>
      <c r="S442" s="410"/>
      <c r="T442" s="410"/>
      <c r="U442" s="410"/>
      <c r="V442" s="410"/>
      <c r="W442" s="410"/>
      <c r="X442" s="410"/>
      <c r="Y442" s="410"/>
      <c r="Z442" s="410"/>
      <c r="AA442" s="410"/>
      <c r="AB442" s="410"/>
      <c r="AC442" s="410"/>
      <c r="AD442" s="410"/>
      <c r="AE442" s="410"/>
      <c r="AF442" s="410"/>
      <c r="AG442" s="410"/>
      <c r="AH442" s="410"/>
      <c r="AI442" s="410"/>
      <c r="AJ442" s="410"/>
      <c r="AK442" s="410"/>
    </row>
    <row r="443" spans="1:37" x14ac:dyDescent="0.2">
      <c r="A443" s="410"/>
      <c r="B443" s="410"/>
      <c r="C443" s="410"/>
      <c r="D443" s="410"/>
      <c r="E443" s="410"/>
      <c r="F443" s="410"/>
      <c r="G443" s="410"/>
      <c r="H443" s="410"/>
      <c r="I443" s="410"/>
      <c r="J443" s="410"/>
      <c r="K443" s="410"/>
      <c r="L443" s="410"/>
      <c r="M443" s="410"/>
      <c r="N443" s="410"/>
      <c r="R443" s="410"/>
      <c r="S443" s="410"/>
      <c r="T443" s="410"/>
      <c r="U443" s="410"/>
      <c r="V443" s="410"/>
      <c r="W443" s="410"/>
      <c r="X443" s="410"/>
      <c r="Y443" s="410"/>
      <c r="Z443" s="410"/>
      <c r="AA443" s="410"/>
      <c r="AB443" s="410"/>
      <c r="AC443" s="410"/>
      <c r="AD443" s="410"/>
      <c r="AE443" s="410"/>
      <c r="AF443" s="410"/>
      <c r="AG443" s="410"/>
      <c r="AH443" s="410"/>
      <c r="AI443" s="410"/>
      <c r="AJ443" s="410"/>
      <c r="AK443" s="410"/>
    </row>
    <row r="444" spans="1:37" x14ac:dyDescent="0.2">
      <c r="A444" s="410"/>
      <c r="B444" s="410"/>
      <c r="C444" s="410"/>
      <c r="D444" s="410"/>
      <c r="E444" s="410"/>
      <c r="F444" s="410"/>
      <c r="G444" s="410"/>
      <c r="H444" s="410"/>
      <c r="I444" s="410"/>
      <c r="J444" s="410"/>
      <c r="K444" s="410"/>
      <c r="L444" s="410"/>
      <c r="M444" s="410"/>
      <c r="N444" s="410"/>
      <c r="R444" s="410"/>
      <c r="S444" s="410"/>
      <c r="T444" s="410"/>
      <c r="U444" s="410"/>
      <c r="V444" s="410"/>
      <c r="W444" s="410"/>
      <c r="X444" s="410"/>
      <c r="Y444" s="410"/>
      <c r="Z444" s="410"/>
      <c r="AA444" s="410"/>
      <c r="AB444" s="410"/>
      <c r="AC444" s="410"/>
      <c r="AD444" s="410"/>
      <c r="AE444" s="410"/>
      <c r="AF444" s="410"/>
      <c r="AG444" s="410"/>
      <c r="AH444" s="410"/>
      <c r="AI444" s="410"/>
      <c r="AJ444" s="410"/>
      <c r="AK444" s="410"/>
    </row>
    <row r="445" spans="1:37" x14ac:dyDescent="0.2">
      <c r="A445" s="410"/>
      <c r="B445" s="410"/>
      <c r="C445" s="410"/>
      <c r="D445" s="410"/>
      <c r="E445" s="410"/>
      <c r="F445" s="410"/>
      <c r="G445" s="410"/>
      <c r="H445" s="410"/>
      <c r="I445" s="410"/>
      <c r="J445" s="410"/>
      <c r="K445" s="410"/>
      <c r="L445" s="410"/>
      <c r="M445" s="410"/>
      <c r="N445" s="410"/>
      <c r="R445" s="410"/>
      <c r="S445" s="410"/>
      <c r="T445" s="410"/>
      <c r="U445" s="410"/>
      <c r="V445" s="410"/>
      <c r="W445" s="410"/>
      <c r="X445" s="410"/>
      <c r="Y445" s="410"/>
      <c r="Z445" s="410"/>
      <c r="AA445" s="410"/>
      <c r="AB445" s="410"/>
      <c r="AC445" s="410"/>
      <c r="AD445" s="410"/>
      <c r="AE445" s="410"/>
      <c r="AF445" s="410"/>
      <c r="AG445" s="410"/>
      <c r="AH445" s="410"/>
      <c r="AI445" s="410"/>
      <c r="AJ445" s="410"/>
      <c r="AK445" s="410"/>
    </row>
    <row r="446" spans="1:37" x14ac:dyDescent="0.2">
      <c r="A446" s="410"/>
      <c r="B446" s="410"/>
      <c r="C446" s="410"/>
      <c r="D446" s="410"/>
      <c r="E446" s="410"/>
      <c r="F446" s="410"/>
      <c r="G446" s="410"/>
      <c r="H446" s="410"/>
      <c r="I446" s="410"/>
      <c r="J446" s="410"/>
      <c r="K446" s="410"/>
      <c r="L446" s="410"/>
      <c r="M446" s="410"/>
      <c r="N446" s="410"/>
      <c r="R446" s="410"/>
      <c r="S446" s="410"/>
      <c r="T446" s="410"/>
      <c r="U446" s="410"/>
      <c r="V446" s="410"/>
      <c r="W446" s="410"/>
      <c r="X446" s="410"/>
      <c r="Y446" s="410"/>
      <c r="Z446" s="410"/>
      <c r="AA446" s="410"/>
      <c r="AB446" s="410"/>
      <c r="AC446" s="410"/>
      <c r="AD446" s="410"/>
      <c r="AE446" s="410"/>
      <c r="AF446" s="410"/>
      <c r="AG446" s="410"/>
      <c r="AH446" s="410"/>
      <c r="AI446" s="410"/>
      <c r="AJ446" s="410"/>
      <c r="AK446" s="410"/>
    </row>
    <row r="447" spans="1:37" x14ac:dyDescent="0.2">
      <c r="A447" s="410"/>
      <c r="B447" s="410"/>
      <c r="C447" s="410"/>
      <c r="D447" s="410"/>
      <c r="E447" s="410"/>
      <c r="F447" s="410"/>
      <c r="G447" s="410"/>
      <c r="H447" s="410"/>
      <c r="I447" s="410"/>
      <c r="J447" s="410"/>
      <c r="K447" s="410"/>
      <c r="L447" s="410"/>
      <c r="M447" s="410"/>
      <c r="N447" s="410"/>
      <c r="R447" s="410"/>
      <c r="S447" s="410"/>
      <c r="T447" s="410"/>
      <c r="U447" s="410"/>
      <c r="V447" s="410"/>
      <c r="W447" s="410"/>
      <c r="X447" s="410"/>
      <c r="Y447" s="410"/>
      <c r="Z447" s="410"/>
      <c r="AA447" s="410"/>
      <c r="AB447" s="410"/>
      <c r="AC447" s="410"/>
      <c r="AD447" s="410"/>
      <c r="AE447" s="410"/>
      <c r="AF447" s="410"/>
      <c r="AG447" s="410"/>
      <c r="AH447" s="410"/>
      <c r="AI447" s="410"/>
      <c r="AJ447" s="410"/>
      <c r="AK447" s="410"/>
    </row>
    <row r="448" spans="1:37" x14ac:dyDescent="0.2">
      <c r="A448" s="410"/>
      <c r="B448" s="410"/>
      <c r="C448" s="410"/>
      <c r="D448" s="410"/>
      <c r="E448" s="410"/>
      <c r="F448" s="410"/>
      <c r="G448" s="410"/>
      <c r="H448" s="410"/>
      <c r="I448" s="410"/>
      <c r="J448" s="410"/>
      <c r="K448" s="410"/>
      <c r="L448" s="410"/>
      <c r="M448" s="410"/>
      <c r="N448" s="410"/>
      <c r="R448" s="410"/>
      <c r="S448" s="410"/>
      <c r="T448" s="410"/>
      <c r="U448" s="410"/>
      <c r="V448" s="410"/>
      <c r="W448" s="410"/>
      <c r="X448" s="410"/>
      <c r="Y448" s="410"/>
      <c r="Z448" s="410"/>
      <c r="AA448" s="410"/>
      <c r="AB448" s="410"/>
      <c r="AC448" s="410"/>
      <c r="AD448" s="410"/>
      <c r="AE448" s="410"/>
      <c r="AF448" s="410"/>
      <c r="AG448" s="410"/>
      <c r="AH448" s="410"/>
      <c r="AI448" s="410"/>
      <c r="AJ448" s="410"/>
      <c r="AK448" s="410"/>
    </row>
    <row r="449" spans="1:37" x14ac:dyDescent="0.2">
      <c r="A449" s="410"/>
      <c r="B449" s="410"/>
      <c r="C449" s="410"/>
      <c r="D449" s="410"/>
      <c r="E449" s="410"/>
      <c r="F449" s="410"/>
      <c r="G449" s="410"/>
      <c r="H449" s="410"/>
      <c r="I449" s="410"/>
      <c r="J449" s="410"/>
      <c r="K449" s="410"/>
      <c r="L449" s="410"/>
      <c r="M449" s="410"/>
      <c r="N449" s="410"/>
      <c r="R449" s="410"/>
      <c r="S449" s="410"/>
      <c r="T449" s="410"/>
      <c r="U449" s="410"/>
      <c r="V449" s="410"/>
      <c r="W449" s="410"/>
      <c r="X449" s="410"/>
      <c r="Y449" s="410"/>
      <c r="Z449" s="410"/>
      <c r="AA449" s="410"/>
      <c r="AB449" s="410"/>
      <c r="AC449" s="410"/>
      <c r="AD449" s="410"/>
      <c r="AE449" s="410"/>
      <c r="AF449" s="410"/>
      <c r="AG449" s="410"/>
      <c r="AH449" s="410"/>
      <c r="AI449" s="410"/>
      <c r="AJ449" s="410"/>
      <c r="AK449" s="410"/>
    </row>
    <row r="450" spans="1:37" x14ac:dyDescent="0.2">
      <c r="A450" s="410"/>
      <c r="B450" s="410"/>
      <c r="C450" s="410"/>
      <c r="D450" s="410"/>
      <c r="E450" s="410"/>
      <c r="F450" s="410"/>
      <c r="G450" s="410"/>
      <c r="H450" s="410"/>
      <c r="I450" s="410"/>
      <c r="J450" s="410"/>
      <c r="K450" s="410"/>
      <c r="L450" s="410"/>
      <c r="M450" s="410"/>
      <c r="N450" s="410"/>
      <c r="R450" s="410"/>
      <c r="S450" s="410"/>
      <c r="T450" s="410"/>
      <c r="U450" s="410"/>
      <c r="V450" s="410"/>
      <c r="W450" s="410"/>
      <c r="X450" s="410"/>
      <c r="Y450" s="410"/>
      <c r="Z450" s="410"/>
      <c r="AA450" s="410"/>
      <c r="AB450" s="410"/>
      <c r="AC450" s="410"/>
      <c r="AD450" s="410"/>
      <c r="AE450" s="410"/>
      <c r="AF450" s="410"/>
      <c r="AG450" s="410"/>
      <c r="AH450" s="410"/>
      <c r="AI450" s="410"/>
      <c r="AJ450" s="410"/>
      <c r="AK450" s="410"/>
    </row>
    <row r="451" spans="1:37" x14ac:dyDescent="0.2">
      <c r="A451" s="410"/>
      <c r="B451" s="410"/>
      <c r="C451" s="410"/>
      <c r="D451" s="410"/>
      <c r="E451" s="410"/>
      <c r="F451" s="410"/>
      <c r="G451" s="410"/>
      <c r="H451" s="410"/>
      <c r="I451" s="410"/>
      <c r="J451" s="410"/>
      <c r="K451" s="410"/>
      <c r="L451" s="410"/>
      <c r="M451" s="410"/>
      <c r="N451" s="410"/>
      <c r="R451" s="410"/>
      <c r="S451" s="410"/>
      <c r="T451" s="410"/>
      <c r="U451" s="410"/>
      <c r="V451" s="410"/>
      <c r="W451" s="410"/>
      <c r="X451" s="410"/>
      <c r="Y451" s="410"/>
      <c r="Z451" s="410"/>
      <c r="AA451" s="410"/>
      <c r="AB451" s="410"/>
      <c r="AC451" s="410"/>
      <c r="AD451" s="410"/>
      <c r="AE451" s="410"/>
      <c r="AF451" s="410"/>
      <c r="AG451" s="410"/>
      <c r="AH451" s="410"/>
      <c r="AI451" s="410"/>
      <c r="AJ451" s="410"/>
      <c r="AK451" s="410"/>
    </row>
    <row r="452" spans="1:37" x14ac:dyDescent="0.2">
      <c r="A452" s="410"/>
      <c r="B452" s="410"/>
      <c r="C452" s="410"/>
      <c r="D452" s="410"/>
      <c r="E452" s="410"/>
      <c r="F452" s="410"/>
      <c r="G452" s="410"/>
      <c r="H452" s="410"/>
      <c r="I452" s="410"/>
      <c r="J452" s="410"/>
      <c r="K452" s="410"/>
      <c r="L452" s="410"/>
      <c r="M452" s="410"/>
      <c r="N452" s="410"/>
      <c r="R452" s="410"/>
      <c r="S452" s="410"/>
      <c r="T452" s="410"/>
      <c r="U452" s="410"/>
      <c r="V452" s="410"/>
      <c r="W452" s="410"/>
      <c r="X452" s="410"/>
      <c r="Y452" s="410"/>
      <c r="Z452" s="410"/>
      <c r="AA452" s="410"/>
      <c r="AB452" s="410"/>
      <c r="AC452" s="410"/>
      <c r="AD452" s="410"/>
      <c r="AE452" s="410"/>
      <c r="AF452" s="410"/>
      <c r="AG452" s="410"/>
      <c r="AH452" s="410"/>
      <c r="AI452" s="410"/>
      <c r="AJ452" s="410"/>
      <c r="AK452" s="410"/>
    </row>
    <row r="453" spans="1:37" x14ac:dyDescent="0.2">
      <c r="A453" s="410"/>
      <c r="B453" s="410"/>
      <c r="C453" s="410"/>
      <c r="D453" s="410"/>
      <c r="E453" s="410"/>
      <c r="F453" s="410"/>
      <c r="G453" s="410"/>
      <c r="H453" s="410"/>
      <c r="I453" s="410"/>
      <c r="J453" s="410"/>
      <c r="K453" s="410"/>
      <c r="L453" s="410"/>
      <c r="M453" s="410"/>
      <c r="N453" s="410"/>
      <c r="R453" s="410"/>
      <c r="S453" s="410"/>
      <c r="T453" s="410"/>
      <c r="U453" s="410"/>
      <c r="V453" s="410"/>
      <c r="W453" s="410"/>
      <c r="X453" s="410"/>
      <c r="Y453" s="410"/>
      <c r="Z453" s="410"/>
      <c r="AA453" s="410"/>
      <c r="AB453" s="410"/>
      <c r="AC453" s="410"/>
      <c r="AD453" s="410"/>
      <c r="AE453" s="410"/>
      <c r="AF453" s="410"/>
      <c r="AG453" s="410"/>
      <c r="AH453" s="410"/>
      <c r="AI453" s="410"/>
      <c r="AJ453" s="410"/>
      <c r="AK453" s="410"/>
    </row>
    <row r="454" spans="1:37" x14ac:dyDescent="0.2">
      <c r="A454" s="410"/>
      <c r="B454" s="410"/>
      <c r="C454" s="410"/>
      <c r="D454" s="410"/>
      <c r="E454" s="410"/>
      <c r="F454" s="410"/>
      <c r="G454" s="410"/>
      <c r="H454" s="410"/>
      <c r="I454" s="410"/>
      <c r="J454" s="410"/>
      <c r="K454" s="410"/>
      <c r="L454" s="410"/>
      <c r="M454" s="410"/>
      <c r="N454" s="410"/>
      <c r="R454" s="410"/>
      <c r="S454" s="410"/>
      <c r="T454" s="410"/>
      <c r="U454" s="410"/>
      <c r="V454" s="410"/>
      <c r="W454" s="410"/>
      <c r="X454" s="410"/>
      <c r="Y454" s="410"/>
      <c r="Z454" s="410"/>
      <c r="AA454" s="410"/>
      <c r="AB454" s="410"/>
      <c r="AC454" s="410"/>
      <c r="AD454" s="410"/>
      <c r="AE454" s="410"/>
      <c r="AF454" s="410"/>
      <c r="AG454" s="410"/>
      <c r="AH454" s="410"/>
      <c r="AI454" s="410"/>
      <c r="AJ454" s="410"/>
      <c r="AK454" s="410"/>
    </row>
    <row r="455" spans="1:37" x14ac:dyDescent="0.2">
      <c r="A455" s="410"/>
      <c r="B455" s="410"/>
      <c r="C455" s="410"/>
      <c r="D455" s="410"/>
      <c r="E455" s="410"/>
      <c r="F455" s="410"/>
      <c r="G455" s="410"/>
      <c r="H455" s="410"/>
      <c r="I455" s="410"/>
      <c r="J455" s="410"/>
      <c r="K455" s="410"/>
      <c r="L455" s="410"/>
      <c r="M455" s="410"/>
      <c r="N455" s="410"/>
      <c r="R455" s="410"/>
      <c r="S455" s="410"/>
      <c r="T455" s="410"/>
      <c r="U455" s="410"/>
      <c r="V455" s="410"/>
      <c r="W455" s="410"/>
      <c r="X455" s="410"/>
      <c r="Y455" s="410"/>
      <c r="Z455" s="410"/>
      <c r="AA455" s="410"/>
      <c r="AB455" s="410"/>
      <c r="AC455" s="410"/>
      <c r="AD455" s="410"/>
      <c r="AE455" s="410"/>
      <c r="AF455" s="410"/>
      <c r="AG455" s="410"/>
      <c r="AH455" s="410"/>
      <c r="AI455" s="410"/>
      <c r="AJ455" s="410"/>
      <c r="AK455" s="410"/>
    </row>
    <row r="456" spans="1:37" x14ac:dyDescent="0.2">
      <c r="A456" s="410"/>
      <c r="B456" s="410"/>
      <c r="C456" s="410"/>
      <c r="D456" s="410"/>
      <c r="E456" s="410"/>
      <c r="F456" s="410"/>
      <c r="G456" s="410"/>
      <c r="H456" s="410"/>
      <c r="I456" s="410"/>
      <c r="J456" s="410"/>
      <c r="K456" s="410"/>
      <c r="L456" s="410"/>
      <c r="M456" s="410"/>
      <c r="N456" s="410"/>
      <c r="R456" s="410"/>
      <c r="S456" s="410"/>
      <c r="T456" s="410"/>
      <c r="U456" s="410"/>
      <c r="V456" s="410"/>
      <c r="W456" s="410"/>
      <c r="X456" s="410"/>
      <c r="Y456" s="410"/>
      <c r="Z456" s="410"/>
      <c r="AA456" s="410"/>
      <c r="AB456" s="410"/>
      <c r="AC456" s="410"/>
      <c r="AD456" s="410"/>
      <c r="AE456" s="410"/>
      <c r="AF456" s="410"/>
      <c r="AG456" s="410"/>
      <c r="AH456" s="410"/>
      <c r="AI456" s="410"/>
      <c r="AJ456" s="410"/>
      <c r="AK456" s="410"/>
    </row>
    <row r="457" spans="1:37" x14ac:dyDescent="0.2">
      <c r="A457" s="410"/>
      <c r="B457" s="410"/>
      <c r="C457" s="410"/>
      <c r="D457" s="410"/>
      <c r="E457" s="410"/>
      <c r="F457" s="410"/>
      <c r="G457" s="410"/>
      <c r="H457" s="410"/>
      <c r="I457" s="410"/>
      <c r="J457" s="410"/>
      <c r="K457" s="410"/>
      <c r="L457" s="410"/>
      <c r="M457" s="410"/>
      <c r="N457" s="410"/>
      <c r="R457" s="410"/>
      <c r="S457" s="410"/>
      <c r="T457" s="410"/>
      <c r="U457" s="410"/>
      <c r="V457" s="410"/>
      <c r="W457" s="410"/>
      <c r="X457" s="410"/>
      <c r="Y457" s="410"/>
      <c r="Z457" s="410"/>
      <c r="AA457" s="410"/>
      <c r="AB457" s="410"/>
      <c r="AC457" s="410"/>
      <c r="AD457" s="410"/>
      <c r="AE457" s="410"/>
      <c r="AF457" s="410"/>
      <c r="AG457" s="410"/>
      <c r="AH457" s="410"/>
      <c r="AI457" s="410"/>
      <c r="AJ457" s="410"/>
      <c r="AK457" s="410"/>
    </row>
    <row r="458" spans="1:37" x14ac:dyDescent="0.2">
      <c r="A458" s="410"/>
      <c r="B458" s="410"/>
      <c r="C458" s="410"/>
      <c r="D458" s="410"/>
      <c r="E458" s="410"/>
      <c r="F458" s="410"/>
      <c r="G458" s="410"/>
      <c r="H458" s="410"/>
      <c r="I458" s="410"/>
      <c r="J458" s="410"/>
      <c r="K458" s="410"/>
      <c r="L458" s="410"/>
      <c r="M458" s="410"/>
      <c r="N458" s="410"/>
      <c r="R458" s="410"/>
      <c r="S458" s="410"/>
      <c r="T458" s="410"/>
      <c r="U458" s="410"/>
      <c r="V458" s="410"/>
      <c r="W458" s="410"/>
      <c r="X458" s="410"/>
      <c r="Y458" s="410"/>
      <c r="Z458" s="410"/>
      <c r="AA458" s="410"/>
      <c r="AB458" s="410"/>
      <c r="AC458" s="410"/>
      <c r="AD458" s="410"/>
      <c r="AE458" s="410"/>
      <c r="AF458" s="410"/>
      <c r="AG458" s="410"/>
      <c r="AH458" s="410"/>
      <c r="AI458" s="410"/>
      <c r="AJ458" s="410"/>
      <c r="AK458" s="410"/>
    </row>
    <row r="459" spans="1:37" x14ac:dyDescent="0.2">
      <c r="A459" s="410"/>
      <c r="B459" s="410"/>
      <c r="C459" s="410"/>
      <c r="D459" s="410"/>
      <c r="E459" s="410"/>
      <c r="F459" s="410"/>
      <c r="G459" s="410"/>
      <c r="H459" s="410"/>
      <c r="I459" s="410"/>
      <c r="J459" s="410"/>
      <c r="K459" s="410"/>
      <c r="L459" s="410"/>
      <c r="M459" s="410"/>
      <c r="N459" s="410"/>
      <c r="R459" s="410"/>
      <c r="S459" s="410"/>
      <c r="T459" s="410"/>
      <c r="U459" s="410"/>
      <c r="V459" s="410"/>
      <c r="W459" s="410"/>
      <c r="X459" s="410"/>
      <c r="Y459" s="410"/>
      <c r="Z459" s="410"/>
      <c r="AA459" s="410"/>
      <c r="AB459" s="410"/>
      <c r="AC459" s="410"/>
      <c r="AD459" s="410"/>
      <c r="AE459" s="410"/>
      <c r="AF459" s="410"/>
      <c r="AG459" s="410"/>
      <c r="AH459" s="410"/>
      <c r="AI459" s="410"/>
      <c r="AJ459" s="410"/>
      <c r="AK459" s="410"/>
    </row>
    <row r="460" spans="1:37" x14ac:dyDescent="0.2">
      <c r="A460" s="410"/>
      <c r="B460" s="410"/>
      <c r="C460" s="410"/>
      <c r="D460" s="410"/>
      <c r="E460" s="410"/>
      <c r="F460" s="410"/>
      <c r="G460" s="410"/>
      <c r="H460" s="410"/>
      <c r="I460" s="410"/>
      <c r="J460" s="410"/>
      <c r="K460" s="410"/>
      <c r="L460" s="410"/>
      <c r="M460" s="410"/>
      <c r="N460" s="410"/>
      <c r="R460" s="410"/>
      <c r="S460" s="410"/>
      <c r="T460" s="410"/>
      <c r="U460" s="410"/>
      <c r="V460" s="410"/>
      <c r="W460" s="410"/>
      <c r="X460" s="410"/>
      <c r="Y460" s="410"/>
      <c r="Z460" s="410"/>
      <c r="AA460" s="410"/>
      <c r="AB460" s="410"/>
      <c r="AC460" s="410"/>
      <c r="AD460" s="410"/>
      <c r="AE460" s="410"/>
      <c r="AF460" s="410"/>
      <c r="AG460" s="410"/>
      <c r="AH460" s="410"/>
      <c r="AI460" s="410"/>
      <c r="AJ460" s="410"/>
      <c r="AK460" s="410"/>
    </row>
    <row r="461" spans="1:37" x14ac:dyDescent="0.2">
      <c r="A461" s="410"/>
      <c r="B461" s="410"/>
      <c r="C461" s="410"/>
      <c r="D461" s="410"/>
      <c r="E461" s="410"/>
      <c r="F461" s="410"/>
      <c r="G461" s="410"/>
      <c r="H461" s="410"/>
      <c r="I461" s="410"/>
      <c r="J461" s="410"/>
      <c r="K461" s="410"/>
      <c r="L461" s="410"/>
      <c r="M461" s="410"/>
      <c r="N461" s="410"/>
      <c r="R461" s="410"/>
      <c r="S461" s="410"/>
      <c r="T461" s="410"/>
      <c r="U461" s="410"/>
      <c r="V461" s="410"/>
      <c r="W461" s="410"/>
      <c r="X461" s="410"/>
      <c r="Y461" s="410"/>
      <c r="Z461" s="410"/>
      <c r="AA461" s="410"/>
      <c r="AB461" s="410"/>
      <c r="AC461" s="410"/>
      <c r="AD461" s="410"/>
      <c r="AE461" s="410"/>
      <c r="AF461" s="410"/>
      <c r="AG461" s="410"/>
      <c r="AH461" s="410"/>
      <c r="AI461" s="410"/>
      <c r="AJ461" s="410"/>
      <c r="AK461" s="410"/>
    </row>
    <row r="462" spans="1:37" x14ac:dyDescent="0.2">
      <c r="A462" s="410"/>
      <c r="B462" s="410"/>
      <c r="C462" s="410"/>
      <c r="D462" s="410"/>
      <c r="E462" s="410"/>
      <c r="F462" s="410"/>
      <c r="G462" s="410"/>
      <c r="H462" s="410"/>
      <c r="I462" s="410"/>
      <c r="J462" s="410"/>
      <c r="K462" s="410"/>
      <c r="L462" s="410"/>
      <c r="M462" s="410"/>
      <c r="N462" s="410"/>
      <c r="R462" s="410"/>
      <c r="S462" s="410"/>
      <c r="T462" s="410"/>
      <c r="U462" s="410"/>
      <c r="V462" s="410"/>
      <c r="W462" s="410"/>
      <c r="X462" s="410"/>
      <c r="Y462" s="410"/>
      <c r="Z462" s="410"/>
      <c r="AA462" s="410"/>
      <c r="AB462" s="410"/>
      <c r="AC462" s="410"/>
      <c r="AD462" s="410"/>
      <c r="AE462" s="410"/>
      <c r="AF462" s="410"/>
      <c r="AG462" s="410"/>
      <c r="AH462" s="410"/>
      <c r="AI462" s="410"/>
      <c r="AJ462" s="410"/>
      <c r="AK462" s="410"/>
    </row>
    <row r="463" spans="1:37" x14ac:dyDescent="0.2">
      <c r="A463" s="410"/>
      <c r="B463" s="410"/>
      <c r="C463" s="410"/>
      <c r="D463" s="410"/>
      <c r="E463" s="410"/>
      <c r="F463" s="410"/>
      <c r="G463" s="410"/>
      <c r="H463" s="410"/>
      <c r="I463" s="410"/>
      <c r="J463" s="410"/>
      <c r="K463" s="410"/>
      <c r="L463" s="410"/>
      <c r="M463" s="410"/>
      <c r="N463" s="410"/>
      <c r="R463" s="410"/>
      <c r="S463" s="410"/>
      <c r="T463" s="410"/>
      <c r="U463" s="410"/>
      <c r="V463" s="410"/>
      <c r="W463" s="410"/>
      <c r="X463" s="410"/>
      <c r="Y463" s="410"/>
      <c r="Z463" s="410"/>
      <c r="AA463" s="410"/>
      <c r="AB463" s="410"/>
      <c r="AC463" s="410"/>
      <c r="AD463" s="410"/>
      <c r="AE463" s="410"/>
      <c r="AF463" s="410"/>
      <c r="AG463" s="410"/>
      <c r="AH463" s="410"/>
      <c r="AI463" s="410"/>
      <c r="AJ463" s="410"/>
      <c r="AK463" s="410"/>
    </row>
    <row r="464" spans="1:37" x14ac:dyDescent="0.2">
      <c r="A464" s="410"/>
      <c r="B464" s="410"/>
      <c r="C464" s="410"/>
      <c r="D464" s="410"/>
      <c r="E464" s="410"/>
      <c r="F464" s="410"/>
      <c r="G464" s="410"/>
      <c r="H464" s="410"/>
      <c r="I464" s="410"/>
      <c r="J464" s="410"/>
      <c r="K464" s="410"/>
      <c r="L464" s="410"/>
      <c r="M464" s="410"/>
      <c r="N464" s="410"/>
      <c r="R464" s="410"/>
      <c r="S464" s="410"/>
      <c r="T464" s="410"/>
      <c r="U464" s="410"/>
      <c r="V464" s="410"/>
      <c r="W464" s="410"/>
      <c r="X464" s="410"/>
      <c r="Y464" s="410"/>
      <c r="Z464" s="410"/>
      <c r="AA464" s="410"/>
      <c r="AB464" s="410"/>
      <c r="AC464" s="410"/>
      <c r="AD464" s="410"/>
      <c r="AE464" s="410"/>
      <c r="AF464" s="410"/>
      <c r="AG464" s="410"/>
      <c r="AH464" s="410"/>
      <c r="AI464" s="410"/>
      <c r="AJ464" s="410"/>
      <c r="AK464" s="410"/>
    </row>
    <row r="465" spans="1:37" x14ac:dyDescent="0.2">
      <c r="A465" s="410"/>
      <c r="B465" s="410"/>
      <c r="C465" s="410"/>
      <c r="D465" s="410"/>
      <c r="E465" s="410"/>
      <c r="F465" s="410"/>
      <c r="G465" s="410"/>
      <c r="H465" s="410"/>
      <c r="I465" s="410"/>
      <c r="J465" s="410"/>
      <c r="K465" s="410"/>
      <c r="L465" s="410"/>
      <c r="M465" s="410"/>
      <c r="N465" s="410"/>
      <c r="R465" s="410"/>
      <c r="S465" s="410"/>
      <c r="T465" s="410"/>
      <c r="U465" s="410"/>
      <c r="V465" s="410"/>
      <c r="W465" s="410"/>
      <c r="X465" s="410"/>
      <c r="Y465" s="410"/>
      <c r="Z465" s="410"/>
      <c r="AA465" s="410"/>
      <c r="AB465" s="410"/>
      <c r="AC465" s="410"/>
      <c r="AD465" s="410"/>
      <c r="AE465" s="410"/>
      <c r="AF465" s="410"/>
      <c r="AG465" s="410"/>
      <c r="AH465" s="410"/>
      <c r="AI465" s="410"/>
      <c r="AJ465" s="410"/>
      <c r="AK465" s="410"/>
    </row>
    <row r="466" spans="1:37" x14ac:dyDescent="0.2">
      <c r="A466" s="410"/>
      <c r="B466" s="410"/>
      <c r="C466" s="410"/>
      <c r="D466" s="410"/>
      <c r="E466" s="410"/>
      <c r="F466" s="410"/>
      <c r="G466" s="410"/>
      <c r="H466" s="410"/>
      <c r="I466" s="410"/>
      <c r="J466" s="410"/>
      <c r="K466" s="410"/>
      <c r="L466" s="410"/>
      <c r="M466" s="410"/>
      <c r="N466" s="410"/>
      <c r="R466" s="410"/>
      <c r="S466" s="410"/>
      <c r="T466" s="410"/>
      <c r="U466" s="410"/>
      <c r="V466" s="410"/>
      <c r="W466" s="410"/>
      <c r="X466" s="410"/>
      <c r="Y466" s="410"/>
      <c r="Z466" s="410"/>
      <c r="AA466" s="410"/>
      <c r="AB466" s="410"/>
      <c r="AC466" s="410"/>
      <c r="AD466" s="410"/>
      <c r="AE466" s="410"/>
      <c r="AF466" s="410"/>
      <c r="AG466" s="410"/>
      <c r="AH466" s="410"/>
      <c r="AI466" s="410"/>
      <c r="AJ466" s="410"/>
      <c r="AK466" s="410"/>
    </row>
    <row r="467" spans="1:37" x14ac:dyDescent="0.2">
      <c r="A467" s="410"/>
      <c r="B467" s="410"/>
      <c r="C467" s="410"/>
      <c r="D467" s="410"/>
      <c r="E467" s="410"/>
      <c r="F467" s="410"/>
      <c r="G467" s="410"/>
      <c r="H467" s="410"/>
      <c r="I467" s="410"/>
      <c r="J467" s="410"/>
      <c r="K467" s="410"/>
      <c r="L467" s="410"/>
      <c r="M467" s="410"/>
      <c r="N467" s="410"/>
      <c r="R467" s="410"/>
      <c r="S467" s="410"/>
      <c r="T467" s="410"/>
      <c r="U467" s="410"/>
      <c r="V467" s="410"/>
      <c r="W467" s="410"/>
      <c r="X467" s="410"/>
      <c r="Y467" s="410"/>
      <c r="Z467" s="410"/>
      <c r="AA467" s="410"/>
      <c r="AB467" s="410"/>
      <c r="AC467" s="410"/>
      <c r="AD467" s="410"/>
      <c r="AE467" s="410"/>
      <c r="AF467" s="410"/>
      <c r="AG467" s="410"/>
      <c r="AH467" s="410"/>
      <c r="AI467" s="410"/>
      <c r="AJ467" s="410"/>
      <c r="AK467" s="410"/>
    </row>
    <row r="468" spans="1:37" x14ac:dyDescent="0.2">
      <c r="A468" s="410"/>
      <c r="B468" s="410"/>
      <c r="C468" s="410"/>
      <c r="D468" s="410"/>
      <c r="E468" s="410"/>
      <c r="F468" s="410"/>
      <c r="G468" s="410"/>
      <c r="H468" s="410"/>
      <c r="I468" s="410"/>
      <c r="J468" s="410"/>
      <c r="K468" s="410"/>
      <c r="L468" s="410"/>
      <c r="M468" s="410"/>
      <c r="N468" s="410"/>
      <c r="R468" s="410"/>
      <c r="S468" s="410"/>
      <c r="T468" s="410"/>
      <c r="U468" s="410"/>
      <c r="V468" s="410"/>
      <c r="W468" s="410"/>
      <c r="X468" s="410"/>
      <c r="Y468" s="410"/>
      <c r="Z468" s="410"/>
      <c r="AA468" s="410"/>
      <c r="AB468" s="410"/>
      <c r="AC468" s="410"/>
      <c r="AD468" s="410"/>
      <c r="AE468" s="410"/>
      <c r="AF468" s="410"/>
      <c r="AG468" s="410"/>
      <c r="AH468" s="410"/>
      <c r="AI468" s="410"/>
      <c r="AJ468" s="410"/>
      <c r="AK468" s="410"/>
    </row>
    <row r="469" spans="1:37" x14ac:dyDescent="0.2">
      <c r="A469" s="410"/>
      <c r="B469" s="410"/>
      <c r="C469" s="410"/>
      <c r="D469" s="410"/>
      <c r="E469" s="410"/>
      <c r="F469" s="410"/>
      <c r="G469" s="410"/>
      <c r="H469" s="410"/>
      <c r="I469" s="410"/>
      <c r="J469" s="410"/>
      <c r="K469" s="410"/>
      <c r="L469" s="410"/>
      <c r="M469" s="410"/>
      <c r="N469" s="410"/>
      <c r="R469" s="410"/>
      <c r="S469" s="410"/>
      <c r="T469" s="410"/>
      <c r="U469" s="410"/>
      <c r="V469" s="410"/>
      <c r="W469" s="410"/>
      <c r="X469" s="410"/>
      <c r="Y469" s="410"/>
      <c r="Z469" s="410"/>
      <c r="AA469" s="410"/>
      <c r="AB469" s="410"/>
      <c r="AC469" s="410"/>
      <c r="AD469" s="410"/>
      <c r="AE469" s="410"/>
      <c r="AF469" s="410"/>
      <c r="AG469" s="410"/>
      <c r="AH469" s="410"/>
      <c r="AI469" s="410"/>
      <c r="AJ469" s="410"/>
      <c r="AK469" s="410"/>
    </row>
    <row r="470" spans="1:37" x14ac:dyDescent="0.2">
      <c r="A470" s="410"/>
      <c r="B470" s="410"/>
      <c r="C470" s="410"/>
      <c r="D470" s="410"/>
      <c r="E470" s="410"/>
      <c r="F470" s="410"/>
      <c r="G470" s="410"/>
      <c r="H470" s="410"/>
      <c r="I470" s="410"/>
      <c r="J470" s="410"/>
      <c r="K470" s="410"/>
      <c r="L470" s="410"/>
      <c r="M470" s="410"/>
      <c r="N470" s="410"/>
      <c r="R470" s="410"/>
      <c r="S470" s="410"/>
      <c r="T470" s="410"/>
      <c r="U470" s="410"/>
      <c r="V470" s="410"/>
      <c r="W470" s="410"/>
      <c r="X470" s="410"/>
      <c r="Y470" s="410"/>
      <c r="Z470" s="410"/>
      <c r="AA470" s="410"/>
      <c r="AB470" s="410"/>
      <c r="AC470" s="410"/>
      <c r="AD470" s="410"/>
      <c r="AE470" s="410"/>
      <c r="AF470" s="410"/>
      <c r="AG470" s="410"/>
      <c r="AH470" s="410"/>
      <c r="AI470" s="410"/>
      <c r="AJ470" s="410"/>
      <c r="AK470" s="410"/>
    </row>
    <row r="471" spans="1:37" x14ac:dyDescent="0.2">
      <c r="A471" s="410"/>
      <c r="B471" s="410"/>
      <c r="C471" s="410"/>
      <c r="D471" s="410"/>
      <c r="E471" s="410"/>
      <c r="F471" s="410"/>
      <c r="G471" s="410"/>
      <c r="H471" s="410"/>
      <c r="I471" s="410"/>
      <c r="J471" s="410"/>
      <c r="K471" s="410"/>
      <c r="L471" s="410"/>
      <c r="M471" s="410"/>
      <c r="N471" s="410"/>
      <c r="R471" s="410"/>
      <c r="S471" s="410"/>
      <c r="T471" s="410"/>
      <c r="U471" s="410"/>
      <c r="V471" s="410"/>
      <c r="W471" s="410"/>
      <c r="X471" s="410"/>
      <c r="Y471" s="410"/>
      <c r="Z471" s="410"/>
      <c r="AA471" s="410"/>
      <c r="AB471" s="410"/>
      <c r="AC471" s="410"/>
      <c r="AD471" s="410"/>
      <c r="AE471" s="410"/>
      <c r="AF471" s="410"/>
      <c r="AG471" s="410"/>
      <c r="AH471" s="410"/>
      <c r="AI471" s="410"/>
      <c r="AJ471" s="410"/>
      <c r="AK471" s="410"/>
    </row>
    <row r="472" spans="1:37" x14ac:dyDescent="0.2">
      <c r="A472" s="410"/>
      <c r="B472" s="410"/>
      <c r="C472" s="410"/>
      <c r="D472" s="410"/>
      <c r="E472" s="410"/>
      <c r="F472" s="410"/>
      <c r="G472" s="410"/>
      <c r="H472" s="410"/>
      <c r="I472" s="410"/>
      <c r="J472" s="410"/>
      <c r="K472" s="410"/>
      <c r="L472" s="410"/>
      <c r="M472" s="410"/>
      <c r="N472" s="410"/>
      <c r="R472" s="410"/>
      <c r="S472" s="410"/>
      <c r="T472" s="410"/>
      <c r="U472" s="410"/>
      <c r="V472" s="410"/>
      <c r="W472" s="410"/>
      <c r="X472" s="410"/>
      <c r="Y472" s="410"/>
      <c r="Z472" s="410"/>
      <c r="AA472" s="410"/>
      <c r="AB472" s="410"/>
      <c r="AC472" s="410"/>
      <c r="AD472" s="410"/>
      <c r="AE472" s="410"/>
      <c r="AF472" s="410"/>
      <c r="AG472" s="410"/>
      <c r="AH472" s="410"/>
      <c r="AI472" s="410"/>
      <c r="AJ472" s="410"/>
      <c r="AK472" s="410"/>
    </row>
    <row r="473" spans="1:37" x14ac:dyDescent="0.2">
      <c r="A473" s="410"/>
      <c r="B473" s="410"/>
      <c r="C473" s="410"/>
      <c r="D473" s="410"/>
      <c r="E473" s="410"/>
      <c r="F473" s="410"/>
      <c r="G473" s="410"/>
      <c r="H473" s="410"/>
      <c r="I473" s="410"/>
      <c r="J473" s="410"/>
      <c r="K473" s="410"/>
      <c r="L473" s="410"/>
      <c r="M473" s="410"/>
      <c r="N473" s="410"/>
      <c r="R473" s="410"/>
      <c r="S473" s="410"/>
      <c r="T473" s="410"/>
      <c r="U473" s="410"/>
      <c r="V473" s="410"/>
      <c r="W473" s="410"/>
      <c r="X473" s="410"/>
      <c r="Y473" s="410"/>
      <c r="Z473" s="410"/>
      <c r="AA473" s="410"/>
      <c r="AB473" s="410"/>
      <c r="AC473" s="410"/>
      <c r="AD473" s="410"/>
      <c r="AE473" s="410"/>
      <c r="AF473" s="410"/>
      <c r="AG473" s="410"/>
      <c r="AH473" s="410"/>
      <c r="AI473" s="410"/>
      <c r="AJ473" s="410"/>
      <c r="AK473" s="410"/>
    </row>
    <row r="474" spans="1:37" x14ac:dyDescent="0.2">
      <c r="A474" s="410"/>
      <c r="B474" s="410"/>
      <c r="C474" s="410"/>
      <c r="D474" s="410"/>
      <c r="E474" s="410"/>
      <c r="F474" s="410"/>
      <c r="G474" s="410"/>
      <c r="H474" s="410"/>
      <c r="I474" s="410"/>
      <c r="J474" s="410"/>
      <c r="K474" s="410"/>
      <c r="L474" s="410"/>
      <c r="M474" s="410"/>
      <c r="N474" s="410"/>
      <c r="R474" s="410"/>
      <c r="S474" s="410"/>
      <c r="T474" s="410"/>
      <c r="U474" s="410"/>
      <c r="V474" s="410"/>
      <c r="W474" s="410"/>
      <c r="X474" s="410"/>
      <c r="Y474" s="410"/>
      <c r="Z474" s="410"/>
      <c r="AA474" s="410"/>
      <c r="AB474" s="410"/>
      <c r="AC474" s="410"/>
      <c r="AD474" s="410"/>
      <c r="AE474" s="410"/>
      <c r="AF474" s="410"/>
      <c r="AG474" s="410"/>
      <c r="AH474" s="410"/>
      <c r="AI474" s="410"/>
      <c r="AJ474" s="410"/>
      <c r="AK474" s="410"/>
    </row>
    <row r="475" spans="1:37" x14ac:dyDescent="0.2">
      <c r="A475" s="410"/>
      <c r="B475" s="410"/>
      <c r="C475" s="410"/>
      <c r="D475" s="410"/>
      <c r="E475" s="410"/>
      <c r="F475" s="410"/>
      <c r="G475" s="410"/>
      <c r="H475" s="410"/>
      <c r="I475" s="410"/>
      <c r="J475" s="410"/>
      <c r="K475" s="410"/>
      <c r="L475" s="410"/>
      <c r="M475" s="410"/>
      <c r="N475" s="410"/>
      <c r="R475" s="410"/>
      <c r="S475" s="410"/>
      <c r="T475" s="410"/>
      <c r="U475" s="410"/>
      <c r="V475" s="410"/>
      <c r="W475" s="410"/>
      <c r="X475" s="410"/>
      <c r="Y475" s="410"/>
      <c r="Z475" s="410"/>
      <c r="AA475" s="410"/>
      <c r="AB475" s="410"/>
      <c r="AC475" s="410"/>
      <c r="AD475" s="410"/>
      <c r="AE475" s="410"/>
      <c r="AF475" s="410"/>
      <c r="AG475" s="410"/>
      <c r="AH475" s="410"/>
      <c r="AI475" s="410"/>
      <c r="AJ475" s="410"/>
      <c r="AK475" s="410"/>
    </row>
    <row r="476" spans="1:37" x14ac:dyDescent="0.2">
      <c r="A476" s="410"/>
      <c r="B476" s="410"/>
      <c r="C476" s="410"/>
      <c r="D476" s="410"/>
      <c r="E476" s="410"/>
      <c r="F476" s="410"/>
      <c r="G476" s="410"/>
      <c r="H476" s="410"/>
      <c r="I476" s="410"/>
      <c r="J476" s="410"/>
      <c r="K476" s="410"/>
      <c r="L476" s="410"/>
      <c r="M476" s="410"/>
      <c r="N476" s="410"/>
      <c r="R476" s="410"/>
      <c r="S476" s="410"/>
      <c r="T476" s="410"/>
      <c r="U476" s="410"/>
      <c r="V476" s="410"/>
      <c r="W476" s="410"/>
      <c r="X476" s="410"/>
      <c r="Y476" s="410"/>
      <c r="Z476" s="410"/>
      <c r="AA476" s="410"/>
      <c r="AB476" s="410"/>
      <c r="AC476" s="410"/>
      <c r="AD476" s="410"/>
      <c r="AE476" s="410"/>
      <c r="AF476" s="410"/>
      <c r="AG476" s="410"/>
      <c r="AH476" s="410"/>
      <c r="AI476" s="410"/>
      <c r="AJ476" s="410"/>
      <c r="AK476" s="410"/>
    </row>
    <row r="477" spans="1:37" x14ac:dyDescent="0.2">
      <c r="A477" s="410"/>
      <c r="B477" s="410"/>
      <c r="C477" s="410"/>
      <c r="D477" s="410"/>
      <c r="E477" s="410"/>
      <c r="F477" s="410"/>
      <c r="G477" s="410"/>
      <c r="H477" s="410"/>
      <c r="I477" s="410"/>
      <c r="J477" s="410"/>
      <c r="K477" s="410"/>
      <c r="L477" s="410"/>
      <c r="M477" s="410"/>
      <c r="N477" s="410"/>
      <c r="R477" s="410"/>
      <c r="S477" s="410"/>
      <c r="T477" s="410"/>
      <c r="U477" s="410"/>
      <c r="V477" s="410"/>
      <c r="W477" s="410"/>
      <c r="X477" s="410"/>
      <c r="Y477" s="410"/>
      <c r="Z477" s="410"/>
      <c r="AA477" s="410"/>
      <c r="AB477" s="410"/>
      <c r="AC477" s="410"/>
      <c r="AD477" s="410"/>
      <c r="AE477" s="410"/>
      <c r="AF477" s="410"/>
      <c r="AG477" s="410"/>
      <c r="AH477" s="410"/>
      <c r="AI477" s="410"/>
      <c r="AJ477" s="410"/>
      <c r="AK477" s="410"/>
    </row>
    <row r="478" spans="1:37" x14ac:dyDescent="0.2">
      <c r="A478" s="410"/>
      <c r="B478" s="410"/>
      <c r="C478" s="410"/>
      <c r="D478" s="410"/>
      <c r="E478" s="410"/>
      <c r="F478" s="410"/>
      <c r="G478" s="410"/>
      <c r="H478" s="410"/>
      <c r="I478" s="410"/>
      <c r="J478" s="410"/>
      <c r="K478" s="410"/>
      <c r="L478" s="410"/>
      <c r="M478" s="410"/>
      <c r="N478" s="410"/>
      <c r="R478" s="410"/>
      <c r="S478" s="410"/>
      <c r="T478" s="410"/>
      <c r="U478" s="410"/>
      <c r="V478" s="410"/>
      <c r="W478" s="410"/>
      <c r="X478" s="410"/>
      <c r="Y478" s="410"/>
      <c r="Z478" s="410"/>
      <c r="AA478" s="410"/>
      <c r="AB478" s="410"/>
      <c r="AC478" s="410"/>
      <c r="AD478" s="410"/>
      <c r="AE478" s="410"/>
      <c r="AF478" s="410"/>
      <c r="AG478" s="410"/>
      <c r="AH478" s="410"/>
      <c r="AI478" s="410"/>
      <c r="AJ478" s="410"/>
      <c r="AK478" s="410"/>
    </row>
    <row r="479" spans="1:37" x14ac:dyDescent="0.2">
      <c r="A479" s="410"/>
      <c r="B479" s="410"/>
      <c r="C479" s="410"/>
      <c r="D479" s="410"/>
      <c r="E479" s="410"/>
      <c r="F479" s="410"/>
      <c r="G479" s="410"/>
      <c r="H479" s="410"/>
      <c r="I479" s="410"/>
      <c r="J479" s="410"/>
      <c r="K479" s="410"/>
      <c r="L479" s="410"/>
      <c r="M479" s="410"/>
      <c r="N479" s="410"/>
      <c r="R479" s="410"/>
      <c r="S479" s="410"/>
      <c r="T479" s="410"/>
      <c r="U479" s="410"/>
      <c r="V479" s="410"/>
      <c r="W479" s="410"/>
      <c r="X479" s="410"/>
      <c r="Y479" s="410"/>
      <c r="Z479" s="410"/>
      <c r="AA479" s="410"/>
      <c r="AB479" s="410"/>
      <c r="AC479" s="410"/>
      <c r="AD479" s="410"/>
      <c r="AE479" s="410"/>
      <c r="AF479" s="410"/>
      <c r="AG479" s="410"/>
      <c r="AH479" s="410"/>
      <c r="AI479" s="410"/>
      <c r="AJ479" s="410"/>
      <c r="AK479" s="410"/>
    </row>
    <row r="480" spans="1:37" x14ac:dyDescent="0.2">
      <c r="A480" s="410"/>
      <c r="B480" s="410"/>
      <c r="C480" s="410"/>
      <c r="D480" s="410"/>
      <c r="E480" s="410"/>
      <c r="F480" s="410"/>
      <c r="G480" s="410"/>
      <c r="H480" s="410"/>
      <c r="I480" s="410"/>
      <c r="J480" s="410"/>
      <c r="K480" s="410"/>
      <c r="L480" s="410"/>
      <c r="M480" s="410"/>
      <c r="N480" s="410"/>
      <c r="R480" s="410"/>
      <c r="S480" s="410"/>
      <c r="T480" s="410"/>
      <c r="U480" s="410"/>
      <c r="V480" s="410"/>
      <c r="W480" s="410"/>
      <c r="X480" s="410"/>
      <c r="Y480" s="410"/>
      <c r="Z480" s="410"/>
      <c r="AA480" s="410"/>
      <c r="AB480" s="410"/>
      <c r="AC480" s="410"/>
      <c r="AD480" s="410"/>
      <c r="AE480" s="410"/>
      <c r="AF480" s="410"/>
      <c r="AG480" s="410"/>
      <c r="AH480" s="410"/>
      <c r="AI480" s="410"/>
      <c r="AJ480" s="410"/>
      <c r="AK480" s="410"/>
    </row>
    <row r="481" spans="1:37" x14ac:dyDescent="0.2">
      <c r="A481" s="410"/>
      <c r="B481" s="410"/>
      <c r="C481" s="410"/>
      <c r="D481" s="410"/>
      <c r="E481" s="410"/>
      <c r="F481" s="410"/>
      <c r="G481" s="410"/>
      <c r="H481" s="410"/>
      <c r="I481" s="410"/>
      <c r="J481" s="410"/>
      <c r="K481" s="410"/>
      <c r="L481" s="410"/>
      <c r="M481" s="410"/>
      <c r="N481" s="410"/>
      <c r="R481" s="410"/>
      <c r="S481" s="410"/>
      <c r="T481" s="410"/>
      <c r="U481" s="410"/>
      <c r="V481" s="410"/>
      <c r="W481" s="410"/>
      <c r="X481" s="410"/>
      <c r="Y481" s="410"/>
      <c r="Z481" s="410"/>
      <c r="AA481" s="410"/>
      <c r="AB481" s="410"/>
      <c r="AC481" s="410"/>
      <c r="AD481" s="410"/>
      <c r="AE481" s="410"/>
      <c r="AF481" s="410"/>
      <c r="AG481" s="410"/>
      <c r="AH481" s="410"/>
      <c r="AI481" s="410"/>
      <c r="AJ481" s="410"/>
      <c r="AK481" s="410"/>
    </row>
    <row r="482" spans="1:37" x14ac:dyDescent="0.2">
      <c r="A482" s="410"/>
      <c r="B482" s="410"/>
      <c r="C482" s="410"/>
      <c r="D482" s="410"/>
      <c r="E482" s="410"/>
      <c r="F482" s="410"/>
      <c r="G482" s="410"/>
      <c r="H482" s="410"/>
      <c r="I482" s="410"/>
      <c r="J482" s="410"/>
      <c r="K482" s="410"/>
      <c r="L482" s="410"/>
      <c r="M482" s="410"/>
      <c r="N482" s="410"/>
      <c r="R482" s="410"/>
      <c r="S482" s="410"/>
      <c r="T482" s="410"/>
      <c r="U482" s="410"/>
      <c r="V482" s="410"/>
      <c r="W482" s="410"/>
      <c r="X482" s="410"/>
      <c r="Y482" s="410"/>
      <c r="Z482" s="410"/>
      <c r="AA482" s="410"/>
      <c r="AB482" s="410"/>
      <c r="AC482" s="410"/>
      <c r="AD482" s="410"/>
      <c r="AE482" s="410"/>
      <c r="AF482" s="410"/>
      <c r="AG482" s="410"/>
      <c r="AH482" s="410"/>
      <c r="AI482" s="410"/>
      <c r="AJ482" s="410"/>
      <c r="AK482" s="410"/>
    </row>
    <row r="483" spans="1:37" x14ac:dyDescent="0.2">
      <c r="A483" s="410"/>
      <c r="B483" s="410"/>
      <c r="C483" s="410"/>
      <c r="D483" s="410"/>
      <c r="E483" s="410"/>
      <c r="F483" s="410"/>
      <c r="G483" s="410"/>
      <c r="H483" s="410"/>
      <c r="I483" s="410"/>
      <c r="J483" s="410"/>
      <c r="K483" s="410"/>
      <c r="L483" s="410"/>
      <c r="M483" s="410"/>
      <c r="N483" s="410"/>
      <c r="R483" s="410"/>
      <c r="S483" s="410"/>
      <c r="T483" s="410"/>
      <c r="U483" s="410"/>
      <c r="V483" s="410"/>
      <c r="W483" s="410"/>
      <c r="X483" s="410"/>
      <c r="Y483" s="410"/>
      <c r="Z483" s="410"/>
      <c r="AA483" s="410"/>
      <c r="AB483" s="410"/>
      <c r="AC483" s="410"/>
      <c r="AD483" s="410"/>
      <c r="AE483" s="410"/>
      <c r="AF483" s="410"/>
      <c r="AG483" s="410"/>
      <c r="AH483" s="410"/>
      <c r="AI483" s="410"/>
      <c r="AJ483" s="410"/>
      <c r="AK483" s="410"/>
    </row>
    <row r="484" spans="1:37" x14ac:dyDescent="0.2">
      <c r="A484" s="410"/>
      <c r="B484" s="410"/>
      <c r="C484" s="410"/>
      <c r="D484" s="410"/>
      <c r="E484" s="410"/>
      <c r="F484" s="410"/>
      <c r="G484" s="410"/>
      <c r="H484" s="410"/>
      <c r="I484" s="410"/>
      <c r="J484" s="410"/>
      <c r="K484" s="410"/>
      <c r="L484" s="410"/>
      <c r="M484" s="410"/>
      <c r="N484" s="410"/>
      <c r="R484" s="410"/>
      <c r="S484" s="410"/>
      <c r="T484" s="410"/>
      <c r="U484" s="410"/>
      <c r="V484" s="410"/>
      <c r="W484" s="410"/>
      <c r="X484" s="410"/>
      <c r="Y484" s="410"/>
      <c r="Z484" s="410"/>
      <c r="AA484" s="410"/>
      <c r="AB484" s="410"/>
      <c r="AC484" s="410"/>
      <c r="AD484" s="410"/>
      <c r="AE484" s="410"/>
      <c r="AF484" s="410"/>
      <c r="AG484" s="410"/>
      <c r="AH484" s="410"/>
      <c r="AI484" s="410"/>
      <c r="AJ484" s="410"/>
      <c r="AK484" s="410"/>
    </row>
    <row r="485" spans="1:37" x14ac:dyDescent="0.2">
      <c r="A485" s="410"/>
      <c r="B485" s="410"/>
      <c r="C485" s="410"/>
      <c r="D485" s="410"/>
      <c r="E485" s="410"/>
      <c r="F485" s="410"/>
      <c r="G485" s="410"/>
      <c r="H485" s="410"/>
      <c r="I485" s="410"/>
      <c r="J485" s="410"/>
      <c r="K485" s="410"/>
      <c r="L485" s="410"/>
      <c r="M485" s="410"/>
      <c r="N485" s="410"/>
      <c r="R485" s="410"/>
      <c r="S485" s="410"/>
      <c r="T485" s="410"/>
      <c r="U485" s="410"/>
      <c r="V485" s="410"/>
      <c r="W485" s="410"/>
      <c r="X485" s="410"/>
      <c r="Y485" s="410"/>
      <c r="Z485" s="410"/>
      <c r="AA485" s="410"/>
      <c r="AB485" s="410"/>
      <c r="AC485" s="410"/>
      <c r="AD485" s="410"/>
      <c r="AE485" s="410"/>
      <c r="AF485" s="410"/>
      <c r="AG485" s="410"/>
      <c r="AH485" s="410"/>
      <c r="AI485" s="410"/>
      <c r="AJ485" s="410"/>
      <c r="AK485" s="410"/>
    </row>
    <row r="486" spans="1:37" x14ac:dyDescent="0.2">
      <c r="A486" s="410"/>
      <c r="B486" s="410"/>
      <c r="C486" s="410"/>
      <c r="D486" s="410"/>
      <c r="E486" s="410"/>
      <c r="F486" s="410"/>
      <c r="G486" s="410"/>
      <c r="H486" s="410"/>
      <c r="I486" s="410"/>
      <c r="J486" s="410"/>
      <c r="K486" s="410"/>
      <c r="L486" s="410"/>
      <c r="M486" s="410"/>
      <c r="N486" s="410"/>
      <c r="R486" s="410"/>
      <c r="S486" s="410"/>
      <c r="T486" s="410"/>
      <c r="U486" s="410"/>
      <c r="V486" s="410"/>
      <c r="W486" s="410"/>
      <c r="X486" s="410"/>
      <c r="Y486" s="410"/>
      <c r="Z486" s="410"/>
      <c r="AA486" s="410"/>
      <c r="AB486" s="410"/>
      <c r="AC486" s="410"/>
      <c r="AD486" s="410"/>
      <c r="AE486" s="410"/>
      <c r="AF486" s="410"/>
      <c r="AG486" s="410"/>
      <c r="AH486" s="410"/>
      <c r="AI486" s="410"/>
      <c r="AJ486" s="410"/>
      <c r="AK486" s="410"/>
    </row>
    <row r="487" spans="1:37" x14ac:dyDescent="0.2">
      <c r="A487" s="410"/>
      <c r="B487" s="410"/>
      <c r="C487" s="410"/>
      <c r="D487" s="410"/>
      <c r="E487" s="410"/>
      <c r="F487" s="410"/>
      <c r="G487" s="410"/>
      <c r="H487" s="410"/>
      <c r="I487" s="410"/>
      <c r="J487" s="410"/>
      <c r="K487" s="410"/>
      <c r="L487" s="410"/>
      <c r="M487" s="410"/>
      <c r="N487" s="410"/>
      <c r="R487" s="410"/>
      <c r="S487" s="410"/>
      <c r="T487" s="410"/>
      <c r="U487" s="410"/>
      <c r="V487" s="410"/>
      <c r="W487" s="410"/>
      <c r="X487" s="410"/>
      <c r="Y487" s="410"/>
      <c r="Z487" s="410"/>
      <c r="AA487" s="410"/>
      <c r="AB487" s="410"/>
      <c r="AC487" s="410"/>
      <c r="AD487" s="410"/>
      <c r="AE487" s="410"/>
      <c r="AF487" s="410"/>
      <c r="AG487" s="410"/>
      <c r="AH487" s="410"/>
      <c r="AI487" s="410"/>
      <c r="AJ487" s="410"/>
      <c r="AK487" s="410"/>
    </row>
    <row r="488" spans="1:37" x14ac:dyDescent="0.2">
      <c r="A488" s="410"/>
      <c r="B488" s="410"/>
      <c r="C488" s="410"/>
      <c r="D488" s="410"/>
      <c r="E488" s="410"/>
      <c r="F488" s="410"/>
      <c r="G488" s="410"/>
      <c r="H488" s="410"/>
      <c r="I488" s="410"/>
      <c r="J488" s="410"/>
      <c r="K488" s="410"/>
      <c r="L488" s="410"/>
      <c r="M488" s="410"/>
      <c r="N488" s="410"/>
      <c r="R488" s="410"/>
      <c r="S488" s="410"/>
      <c r="T488" s="410"/>
      <c r="U488" s="410"/>
      <c r="V488" s="410"/>
      <c r="W488" s="410"/>
      <c r="X488" s="410"/>
      <c r="Y488" s="410"/>
      <c r="Z488" s="410"/>
      <c r="AA488" s="410"/>
      <c r="AB488" s="410"/>
      <c r="AC488" s="410"/>
      <c r="AD488" s="410"/>
      <c r="AE488" s="410"/>
      <c r="AF488" s="410"/>
      <c r="AG488" s="410"/>
      <c r="AH488" s="410"/>
      <c r="AI488" s="410"/>
      <c r="AJ488" s="410"/>
      <c r="AK488" s="410"/>
    </row>
    <row r="489" spans="1:37" x14ac:dyDescent="0.2">
      <c r="A489" s="410"/>
      <c r="B489" s="410"/>
      <c r="C489" s="410"/>
      <c r="D489" s="410"/>
      <c r="E489" s="410"/>
      <c r="F489" s="410"/>
      <c r="G489" s="410"/>
      <c r="H489" s="410"/>
      <c r="I489" s="410"/>
      <c r="J489" s="410"/>
      <c r="K489" s="410"/>
      <c r="L489" s="410"/>
      <c r="M489" s="410"/>
      <c r="N489" s="410"/>
      <c r="R489" s="410"/>
      <c r="S489" s="410"/>
      <c r="T489" s="410"/>
      <c r="U489" s="410"/>
      <c r="V489" s="410"/>
      <c r="W489" s="410"/>
      <c r="X489" s="410"/>
      <c r="Y489" s="410"/>
      <c r="Z489" s="410"/>
      <c r="AA489" s="410"/>
      <c r="AB489" s="410"/>
      <c r="AC489" s="410"/>
      <c r="AD489" s="410"/>
      <c r="AE489" s="410"/>
      <c r="AF489" s="410"/>
      <c r="AG489" s="410"/>
      <c r="AH489" s="410"/>
      <c r="AI489" s="410"/>
      <c r="AJ489" s="410"/>
      <c r="AK489" s="410"/>
    </row>
    <row r="490" spans="1:37" x14ac:dyDescent="0.2">
      <c r="A490" s="410"/>
      <c r="B490" s="410"/>
      <c r="C490" s="410"/>
      <c r="D490" s="410"/>
      <c r="E490" s="410"/>
      <c r="F490" s="410"/>
      <c r="G490" s="410"/>
      <c r="H490" s="410"/>
      <c r="I490" s="410"/>
      <c r="J490" s="410"/>
      <c r="K490" s="410"/>
      <c r="L490" s="410"/>
      <c r="M490" s="410"/>
      <c r="N490" s="410"/>
      <c r="R490" s="410"/>
      <c r="S490" s="410"/>
      <c r="T490" s="410"/>
      <c r="U490" s="410"/>
      <c r="V490" s="410"/>
      <c r="W490" s="410"/>
      <c r="X490" s="410"/>
      <c r="Y490" s="410"/>
      <c r="Z490" s="410"/>
      <c r="AA490" s="410"/>
      <c r="AB490" s="410"/>
      <c r="AC490" s="410"/>
      <c r="AD490" s="410"/>
      <c r="AE490" s="410"/>
      <c r="AF490" s="410"/>
      <c r="AG490" s="410"/>
      <c r="AH490" s="410"/>
      <c r="AI490" s="410"/>
      <c r="AJ490" s="410"/>
      <c r="AK490" s="410"/>
    </row>
    <row r="491" spans="1:37" x14ac:dyDescent="0.2">
      <c r="A491" s="410"/>
      <c r="B491" s="410"/>
      <c r="C491" s="410"/>
      <c r="D491" s="410"/>
      <c r="E491" s="410"/>
      <c r="F491" s="410"/>
      <c r="G491" s="410"/>
      <c r="H491" s="410"/>
      <c r="I491" s="410"/>
      <c r="J491" s="410"/>
      <c r="K491" s="410"/>
      <c r="L491" s="410"/>
      <c r="M491" s="410"/>
      <c r="N491" s="410"/>
      <c r="R491" s="410"/>
      <c r="S491" s="410"/>
      <c r="T491" s="410"/>
      <c r="U491" s="410"/>
      <c r="V491" s="410"/>
      <c r="W491" s="410"/>
      <c r="X491" s="410"/>
      <c r="Y491" s="410"/>
      <c r="Z491" s="410"/>
      <c r="AA491" s="410"/>
      <c r="AB491" s="410"/>
      <c r="AC491" s="410"/>
      <c r="AD491" s="410"/>
      <c r="AE491" s="410"/>
      <c r="AF491" s="410"/>
      <c r="AG491" s="410"/>
      <c r="AH491" s="410"/>
      <c r="AI491" s="410"/>
      <c r="AJ491" s="410"/>
      <c r="AK491" s="410"/>
    </row>
    <row r="492" spans="1:37" x14ac:dyDescent="0.2">
      <c r="A492" s="410"/>
      <c r="B492" s="410"/>
      <c r="C492" s="410"/>
      <c r="D492" s="410"/>
      <c r="E492" s="410"/>
      <c r="F492" s="410"/>
      <c r="G492" s="410"/>
      <c r="H492" s="410"/>
      <c r="I492" s="410"/>
      <c r="J492" s="410"/>
      <c r="K492" s="410"/>
      <c r="L492" s="410"/>
      <c r="M492" s="410"/>
      <c r="N492" s="410"/>
      <c r="R492" s="410"/>
      <c r="S492" s="410"/>
      <c r="T492" s="410"/>
      <c r="U492" s="410"/>
      <c r="V492" s="410"/>
      <c r="W492" s="410"/>
      <c r="X492" s="410"/>
      <c r="Y492" s="410"/>
      <c r="Z492" s="410"/>
      <c r="AA492" s="410"/>
      <c r="AB492" s="410"/>
      <c r="AC492" s="410"/>
      <c r="AD492" s="410"/>
      <c r="AE492" s="410"/>
      <c r="AF492" s="410"/>
      <c r="AG492" s="410"/>
      <c r="AH492" s="410"/>
      <c r="AI492" s="410"/>
      <c r="AJ492" s="410"/>
      <c r="AK492" s="410"/>
    </row>
    <row r="493" spans="1:37" x14ac:dyDescent="0.2">
      <c r="A493" s="410"/>
      <c r="B493" s="410"/>
      <c r="C493" s="410"/>
      <c r="D493" s="410"/>
      <c r="E493" s="410"/>
      <c r="F493" s="410"/>
      <c r="G493" s="410"/>
      <c r="H493" s="410"/>
      <c r="I493" s="410"/>
      <c r="J493" s="410"/>
      <c r="K493" s="410"/>
      <c r="L493" s="410"/>
      <c r="M493" s="410"/>
      <c r="N493" s="410"/>
      <c r="R493" s="410"/>
      <c r="S493" s="410"/>
      <c r="T493" s="410"/>
      <c r="U493" s="410"/>
      <c r="V493" s="410"/>
      <c r="W493" s="410"/>
      <c r="X493" s="410"/>
      <c r="Y493" s="410"/>
      <c r="Z493" s="410"/>
      <c r="AA493" s="410"/>
      <c r="AB493" s="410"/>
      <c r="AC493" s="410"/>
      <c r="AD493" s="410"/>
      <c r="AE493" s="410"/>
      <c r="AF493" s="410"/>
      <c r="AG493" s="410"/>
      <c r="AH493" s="410"/>
      <c r="AI493" s="410"/>
      <c r="AJ493" s="410"/>
      <c r="AK493" s="410"/>
    </row>
    <row r="494" spans="1:37" x14ac:dyDescent="0.2">
      <c r="A494" s="410"/>
      <c r="B494" s="410"/>
      <c r="C494" s="410"/>
      <c r="D494" s="410"/>
      <c r="E494" s="410"/>
      <c r="F494" s="410"/>
      <c r="G494" s="410"/>
      <c r="H494" s="410"/>
      <c r="I494" s="410"/>
      <c r="J494" s="410"/>
      <c r="K494" s="410"/>
      <c r="L494" s="410"/>
      <c r="M494" s="410"/>
      <c r="N494" s="410"/>
      <c r="R494" s="410"/>
      <c r="S494" s="410"/>
      <c r="T494" s="410"/>
      <c r="U494" s="410"/>
      <c r="V494" s="410"/>
      <c r="W494" s="410"/>
      <c r="X494" s="410"/>
      <c r="Y494" s="410"/>
      <c r="Z494" s="410"/>
      <c r="AA494" s="410"/>
      <c r="AB494" s="410"/>
      <c r="AC494" s="410"/>
      <c r="AD494" s="410"/>
      <c r="AE494" s="410"/>
      <c r="AF494" s="410"/>
      <c r="AG494" s="410"/>
      <c r="AH494" s="410"/>
      <c r="AI494" s="410"/>
      <c r="AJ494" s="410"/>
      <c r="AK494" s="410"/>
    </row>
    <row r="495" spans="1:37" x14ac:dyDescent="0.2">
      <c r="A495" s="410"/>
      <c r="B495" s="410"/>
      <c r="C495" s="410"/>
      <c r="D495" s="410"/>
      <c r="E495" s="410"/>
      <c r="F495" s="410"/>
      <c r="G495" s="410"/>
      <c r="H495" s="410"/>
      <c r="I495" s="410"/>
      <c r="J495" s="410"/>
      <c r="K495" s="410"/>
      <c r="L495" s="410"/>
      <c r="M495" s="410"/>
      <c r="N495" s="410"/>
      <c r="R495" s="410"/>
      <c r="S495" s="410"/>
      <c r="T495" s="410"/>
      <c r="U495" s="410"/>
      <c r="V495" s="410"/>
      <c r="W495" s="410"/>
      <c r="X495" s="410"/>
      <c r="Y495" s="410"/>
      <c r="Z495" s="410"/>
      <c r="AA495" s="410"/>
      <c r="AB495" s="410"/>
      <c r="AC495" s="410"/>
      <c r="AD495" s="410"/>
      <c r="AE495" s="410"/>
      <c r="AF495" s="410"/>
      <c r="AG495" s="410"/>
      <c r="AH495" s="410"/>
      <c r="AI495" s="410"/>
      <c r="AJ495" s="410"/>
      <c r="AK495" s="410"/>
    </row>
    <row r="496" spans="1:37" x14ac:dyDescent="0.2">
      <c r="A496" s="410"/>
      <c r="B496" s="410"/>
      <c r="C496" s="410"/>
      <c r="D496" s="410"/>
      <c r="E496" s="410"/>
      <c r="F496" s="410"/>
      <c r="G496" s="410"/>
      <c r="H496" s="410"/>
      <c r="I496" s="410"/>
      <c r="J496" s="410"/>
      <c r="K496" s="410"/>
      <c r="L496" s="410"/>
      <c r="M496" s="410"/>
      <c r="N496" s="410"/>
      <c r="R496" s="410"/>
      <c r="S496" s="410"/>
      <c r="T496" s="410"/>
      <c r="U496" s="410"/>
      <c r="V496" s="410"/>
      <c r="W496" s="410"/>
      <c r="X496" s="410"/>
      <c r="Y496" s="410"/>
      <c r="Z496" s="410"/>
      <c r="AA496" s="410"/>
      <c r="AB496" s="410"/>
      <c r="AC496" s="410"/>
      <c r="AD496" s="410"/>
      <c r="AE496" s="410"/>
      <c r="AF496" s="410"/>
      <c r="AG496" s="410"/>
      <c r="AH496" s="410"/>
      <c r="AI496" s="410"/>
      <c r="AJ496" s="410"/>
      <c r="AK496" s="410"/>
    </row>
    <row r="497" spans="1:37" x14ac:dyDescent="0.2">
      <c r="A497" s="410"/>
      <c r="B497" s="410"/>
      <c r="C497" s="410"/>
      <c r="D497" s="410"/>
      <c r="E497" s="410"/>
      <c r="F497" s="410"/>
      <c r="G497" s="410"/>
      <c r="H497" s="410"/>
      <c r="I497" s="410"/>
      <c r="J497" s="410"/>
      <c r="K497" s="410"/>
      <c r="L497" s="410"/>
      <c r="M497" s="410"/>
      <c r="N497" s="410"/>
      <c r="R497" s="410"/>
      <c r="S497" s="410"/>
      <c r="T497" s="410"/>
      <c r="U497" s="410"/>
      <c r="V497" s="410"/>
      <c r="W497" s="410"/>
      <c r="X497" s="410"/>
      <c r="Y497" s="410"/>
      <c r="Z497" s="410"/>
      <c r="AA497" s="410"/>
      <c r="AB497" s="410"/>
      <c r="AC497" s="410"/>
      <c r="AD497" s="410"/>
      <c r="AE497" s="410"/>
      <c r="AF497" s="410"/>
      <c r="AG497" s="410"/>
      <c r="AH497" s="410"/>
      <c r="AI497" s="410"/>
      <c r="AJ497" s="410"/>
      <c r="AK497" s="410"/>
    </row>
    <row r="498" spans="1:37" x14ac:dyDescent="0.2">
      <c r="A498" s="410"/>
      <c r="B498" s="410"/>
      <c r="C498" s="410"/>
      <c r="D498" s="410"/>
      <c r="E498" s="410"/>
      <c r="F498" s="410"/>
      <c r="G498" s="410"/>
      <c r="H498" s="410"/>
      <c r="I498" s="410"/>
      <c r="J498" s="410"/>
      <c r="K498" s="410"/>
      <c r="L498" s="410"/>
      <c r="M498" s="410"/>
      <c r="N498" s="410"/>
      <c r="R498" s="410"/>
      <c r="S498" s="410"/>
      <c r="T498" s="410"/>
      <c r="U498" s="410"/>
      <c r="V498" s="410"/>
      <c r="W498" s="410"/>
      <c r="X498" s="410"/>
      <c r="Y498" s="410"/>
      <c r="Z498" s="410"/>
      <c r="AA498" s="410"/>
      <c r="AB498" s="410"/>
      <c r="AC498" s="410"/>
      <c r="AD498" s="410"/>
      <c r="AE498" s="410"/>
      <c r="AF498" s="410"/>
      <c r="AG498" s="410"/>
      <c r="AH498" s="410"/>
      <c r="AI498" s="410"/>
      <c r="AJ498" s="410"/>
      <c r="AK498" s="410"/>
    </row>
    <row r="499" spans="1:37" x14ac:dyDescent="0.2">
      <c r="A499" s="410"/>
      <c r="B499" s="410"/>
      <c r="C499" s="410"/>
      <c r="D499" s="410"/>
      <c r="E499" s="410"/>
      <c r="F499" s="410"/>
      <c r="G499" s="410"/>
      <c r="H499" s="410"/>
      <c r="I499" s="410"/>
      <c r="J499" s="410"/>
      <c r="K499" s="410"/>
      <c r="L499" s="410"/>
      <c r="M499" s="410"/>
      <c r="N499" s="410"/>
      <c r="R499" s="410"/>
      <c r="S499" s="410"/>
      <c r="T499" s="410"/>
      <c r="U499" s="410"/>
      <c r="V499" s="410"/>
      <c r="W499" s="410"/>
      <c r="X499" s="410"/>
      <c r="Y499" s="410"/>
      <c r="Z499" s="410"/>
      <c r="AA499" s="410"/>
      <c r="AB499" s="410"/>
      <c r="AC499" s="410"/>
      <c r="AD499" s="410"/>
      <c r="AE499" s="410"/>
      <c r="AF499" s="410"/>
      <c r="AG499" s="410"/>
      <c r="AH499" s="410"/>
      <c r="AI499" s="410"/>
      <c r="AJ499" s="410"/>
      <c r="AK499" s="410"/>
    </row>
    <row r="500" spans="1:37" x14ac:dyDescent="0.2">
      <c r="A500" s="410"/>
      <c r="B500" s="410"/>
      <c r="C500" s="410"/>
      <c r="D500" s="410"/>
      <c r="E500" s="410"/>
      <c r="F500" s="410"/>
      <c r="G500" s="410"/>
      <c r="H500" s="410"/>
      <c r="I500" s="410"/>
      <c r="J500" s="410"/>
      <c r="K500" s="410"/>
      <c r="L500" s="410"/>
      <c r="M500" s="410"/>
      <c r="N500" s="410"/>
      <c r="R500" s="410"/>
      <c r="S500" s="410"/>
      <c r="T500" s="410"/>
      <c r="U500" s="410"/>
      <c r="V500" s="410"/>
      <c r="W500" s="410"/>
      <c r="X500" s="410"/>
      <c r="Y500" s="410"/>
      <c r="Z500" s="410"/>
      <c r="AA500" s="410"/>
      <c r="AB500" s="410"/>
      <c r="AC500" s="410"/>
      <c r="AD500" s="410"/>
      <c r="AE500" s="410"/>
      <c r="AF500" s="410"/>
      <c r="AG500" s="410"/>
      <c r="AH500" s="410"/>
      <c r="AI500" s="410"/>
      <c r="AJ500" s="410"/>
      <c r="AK500" s="410"/>
    </row>
    <row r="501" spans="1:37" x14ac:dyDescent="0.2">
      <c r="A501" s="410"/>
      <c r="B501" s="410"/>
      <c r="C501" s="410"/>
      <c r="D501" s="410"/>
      <c r="E501" s="410"/>
      <c r="F501" s="410"/>
      <c r="G501" s="410"/>
      <c r="H501" s="410"/>
      <c r="I501" s="410"/>
      <c r="J501" s="410"/>
      <c r="K501" s="410"/>
      <c r="L501" s="410"/>
      <c r="M501" s="410"/>
      <c r="N501" s="410"/>
      <c r="R501" s="410"/>
      <c r="S501" s="410"/>
      <c r="T501" s="410"/>
      <c r="U501" s="410"/>
      <c r="V501" s="410"/>
      <c r="W501" s="410"/>
      <c r="X501" s="410"/>
      <c r="Y501" s="410"/>
      <c r="Z501" s="410"/>
      <c r="AA501" s="410"/>
      <c r="AB501" s="410"/>
      <c r="AC501" s="410"/>
      <c r="AD501" s="410"/>
      <c r="AE501" s="410"/>
      <c r="AF501" s="410"/>
      <c r="AG501" s="410"/>
      <c r="AH501" s="410"/>
      <c r="AI501" s="410"/>
      <c r="AJ501" s="410"/>
      <c r="AK501" s="410"/>
    </row>
    <row r="502" spans="1:37" x14ac:dyDescent="0.2">
      <c r="A502" s="410"/>
      <c r="B502" s="410"/>
      <c r="C502" s="410"/>
      <c r="D502" s="410"/>
      <c r="E502" s="410"/>
      <c r="F502" s="410"/>
      <c r="G502" s="410"/>
      <c r="H502" s="410"/>
      <c r="I502" s="410"/>
      <c r="J502" s="410"/>
      <c r="K502" s="410"/>
      <c r="L502" s="410"/>
      <c r="M502" s="410"/>
      <c r="N502" s="410"/>
      <c r="R502" s="410"/>
      <c r="S502" s="410"/>
      <c r="T502" s="410"/>
      <c r="U502" s="410"/>
      <c r="V502" s="410"/>
      <c r="W502" s="410"/>
      <c r="X502" s="410"/>
      <c r="Y502" s="410"/>
      <c r="Z502" s="410"/>
      <c r="AA502" s="410"/>
      <c r="AB502" s="410"/>
      <c r="AC502" s="410"/>
      <c r="AD502" s="410"/>
      <c r="AE502" s="410"/>
      <c r="AF502" s="410"/>
      <c r="AG502" s="410"/>
      <c r="AH502" s="410"/>
      <c r="AI502" s="410"/>
      <c r="AJ502" s="410"/>
      <c r="AK502" s="410"/>
    </row>
    <row r="503" spans="1:37" x14ac:dyDescent="0.2">
      <c r="A503" s="410"/>
      <c r="B503" s="410"/>
      <c r="C503" s="410"/>
      <c r="D503" s="410"/>
      <c r="E503" s="410"/>
      <c r="F503" s="410"/>
      <c r="G503" s="410"/>
      <c r="H503" s="410"/>
      <c r="I503" s="410"/>
      <c r="J503" s="410"/>
      <c r="K503" s="410"/>
      <c r="L503" s="410"/>
      <c r="M503" s="410"/>
      <c r="N503" s="410"/>
      <c r="R503" s="410"/>
      <c r="S503" s="410"/>
      <c r="T503" s="410"/>
      <c r="U503" s="410"/>
      <c r="V503" s="410"/>
      <c r="W503" s="410"/>
      <c r="X503" s="410"/>
      <c r="Y503" s="410"/>
      <c r="Z503" s="410"/>
      <c r="AA503" s="410"/>
      <c r="AB503" s="410"/>
      <c r="AC503" s="410"/>
      <c r="AD503" s="410"/>
      <c r="AE503" s="410"/>
      <c r="AF503" s="410"/>
      <c r="AG503" s="410"/>
      <c r="AH503" s="410"/>
      <c r="AI503" s="410"/>
      <c r="AJ503" s="410"/>
      <c r="AK503" s="410"/>
    </row>
    <row r="504" spans="1:37" x14ac:dyDescent="0.2">
      <c r="A504" s="410"/>
      <c r="B504" s="410"/>
      <c r="C504" s="410"/>
      <c r="D504" s="410"/>
      <c r="E504" s="410"/>
      <c r="F504" s="410"/>
      <c r="G504" s="410"/>
      <c r="H504" s="410"/>
      <c r="I504" s="410"/>
      <c r="J504" s="410"/>
      <c r="K504" s="410"/>
      <c r="L504" s="410"/>
      <c r="M504" s="410"/>
      <c r="N504" s="410"/>
      <c r="R504" s="410"/>
      <c r="S504" s="410"/>
      <c r="T504" s="410"/>
      <c r="U504" s="410"/>
      <c r="V504" s="410"/>
      <c r="W504" s="410"/>
      <c r="X504" s="410"/>
      <c r="Y504" s="410"/>
      <c r="Z504" s="410"/>
      <c r="AA504" s="410"/>
      <c r="AB504" s="410"/>
      <c r="AC504" s="410"/>
      <c r="AD504" s="410"/>
      <c r="AE504" s="410"/>
      <c r="AF504" s="410"/>
      <c r="AG504" s="410"/>
      <c r="AH504" s="410"/>
      <c r="AI504" s="410"/>
      <c r="AJ504" s="410"/>
      <c r="AK504" s="410"/>
    </row>
    <row r="505" spans="1:37" x14ac:dyDescent="0.2">
      <c r="A505" s="410"/>
      <c r="B505" s="410"/>
      <c r="C505" s="410"/>
      <c r="D505" s="410"/>
      <c r="E505" s="410"/>
      <c r="F505" s="410"/>
      <c r="G505" s="410"/>
      <c r="H505" s="410"/>
      <c r="I505" s="410"/>
      <c r="J505" s="410"/>
      <c r="K505" s="410"/>
      <c r="L505" s="410"/>
      <c r="M505" s="410"/>
      <c r="N505" s="410"/>
      <c r="R505" s="410"/>
      <c r="S505" s="410"/>
      <c r="T505" s="410"/>
      <c r="U505" s="410"/>
      <c r="V505" s="410"/>
      <c r="W505" s="410"/>
      <c r="X505" s="410"/>
      <c r="Y505" s="410"/>
      <c r="Z505" s="410"/>
      <c r="AA505" s="410"/>
      <c r="AB505" s="410"/>
      <c r="AC505" s="410"/>
      <c r="AD505" s="410"/>
      <c r="AE505" s="410"/>
      <c r="AF505" s="410"/>
      <c r="AG505" s="410"/>
      <c r="AH505" s="410"/>
      <c r="AI505" s="410"/>
      <c r="AJ505" s="410"/>
      <c r="AK505" s="410"/>
    </row>
    <row r="506" spans="1:37" x14ac:dyDescent="0.2">
      <c r="A506" s="410"/>
      <c r="B506" s="410"/>
      <c r="C506" s="410"/>
      <c r="D506" s="410"/>
      <c r="E506" s="410"/>
      <c r="F506" s="410"/>
      <c r="G506" s="410"/>
      <c r="H506" s="410"/>
      <c r="I506" s="410"/>
      <c r="J506" s="410"/>
      <c r="K506" s="410"/>
      <c r="L506" s="410"/>
      <c r="M506" s="410"/>
      <c r="N506" s="410"/>
      <c r="R506" s="410"/>
      <c r="S506" s="410"/>
      <c r="T506" s="410"/>
      <c r="U506" s="410"/>
      <c r="V506" s="410"/>
      <c r="W506" s="410"/>
      <c r="X506" s="410"/>
      <c r="Y506" s="410"/>
      <c r="Z506" s="410"/>
      <c r="AA506" s="410"/>
      <c r="AB506" s="410"/>
      <c r="AC506" s="410"/>
      <c r="AD506" s="410"/>
      <c r="AE506" s="410"/>
      <c r="AF506" s="410"/>
      <c r="AG506" s="410"/>
      <c r="AH506" s="410"/>
      <c r="AI506" s="410"/>
      <c r="AJ506" s="410"/>
      <c r="AK506" s="410"/>
    </row>
    <row r="507" spans="1:37" x14ac:dyDescent="0.2">
      <c r="A507" s="410"/>
      <c r="B507" s="410"/>
      <c r="C507" s="410"/>
      <c r="D507" s="410"/>
      <c r="E507" s="410"/>
      <c r="F507" s="410"/>
      <c r="G507" s="410"/>
      <c r="H507" s="410"/>
      <c r="I507" s="410"/>
      <c r="J507" s="410"/>
      <c r="K507" s="410"/>
      <c r="L507" s="410"/>
      <c r="M507" s="410"/>
      <c r="N507" s="410"/>
      <c r="R507" s="410"/>
      <c r="S507" s="410"/>
      <c r="T507" s="410"/>
      <c r="U507" s="410"/>
      <c r="V507" s="410"/>
      <c r="W507" s="410"/>
      <c r="X507" s="410"/>
      <c r="Y507" s="410"/>
      <c r="Z507" s="410"/>
      <c r="AA507" s="410"/>
      <c r="AB507" s="410"/>
      <c r="AC507" s="410"/>
      <c r="AD507" s="410"/>
      <c r="AE507" s="410"/>
      <c r="AF507" s="410"/>
      <c r="AG507" s="410"/>
      <c r="AH507" s="410"/>
      <c r="AI507" s="410"/>
      <c r="AJ507" s="410"/>
      <c r="AK507" s="410"/>
    </row>
    <row r="508" spans="1:37" x14ac:dyDescent="0.2">
      <c r="A508" s="410"/>
      <c r="B508" s="410"/>
      <c r="C508" s="410"/>
      <c r="D508" s="410"/>
      <c r="E508" s="410"/>
      <c r="F508" s="410"/>
      <c r="G508" s="410"/>
      <c r="H508" s="410"/>
      <c r="I508" s="410"/>
      <c r="J508" s="410"/>
      <c r="K508" s="410"/>
      <c r="L508" s="410"/>
      <c r="M508" s="410"/>
      <c r="N508" s="410"/>
      <c r="R508" s="410"/>
      <c r="S508" s="410"/>
      <c r="T508" s="410"/>
      <c r="U508" s="410"/>
      <c r="V508" s="410"/>
      <c r="W508" s="410"/>
      <c r="X508" s="410"/>
      <c r="Y508" s="410"/>
      <c r="Z508" s="410"/>
      <c r="AA508" s="410"/>
      <c r="AB508" s="410"/>
      <c r="AC508" s="410"/>
      <c r="AD508" s="410"/>
      <c r="AE508" s="410"/>
      <c r="AF508" s="410"/>
      <c r="AG508" s="410"/>
      <c r="AH508" s="410"/>
      <c r="AI508" s="410"/>
      <c r="AJ508" s="410"/>
      <c r="AK508" s="410"/>
    </row>
    <row r="509" spans="1:37" x14ac:dyDescent="0.2">
      <c r="A509" s="410"/>
      <c r="B509" s="410"/>
      <c r="C509" s="410"/>
      <c r="D509" s="410"/>
      <c r="E509" s="410"/>
      <c r="F509" s="410"/>
      <c r="G509" s="410"/>
      <c r="H509" s="410"/>
      <c r="I509" s="410"/>
      <c r="J509" s="410"/>
      <c r="K509" s="410"/>
      <c r="L509" s="410"/>
      <c r="M509" s="410"/>
      <c r="N509" s="410"/>
      <c r="R509" s="410"/>
      <c r="S509" s="410"/>
      <c r="T509" s="410"/>
      <c r="U509" s="410"/>
      <c r="V509" s="410"/>
      <c r="W509" s="410"/>
      <c r="X509" s="410"/>
      <c r="Y509" s="410"/>
      <c r="Z509" s="410"/>
      <c r="AA509" s="410"/>
      <c r="AB509" s="410"/>
      <c r="AC509" s="410"/>
      <c r="AD509" s="410"/>
      <c r="AE509" s="410"/>
      <c r="AF509" s="410"/>
      <c r="AG509" s="410"/>
      <c r="AH509" s="410"/>
      <c r="AI509" s="410"/>
      <c r="AJ509" s="410"/>
      <c r="AK509" s="410"/>
    </row>
    <row r="510" spans="1:37" x14ac:dyDescent="0.2">
      <c r="A510" s="410"/>
      <c r="B510" s="410"/>
      <c r="C510" s="410"/>
      <c r="D510" s="410"/>
      <c r="E510" s="410"/>
      <c r="F510" s="410"/>
      <c r="G510" s="410"/>
      <c r="H510" s="410"/>
      <c r="I510" s="410"/>
      <c r="J510" s="410"/>
      <c r="K510" s="410"/>
      <c r="L510" s="410"/>
      <c r="M510" s="410"/>
      <c r="N510" s="410"/>
      <c r="R510" s="410"/>
      <c r="S510" s="410"/>
      <c r="T510" s="410"/>
      <c r="U510" s="410"/>
      <c r="V510" s="410"/>
      <c r="W510" s="410"/>
      <c r="X510" s="410"/>
      <c r="Y510" s="410"/>
      <c r="Z510" s="410"/>
      <c r="AA510" s="410"/>
      <c r="AB510" s="410"/>
      <c r="AC510" s="410"/>
      <c r="AD510" s="410"/>
      <c r="AE510" s="410"/>
      <c r="AF510" s="410"/>
      <c r="AG510" s="410"/>
      <c r="AH510" s="410"/>
      <c r="AI510" s="410"/>
      <c r="AJ510" s="410"/>
      <c r="AK510" s="410"/>
    </row>
    <row r="511" spans="1:37" x14ac:dyDescent="0.2">
      <c r="A511" s="410"/>
      <c r="B511" s="410"/>
      <c r="C511" s="410"/>
      <c r="D511" s="410"/>
      <c r="E511" s="410"/>
      <c r="F511" s="410"/>
      <c r="G511" s="410"/>
      <c r="H511" s="410"/>
      <c r="I511" s="410"/>
      <c r="J511" s="410"/>
      <c r="K511" s="410"/>
      <c r="L511" s="410"/>
      <c r="M511" s="410"/>
      <c r="N511" s="410"/>
      <c r="R511" s="410"/>
      <c r="S511" s="410"/>
      <c r="T511" s="410"/>
      <c r="U511" s="410"/>
      <c r="V511" s="410"/>
      <c r="W511" s="410"/>
      <c r="X511" s="410"/>
      <c r="Y511" s="410"/>
      <c r="Z511" s="410"/>
      <c r="AA511" s="410"/>
      <c r="AB511" s="410"/>
      <c r="AC511" s="410"/>
      <c r="AD511" s="410"/>
      <c r="AE511" s="410"/>
      <c r="AF511" s="410"/>
      <c r="AG511" s="410"/>
      <c r="AH511" s="410"/>
      <c r="AI511" s="410"/>
      <c r="AJ511" s="410"/>
      <c r="AK511" s="410"/>
    </row>
    <row r="512" spans="1:37" x14ac:dyDescent="0.2">
      <c r="A512" s="410"/>
      <c r="B512" s="410"/>
      <c r="C512" s="410"/>
      <c r="D512" s="410"/>
      <c r="E512" s="410"/>
      <c r="F512" s="410"/>
      <c r="G512" s="410"/>
      <c r="H512" s="410"/>
      <c r="I512" s="410"/>
      <c r="J512" s="410"/>
      <c r="K512" s="410"/>
      <c r="L512" s="410"/>
      <c r="M512" s="410"/>
      <c r="N512" s="410"/>
      <c r="R512" s="410"/>
      <c r="S512" s="410"/>
      <c r="T512" s="410"/>
      <c r="U512" s="410"/>
      <c r="V512" s="410"/>
      <c r="W512" s="410"/>
      <c r="X512" s="410"/>
      <c r="Y512" s="410"/>
      <c r="Z512" s="410"/>
      <c r="AA512" s="410"/>
      <c r="AB512" s="410"/>
      <c r="AC512" s="410"/>
      <c r="AD512" s="410"/>
      <c r="AE512" s="410"/>
      <c r="AF512" s="410"/>
      <c r="AG512" s="410"/>
      <c r="AH512" s="410"/>
      <c r="AI512" s="410"/>
      <c r="AJ512" s="410"/>
      <c r="AK512" s="410"/>
    </row>
    <row r="513" spans="1:37" x14ac:dyDescent="0.2">
      <c r="A513" s="410"/>
      <c r="B513" s="410"/>
      <c r="C513" s="410"/>
      <c r="D513" s="410"/>
      <c r="E513" s="410"/>
      <c r="F513" s="410"/>
      <c r="G513" s="410"/>
      <c r="H513" s="410"/>
      <c r="I513" s="410"/>
      <c r="J513" s="410"/>
      <c r="K513" s="410"/>
      <c r="L513" s="410"/>
      <c r="M513" s="410"/>
      <c r="N513" s="410"/>
      <c r="R513" s="410"/>
      <c r="S513" s="410"/>
      <c r="T513" s="410"/>
      <c r="U513" s="410"/>
      <c r="V513" s="410"/>
      <c r="W513" s="410"/>
      <c r="X513" s="410"/>
      <c r="Y513" s="410"/>
      <c r="Z513" s="410"/>
      <c r="AA513" s="410"/>
      <c r="AB513" s="410"/>
      <c r="AC513" s="410"/>
      <c r="AD513" s="410"/>
      <c r="AE513" s="410"/>
      <c r="AF513" s="410"/>
      <c r="AG513" s="410"/>
      <c r="AH513" s="410"/>
      <c r="AI513" s="410"/>
      <c r="AJ513" s="410"/>
      <c r="AK513" s="410"/>
    </row>
    <row r="514" spans="1:37" x14ac:dyDescent="0.2">
      <c r="A514" s="410"/>
      <c r="B514" s="410"/>
      <c r="C514" s="410"/>
      <c r="D514" s="410"/>
      <c r="E514" s="410"/>
      <c r="F514" s="410"/>
      <c r="G514" s="410"/>
      <c r="H514" s="410"/>
      <c r="I514" s="410"/>
      <c r="J514" s="410"/>
      <c r="K514" s="410"/>
      <c r="L514" s="410"/>
      <c r="M514" s="410"/>
      <c r="N514" s="410"/>
      <c r="R514" s="410"/>
      <c r="S514" s="410"/>
      <c r="T514" s="410"/>
      <c r="U514" s="410"/>
      <c r="V514" s="410"/>
      <c r="W514" s="410"/>
      <c r="X514" s="410"/>
      <c r="Y514" s="410"/>
      <c r="Z514" s="410"/>
      <c r="AA514" s="410"/>
      <c r="AB514" s="410"/>
      <c r="AC514" s="410"/>
      <c r="AD514" s="410"/>
      <c r="AE514" s="410"/>
      <c r="AF514" s="410"/>
      <c r="AG514" s="410"/>
      <c r="AH514" s="410"/>
      <c r="AI514" s="410"/>
      <c r="AJ514" s="410"/>
      <c r="AK514" s="410"/>
    </row>
    <row r="515" spans="1:37" x14ac:dyDescent="0.2">
      <c r="A515" s="410"/>
      <c r="B515" s="410"/>
      <c r="C515" s="410"/>
      <c r="D515" s="410"/>
      <c r="E515" s="410"/>
      <c r="F515" s="410"/>
      <c r="G515" s="410"/>
      <c r="H515" s="410"/>
      <c r="I515" s="410"/>
      <c r="J515" s="410"/>
      <c r="K515" s="410"/>
      <c r="L515" s="410"/>
      <c r="M515" s="410"/>
      <c r="N515" s="410"/>
      <c r="R515" s="410"/>
      <c r="S515" s="410"/>
      <c r="T515" s="410"/>
      <c r="U515" s="410"/>
      <c r="V515" s="410"/>
      <c r="W515" s="410"/>
      <c r="X515" s="410"/>
      <c r="Y515" s="410"/>
      <c r="Z515" s="410"/>
      <c r="AA515" s="410"/>
      <c r="AB515" s="410"/>
      <c r="AC515" s="410"/>
      <c r="AD515" s="410"/>
      <c r="AE515" s="410"/>
      <c r="AF515" s="410"/>
      <c r="AG515" s="410"/>
      <c r="AH515" s="410"/>
      <c r="AI515" s="410"/>
      <c r="AJ515" s="410"/>
      <c r="AK515" s="410"/>
    </row>
    <row r="516" spans="1:37" x14ac:dyDescent="0.2">
      <c r="A516" s="410"/>
      <c r="B516" s="410"/>
      <c r="C516" s="410"/>
      <c r="D516" s="410"/>
      <c r="E516" s="410"/>
      <c r="F516" s="410"/>
      <c r="G516" s="410"/>
      <c r="H516" s="410"/>
      <c r="I516" s="410"/>
      <c r="J516" s="410"/>
      <c r="K516" s="410"/>
      <c r="L516" s="410"/>
      <c r="M516" s="410"/>
      <c r="N516" s="410"/>
      <c r="R516" s="410"/>
      <c r="S516" s="410"/>
      <c r="T516" s="410"/>
      <c r="U516" s="410"/>
      <c r="V516" s="410"/>
      <c r="W516" s="410"/>
      <c r="X516" s="410"/>
      <c r="Y516" s="410"/>
      <c r="Z516" s="410"/>
      <c r="AA516" s="410"/>
      <c r="AB516" s="410"/>
      <c r="AC516" s="410"/>
      <c r="AD516" s="410"/>
      <c r="AE516" s="410"/>
      <c r="AF516" s="410"/>
      <c r="AG516" s="410"/>
      <c r="AH516" s="410"/>
      <c r="AI516" s="410"/>
      <c r="AJ516" s="410"/>
      <c r="AK516" s="410"/>
    </row>
    <row r="517" spans="1:37" x14ac:dyDescent="0.2">
      <c r="A517" s="410"/>
      <c r="B517" s="410"/>
      <c r="C517" s="410"/>
      <c r="D517" s="410"/>
      <c r="E517" s="410"/>
      <c r="F517" s="410"/>
      <c r="G517" s="410"/>
      <c r="H517" s="410"/>
      <c r="I517" s="410"/>
      <c r="J517" s="410"/>
      <c r="K517" s="410"/>
      <c r="L517" s="410"/>
      <c r="M517" s="410"/>
      <c r="N517" s="410"/>
      <c r="R517" s="410"/>
      <c r="S517" s="410"/>
      <c r="T517" s="410"/>
      <c r="U517" s="410"/>
      <c r="V517" s="410"/>
      <c r="W517" s="410"/>
      <c r="X517" s="410"/>
      <c r="Y517" s="410"/>
      <c r="Z517" s="410"/>
      <c r="AA517" s="410"/>
      <c r="AB517" s="410"/>
      <c r="AC517" s="410"/>
      <c r="AD517" s="410"/>
      <c r="AE517" s="410"/>
      <c r="AF517" s="410"/>
      <c r="AG517" s="410"/>
      <c r="AH517" s="410"/>
      <c r="AI517" s="410"/>
      <c r="AJ517" s="410"/>
      <c r="AK517" s="410"/>
    </row>
    <row r="518" spans="1:37" x14ac:dyDescent="0.2">
      <c r="A518" s="410"/>
      <c r="B518" s="410"/>
      <c r="C518" s="410"/>
      <c r="D518" s="410"/>
      <c r="E518" s="410"/>
      <c r="F518" s="410"/>
      <c r="G518" s="410"/>
      <c r="H518" s="410"/>
      <c r="I518" s="410"/>
      <c r="J518" s="410"/>
      <c r="K518" s="410"/>
      <c r="L518" s="410"/>
      <c r="M518" s="410"/>
      <c r="N518" s="410"/>
      <c r="R518" s="410"/>
      <c r="S518" s="410"/>
      <c r="T518" s="410"/>
      <c r="U518" s="410"/>
      <c r="V518" s="410"/>
      <c r="W518" s="410"/>
      <c r="X518" s="410"/>
      <c r="Y518" s="410"/>
      <c r="Z518" s="410"/>
      <c r="AA518" s="410"/>
      <c r="AB518" s="410"/>
      <c r="AC518" s="410"/>
      <c r="AD518" s="410"/>
      <c r="AE518" s="410"/>
      <c r="AF518" s="410"/>
      <c r="AG518" s="410"/>
      <c r="AH518" s="410"/>
      <c r="AI518" s="410"/>
      <c r="AJ518" s="410"/>
      <c r="AK518" s="410"/>
    </row>
    <row r="519" spans="1:37" x14ac:dyDescent="0.2">
      <c r="A519" s="410"/>
      <c r="B519" s="410"/>
      <c r="C519" s="410"/>
      <c r="D519" s="410"/>
      <c r="E519" s="410"/>
      <c r="F519" s="410"/>
      <c r="G519" s="410"/>
      <c r="H519" s="410"/>
      <c r="I519" s="410"/>
      <c r="J519" s="410"/>
      <c r="K519" s="410"/>
      <c r="L519" s="410"/>
      <c r="M519" s="410"/>
      <c r="N519" s="410"/>
      <c r="R519" s="410"/>
      <c r="S519" s="410"/>
      <c r="T519" s="410"/>
      <c r="U519" s="410"/>
      <c r="V519" s="410"/>
      <c r="W519" s="410"/>
      <c r="X519" s="410"/>
      <c r="Y519" s="410"/>
      <c r="Z519" s="410"/>
      <c r="AA519" s="410"/>
      <c r="AB519" s="410"/>
      <c r="AC519" s="410"/>
      <c r="AD519" s="410"/>
      <c r="AE519" s="410"/>
      <c r="AF519" s="410"/>
      <c r="AG519" s="410"/>
      <c r="AH519" s="410"/>
      <c r="AI519" s="410"/>
      <c r="AJ519" s="410"/>
      <c r="AK519" s="410"/>
    </row>
    <row r="520" spans="1:37" x14ac:dyDescent="0.2">
      <c r="A520" s="410"/>
      <c r="B520" s="410"/>
      <c r="C520" s="410"/>
      <c r="D520" s="410"/>
      <c r="E520" s="410"/>
      <c r="F520" s="410"/>
      <c r="G520" s="410"/>
      <c r="H520" s="410"/>
      <c r="I520" s="410"/>
      <c r="J520" s="410"/>
      <c r="K520" s="410"/>
      <c r="L520" s="410"/>
      <c r="M520" s="410"/>
      <c r="N520" s="410"/>
      <c r="R520" s="410"/>
      <c r="S520" s="410"/>
      <c r="T520" s="410"/>
      <c r="U520" s="410"/>
      <c r="V520" s="410"/>
      <c r="W520" s="410"/>
      <c r="X520" s="410"/>
      <c r="Y520" s="410"/>
      <c r="Z520" s="410"/>
      <c r="AA520" s="410"/>
      <c r="AB520" s="410"/>
      <c r="AC520" s="410"/>
      <c r="AD520" s="410"/>
      <c r="AE520" s="410"/>
      <c r="AF520" s="410"/>
      <c r="AG520" s="410"/>
      <c r="AH520" s="410"/>
      <c r="AI520" s="410"/>
      <c r="AJ520" s="410"/>
      <c r="AK520" s="410"/>
    </row>
    <row r="521" spans="1:37" x14ac:dyDescent="0.2">
      <c r="A521" s="410"/>
      <c r="B521" s="410"/>
      <c r="C521" s="410"/>
      <c r="D521" s="410"/>
      <c r="E521" s="410"/>
      <c r="F521" s="410"/>
      <c r="G521" s="410"/>
      <c r="H521" s="410"/>
      <c r="I521" s="410"/>
      <c r="J521" s="410"/>
      <c r="K521" s="410"/>
      <c r="L521" s="410"/>
      <c r="M521" s="410"/>
      <c r="N521" s="410"/>
      <c r="R521" s="410"/>
      <c r="S521" s="410"/>
      <c r="T521" s="410"/>
      <c r="U521" s="410"/>
      <c r="V521" s="410"/>
      <c r="W521" s="410"/>
      <c r="X521" s="410"/>
      <c r="Y521" s="410"/>
      <c r="Z521" s="410"/>
      <c r="AA521" s="410"/>
      <c r="AB521" s="410"/>
      <c r="AC521" s="410"/>
      <c r="AD521" s="410"/>
      <c r="AE521" s="410"/>
      <c r="AF521" s="410"/>
      <c r="AG521" s="410"/>
      <c r="AH521" s="410"/>
      <c r="AI521" s="410"/>
      <c r="AJ521" s="410"/>
      <c r="AK521" s="410"/>
    </row>
    <row r="522" spans="1:37" x14ac:dyDescent="0.2">
      <c r="A522" s="410"/>
      <c r="B522" s="410"/>
      <c r="C522" s="410"/>
      <c r="D522" s="410"/>
      <c r="E522" s="410"/>
      <c r="F522" s="410"/>
      <c r="G522" s="410"/>
      <c r="H522" s="410"/>
      <c r="I522" s="410"/>
      <c r="J522" s="410"/>
      <c r="K522" s="410"/>
      <c r="L522" s="410"/>
      <c r="M522" s="410"/>
      <c r="N522" s="410"/>
      <c r="R522" s="410"/>
      <c r="S522" s="410"/>
      <c r="T522" s="410"/>
      <c r="U522" s="410"/>
      <c r="V522" s="410"/>
      <c r="W522" s="410"/>
      <c r="X522" s="410"/>
      <c r="Y522" s="410"/>
      <c r="Z522" s="410"/>
      <c r="AA522" s="410"/>
      <c r="AB522" s="410"/>
      <c r="AC522" s="410"/>
      <c r="AD522" s="410"/>
      <c r="AE522" s="410"/>
      <c r="AF522" s="410"/>
      <c r="AG522" s="410"/>
      <c r="AH522" s="410"/>
      <c r="AI522" s="410"/>
      <c r="AJ522" s="410"/>
      <c r="AK522" s="410"/>
    </row>
    <row r="523" spans="1:37" x14ac:dyDescent="0.2">
      <c r="A523" s="410"/>
      <c r="B523" s="410"/>
      <c r="C523" s="410"/>
      <c r="D523" s="410"/>
      <c r="E523" s="410"/>
      <c r="F523" s="410"/>
      <c r="G523" s="410"/>
      <c r="H523" s="410"/>
      <c r="I523" s="410"/>
      <c r="J523" s="410"/>
      <c r="K523" s="410"/>
      <c r="L523" s="410"/>
      <c r="M523" s="410"/>
      <c r="N523" s="410"/>
      <c r="R523" s="410"/>
      <c r="S523" s="410"/>
      <c r="T523" s="410"/>
      <c r="U523" s="410"/>
      <c r="V523" s="410"/>
      <c r="W523" s="410"/>
      <c r="X523" s="410"/>
      <c r="Y523" s="410"/>
      <c r="Z523" s="410"/>
      <c r="AA523" s="410"/>
      <c r="AB523" s="410"/>
      <c r="AC523" s="410"/>
      <c r="AD523" s="410"/>
      <c r="AE523" s="410"/>
      <c r="AF523" s="410"/>
      <c r="AG523" s="410"/>
      <c r="AH523" s="410"/>
      <c r="AI523" s="410"/>
      <c r="AJ523" s="410"/>
      <c r="AK523" s="410"/>
    </row>
    <row r="524" spans="1:37" x14ac:dyDescent="0.2">
      <c r="A524" s="410"/>
      <c r="B524" s="410"/>
      <c r="C524" s="410"/>
      <c r="D524" s="410"/>
      <c r="E524" s="410"/>
      <c r="F524" s="410"/>
      <c r="G524" s="410"/>
      <c r="H524" s="410"/>
      <c r="I524" s="410"/>
      <c r="J524" s="410"/>
      <c r="K524" s="410"/>
      <c r="L524" s="410"/>
      <c r="M524" s="410"/>
      <c r="N524" s="410"/>
      <c r="R524" s="410"/>
      <c r="S524" s="410"/>
      <c r="T524" s="410"/>
      <c r="U524" s="410"/>
      <c r="V524" s="410"/>
      <c r="W524" s="410"/>
      <c r="X524" s="410"/>
      <c r="Y524" s="410"/>
      <c r="Z524" s="410"/>
      <c r="AA524" s="410"/>
      <c r="AB524" s="410"/>
      <c r="AC524" s="410"/>
      <c r="AD524" s="410"/>
      <c r="AE524" s="410"/>
      <c r="AF524" s="410"/>
      <c r="AG524" s="410"/>
      <c r="AH524" s="410"/>
      <c r="AI524" s="410"/>
      <c r="AJ524" s="410"/>
      <c r="AK524" s="410"/>
    </row>
    <row r="525" spans="1:37" x14ac:dyDescent="0.2">
      <c r="A525" s="410"/>
      <c r="B525" s="410"/>
      <c r="C525" s="410"/>
      <c r="D525" s="410"/>
      <c r="E525" s="410"/>
      <c r="F525" s="410"/>
      <c r="G525" s="410"/>
      <c r="H525" s="410"/>
      <c r="I525" s="410"/>
      <c r="J525" s="410"/>
      <c r="K525" s="410"/>
      <c r="L525" s="410"/>
      <c r="M525" s="410"/>
      <c r="N525" s="410"/>
      <c r="R525" s="410"/>
      <c r="S525" s="410"/>
      <c r="T525" s="410"/>
      <c r="U525" s="410"/>
      <c r="V525" s="410"/>
      <c r="W525" s="410"/>
      <c r="X525" s="410"/>
      <c r="Y525" s="410"/>
      <c r="Z525" s="410"/>
      <c r="AA525" s="410"/>
      <c r="AB525" s="410"/>
      <c r="AC525" s="410"/>
      <c r="AD525" s="410"/>
      <c r="AE525" s="410"/>
      <c r="AF525" s="410"/>
      <c r="AG525" s="410"/>
      <c r="AH525" s="410"/>
      <c r="AI525" s="410"/>
      <c r="AJ525" s="410"/>
      <c r="AK525" s="410"/>
    </row>
    <row r="526" spans="1:37" x14ac:dyDescent="0.2">
      <c r="A526" s="410"/>
      <c r="B526" s="410"/>
      <c r="C526" s="410"/>
      <c r="D526" s="410"/>
      <c r="E526" s="410"/>
      <c r="F526" s="410"/>
      <c r="G526" s="410"/>
      <c r="H526" s="410"/>
      <c r="I526" s="410"/>
      <c r="J526" s="410"/>
      <c r="K526" s="410"/>
      <c r="L526" s="410"/>
      <c r="M526" s="410"/>
      <c r="N526" s="410"/>
      <c r="R526" s="410"/>
      <c r="S526" s="410"/>
      <c r="T526" s="410"/>
      <c r="U526" s="410"/>
      <c r="V526" s="410"/>
      <c r="W526" s="410"/>
      <c r="X526" s="410"/>
      <c r="Y526" s="410"/>
      <c r="Z526" s="410"/>
      <c r="AA526" s="410"/>
      <c r="AB526" s="410"/>
      <c r="AC526" s="410"/>
      <c r="AD526" s="410"/>
      <c r="AE526" s="410"/>
      <c r="AF526" s="410"/>
      <c r="AG526" s="410"/>
      <c r="AH526" s="410"/>
      <c r="AI526" s="410"/>
      <c r="AJ526" s="410"/>
      <c r="AK526" s="410"/>
    </row>
    <row r="527" spans="1:37" x14ac:dyDescent="0.2">
      <c r="A527" s="410"/>
      <c r="B527" s="410"/>
      <c r="C527" s="410"/>
      <c r="D527" s="410"/>
      <c r="E527" s="410"/>
      <c r="F527" s="410"/>
      <c r="G527" s="410"/>
      <c r="H527" s="410"/>
      <c r="I527" s="410"/>
      <c r="J527" s="410"/>
      <c r="K527" s="410"/>
      <c r="L527" s="410"/>
      <c r="M527" s="410"/>
      <c r="N527" s="410"/>
      <c r="R527" s="410"/>
      <c r="S527" s="410"/>
      <c r="T527" s="410"/>
      <c r="U527" s="410"/>
      <c r="V527" s="410"/>
      <c r="W527" s="410"/>
      <c r="X527" s="410"/>
      <c r="Y527" s="410"/>
      <c r="Z527" s="410"/>
      <c r="AA527" s="410"/>
      <c r="AB527" s="410"/>
      <c r="AC527" s="410"/>
      <c r="AD527" s="410"/>
      <c r="AE527" s="410"/>
      <c r="AF527" s="410"/>
      <c r="AG527" s="410"/>
      <c r="AH527" s="410"/>
      <c r="AI527" s="410"/>
      <c r="AJ527" s="410"/>
      <c r="AK527" s="410"/>
    </row>
    <row r="528" spans="1:37" x14ac:dyDescent="0.2">
      <c r="A528" s="410"/>
      <c r="B528" s="410"/>
      <c r="C528" s="410"/>
      <c r="D528" s="410"/>
      <c r="E528" s="410"/>
      <c r="F528" s="410"/>
      <c r="G528" s="410"/>
      <c r="H528" s="410"/>
      <c r="I528" s="410"/>
      <c r="J528" s="410"/>
      <c r="K528" s="410"/>
      <c r="L528" s="410"/>
      <c r="M528" s="410"/>
      <c r="N528" s="410"/>
      <c r="R528" s="410"/>
      <c r="S528" s="410"/>
      <c r="T528" s="410"/>
      <c r="U528" s="410"/>
      <c r="V528" s="410"/>
      <c r="W528" s="410"/>
      <c r="X528" s="410"/>
      <c r="Y528" s="410"/>
      <c r="Z528" s="410"/>
      <c r="AA528" s="410"/>
      <c r="AB528" s="410"/>
      <c r="AC528" s="410"/>
      <c r="AD528" s="410"/>
      <c r="AE528" s="410"/>
      <c r="AF528" s="410"/>
      <c r="AG528" s="410"/>
      <c r="AH528" s="410"/>
      <c r="AI528" s="410"/>
      <c r="AJ528" s="410"/>
      <c r="AK528" s="410"/>
    </row>
    <row r="529" spans="1:37" x14ac:dyDescent="0.2">
      <c r="A529" s="410"/>
      <c r="B529" s="410"/>
      <c r="C529" s="410"/>
      <c r="D529" s="410"/>
      <c r="E529" s="410"/>
      <c r="F529" s="410"/>
      <c r="G529" s="410"/>
      <c r="H529" s="410"/>
      <c r="I529" s="410"/>
      <c r="J529" s="410"/>
      <c r="K529" s="410"/>
      <c r="L529" s="410"/>
      <c r="M529" s="410"/>
      <c r="N529" s="410"/>
      <c r="R529" s="410"/>
      <c r="S529" s="410"/>
      <c r="T529" s="410"/>
      <c r="U529" s="410"/>
      <c r="V529" s="410"/>
      <c r="W529" s="410"/>
      <c r="X529" s="410"/>
      <c r="Y529" s="410"/>
      <c r="Z529" s="410"/>
      <c r="AA529" s="410"/>
      <c r="AB529" s="410"/>
      <c r="AC529" s="410"/>
      <c r="AD529" s="410"/>
      <c r="AE529" s="410"/>
      <c r="AF529" s="410"/>
      <c r="AG529" s="410"/>
      <c r="AH529" s="410"/>
      <c r="AI529" s="410"/>
      <c r="AJ529" s="410"/>
      <c r="AK529" s="410"/>
    </row>
    <row r="530" spans="1:37" x14ac:dyDescent="0.2">
      <c r="A530" s="410"/>
      <c r="B530" s="410"/>
      <c r="C530" s="410"/>
      <c r="D530" s="410"/>
      <c r="E530" s="410"/>
      <c r="F530" s="410"/>
      <c r="G530" s="410"/>
      <c r="H530" s="410"/>
      <c r="I530" s="410"/>
      <c r="J530" s="410"/>
      <c r="K530" s="410"/>
      <c r="L530" s="410"/>
      <c r="M530" s="410"/>
      <c r="N530" s="410"/>
      <c r="R530" s="410"/>
      <c r="S530" s="410"/>
      <c r="T530" s="410"/>
      <c r="U530" s="410"/>
      <c r="V530" s="410"/>
      <c r="W530" s="410"/>
      <c r="X530" s="410"/>
      <c r="Y530" s="410"/>
      <c r="Z530" s="410"/>
      <c r="AA530" s="410"/>
      <c r="AB530" s="410"/>
      <c r="AC530" s="410"/>
      <c r="AD530" s="410"/>
      <c r="AE530" s="410"/>
      <c r="AF530" s="410"/>
      <c r="AG530" s="410"/>
      <c r="AH530" s="410"/>
      <c r="AI530" s="410"/>
      <c r="AJ530" s="410"/>
      <c r="AK530" s="410"/>
    </row>
    <row r="531" spans="1:37" x14ac:dyDescent="0.2">
      <c r="A531" s="410"/>
      <c r="B531" s="410"/>
      <c r="C531" s="410"/>
      <c r="D531" s="410"/>
      <c r="E531" s="410"/>
      <c r="F531" s="410"/>
      <c r="G531" s="410"/>
      <c r="H531" s="410"/>
      <c r="I531" s="410"/>
      <c r="J531" s="410"/>
      <c r="K531" s="410"/>
      <c r="L531" s="410"/>
      <c r="M531" s="410"/>
      <c r="N531" s="410"/>
      <c r="R531" s="410"/>
      <c r="S531" s="410"/>
      <c r="T531" s="410"/>
      <c r="U531" s="410"/>
      <c r="V531" s="410"/>
      <c r="W531" s="410"/>
      <c r="X531" s="410"/>
      <c r="Y531" s="410"/>
      <c r="Z531" s="410"/>
      <c r="AA531" s="410"/>
      <c r="AB531" s="410"/>
      <c r="AC531" s="410"/>
      <c r="AD531" s="410"/>
      <c r="AE531" s="410"/>
      <c r="AF531" s="410"/>
      <c r="AG531" s="410"/>
      <c r="AH531" s="410"/>
      <c r="AI531" s="410"/>
      <c r="AJ531" s="410"/>
      <c r="AK531" s="410"/>
    </row>
    <row r="532" spans="1:37" x14ac:dyDescent="0.2">
      <c r="A532" s="410"/>
      <c r="B532" s="410"/>
      <c r="C532" s="410"/>
      <c r="D532" s="410"/>
      <c r="E532" s="410"/>
      <c r="F532" s="410"/>
      <c r="G532" s="410"/>
      <c r="H532" s="410"/>
      <c r="I532" s="410"/>
      <c r="J532" s="410"/>
      <c r="K532" s="410"/>
      <c r="L532" s="410"/>
      <c r="M532" s="410"/>
      <c r="N532" s="410"/>
      <c r="R532" s="410"/>
      <c r="S532" s="410"/>
      <c r="T532" s="410"/>
      <c r="U532" s="410"/>
      <c r="V532" s="410"/>
      <c r="W532" s="410"/>
      <c r="X532" s="410"/>
      <c r="Y532" s="410"/>
      <c r="Z532" s="410"/>
      <c r="AA532" s="410"/>
      <c r="AB532" s="410"/>
      <c r="AC532" s="410"/>
      <c r="AD532" s="410"/>
      <c r="AE532" s="410"/>
      <c r="AF532" s="410"/>
      <c r="AG532" s="410"/>
      <c r="AH532" s="410"/>
      <c r="AI532" s="410"/>
      <c r="AJ532" s="410"/>
      <c r="AK532" s="410"/>
    </row>
    <row r="533" spans="1:37" x14ac:dyDescent="0.2">
      <c r="A533" s="410"/>
      <c r="B533" s="410"/>
      <c r="C533" s="410"/>
      <c r="D533" s="410"/>
      <c r="E533" s="410"/>
      <c r="F533" s="410"/>
      <c r="G533" s="410"/>
      <c r="H533" s="410"/>
      <c r="I533" s="410"/>
      <c r="J533" s="410"/>
      <c r="K533" s="410"/>
      <c r="L533" s="410"/>
      <c r="M533" s="410"/>
      <c r="N533" s="410"/>
      <c r="R533" s="410"/>
      <c r="S533" s="410"/>
      <c r="T533" s="410"/>
      <c r="U533" s="410"/>
      <c r="V533" s="410"/>
      <c r="W533" s="410"/>
      <c r="X533" s="410"/>
      <c r="Y533" s="410"/>
      <c r="Z533" s="410"/>
      <c r="AA533" s="410"/>
      <c r="AB533" s="410"/>
      <c r="AC533" s="410"/>
      <c r="AD533" s="410"/>
      <c r="AE533" s="410"/>
      <c r="AF533" s="410"/>
      <c r="AG533" s="410"/>
      <c r="AH533" s="410"/>
      <c r="AI533" s="410"/>
      <c r="AJ533" s="410"/>
      <c r="AK533" s="410"/>
    </row>
    <row r="534" spans="1:37" x14ac:dyDescent="0.2">
      <c r="A534" s="410"/>
      <c r="B534" s="410"/>
      <c r="C534" s="410"/>
      <c r="D534" s="410"/>
      <c r="E534" s="410"/>
      <c r="F534" s="410"/>
      <c r="G534" s="410"/>
      <c r="H534" s="410"/>
      <c r="I534" s="410"/>
      <c r="J534" s="410"/>
      <c r="K534" s="410"/>
      <c r="L534" s="410"/>
      <c r="M534" s="410"/>
      <c r="N534" s="410"/>
      <c r="R534" s="410"/>
      <c r="S534" s="410"/>
      <c r="T534" s="410"/>
      <c r="U534" s="410"/>
      <c r="V534" s="410"/>
      <c r="W534" s="410"/>
      <c r="X534" s="410"/>
      <c r="Y534" s="410"/>
      <c r="Z534" s="410"/>
      <c r="AA534" s="410"/>
      <c r="AB534" s="410"/>
      <c r="AC534" s="410"/>
      <c r="AD534" s="410"/>
      <c r="AE534" s="410"/>
      <c r="AF534" s="410"/>
      <c r="AG534" s="410"/>
      <c r="AH534" s="410"/>
      <c r="AI534" s="410"/>
      <c r="AJ534" s="410"/>
      <c r="AK534" s="410"/>
    </row>
    <row r="535" spans="1:37" x14ac:dyDescent="0.2">
      <c r="A535" s="410"/>
      <c r="B535" s="410"/>
      <c r="C535" s="410"/>
      <c r="D535" s="410"/>
      <c r="E535" s="410"/>
      <c r="F535" s="410"/>
      <c r="G535" s="410"/>
      <c r="H535" s="410"/>
      <c r="I535" s="410"/>
      <c r="J535" s="410"/>
      <c r="K535" s="410"/>
      <c r="L535" s="410"/>
      <c r="M535" s="410"/>
      <c r="N535" s="410"/>
      <c r="R535" s="410"/>
      <c r="S535" s="410"/>
      <c r="T535" s="410"/>
      <c r="U535" s="410"/>
      <c r="V535" s="410"/>
      <c r="W535" s="410"/>
      <c r="X535" s="410"/>
      <c r="Y535" s="410"/>
      <c r="Z535" s="410"/>
      <c r="AA535" s="410"/>
      <c r="AB535" s="410"/>
      <c r="AC535" s="410"/>
      <c r="AD535" s="410"/>
      <c r="AE535" s="410"/>
      <c r="AF535" s="410"/>
      <c r="AG535" s="410"/>
      <c r="AH535" s="410"/>
      <c r="AI535" s="410"/>
      <c r="AJ535" s="410"/>
      <c r="AK535" s="410"/>
    </row>
    <row r="536" spans="1:37" x14ac:dyDescent="0.2">
      <c r="A536" s="410"/>
      <c r="B536" s="410"/>
      <c r="C536" s="410"/>
      <c r="D536" s="410"/>
      <c r="E536" s="410"/>
      <c r="F536" s="410"/>
      <c r="G536" s="410"/>
      <c r="H536" s="410"/>
      <c r="I536" s="410"/>
      <c r="J536" s="410"/>
      <c r="K536" s="410"/>
      <c r="L536" s="410"/>
      <c r="M536" s="410"/>
      <c r="N536" s="410"/>
      <c r="R536" s="410"/>
      <c r="S536" s="410"/>
      <c r="T536" s="410"/>
      <c r="U536" s="410"/>
      <c r="V536" s="410"/>
      <c r="W536" s="410"/>
      <c r="X536" s="410"/>
      <c r="Y536" s="410"/>
      <c r="Z536" s="410"/>
      <c r="AA536" s="410"/>
      <c r="AB536" s="410"/>
      <c r="AC536" s="410"/>
      <c r="AD536" s="410"/>
      <c r="AE536" s="410"/>
      <c r="AF536" s="410"/>
      <c r="AG536" s="410"/>
      <c r="AH536" s="410"/>
      <c r="AI536" s="410"/>
      <c r="AJ536" s="410"/>
      <c r="AK536" s="410"/>
    </row>
    <row r="537" spans="1:37" x14ac:dyDescent="0.2">
      <c r="A537" s="410"/>
      <c r="B537" s="410"/>
      <c r="C537" s="410"/>
      <c r="D537" s="410"/>
      <c r="E537" s="410"/>
      <c r="F537" s="410"/>
      <c r="G537" s="410"/>
      <c r="H537" s="410"/>
      <c r="I537" s="410"/>
      <c r="J537" s="410"/>
      <c r="K537" s="410"/>
      <c r="L537" s="410"/>
      <c r="M537" s="410"/>
      <c r="N537" s="410"/>
      <c r="R537" s="410"/>
      <c r="S537" s="410"/>
      <c r="T537" s="410"/>
      <c r="U537" s="410"/>
      <c r="V537" s="410"/>
      <c r="W537" s="410"/>
      <c r="X537" s="410"/>
      <c r="Y537" s="410"/>
      <c r="Z537" s="410"/>
      <c r="AA537" s="410"/>
      <c r="AB537" s="410"/>
      <c r="AC537" s="410"/>
      <c r="AD537" s="410"/>
      <c r="AE537" s="410"/>
      <c r="AF537" s="410"/>
      <c r="AG537" s="410"/>
      <c r="AH537" s="410"/>
      <c r="AI537" s="410"/>
      <c r="AJ537" s="410"/>
      <c r="AK537" s="410"/>
    </row>
    <row r="538" spans="1:37" x14ac:dyDescent="0.2">
      <c r="A538" s="410"/>
      <c r="B538" s="410"/>
      <c r="C538" s="410"/>
      <c r="D538" s="410"/>
      <c r="E538" s="410"/>
      <c r="F538" s="410"/>
      <c r="G538" s="410"/>
      <c r="H538" s="410"/>
      <c r="I538" s="410"/>
      <c r="J538" s="410"/>
      <c r="K538" s="410"/>
      <c r="L538" s="410"/>
      <c r="M538" s="410"/>
      <c r="N538" s="410"/>
      <c r="R538" s="410"/>
      <c r="S538" s="410"/>
      <c r="T538" s="410"/>
      <c r="U538" s="410"/>
      <c r="V538" s="410"/>
      <c r="W538" s="410"/>
      <c r="X538" s="410"/>
      <c r="Y538" s="410"/>
      <c r="Z538" s="410"/>
      <c r="AA538" s="410"/>
      <c r="AB538" s="410"/>
      <c r="AC538" s="410"/>
      <c r="AD538" s="410"/>
      <c r="AE538" s="410"/>
      <c r="AF538" s="410"/>
      <c r="AG538" s="410"/>
      <c r="AH538" s="410"/>
      <c r="AI538" s="410"/>
      <c r="AJ538" s="410"/>
      <c r="AK538" s="410"/>
    </row>
    <row r="539" spans="1:37" x14ac:dyDescent="0.2">
      <c r="A539" s="410"/>
      <c r="B539" s="410"/>
      <c r="C539" s="410"/>
      <c r="D539" s="410"/>
      <c r="E539" s="410"/>
      <c r="F539" s="410"/>
      <c r="G539" s="410"/>
      <c r="H539" s="410"/>
      <c r="I539" s="410"/>
      <c r="J539" s="410"/>
      <c r="K539" s="410"/>
      <c r="L539" s="410"/>
      <c r="M539" s="410"/>
      <c r="N539" s="410"/>
      <c r="R539" s="410"/>
      <c r="S539" s="410"/>
      <c r="T539" s="410"/>
      <c r="U539" s="410"/>
      <c r="V539" s="410"/>
      <c r="W539" s="410"/>
      <c r="X539" s="410"/>
      <c r="Y539" s="410"/>
      <c r="Z539" s="410"/>
      <c r="AA539" s="410"/>
      <c r="AB539" s="410"/>
      <c r="AC539" s="410"/>
      <c r="AD539" s="410"/>
      <c r="AE539" s="410"/>
      <c r="AF539" s="410"/>
      <c r="AG539" s="410"/>
      <c r="AH539" s="410"/>
      <c r="AI539" s="410"/>
      <c r="AJ539" s="410"/>
      <c r="AK539" s="410"/>
    </row>
    <row r="540" spans="1:37" x14ac:dyDescent="0.2">
      <c r="A540" s="410"/>
      <c r="B540" s="410"/>
      <c r="C540" s="410"/>
      <c r="D540" s="410"/>
      <c r="E540" s="410"/>
      <c r="F540" s="410"/>
      <c r="G540" s="410"/>
      <c r="H540" s="410"/>
      <c r="I540" s="410"/>
      <c r="J540" s="410"/>
      <c r="K540" s="410"/>
      <c r="L540" s="410"/>
      <c r="M540" s="410"/>
      <c r="N540" s="410"/>
      <c r="R540" s="410"/>
      <c r="S540" s="410"/>
      <c r="T540" s="410"/>
      <c r="U540" s="410"/>
      <c r="V540" s="410"/>
      <c r="W540" s="410"/>
      <c r="X540" s="410"/>
      <c r="Y540" s="410"/>
      <c r="Z540" s="410"/>
      <c r="AA540" s="410"/>
      <c r="AB540" s="410"/>
      <c r="AC540" s="410"/>
      <c r="AD540" s="410"/>
      <c r="AE540" s="410"/>
      <c r="AF540" s="410"/>
      <c r="AG540" s="410"/>
      <c r="AH540" s="410"/>
      <c r="AI540" s="410"/>
      <c r="AJ540" s="410"/>
      <c r="AK540" s="410"/>
    </row>
    <row r="541" spans="1:37" x14ac:dyDescent="0.2">
      <c r="A541" s="410"/>
      <c r="B541" s="410"/>
      <c r="C541" s="410"/>
      <c r="D541" s="410"/>
      <c r="E541" s="410"/>
      <c r="F541" s="410"/>
      <c r="G541" s="410"/>
      <c r="H541" s="410"/>
      <c r="I541" s="410"/>
      <c r="J541" s="410"/>
      <c r="K541" s="410"/>
      <c r="L541" s="410"/>
      <c r="M541" s="410"/>
      <c r="N541" s="410"/>
      <c r="R541" s="410"/>
      <c r="S541" s="410"/>
      <c r="T541" s="410"/>
      <c r="U541" s="410"/>
      <c r="V541" s="410"/>
      <c r="W541" s="410"/>
      <c r="X541" s="410"/>
      <c r="Y541" s="410"/>
      <c r="Z541" s="410"/>
      <c r="AA541" s="410"/>
      <c r="AB541" s="410"/>
      <c r="AC541" s="410"/>
      <c r="AD541" s="410"/>
      <c r="AE541" s="410"/>
      <c r="AF541" s="410"/>
      <c r="AG541" s="410"/>
      <c r="AH541" s="410"/>
      <c r="AI541" s="410"/>
      <c r="AJ541" s="410"/>
      <c r="AK541" s="410"/>
    </row>
    <row r="542" spans="1:37" x14ac:dyDescent="0.2">
      <c r="A542" s="410"/>
      <c r="B542" s="410"/>
      <c r="C542" s="410"/>
      <c r="D542" s="410"/>
      <c r="E542" s="410"/>
      <c r="F542" s="410"/>
      <c r="G542" s="410"/>
      <c r="H542" s="410"/>
      <c r="I542" s="410"/>
      <c r="J542" s="410"/>
      <c r="K542" s="410"/>
      <c r="L542" s="410"/>
      <c r="M542" s="410"/>
      <c r="N542" s="410"/>
      <c r="R542" s="410"/>
      <c r="S542" s="410"/>
      <c r="T542" s="410"/>
      <c r="U542" s="410"/>
      <c r="V542" s="410"/>
      <c r="W542" s="410"/>
      <c r="X542" s="410"/>
      <c r="Y542" s="410"/>
      <c r="Z542" s="410"/>
      <c r="AA542" s="410"/>
      <c r="AB542" s="410"/>
      <c r="AC542" s="410"/>
      <c r="AD542" s="410"/>
      <c r="AE542" s="410"/>
      <c r="AF542" s="410"/>
      <c r="AG542" s="410"/>
      <c r="AH542" s="410"/>
      <c r="AI542" s="410"/>
      <c r="AJ542" s="410"/>
      <c r="AK542" s="410"/>
    </row>
    <row r="543" spans="1:37" x14ac:dyDescent="0.2">
      <c r="A543" s="410"/>
      <c r="B543" s="410"/>
      <c r="C543" s="410"/>
      <c r="D543" s="410"/>
      <c r="E543" s="410"/>
      <c r="F543" s="410"/>
      <c r="G543" s="410"/>
      <c r="H543" s="410"/>
      <c r="I543" s="410"/>
      <c r="J543" s="410"/>
      <c r="K543" s="410"/>
      <c r="L543" s="410"/>
      <c r="M543" s="410"/>
      <c r="N543" s="410"/>
      <c r="R543" s="410"/>
      <c r="S543" s="410"/>
      <c r="T543" s="410"/>
      <c r="U543" s="410"/>
      <c r="V543" s="410"/>
      <c r="W543" s="410"/>
      <c r="X543" s="410"/>
      <c r="Y543" s="410"/>
      <c r="Z543" s="410"/>
      <c r="AA543" s="410"/>
      <c r="AB543" s="410"/>
      <c r="AC543" s="410"/>
      <c r="AD543" s="410"/>
      <c r="AE543" s="410"/>
      <c r="AF543" s="410"/>
      <c r="AG543" s="410"/>
      <c r="AH543" s="410"/>
      <c r="AI543" s="410"/>
      <c r="AJ543" s="410"/>
      <c r="AK543" s="410"/>
    </row>
    <row r="544" spans="1:37" x14ac:dyDescent="0.2">
      <c r="A544" s="410"/>
      <c r="B544" s="410"/>
      <c r="C544" s="410"/>
      <c r="D544" s="410"/>
      <c r="E544" s="410"/>
      <c r="F544" s="410"/>
      <c r="G544" s="410"/>
      <c r="H544" s="410"/>
      <c r="I544" s="410"/>
      <c r="J544" s="410"/>
      <c r="K544" s="410"/>
      <c r="L544" s="410"/>
      <c r="M544" s="410"/>
      <c r="N544" s="410"/>
      <c r="R544" s="410"/>
      <c r="S544" s="410"/>
      <c r="T544" s="410"/>
      <c r="U544" s="410"/>
      <c r="V544" s="410"/>
      <c r="W544" s="410"/>
      <c r="X544" s="410"/>
      <c r="Y544" s="410"/>
      <c r="Z544" s="410"/>
      <c r="AA544" s="410"/>
      <c r="AB544" s="410"/>
      <c r="AC544" s="410"/>
      <c r="AD544" s="410"/>
      <c r="AE544" s="410"/>
      <c r="AF544" s="410"/>
      <c r="AG544" s="410"/>
      <c r="AH544" s="410"/>
      <c r="AI544" s="410"/>
      <c r="AJ544" s="410"/>
      <c r="AK544" s="410"/>
    </row>
    <row r="545" spans="1:37" x14ac:dyDescent="0.2">
      <c r="A545" s="410"/>
      <c r="B545" s="410"/>
      <c r="C545" s="410"/>
      <c r="D545" s="410"/>
      <c r="E545" s="410"/>
      <c r="F545" s="410"/>
      <c r="G545" s="410"/>
      <c r="H545" s="410"/>
      <c r="I545" s="410"/>
      <c r="J545" s="410"/>
      <c r="K545" s="410"/>
      <c r="L545" s="410"/>
      <c r="M545" s="410"/>
      <c r="N545" s="410"/>
      <c r="R545" s="410"/>
      <c r="S545" s="410"/>
      <c r="T545" s="410"/>
      <c r="U545" s="410"/>
      <c r="V545" s="410"/>
      <c r="W545" s="410"/>
      <c r="X545" s="410"/>
      <c r="Y545" s="410"/>
      <c r="Z545" s="410"/>
      <c r="AA545" s="410"/>
      <c r="AB545" s="410"/>
      <c r="AC545" s="410"/>
      <c r="AD545" s="410"/>
      <c r="AE545" s="410"/>
      <c r="AF545" s="410"/>
      <c r="AG545" s="410"/>
      <c r="AH545" s="410"/>
      <c r="AI545" s="410"/>
      <c r="AJ545" s="410"/>
      <c r="AK545" s="410"/>
    </row>
    <row r="546" spans="1:37" x14ac:dyDescent="0.2">
      <c r="A546" s="410"/>
      <c r="B546" s="410"/>
      <c r="C546" s="410"/>
      <c r="D546" s="410"/>
      <c r="E546" s="410"/>
      <c r="F546" s="410"/>
      <c r="G546" s="410"/>
      <c r="H546" s="410"/>
      <c r="I546" s="410"/>
      <c r="J546" s="410"/>
      <c r="K546" s="410"/>
      <c r="L546" s="410"/>
      <c r="M546" s="410"/>
      <c r="N546" s="410"/>
      <c r="R546" s="410"/>
      <c r="S546" s="410"/>
      <c r="T546" s="410"/>
      <c r="U546" s="410"/>
      <c r="V546" s="410"/>
      <c r="W546" s="410"/>
      <c r="X546" s="410"/>
      <c r="Y546" s="410"/>
      <c r="Z546" s="410"/>
      <c r="AA546" s="410"/>
      <c r="AB546" s="410"/>
      <c r="AC546" s="410"/>
      <c r="AD546" s="410"/>
      <c r="AE546" s="410"/>
      <c r="AF546" s="410"/>
      <c r="AG546" s="410"/>
      <c r="AH546" s="410"/>
      <c r="AI546" s="410"/>
      <c r="AJ546" s="410"/>
      <c r="AK546" s="410"/>
    </row>
    <row r="547" spans="1:37" x14ac:dyDescent="0.2">
      <c r="A547" s="410"/>
      <c r="B547" s="410"/>
      <c r="C547" s="410"/>
      <c r="D547" s="410"/>
      <c r="E547" s="410"/>
      <c r="F547" s="410"/>
      <c r="G547" s="410"/>
      <c r="H547" s="410"/>
      <c r="I547" s="410"/>
      <c r="J547" s="410"/>
      <c r="K547" s="410"/>
      <c r="L547" s="410"/>
      <c r="M547" s="410"/>
      <c r="N547" s="410"/>
      <c r="R547" s="410"/>
      <c r="S547" s="410"/>
      <c r="T547" s="410"/>
      <c r="U547" s="410"/>
      <c r="V547" s="410"/>
      <c r="W547" s="410"/>
      <c r="X547" s="410"/>
      <c r="Y547" s="410"/>
      <c r="Z547" s="410"/>
      <c r="AA547" s="410"/>
      <c r="AB547" s="410"/>
      <c r="AC547" s="410"/>
      <c r="AD547" s="410"/>
      <c r="AE547" s="410"/>
      <c r="AF547" s="410"/>
      <c r="AG547" s="410"/>
      <c r="AH547" s="410"/>
      <c r="AI547" s="410"/>
      <c r="AJ547" s="410"/>
      <c r="AK547" s="410"/>
    </row>
    <row r="548" spans="1:37" x14ac:dyDescent="0.2">
      <c r="A548" s="410"/>
      <c r="B548" s="410"/>
      <c r="C548" s="410"/>
      <c r="D548" s="410"/>
      <c r="E548" s="410"/>
      <c r="F548" s="410"/>
      <c r="G548" s="410"/>
      <c r="H548" s="410"/>
      <c r="I548" s="410"/>
      <c r="J548" s="410"/>
      <c r="K548" s="410"/>
      <c r="L548" s="410"/>
      <c r="M548" s="410"/>
      <c r="N548" s="410"/>
      <c r="R548" s="410"/>
      <c r="S548" s="410"/>
      <c r="T548" s="410"/>
      <c r="U548" s="410"/>
      <c r="V548" s="410"/>
      <c r="W548" s="410"/>
      <c r="X548" s="410"/>
      <c r="Y548" s="410"/>
      <c r="Z548" s="410"/>
      <c r="AA548" s="410"/>
      <c r="AB548" s="410"/>
      <c r="AC548" s="410"/>
      <c r="AD548" s="410"/>
      <c r="AE548" s="410"/>
      <c r="AF548" s="410"/>
      <c r="AG548" s="410"/>
      <c r="AH548" s="410"/>
      <c r="AI548" s="410"/>
      <c r="AJ548" s="410"/>
      <c r="AK548" s="410"/>
    </row>
    <row r="549" spans="1:37" x14ac:dyDescent="0.2">
      <c r="A549" s="410"/>
      <c r="B549" s="410"/>
      <c r="C549" s="410"/>
      <c r="D549" s="410"/>
      <c r="E549" s="410"/>
      <c r="F549" s="410"/>
      <c r="G549" s="410"/>
      <c r="H549" s="410"/>
      <c r="I549" s="410"/>
      <c r="J549" s="410"/>
      <c r="K549" s="410"/>
      <c r="L549" s="410"/>
      <c r="M549" s="410"/>
      <c r="N549" s="410"/>
      <c r="R549" s="410"/>
      <c r="S549" s="410"/>
      <c r="T549" s="410"/>
      <c r="U549" s="410"/>
      <c r="V549" s="410"/>
      <c r="W549" s="410"/>
      <c r="X549" s="410"/>
      <c r="Y549" s="410"/>
      <c r="Z549" s="410"/>
      <c r="AA549" s="410"/>
      <c r="AB549" s="410"/>
      <c r="AC549" s="410"/>
      <c r="AD549" s="410"/>
      <c r="AE549" s="410"/>
      <c r="AF549" s="410"/>
      <c r="AG549" s="410"/>
      <c r="AH549" s="410"/>
      <c r="AI549" s="410"/>
      <c r="AJ549" s="410"/>
      <c r="AK549" s="410"/>
    </row>
    <row r="550" spans="1:37" x14ac:dyDescent="0.2">
      <c r="A550" s="410"/>
      <c r="B550" s="410"/>
      <c r="C550" s="410"/>
      <c r="D550" s="410"/>
      <c r="E550" s="410"/>
      <c r="F550" s="410"/>
      <c r="G550" s="410"/>
      <c r="H550" s="410"/>
      <c r="I550" s="410"/>
      <c r="J550" s="410"/>
      <c r="K550" s="410"/>
      <c r="L550" s="410"/>
      <c r="M550" s="410"/>
      <c r="N550" s="410"/>
      <c r="R550" s="410"/>
      <c r="S550" s="410"/>
      <c r="T550" s="410"/>
      <c r="U550" s="410"/>
      <c r="V550" s="410"/>
      <c r="W550" s="410"/>
      <c r="X550" s="410"/>
      <c r="Y550" s="410"/>
      <c r="Z550" s="410"/>
      <c r="AA550" s="410"/>
      <c r="AB550" s="410"/>
      <c r="AC550" s="410"/>
      <c r="AD550" s="410"/>
      <c r="AE550" s="410"/>
      <c r="AF550" s="410"/>
      <c r="AG550" s="410"/>
      <c r="AH550" s="410"/>
      <c r="AI550" s="410"/>
      <c r="AJ550" s="410"/>
      <c r="AK550" s="410"/>
    </row>
    <row r="551" spans="1:37" x14ac:dyDescent="0.2">
      <c r="A551" s="410"/>
      <c r="B551" s="410"/>
      <c r="C551" s="410"/>
      <c r="D551" s="410"/>
      <c r="E551" s="410"/>
      <c r="F551" s="410"/>
      <c r="G551" s="410"/>
      <c r="H551" s="410"/>
      <c r="I551" s="410"/>
      <c r="J551" s="410"/>
      <c r="K551" s="410"/>
      <c r="L551" s="410"/>
      <c r="M551" s="410"/>
      <c r="N551" s="410"/>
      <c r="R551" s="410"/>
      <c r="S551" s="410"/>
      <c r="T551" s="410"/>
      <c r="U551" s="410"/>
      <c r="V551" s="410"/>
      <c r="W551" s="410"/>
      <c r="X551" s="410"/>
      <c r="Y551" s="410"/>
      <c r="Z551" s="410"/>
      <c r="AA551" s="410"/>
      <c r="AB551" s="410"/>
      <c r="AC551" s="410"/>
      <c r="AD551" s="410"/>
      <c r="AE551" s="410"/>
      <c r="AF551" s="410"/>
      <c r="AG551" s="410"/>
      <c r="AH551" s="410"/>
      <c r="AI551" s="410"/>
      <c r="AJ551" s="410"/>
      <c r="AK551" s="410"/>
    </row>
    <row r="552" spans="1:37" x14ac:dyDescent="0.2">
      <c r="A552" s="410"/>
      <c r="B552" s="410"/>
      <c r="C552" s="410"/>
      <c r="D552" s="410"/>
      <c r="E552" s="410"/>
      <c r="F552" s="410"/>
      <c r="G552" s="410"/>
      <c r="H552" s="410"/>
      <c r="I552" s="410"/>
      <c r="J552" s="410"/>
      <c r="K552" s="410"/>
      <c r="L552" s="410"/>
      <c r="M552" s="410"/>
      <c r="N552" s="410"/>
      <c r="R552" s="410"/>
      <c r="S552" s="410"/>
      <c r="T552" s="410"/>
      <c r="U552" s="410"/>
      <c r="V552" s="410"/>
      <c r="W552" s="410"/>
      <c r="X552" s="410"/>
      <c r="Y552" s="410"/>
      <c r="Z552" s="410"/>
      <c r="AA552" s="410"/>
      <c r="AB552" s="410"/>
      <c r="AC552" s="410"/>
      <c r="AD552" s="410"/>
      <c r="AE552" s="410"/>
      <c r="AF552" s="410"/>
      <c r="AG552" s="410"/>
      <c r="AH552" s="410"/>
      <c r="AI552" s="410"/>
      <c r="AJ552" s="410"/>
      <c r="AK552" s="410"/>
    </row>
    <row r="553" spans="1:37" x14ac:dyDescent="0.2">
      <c r="A553" s="410"/>
      <c r="B553" s="410"/>
      <c r="C553" s="410"/>
      <c r="D553" s="410"/>
      <c r="E553" s="410"/>
      <c r="F553" s="410"/>
      <c r="G553" s="410"/>
      <c r="H553" s="410"/>
      <c r="I553" s="410"/>
      <c r="J553" s="410"/>
      <c r="K553" s="410"/>
      <c r="L553" s="410"/>
      <c r="M553" s="410"/>
      <c r="N553" s="410"/>
      <c r="R553" s="410"/>
      <c r="S553" s="410"/>
      <c r="T553" s="410"/>
      <c r="U553" s="410"/>
      <c r="V553" s="410"/>
      <c r="W553" s="410"/>
      <c r="X553" s="410"/>
      <c r="Y553" s="410"/>
      <c r="Z553" s="410"/>
      <c r="AA553" s="410"/>
      <c r="AB553" s="410"/>
      <c r="AC553" s="410"/>
      <c r="AD553" s="410"/>
      <c r="AE553" s="410"/>
      <c r="AF553" s="410"/>
      <c r="AG553" s="410"/>
      <c r="AH553" s="410"/>
      <c r="AI553" s="410"/>
      <c r="AJ553" s="410"/>
      <c r="AK553" s="410"/>
    </row>
    <row r="554" spans="1:37" x14ac:dyDescent="0.2">
      <c r="A554" s="410"/>
      <c r="B554" s="410"/>
      <c r="C554" s="410"/>
      <c r="D554" s="410"/>
      <c r="E554" s="410"/>
      <c r="F554" s="410"/>
      <c r="G554" s="410"/>
      <c r="H554" s="410"/>
      <c r="I554" s="410"/>
      <c r="J554" s="410"/>
      <c r="K554" s="410"/>
      <c r="L554" s="410"/>
      <c r="M554" s="410"/>
      <c r="N554" s="410"/>
      <c r="R554" s="410"/>
      <c r="S554" s="410"/>
      <c r="T554" s="410"/>
      <c r="U554" s="410"/>
      <c r="V554" s="410"/>
      <c r="W554" s="410"/>
      <c r="X554" s="410"/>
      <c r="Y554" s="410"/>
      <c r="Z554" s="410"/>
      <c r="AA554" s="410"/>
      <c r="AB554" s="410"/>
      <c r="AC554" s="410"/>
      <c r="AD554" s="410"/>
      <c r="AE554" s="410"/>
      <c r="AF554" s="410"/>
      <c r="AG554" s="410"/>
      <c r="AH554" s="410"/>
      <c r="AI554" s="410"/>
      <c r="AJ554" s="410"/>
      <c r="AK554" s="410"/>
    </row>
    <row r="555" spans="1:37" x14ac:dyDescent="0.2">
      <c r="A555" s="410"/>
      <c r="B555" s="410"/>
      <c r="C555" s="410"/>
      <c r="D555" s="410"/>
      <c r="E555" s="410"/>
      <c r="F555" s="410"/>
      <c r="G555" s="410"/>
      <c r="H555" s="410"/>
      <c r="I555" s="410"/>
      <c r="J555" s="410"/>
      <c r="K555" s="410"/>
      <c r="L555" s="410"/>
      <c r="M555" s="410"/>
      <c r="N555" s="410"/>
      <c r="R555" s="410"/>
      <c r="S555" s="410"/>
      <c r="T555" s="410"/>
      <c r="U555" s="410"/>
      <c r="V555" s="410"/>
      <c r="W555" s="410"/>
      <c r="X555" s="410"/>
      <c r="Y555" s="410"/>
      <c r="Z555" s="410"/>
      <c r="AA555" s="410"/>
      <c r="AB555" s="410"/>
      <c r="AC555" s="410"/>
      <c r="AD555" s="410"/>
      <c r="AE555" s="410"/>
      <c r="AF555" s="410"/>
      <c r="AG555" s="410"/>
      <c r="AH555" s="410"/>
      <c r="AI555" s="410"/>
      <c r="AJ555" s="410"/>
      <c r="AK555" s="410"/>
    </row>
    <row r="556" spans="1:37" x14ac:dyDescent="0.2">
      <c r="A556" s="410"/>
      <c r="B556" s="410"/>
      <c r="C556" s="410"/>
      <c r="D556" s="410"/>
      <c r="E556" s="410"/>
      <c r="F556" s="410"/>
      <c r="G556" s="410"/>
      <c r="H556" s="410"/>
      <c r="I556" s="410"/>
      <c r="J556" s="410"/>
      <c r="K556" s="410"/>
      <c r="L556" s="410"/>
      <c r="M556" s="410"/>
      <c r="N556" s="410"/>
      <c r="R556" s="410"/>
      <c r="S556" s="410"/>
      <c r="T556" s="410"/>
      <c r="U556" s="410"/>
      <c r="V556" s="410"/>
      <c r="W556" s="410"/>
      <c r="X556" s="410"/>
      <c r="Y556" s="410"/>
      <c r="Z556" s="410"/>
      <c r="AA556" s="410"/>
      <c r="AB556" s="410"/>
      <c r="AC556" s="410"/>
      <c r="AD556" s="410"/>
      <c r="AE556" s="410"/>
      <c r="AF556" s="410"/>
      <c r="AG556" s="410"/>
      <c r="AH556" s="410"/>
      <c r="AI556" s="410"/>
      <c r="AJ556" s="410"/>
      <c r="AK556" s="410"/>
    </row>
    <row r="557" spans="1:37" x14ac:dyDescent="0.2">
      <c r="A557" s="410"/>
      <c r="B557" s="410"/>
      <c r="C557" s="410"/>
      <c r="D557" s="410"/>
      <c r="E557" s="410"/>
      <c r="F557" s="410"/>
      <c r="G557" s="410"/>
      <c r="H557" s="410"/>
      <c r="I557" s="410"/>
      <c r="J557" s="410"/>
      <c r="K557" s="410"/>
      <c r="L557" s="410"/>
      <c r="M557" s="410"/>
      <c r="N557" s="410"/>
      <c r="R557" s="410"/>
      <c r="S557" s="410"/>
      <c r="T557" s="410"/>
      <c r="U557" s="410"/>
      <c r="V557" s="410"/>
      <c r="W557" s="410"/>
      <c r="X557" s="410"/>
      <c r="Y557" s="410"/>
      <c r="Z557" s="410"/>
      <c r="AA557" s="410"/>
      <c r="AB557" s="410"/>
      <c r="AC557" s="410"/>
      <c r="AD557" s="410"/>
      <c r="AE557" s="410"/>
      <c r="AF557" s="410"/>
      <c r="AG557" s="410"/>
      <c r="AH557" s="410"/>
      <c r="AI557" s="410"/>
      <c r="AJ557" s="410"/>
      <c r="AK557" s="410"/>
    </row>
    <row r="558" spans="1:37" x14ac:dyDescent="0.2">
      <c r="A558" s="410"/>
      <c r="B558" s="410"/>
      <c r="C558" s="410"/>
      <c r="D558" s="410"/>
      <c r="E558" s="410"/>
      <c r="F558" s="410"/>
      <c r="G558" s="410"/>
      <c r="H558" s="410"/>
      <c r="I558" s="410"/>
      <c r="J558" s="410"/>
      <c r="K558" s="410"/>
      <c r="L558" s="410"/>
      <c r="M558" s="410"/>
      <c r="N558" s="410"/>
      <c r="R558" s="410"/>
      <c r="S558" s="410"/>
      <c r="T558" s="410"/>
      <c r="U558" s="410"/>
      <c r="V558" s="410"/>
      <c r="W558" s="410"/>
      <c r="X558" s="410"/>
      <c r="Y558" s="410"/>
      <c r="Z558" s="410"/>
      <c r="AA558" s="410"/>
      <c r="AB558" s="410"/>
      <c r="AC558" s="410"/>
      <c r="AD558" s="410"/>
      <c r="AE558" s="410"/>
      <c r="AF558" s="410"/>
      <c r="AG558" s="410"/>
      <c r="AH558" s="410"/>
      <c r="AI558" s="410"/>
      <c r="AJ558" s="410"/>
      <c r="AK558" s="410"/>
    </row>
    <row r="559" spans="1:37" x14ac:dyDescent="0.2">
      <c r="A559" s="410"/>
      <c r="B559" s="410"/>
      <c r="C559" s="410"/>
      <c r="D559" s="410"/>
      <c r="E559" s="410"/>
      <c r="F559" s="410"/>
      <c r="G559" s="410"/>
      <c r="H559" s="410"/>
      <c r="I559" s="410"/>
      <c r="J559" s="410"/>
      <c r="K559" s="410"/>
      <c r="L559" s="410"/>
      <c r="M559" s="410"/>
      <c r="N559" s="410"/>
      <c r="R559" s="410"/>
      <c r="S559" s="410"/>
      <c r="T559" s="410"/>
      <c r="U559" s="410"/>
      <c r="V559" s="410"/>
      <c r="W559" s="410"/>
      <c r="X559" s="410"/>
      <c r="Y559" s="410"/>
      <c r="Z559" s="410"/>
      <c r="AA559" s="410"/>
      <c r="AB559" s="410"/>
      <c r="AC559" s="410"/>
      <c r="AD559" s="410"/>
      <c r="AE559" s="410"/>
      <c r="AF559" s="410"/>
      <c r="AG559" s="410"/>
      <c r="AH559" s="410"/>
      <c r="AI559" s="410"/>
      <c r="AJ559" s="410"/>
      <c r="AK559" s="410"/>
    </row>
    <row r="560" spans="1:37" x14ac:dyDescent="0.2">
      <c r="A560" s="410"/>
      <c r="B560" s="410"/>
      <c r="C560" s="410"/>
      <c r="D560" s="410"/>
      <c r="E560" s="410"/>
      <c r="F560" s="410"/>
      <c r="G560" s="410"/>
      <c r="H560" s="410"/>
      <c r="I560" s="410"/>
      <c r="J560" s="410"/>
      <c r="K560" s="410"/>
      <c r="L560" s="410"/>
      <c r="M560" s="410"/>
      <c r="N560" s="410"/>
      <c r="R560" s="410"/>
      <c r="S560" s="410"/>
      <c r="T560" s="410"/>
      <c r="U560" s="410"/>
      <c r="V560" s="410"/>
      <c r="W560" s="410"/>
      <c r="X560" s="410"/>
      <c r="Y560" s="410"/>
      <c r="Z560" s="410"/>
      <c r="AA560" s="410"/>
      <c r="AB560" s="410"/>
      <c r="AC560" s="410"/>
      <c r="AD560" s="410"/>
      <c r="AE560" s="410"/>
      <c r="AF560" s="410"/>
      <c r="AG560" s="410"/>
      <c r="AH560" s="410"/>
      <c r="AI560" s="410"/>
      <c r="AJ560" s="410"/>
      <c r="AK560" s="410"/>
    </row>
    <row r="561" spans="1:37" x14ac:dyDescent="0.2">
      <c r="A561" s="410"/>
      <c r="B561" s="410"/>
      <c r="C561" s="410"/>
      <c r="D561" s="410"/>
      <c r="E561" s="410"/>
      <c r="F561" s="410"/>
      <c r="G561" s="410"/>
      <c r="H561" s="410"/>
      <c r="I561" s="410"/>
      <c r="J561" s="410"/>
      <c r="K561" s="410"/>
      <c r="L561" s="410"/>
      <c r="M561" s="410"/>
      <c r="N561" s="410"/>
      <c r="R561" s="410"/>
      <c r="S561" s="410"/>
      <c r="T561" s="410"/>
      <c r="U561" s="410"/>
      <c r="V561" s="410"/>
      <c r="W561" s="410"/>
      <c r="X561" s="410"/>
      <c r="Y561" s="410"/>
      <c r="Z561" s="410"/>
      <c r="AA561" s="410"/>
      <c r="AB561" s="410"/>
      <c r="AC561" s="410"/>
      <c r="AD561" s="410"/>
      <c r="AE561" s="410"/>
      <c r="AF561" s="410"/>
      <c r="AG561" s="410"/>
      <c r="AH561" s="410"/>
      <c r="AI561" s="410"/>
      <c r="AJ561" s="410"/>
      <c r="AK561" s="410"/>
    </row>
    <row r="562" spans="1:37" x14ac:dyDescent="0.2">
      <c r="A562" s="410"/>
      <c r="B562" s="410"/>
      <c r="C562" s="410"/>
      <c r="D562" s="410"/>
      <c r="E562" s="410"/>
      <c r="F562" s="410"/>
      <c r="G562" s="410"/>
      <c r="H562" s="410"/>
      <c r="I562" s="410"/>
      <c r="J562" s="410"/>
      <c r="K562" s="410"/>
      <c r="L562" s="410"/>
      <c r="M562" s="410"/>
      <c r="N562" s="410"/>
      <c r="R562" s="410"/>
      <c r="S562" s="410"/>
      <c r="T562" s="410"/>
      <c r="U562" s="410"/>
      <c r="V562" s="410"/>
      <c r="W562" s="410"/>
      <c r="X562" s="410"/>
      <c r="Y562" s="410"/>
      <c r="Z562" s="410"/>
      <c r="AA562" s="410"/>
      <c r="AB562" s="410"/>
      <c r="AC562" s="410"/>
      <c r="AD562" s="410"/>
      <c r="AE562" s="410"/>
      <c r="AF562" s="410"/>
      <c r="AG562" s="410"/>
      <c r="AH562" s="410"/>
      <c r="AI562" s="410"/>
      <c r="AJ562" s="410"/>
      <c r="AK562" s="410"/>
    </row>
    <row r="563" spans="1:37" x14ac:dyDescent="0.2">
      <c r="A563" s="410"/>
      <c r="B563" s="410"/>
      <c r="C563" s="410"/>
      <c r="D563" s="410"/>
      <c r="E563" s="410"/>
      <c r="F563" s="410"/>
      <c r="G563" s="410"/>
      <c r="H563" s="410"/>
      <c r="I563" s="410"/>
      <c r="J563" s="410"/>
      <c r="K563" s="410"/>
      <c r="L563" s="410"/>
      <c r="M563" s="410"/>
      <c r="N563" s="410"/>
      <c r="R563" s="410"/>
      <c r="S563" s="410"/>
      <c r="T563" s="410"/>
      <c r="U563" s="410"/>
      <c r="V563" s="410"/>
      <c r="W563" s="410"/>
      <c r="X563" s="410"/>
      <c r="Y563" s="410"/>
      <c r="Z563" s="410"/>
      <c r="AA563" s="410"/>
      <c r="AB563" s="410"/>
      <c r="AC563" s="410"/>
      <c r="AD563" s="410"/>
      <c r="AE563" s="410"/>
      <c r="AF563" s="410"/>
      <c r="AG563" s="410"/>
      <c r="AH563" s="410"/>
      <c r="AI563" s="410"/>
      <c r="AJ563" s="410"/>
      <c r="AK563" s="410"/>
    </row>
    <row r="564" spans="1:37" x14ac:dyDescent="0.2">
      <c r="A564" s="410"/>
      <c r="B564" s="410"/>
      <c r="C564" s="410"/>
      <c r="D564" s="410"/>
      <c r="E564" s="410"/>
      <c r="F564" s="410"/>
      <c r="G564" s="410"/>
      <c r="H564" s="410"/>
      <c r="I564" s="410"/>
      <c r="J564" s="410"/>
      <c r="K564" s="410"/>
      <c r="L564" s="410"/>
      <c r="M564" s="410"/>
      <c r="N564" s="410"/>
      <c r="R564" s="410"/>
      <c r="S564" s="410"/>
      <c r="T564" s="410"/>
      <c r="U564" s="410"/>
      <c r="V564" s="410"/>
      <c r="W564" s="410"/>
      <c r="X564" s="410"/>
      <c r="Y564" s="410"/>
      <c r="Z564" s="410"/>
      <c r="AA564" s="410"/>
      <c r="AB564" s="410"/>
      <c r="AC564" s="410"/>
      <c r="AD564" s="410"/>
      <c r="AE564" s="410"/>
      <c r="AF564" s="410"/>
      <c r="AG564" s="410"/>
      <c r="AH564" s="410"/>
      <c r="AI564" s="410"/>
      <c r="AJ564" s="410"/>
      <c r="AK564" s="410"/>
    </row>
    <row r="565" spans="1:37" x14ac:dyDescent="0.2">
      <c r="A565" s="410"/>
      <c r="B565" s="410"/>
      <c r="C565" s="410"/>
      <c r="D565" s="410"/>
      <c r="E565" s="410"/>
      <c r="F565" s="410"/>
      <c r="G565" s="410"/>
      <c r="H565" s="410"/>
      <c r="I565" s="410"/>
      <c r="J565" s="410"/>
      <c r="K565" s="410"/>
      <c r="L565" s="410"/>
      <c r="M565" s="410"/>
      <c r="N565" s="410"/>
      <c r="R565" s="410"/>
      <c r="S565" s="410"/>
      <c r="T565" s="410"/>
      <c r="U565" s="410"/>
      <c r="V565" s="410"/>
      <c r="W565" s="410"/>
      <c r="X565" s="410"/>
      <c r="Y565" s="410"/>
      <c r="Z565" s="410"/>
      <c r="AA565" s="410"/>
      <c r="AB565" s="410"/>
      <c r="AC565" s="410"/>
      <c r="AD565" s="410"/>
      <c r="AE565" s="410"/>
      <c r="AF565" s="410"/>
      <c r="AG565" s="410"/>
      <c r="AH565" s="410"/>
      <c r="AI565" s="410"/>
      <c r="AJ565" s="410"/>
      <c r="AK565" s="410"/>
    </row>
    <row r="566" spans="1:37" x14ac:dyDescent="0.2">
      <c r="A566" s="410"/>
      <c r="B566" s="410"/>
      <c r="C566" s="410"/>
      <c r="D566" s="410"/>
      <c r="E566" s="410"/>
      <c r="F566" s="410"/>
      <c r="G566" s="410"/>
      <c r="H566" s="410"/>
      <c r="I566" s="410"/>
      <c r="J566" s="410"/>
      <c r="K566" s="410"/>
      <c r="L566" s="410"/>
      <c r="M566" s="410"/>
      <c r="N566" s="410"/>
      <c r="R566" s="410"/>
      <c r="S566" s="410"/>
      <c r="T566" s="410"/>
      <c r="U566" s="410"/>
      <c r="V566" s="410"/>
      <c r="W566" s="410"/>
      <c r="X566" s="410"/>
      <c r="Y566" s="410"/>
      <c r="Z566" s="410"/>
      <c r="AA566" s="410"/>
      <c r="AB566" s="410"/>
      <c r="AC566" s="410"/>
      <c r="AD566" s="410"/>
      <c r="AE566" s="410"/>
      <c r="AF566" s="410"/>
      <c r="AG566" s="410"/>
      <c r="AH566" s="410"/>
      <c r="AI566" s="410"/>
      <c r="AJ566" s="410"/>
      <c r="AK566" s="410"/>
    </row>
    <row r="567" spans="1:37" x14ac:dyDescent="0.2">
      <c r="A567" s="410"/>
      <c r="B567" s="410"/>
      <c r="C567" s="410"/>
      <c r="D567" s="410"/>
      <c r="E567" s="410"/>
      <c r="F567" s="410"/>
      <c r="G567" s="410"/>
      <c r="H567" s="410"/>
      <c r="I567" s="410"/>
      <c r="J567" s="410"/>
      <c r="K567" s="410"/>
      <c r="L567" s="410"/>
      <c r="M567" s="410"/>
      <c r="N567" s="410"/>
      <c r="R567" s="410"/>
      <c r="S567" s="410"/>
      <c r="T567" s="410"/>
      <c r="U567" s="410"/>
      <c r="V567" s="410"/>
      <c r="W567" s="410"/>
      <c r="X567" s="410"/>
      <c r="Y567" s="410"/>
      <c r="Z567" s="410"/>
      <c r="AA567" s="410"/>
      <c r="AB567" s="410"/>
      <c r="AC567" s="410"/>
      <c r="AD567" s="410"/>
      <c r="AE567" s="410"/>
      <c r="AF567" s="410"/>
      <c r="AG567" s="410"/>
      <c r="AH567" s="410"/>
      <c r="AI567" s="410"/>
      <c r="AJ567" s="410"/>
      <c r="AK567" s="410"/>
    </row>
    <row r="568" spans="1:37" x14ac:dyDescent="0.2">
      <c r="A568" s="410"/>
      <c r="B568" s="410"/>
      <c r="C568" s="410"/>
      <c r="D568" s="410"/>
      <c r="E568" s="410"/>
      <c r="F568" s="410"/>
      <c r="G568" s="410"/>
      <c r="H568" s="410"/>
      <c r="I568" s="410"/>
      <c r="J568" s="410"/>
      <c r="K568" s="410"/>
      <c r="L568" s="410"/>
      <c r="M568" s="410"/>
      <c r="N568" s="410"/>
      <c r="R568" s="410"/>
      <c r="S568" s="410"/>
      <c r="T568" s="410"/>
      <c r="U568" s="410"/>
      <c r="V568" s="410"/>
      <c r="W568" s="410"/>
      <c r="X568" s="410"/>
      <c r="Y568" s="410"/>
      <c r="Z568" s="410"/>
      <c r="AA568" s="410"/>
      <c r="AB568" s="410"/>
      <c r="AC568" s="410"/>
      <c r="AD568" s="410"/>
      <c r="AE568" s="410"/>
      <c r="AF568" s="410"/>
      <c r="AG568" s="410"/>
      <c r="AH568" s="410"/>
      <c r="AI568" s="410"/>
      <c r="AJ568" s="410"/>
      <c r="AK568" s="410"/>
    </row>
    <row r="569" spans="1:37" x14ac:dyDescent="0.2">
      <c r="A569" s="410"/>
      <c r="B569" s="410"/>
      <c r="C569" s="410"/>
      <c r="D569" s="410"/>
      <c r="E569" s="410"/>
      <c r="F569" s="410"/>
      <c r="G569" s="410"/>
      <c r="H569" s="410"/>
      <c r="I569" s="410"/>
      <c r="J569" s="410"/>
      <c r="K569" s="410"/>
      <c r="L569" s="410"/>
      <c r="M569" s="410"/>
      <c r="N569" s="410"/>
      <c r="R569" s="410"/>
      <c r="S569" s="410"/>
      <c r="T569" s="410"/>
      <c r="U569" s="410"/>
      <c r="V569" s="410"/>
      <c r="W569" s="410"/>
      <c r="X569" s="410"/>
      <c r="Y569" s="410"/>
      <c r="Z569" s="410"/>
      <c r="AA569" s="410"/>
      <c r="AB569" s="410"/>
      <c r="AC569" s="410"/>
      <c r="AD569" s="410"/>
      <c r="AE569" s="410"/>
      <c r="AF569" s="410"/>
      <c r="AG569" s="410"/>
      <c r="AH569" s="410"/>
      <c r="AI569" s="410"/>
      <c r="AJ569" s="410"/>
      <c r="AK569" s="410"/>
    </row>
    <row r="570" spans="1:37" x14ac:dyDescent="0.2">
      <c r="A570" s="410"/>
      <c r="B570" s="410"/>
      <c r="C570" s="410"/>
      <c r="D570" s="410"/>
      <c r="E570" s="410"/>
      <c r="F570" s="410"/>
      <c r="G570" s="410"/>
      <c r="H570" s="410"/>
      <c r="I570" s="410"/>
      <c r="J570" s="410"/>
      <c r="K570" s="410"/>
      <c r="L570" s="410"/>
      <c r="M570" s="410"/>
      <c r="N570" s="410"/>
      <c r="R570" s="410"/>
      <c r="S570" s="410"/>
      <c r="T570" s="410"/>
      <c r="U570" s="410"/>
      <c r="V570" s="410"/>
      <c r="W570" s="410"/>
      <c r="X570" s="410"/>
      <c r="Y570" s="410"/>
      <c r="Z570" s="410"/>
      <c r="AA570" s="410"/>
      <c r="AB570" s="410"/>
      <c r="AC570" s="410"/>
      <c r="AD570" s="410"/>
      <c r="AE570" s="410"/>
      <c r="AF570" s="410"/>
      <c r="AG570" s="410"/>
      <c r="AH570" s="410"/>
      <c r="AI570" s="410"/>
      <c r="AJ570" s="410"/>
      <c r="AK570" s="410"/>
    </row>
    <row r="571" spans="1:37" x14ac:dyDescent="0.2">
      <c r="A571" s="410"/>
      <c r="B571" s="410"/>
      <c r="C571" s="410"/>
      <c r="D571" s="410"/>
      <c r="E571" s="410"/>
      <c r="F571" s="410"/>
      <c r="G571" s="410"/>
      <c r="H571" s="410"/>
      <c r="I571" s="410"/>
      <c r="J571" s="410"/>
      <c r="K571" s="410"/>
      <c r="L571" s="410"/>
      <c r="M571" s="410"/>
      <c r="N571" s="410"/>
      <c r="R571" s="410"/>
      <c r="S571" s="410"/>
      <c r="T571" s="410"/>
      <c r="U571" s="410"/>
      <c r="V571" s="410"/>
      <c r="W571" s="410"/>
      <c r="X571" s="410"/>
      <c r="Y571" s="410"/>
      <c r="Z571" s="410"/>
      <c r="AA571" s="410"/>
      <c r="AB571" s="410"/>
      <c r="AC571" s="410"/>
      <c r="AD571" s="410"/>
      <c r="AE571" s="410"/>
      <c r="AF571" s="410"/>
      <c r="AG571" s="410"/>
      <c r="AH571" s="410"/>
      <c r="AI571" s="410"/>
      <c r="AJ571" s="410"/>
      <c r="AK571" s="410"/>
    </row>
    <row r="572" spans="1:37" x14ac:dyDescent="0.2">
      <c r="A572" s="410"/>
      <c r="B572" s="410"/>
      <c r="C572" s="410"/>
      <c r="D572" s="410"/>
      <c r="E572" s="410"/>
      <c r="F572" s="410"/>
      <c r="G572" s="410"/>
      <c r="H572" s="410"/>
      <c r="I572" s="410"/>
      <c r="J572" s="410"/>
      <c r="K572" s="410"/>
      <c r="L572" s="410"/>
      <c r="M572" s="410"/>
      <c r="N572" s="410"/>
      <c r="R572" s="410"/>
      <c r="S572" s="410"/>
      <c r="T572" s="410"/>
      <c r="U572" s="410"/>
      <c r="V572" s="410"/>
      <c r="W572" s="410"/>
      <c r="X572" s="410"/>
      <c r="Y572" s="410"/>
      <c r="Z572" s="410"/>
      <c r="AA572" s="410"/>
      <c r="AB572" s="410"/>
      <c r="AC572" s="410"/>
      <c r="AD572" s="410"/>
      <c r="AE572" s="410"/>
      <c r="AF572" s="410"/>
      <c r="AG572" s="410"/>
      <c r="AH572" s="410"/>
      <c r="AI572" s="410"/>
      <c r="AJ572" s="410"/>
      <c r="AK572" s="410"/>
    </row>
    <row r="573" spans="1:37" x14ac:dyDescent="0.2">
      <c r="A573" s="410"/>
      <c r="B573" s="410"/>
      <c r="C573" s="410"/>
      <c r="D573" s="410"/>
      <c r="E573" s="410"/>
      <c r="F573" s="410"/>
      <c r="G573" s="410"/>
      <c r="H573" s="410"/>
      <c r="I573" s="410"/>
      <c r="J573" s="410"/>
      <c r="K573" s="410"/>
      <c r="L573" s="410"/>
      <c r="M573" s="410"/>
      <c r="N573" s="410"/>
      <c r="R573" s="410"/>
      <c r="S573" s="410"/>
      <c r="T573" s="410"/>
      <c r="U573" s="410"/>
      <c r="V573" s="410"/>
      <c r="W573" s="410"/>
      <c r="X573" s="410"/>
      <c r="Y573" s="410"/>
      <c r="Z573" s="410"/>
      <c r="AA573" s="410"/>
      <c r="AB573" s="410"/>
      <c r="AC573" s="410"/>
      <c r="AD573" s="410"/>
      <c r="AE573" s="410"/>
      <c r="AF573" s="410"/>
      <c r="AG573" s="410"/>
      <c r="AH573" s="410"/>
      <c r="AI573" s="410"/>
      <c r="AJ573" s="410"/>
      <c r="AK573" s="410"/>
    </row>
    <row r="574" spans="1:37" x14ac:dyDescent="0.2">
      <c r="A574" s="410"/>
      <c r="B574" s="410"/>
      <c r="C574" s="410"/>
      <c r="D574" s="410"/>
      <c r="E574" s="410"/>
      <c r="F574" s="410"/>
      <c r="G574" s="410"/>
      <c r="H574" s="410"/>
      <c r="I574" s="410"/>
      <c r="J574" s="410"/>
      <c r="K574" s="410"/>
      <c r="L574" s="410"/>
      <c r="M574" s="410"/>
      <c r="N574" s="410"/>
      <c r="R574" s="410"/>
      <c r="S574" s="410"/>
      <c r="T574" s="410"/>
      <c r="U574" s="410"/>
      <c r="V574" s="410"/>
      <c r="W574" s="410"/>
      <c r="X574" s="410"/>
      <c r="Y574" s="410"/>
      <c r="Z574" s="410"/>
      <c r="AA574" s="410"/>
      <c r="AB574" s="410"/>
      <c r="AC574" s="410"/>
      <c r="AD574" s="410"/>
      <c r="AE574" s="410"/>
      <c r="AF574" s="410"/>
      <c r="AG574" s="410"/>
      <c r="AH574" s="410"/>
      <c r="AI574" s="410"/>
      <c r="AJ574" s="410"/>
      <c r="AK574" s="410"/>
    </row>
    <row r="575" spans="1:37" x14ac:dyDescent="0.2">
      <c r="A575" s="410"/>
      <c r="B575" s="410"/>
      <c r="C575" s="410"/>
      <c r="D575" s="410"/>
      <c r="E575" s="410"/>
      <c r="F575" s="410"/>
      <c r="G575" s="410"/>
      <c r="H575" s="410"/>
      <c r="I575" s="410"/>
      <c r="J575" s="410"/>
      <c r="K575" s="410"/>
      <c r="L575" s="410"/>
      <c r="M575" s="410"/>
      <c r="N575" s="410"/>
      <c r="R575" s="410"/>
      <c r="S575" s="410"/>
      <c r="T575" s="410"/>
      <c r="U575" s="410"/>
      <c r="V575" s="410"/>
      <c r="W575" s="410"/>
      <c r="X575" s="410"/>
      <c r="Y575" s="410"/>
      <c r="Z575" s="410"/>
      <c r="AA575" s="410"/>
      <c r="AB575" s="410"/>
      <c r="AC575" s="410"/>
      <c r="AD575" s="410"/>
      <c r="AE575" s="410"/>
      <c r="AF575" s="410"/>
      <c r="AG575" s="410"/>
      <c r="AH575" s="410"/>
      <c r="AI575" s="410"/>
      <c r="AJ575" s="410"/>
      <c r="AK575" s="410"/>
    </row>
    <row r="576" spans="1:37" x14ac:dyDescent="0.2">
      <c r="A576" s="410"/>
      <c r="B576" s="410"/>
      <c r="C576" s="410"/>
      <c r="D576" s="410"/>
      <c r="E576" s="410"/>
      <c r="F576" s="410"/>
      <c r="G576" s="410"/>
      <c r="H576" s="410"/>
      <c r="I576" s="410"/>
      <c r="J576" s="410"/>
      <c r="K576" s="410"/>
      <c r="L576" s="410"/>
      <c r="M576" s="410"/>
      <c r="N576" s="410"/>
      <c r="R576" s="410"/>
      <c r="S576" s="410"/>
      <c r="T576" s="410"/>
      <c r="U576" s="410"/>
      <c r="V576" s="410"/>
      <c r="W576" s="410"/>
      <c r="X576" s="410"/>
      <c r="Y576" s="410"/>
      <c r="Z576" s="410"/>
      <c r="AA576" s="410"/>
      <c r="AB576" s="410"/>
      <c r="AC576" s="410"/>
      <c r="AD576" s="410"/>
      <c r="AE576" s="410"/>
      <c r="AF576" s="410"/>
      <c r="AG576" s="410"/>
      <c r="AH576" s="410"/>
      <c r="AI576" s="410"/>
      <c r="AJ576" s="410"/>
      <c r="AK576" s="410"/>
    </row>
    <row r="577" spans="1:37" x14ac:dyDescent="0.2">
      <c r="A577" s="410"/>
      <c r="B577" s="410"/>
      <c r="C577" s="410"/>
      <c r="D577" s="410"/>
      <c r="E577" s="410"/>
      <c r="F577" s="410"/>
      <c r="G577" s="410"/>
      <c r="H577" s="410"/>
      <c r="I577" s="410"/>
      <c r="J577" s="410"/>
      <c r="K577" s="410"/>
      <c r="L577" s="410"/>
      <c r="M577" s="410"/>
      <c r="N577" s="410"/>
      <c r="R577" s="410"/>
      <c r="S577" s="410"/>
      <c r="T577" s="410"/>
      <c r="U577" s="410"/>
      <c r="V577" s="410"/>
      <c r="W577" s="410"/>
      <c r="X577" s="410"/>
      <c r="Y577" s="410"/>
      <c r="Z577" s="410"/>
      <c r="AA577" s="410"/>
      <c r="AB577" s="410"/>
      <c r="AC577" s="410"/>
      <c r="AD577" s="410"/>
      <c r="AE577" s="410"/>
      <c r="AF577" s="410"/>
      <c r="AG577" s="410"/>
      <c r="AH577" s="410"/>
      <c r="AI577" s="410"/>
      <c r="AJ577" s="410"/>
      <c r="AK577" s="410"/>
    </row>
    <row r="578" spans="1:37" x14ac:dyDescent="0.2">
      <c r="A578" s="410"/>
      <c r="B578" s="410"/>
      <c r="C578" s="410"/>
      <c r="D578" s="410"/>
      <c r="E578" s="410"/>
      <c r="F578" s="410"/>
      <c r="G578" s="410"/>
      <c r="H578" s="410"/>
      <c r="I578" s="410"/>
      <c r="J578" s="410"/>
      <c r="K578" s="410"/>
      <c r="L578" s="410"/>
      <c r="M578" s="410"/>
      <c r="N578" s="410"/>
      <c r="R578" s="410"/>
      <c r="S578" s="410"/>
      <c r="T578" s="410"/>
      <c r="U578" s="410"/>
      <c r="V578" s="410"/>
      <c r="W578" s="410"/>
      <c r="X578" s="410"/>
      <c r="Y578" s="410"/>
      <c r="Z578" s="410"/>
      <c r="AA578" s="410"/>
      <c r="AB578" s="410"/>
      <c r="AC578" s="410"/>
      <c r="AD578" s="410"/>
      <c r="AE578" s="410"/>
      <c r="AF578" s="410"/>
      <c r="AG578" s="410"/>
      <c r="AH578" s="410"/>
      <c r="AI578" s="410"/>
      <c r="AJ578" s="410"/>
      <c r="AK578" s="410"/>
    </row>
    <row r="579" spans="1:37" x14ac:dyDescent="0.2">
      <c r="A579" s="410"/>
      <c r="B579" s="410"/>
      <c r="C579" s="410"/>
      <c r="D579" s="410"/>
      <c r="E579" s="410"/>
      <c r="F579" s="410"/>
      <c r="G579" s="410"/>
      <c r="H579" s="410"/>
      <c r="I579" s="410"/>
      <c r="J579" s="410"/>
      <c r="K579" s="410"/>
      <c r="L579" s="410"/>
      <c r="M579" s="410"/>
      <c r="N579" s="410"/>
      <c r="R579" s="410"/>
      <c r="S579" s="410"/>
      <c r="T579" s="410"/>
      <c r="U579" s="410"/>
      <c r="V579" s="410"/>
      <c r="W579" s="410"/>
      <c r="X579" s="410"/>
      <c r="Y579" s="410"/>
      <c r="Z579" s="410"/>
      <c r="AA579" s="410"/>
      <c r="AB579" s="410"/>
      <c r="AC579" s="410"/>
      <c r="AD579" s="410"/>
      <c r="AE579" s="410"/>
      <c r="AF579" s="410"/>
      <c r="AG579" s="410"/>
      <c r="AH579" s="410"/>
      <c r="AI579" s="410"/>
      <c r="AJ579" s="410"/>
      <c r="AK579" s="410"/>
    </row>
    <row r="580" spans="1:37" x14ac:dyDescent="0.2">
      <c r="A580" s="410"/>
      <c r="B580" s="410"/>
      <c r="C580" s="410"/>
      <c r="D580" s="410"/>
      <c r="E580" s="410"/>
      <c r="F580" s="410"/>
      <c r="G580" s="410"/>
      <c r="H580" s="410"/>
      <c r="I580" s="410"/>
      <c r="J580" s="410"/>
      <c r="K580" s="410"/>
      <c r="L580" s="410"/>
      <c r="M580" s="410"/>
      <c r="N580" s="410"/>
      <c r="R580" s="410"/>
      <c r="S580" s="410"/>
      <c r="T580" s="410"/>
      <c r="U580" s="410"/>
      <c r="V580" s="410"/>
      <c r="W580" s="410"/>
      <c r="X580" s="410"/>
      <c r="Y580" s="410"/>
      <c r="Z580" s="410"/>
      <c r="AA580" s="410"/>
      <c r="AB580" s="410"/>
      <c r="AC580" s="410"/>
      <c r="AD580" s="410"/>
      <c r="AE580" s="410"/>
      <c r="AF580" s="410"/>
      <c r="AG580" s="410"/>
      <c r="AH580" s="410"/>
      <c r="AI580" s="410"/>
      <c r="AJ580" s="410"/>
      <c r="AK580" s="410"/>
    </row>
    <row r="581" spans="1:37" x14ac:dyDescent="0.2">
      <c r="A581" s="410"/>
      <c r="B581" s="410"/>
      <c r="C581" s="410"/>
      <c r="D581" s="410"/>
      <c r="E581" s="410"/>
      <c r="F581" s="410"/>
      <c r="G581" s="410"/>
      <c r="H581" s="410"/>
      <c r="I581" s="410"/>
      <c r="J581" s="410"/>
      <c r="K581" s="410"/>
      <c r="L581" s="410"/>
      <c r="M581" s="410"/>
      <c r="N581" s="410"/>
      <c r="R581" s="410"/>
      <c r="S581" s="410"/>
      <c r="T581" s="410"/>
      <c r="U581" s="410"/>
      <c r="V581" s="410"/>
      <c r="W581" s="410"/>
      <c r="X581" s="410"/>
      <c r="Y581" s="410"/>
      <c r="Z581" s="410"/>
      <c r="AA581" s="410"/>
      <c r="AB581" s="410"/>
      <c r="AC581" s="410"/>
      <c r="AD581" s="410"/>
      <c r="AE581" s="410"/>
      <c r="AF581" s="410"/>
      <c r="AG581" s="410"/>
      <c r="AH581" s="410"/>
      <c r="AI581" s="410"/>
      <c r="AJ581" s="410"/>
      <c r="AK581" s="410"/>
    </row>
    <row r="582" spans="1:37" x14ac:dyDescent="0.2">
      <c r="A582" s="410"/>
      <c r="B582" s="410"/>
      <c r="C582" s="410"/>
      <c r="D582" s="410"/>
      <c r="E582" s="410"/>
      <c r="F582" s="410"/>
      <c r="G582" s="410"/>
      <c r="H582" s="410"/>
      <c r="I582" s="410"/>
      <c r="J582" s="410"/>
      <c r="K582" s="410"/>
      <c r="L582" s="410"/>
      <c r="M582" s="410"/>
      <c r="N582" s="410"/>
      <c r="R582" s="410"/>
      <c r="S582" s="410"/>
      <c r="T582" s="410"/>
      <c r="U582" s="410"/>
      <c r="V582" s="410"/>
      <c r="W582" s="410"/>
      <c r="X582" s="410"/>
      <c r="Y582" s="410"/>
      <c r="Z582" s="410"/>
      <c r="AA582" s="410"/>
      <c r="AB582" s="410"/>
      <c r="AC582" s="410"/>
      <c r="AD582" s="410"/>
      <c r="AE582" s="410"/>
      <c r="AF582" s="410"/>
      <c r="AG582" s="410"/>
      <c r="AH582" s="410"/>
      <c r="AI582" s="410"/>
      <c r="AJ582" s="410"/>
      <c r="AK582" s="410"/>
    </row>
    <row r="583" spans="1:37" x14ac:dyDescent="0.2">
      <c r="A583" s="410"/>
      <c r="B583" s="410"/>
      <c r="C583" s="410"/>
      <c r="D583" s="410"/>
      <c r="E583" s="410"/>
      <c r="F583" s="410"/>
      <c r="G583" s="410"/>
      <c r="H583" s="410"/>
      <c r="I583" s="410"/>
      <c r="J583" s="410"/>
      <c r="K583" s="410"/>
      <c r="L583" s="410"/>
      <c r="M583" s="410"/>
      <c r="N583" s="410"/>
      <c r="R583" s="410"/>
      <c r="S583" s="410"/>
      <c r="T583" s="410"/>
      <c r="U583" s="410"/>
      <c r="V583" s="410"/>
      <c r="W583" s="410"/>
      <c r="X583" s="410"/>
      <c r="Y583" s="410"/>
      <c r="Z583" s="410"/>
      <c r="AA583" s="410"/>
      <c r="AB583" s="410"/>
      <c r="AC583" s="410"/>
      <c r="AD583" s="410"/>
      <c r="AE583" s="410"/>
      <c r="AF583" s="410"/>
      <c r="AG583" s="410"/>
      <c r="AH583" s="410"/>
      <c r="AI583" s="410"/>
      <c r="AJ583" s="410"/>
      <c r="AK583" s="410"/>
    </row>
    <row r="584" spans="1:37" x14ac:dyDescent="0.2">
      <c r="A584" s="410"/>
      <c r="B584" s="410"/>
      <c r="C584" s="410"/>
      <c r="D584" s="410"/>
      <c r="E584" s="410"/>
      <c r="F584" s="410"/>
      <c r="G584" s="410"/>
      <c r="H584" s="410"/>
      <c r="I584" s="410"/>
      <c r="J584" s="410"/>
      <c r="K584" s="410"/>
      <c r="L584" s="410"/>
      <c r="M584" s="410"/>
      <c r="N584" s="410"/>
      <c r="R584" s="410"/>
      <c r="S584" s="410"/>
      <c r="T584" s="410"/>
      <c r="U584" s="410"/>
      <c r="V584" s="410"/>
      <c r="W584" s="410"/>
      <c r="X584" s="410"/>
      <c r="Y584" s="410"/>
      <c r="Z584" s="410"/>
      <c r="AA584" s="410"/>
      <c r="AB584" s="410"/>
      <c r="AC584" s="410"/>
      <c r="AD584" s="410"/>
      <c r="AE584" s="410"/>
      <c r="AF584" s="410"/>
      <c r="AG584" s="410"/>
      <c r="AH584" s="410"/>
      <c r="AI584" s="410"/>
      <c r="AJ584" s="410"/>
      <c r="AK584" s="410"/>
    </row>
    <row r="585" spans="1:37" x14ac:dyDescent="0.2">
      <c r="A585" s="410"/>
      <c r="B585" s="410"/>
      <c r="C585" s="410"/>
      <c r="D585" s="410"/>
      <c r="E585" s="410"/>
      <c r="F585" s="410"/>
      <c r="G585" s="410"/>
      <c r="H585" s="410"/>
      <c r="I585" s="410"/>
      <c r="J585" s="410"/>
      <c r="K585" s="410"/>
      <c r="L585" s="410"/>
      <c r="M585" s="410"/>
      <c r="N585" s="410"/>
      <c r="R585" s="410"/>
      <c r="S585" s="410"/>
      <c r="T585" s="410"/>
      <c r="U585" s="410"/>
      <c r="V585" s="410"/>
      <c r="W585" s="410"/>
      <c r="X585" s="410"/>
      <c r="Y585" s="410"/>
      <c r="Z585" s="410"/>
      <c r="AA585" s="410"/>
      <c r="AB585" s="410"/>
      <c r="AC585" s="410"/>
      <c r="AD585" s="410"/>
      <c r="AE585" s="410"/>
      <c r="AF585" s="410"/>
      <c r="AG585" s="410"/>
      <c r="AH585" s="410"/>
      <c r="AI585" s="410"/>
      <c r="AJ585" s="410"/>
      <c r="AK585" s="410"/>
    </row>
    <row r="586" spans="1:37" x14ac:dyDescent="0.2">
      <c r="A586" s="410"/>
      <c r="B586" s="410"/>
      <c r="C586" s="410"/>
      <c r="D586" s="410"/>
      <c r="E586" s="410"/>
      <c r="F586" s="410"/>
      <c r="G586" s="410"/>
      <c r="H586" s="410"/>
      <c r="I586" s="410"/>
      <c r="J586" s="410"/>
      <c r="K586" s="410"/>
      <c r="L586" s="410"/>
      <c r="M586" s="410"/>
      <c r="N586" s="410"/>
      <c r="R586" s="410"/>
      <c r="S586" s="410"/>
      <c r="T586" s="410"/>
      <c r="U586" s="410"/>
      <c r="V586" s="410"/>
      <c r="W586" s="410"/>
      <c r="X586" s="410"/>
      <c r="Y586" s="410"/>
      <c r="Z586" s="410"/>
      <c r="AA586" s="410"/>
      <c r="AB586" s="410"/>
      <c r="AC586" s="410"/>
      <c r="AD586" s="410"/>
      <c r="AE586" s="410"/>
      <c r="AF586" s="410"/>
      <c r="AG586" s="410"/>
      <c r="AH586" s="410"/>
      <c r="AI586" s="410"/>
      <c r="AJ586" s="410"/>
      <c r="AK586" s="410"/>
    </row>
    <row r="587" spans="1:37" x14ac:dyDescent="0.2">
      <c r="A587" s="410"/>
      <c r="B587" s="410"/>
      <c r="C587" s="410"/>
      <c r="D587" s="410"/>
      <c r="E587" s="410"/>
      <c r="F587" s="410"/>
      <c r="G587" s="410"/>
      <c r="H587" s="410"/>
      <c r="I587" s="410"/>
      <c r="J587" s="410"/>
      <c r="K587" s="410"/>
      <c r="L587" s="410"/>
      <c r="M587" s="410"/>
      <c r="N587" s="410"/>
      <c r="R587" s="410"/>
      <c r="S587" s="410"/>
      <c r="T587" s="410"/>
      <c r="U587" s="410"/>
      <c r="V587" s="410"/>
      <c r="W587" s="410"/>
      <c r="X587" s="410"/>
      <c r="Y587" s="410"/>
      <c r="Z587" s="410"/>
      <c r="AA587" s="410"/>
      <c r="AB587" s="410"/>
      <c r="AC587" s="410"/>
      <c r="AD587" s="410"/>
      <c r="AE587" s="410"/>
      <c r="AF587" s="410"/>
      <c r="AG587" s="410"/>
      <c r="AH587" s="410"/>
      <c r="AI587" s="410"/>
      <c r="AJ587" s="410"/>
      <c r="AK587" s="410"/>
    </row>
    <row r="588" spans="1:37" x14ac:dyDescent="0.2">
      <c r="A588" s="410"/>
      <c r="B588" s="410"/>
      <c r="C588" s="410"/>
      <c r="D588" s="410"/>
      <c r="E588" s="410"/>
      <c r="F588" s="410"/>
      <c r="G588" s="410"/>
      <c r="H588" s="410"/>
      <c r="I588" s="410"/>
      <c r="J588" s="410"/>
      <c r="K588" s="410"/>
      <c r="L588" s="410"/>
      <c r="M588" s="410"/>
      <c r="N588" s="410"/>
      <c r="R588" s="410"/>
      <c r="S588" s="410"/>
      <c r="T588" s="410"/>
      <c r="U588" s="410"/>
      <c r="V588" s="410"/>
      <c r="W588" s="410"/>
      <c r="X588" s="410"/>
      <c r="Y588" s="410"/>
      <c r="Z588" s="410"/>
      <c r="AA588" s="410"/>
      <c r="AB588" s="410"/>
      <c r="AC588" s="410"/>
      <c r="AD588" s="410"/>
      <c r="AE588" s="410"/>
      <c r="AF588" s="410"/>
      <c r="AG588" s="410"/>
      <c r="AH588" s="410"/>
      <c r="AI588" s="410"/>
      <c r="AJ588" s="410"/>
      <c r="AK588" s="410"/>
    </row>
    <row r="589" spans="1:37" x14ac:dyDescent="0.2">
      <c r="A589" s="410"/>
      <c r="B589" s="410"/>
      <c r="C589" s="410"/>
      <c r="D589" s="410"/>
      <c r="E589" s="410"/>
      <c r="F589" s="410"/>
      <c r="G589" s="410"/>
      <c r="H589" s="410"/>
      <c r="I589" s="410"/>
      <c r="J589" s="410"/>
      <c r="K589" s="410"/>
      <c r="L589" s="410"/>
      <c r="M589" s="410"/>
      <c r="N589" s="410"/>
      <c r="R589" s="410"/>
      <c r="S589" s="410"/>
      <c r="T589" s="410"/>
      <c r="U589" s="410"/>
      <c r="V589" s="410"/>
      <c r="W589" s="410"/>
      <c r="X589" s="410"/>
      <c r="Y589" s="410"/>
      <c r="Z589" s="410"/>
      <c r="AA589" s="410"/>
      <c r="AB589" s="410"/>
      <c r="AC589" s="410"/>
      <c r="AD589" s="410"/>
      <c r="AE589" s="410"/>
      <c r="AF589" s="410"/>
      <c r="AG589" s="410"/>
      <c r="AH589" s="410"/>
      <c r="AI589" s="410"/>
      <c r="AJ589" s="410"/>
      <c r="AK589" s="410"/>
    </row>
    <row r="590" spans="1:37" x14ac:dyDescent="0.2">
      <c r="A590" s="410"/>
      <c r="B590" s="410"/>
      <c r="C590" s="410"/>
      <c r="D590" s="410"/>
      <c r="E590" s="410"/>
      <c r="F590" s="410"/>
      <c r="G590" s="410"/>
      <c r="H590" s="410"/>
      <c r="I590" s="410"/>
      <c r="J590" s="410"/>
      <c r="K590" s="410"/>
      <c r="L590" s="410"/>
      <c r="M590" s="410"/>
      <c r="N590" s="410"/>
      <c r="R590" s="410"/>
      <c r="S590" s="410"/>
      <c r="T590" s="410"/>
      <c r="U590" s="410"/>
      <c r="V590" s="410"/>
      <c r="W590" s="410"/>
      <c r="X590" s="410"/>
      <c r="Y590" s="410"/>
      <c r="Z590" s="410"/>
      <c r="AA590" s="410"/>
      <c r="AB590" s="410"/>
      <c r="AC590" s="410"/>
      <c r="AD590" s="410"/>
      <c r="AE590" s="410"/>
      <c r="AF590" s="410"/>
      <c r="AG590" s="410"/>
      <c r="AH590" s="410"/>
      <c r="AI590" s="410"/>
      <c r="AJ590" s="410"/>
      <c r="AK590" s="410"/>
    </row>
    <row r="591" spans="1:37" x14ac:dyDescent="0.2">
      <c r="A591" s="410"/>
      <c r="B591" s="410"/>
      <c r="C591" s="410"/>
      <c r="D591" s="410"/>
      <c r="E591" s="410"/>
      <c r="F591" s="410"/>
      <c r="G591" s="410"/>
      <c r="H591" s="410"/>
      <c r="I591" s="410"/>
      <c r="J591" s="410"/>
      <c r="K591" s="410"/>
      <c r="L591" s="410"/>
      <c r="M591" s="410"/>
      <c r="N591" s="410"/>
      <c r="R591" s="410"/>
      <c r="S591" s="410"/>
      <c r="T591" s="410"/>
      <c r="U591" s="410"/>
      <c r="V591" s="410"/>
      <c r="W591" s="410"/>
      <c r="X591" s="410"/>
      <c r="Y591" s="410"/>
      <c r="Z591" s="410"/>
      <c r="AA591" s="410"/>
      <c r="AB591" s="410"/>
      <c r="AC591" s="410"/>
      <c r="AD591" s="410"/>
      <c r="AE591" s="410"/>
      <c r="AF591" s="410"/>
      <c r="AG591" s="410"/>
      <c r="AH591" s="410"/>
      <c r="AI591" s="410"/>
      <c r="AJ591" s="410"/>
      <c r="AK591" s="410"/>
    </row>
    <row r="592" spans="1:37" x14ac:dyDescent="0.2">
      <c r="A592" s="410"/>
      <c r="B592" s="410"/>
      <c r="C592" s="410"/>
      <c r="D592" s="410"/>
      <c r="E592" s="410"/>
      <c r="F592" s="410"/>
      <c r="G592" s="410"/>
      <c r="H592" s="410"/>
      <c r="I592" s="410"/>
      <c r="J592" s="410"/>
      <c r="K592" s="410"/>
      <c r="L592" s="410"/>
      <c r="M592" s="410"/>
      <c r="N592" s="410"/>
      <c r="R592" s="410"/>
      <c r="S592" s="410"/>
      <c r="T592" s="410"/>
      <c r="U592" s="410"/>
      <c r="V592" s="410"/>
      <c r="W592" s="410"/>
      <c r="X592" s="410"/>
      <c r="Y592" s="410"/>
      <c r="Z592" s="410"/>
      <c r="AA592" s="410"/>
      <c r="AB592" s="410"/>
      <c r="AC592" s="410"/>
      <c r="AD592" s="410"/>
      <c r="AE592" s="410"/>
      <c r="AF592" s="410"/>
      <c r="AG592" s="410"/>
      <c r="AH592" s="410"/>
      <c r="AI592" s="410"/>
      <c r="AJ592" s="410"/>
      <c r="AK592" s="410"/>
    </row>
    <row r="593" spans="1:37" x14ac:dyDescent="0.2">
      <c r="A593" s="410"/>
      <c r="B593" s="410"/>
      <c r="C593" s="410"/>
      <c r="D593" s="410"/>
      <c r="E593" s="410"/>
      <c r="F593" s="410"/>
      <c r="G593" s="410"/>
      <c r="H593" s="410"/>
      <c r="I593" s="410"/>
      <c r="J593" s="410"/>
      <c r="K593" s="410"/>
      <c r="L593" s="410"/>
      <c r="M593" s="410"/>
      <c r="N593" s="410"/>
      <c r="R593" s="410"/>
      <c r="S593" s="410"/>
      <c r="T593" s="410"/>
      <c r="U593" s="410"/>
      <c r="V593" s="410"/>
      <c r="W593" s="410"/>
      <c r="X593" s="410"/>
      <c r="Y593" s="410"/>
      <c r="Z593" s="410"/>
      <c r="AA593" s="410"/>
      <c r="AB593" s="410"/>
      <c r="AC593" s="410"/>
      <c r="AD593" s="410"/>
      <c r="AE593" s="410"/>
      <c r="AF593" s="410"/>
      <c r="AG593" s="410"/>
      <c r="AH593" s="410"/>
      <c r="AI593" s="410"/>
      <c r="AJ593" s="410"/>
      <c r="AK593" s="410"/>
    </row>
    <row r="594" spans="1:37" x14ac:dyDescent="0.2">
      <c r="A594" s="410"/>
      <c r="B594" s="410"/>
      <c r="C594" s="410"/>
      <c r="D594" s="410"/>
      <c r="E594" s="410"/>
      <c r="F594" s="410"/>
      <c r="G594" s="410"/>
      <c r="H594" s="410"/>
      <c r="I594" s="410"/>
      <c r="J594" s="410"/>
      <c r="K594" s="410"/>
      <c r="L594" s="410"/>
      <c r="M594" s="410"/>
      <c r="N594" s="410"/>
      <c r="R594" s="410"/>
      <c r="S594" s="410"/>
      <c r="T594" s="410"/>
      <c r="U594" s="410"/>
      <c r="V594" s="410"/>
      <c r="W594" s="410"/>
      <c r="X594" s="410"/>
      <c r="Y594" s="410"/>
      <c r="Z594" s="410"/>
      <c r="AA594" s="410"/>
      <c r="AB594" s="410"/>
      <c r="AC594" s="410"/>
      <c r="AD594" s="410"/>
      <c r="AE594" s="410"/>
      <c r="AF594" s="410"/>
      <c r="AG594" s="410"/>
      <c r="AH594" s="410"/>
      <c r="AI594" s="410"/>
      <c r="AJ594" s="410"/>
      <c r="AK594" s="410"/>
    </row>
    <row r="595" spans="1:37" x14ac:dyDescent="0.2">
      <c r="A595" s="410"/>
      <c r="B595" s="410"/>
      <c r="C595" s="410"/>
      <c r="D595" s="410"/>
      <c r="E595" s="410"/>
      <c r="F595" s="410"/>
      <c r="G595" s="410"/>
      <c r="H595" s="410"/>
      <c r="I595" s="410"/>
      <c r="J595" s="410"/>
      <c r="K595" s="410"/>
      <c r="L595" s="410"/>
      <c r="M595" s="410"/>
      <c r="N595" s="410"/>
      <c r="R595" s="410"/>
      <c r="S595" s="410"/>
      <c r="T595" s="410"/>
      <c r="U595" s="410"/>
      <c r="V595" s="410"/>
      <c r="W595" s="410"/>
      <c r="X595" s="410"/>
      <c r="Y595" s="410"/>
      <c r="Z595" s="410"/>
      <c r="AA595" s="410"/>
      <c r="AB595" s="410"/>
      <c r="AC595" s="410"/>
      <c r="AD595" s="410"/>
      <c r="AE595" s="410"/>
      <c r="AF595" s="410"/>
      <c r="AG595" s="410"/>
      <c r="AH595" s="410"/>
      <c r="AI595" s="410"/>
      <c r="AJ595" s="410"/>
      <c r="AK595" s="410"/>
    </row>
    <row r="596" spans="1:37" x14ac:dyDescent="0.2">
      <c r="A596" s="410"/>
      <c r="B596" s="410"/>
      <c r="C596" s="410"/>
      <c r="D596" s="410"/>
      <c r="E596" s="410"/>
      <c r="F596" s="410"/>
      <c r="G596" s="410"/>
      <c r="H596" s="410"/>
      <c r="I596" s="410"/>
      <c r="J596" s="410"/>
      <c r="K596" s="410"/>
      <c r="L596" s="410"/>
      <c r="M596" s="410"/>
      <c r="N596" s="410"/>
      <c r="R596" s="410"/>
      <c r="S596" s="410"/>
      <c r="T596" s="410"/>
      <c r="U596" s="410"/>
      <c r="V596" s="410"/>
      <c r="W596" s="410"/>
      <c r="X596" s="410"/>
      <c r="Y596" s="410"/>
      <c r="Z596" s="410"/>
      <c r="AA596" s="410"/>
      <c r="AB596" s="410"/>
      <c r="AC596" s="410"/>
      <c r="AD596" s="410"/>
      <c r="AE596" s="410"/>
      <c r="AF596" s="410"/>
      <c r="AG596" s="410"/>
      <c r="AH596" s="410"/>
      <c r="AI596" s="410"/>
      <c r="AJ596" s="410"/>
      <c r="AK596" s="410"/>
    </row>
    <row r="597" spans="1:37" x14ac:dyDescent="0.2">
      <c r="A597" s="410"/>
      <c r="B597" s="410"/>
      <c r="C597" s="410"/>
      <c r="D597" s="410"/>
      <c r="E597" s="410"/>
      <c r="F597" s="410"/>
      <c r="G597" s="410"/>
      <c r="H597" s="410"/>
      <c r="I597" s="410"/>
      <c r="J597" s="410"/>
      <c r="K597" s="410"/>
      <c r="L597" s="410"/>
      <c r="M597" s="410"/>
      <c r="N597" s="410"/>
      <c r="R597" s="410"/>
      <c r="S597" s="410"/>
      <c r="T597" s="410"/>
      <c r="U597" s="410"/>
      <c r="V597" s="410"/>
      <c r="W597" s="410"/>
      <c r="X597" s="410"/>
      <c r="Y597" s="410"/>
      <c r="Z597" s="410"/>
      <c r="AA597" s="410"/>
      <c r="AB597" s="410"/>
      <c r="AC597" s="410"/>
      <c r="AD597" s="410"/>
      <c r="AE597" s="410"/>
      <c r="AF597" s="410"/>
      <c r="AG597" s="410"/>
      <c r="AH597" s="410"/>
      <c r="AI597" s="410"/>
      <c r="AJ597" s="410"/>
      <c r="AK597" s="410"/>
    </row>
    <row r="598" spans="1:37" x14ac:dyDescent="0.2">
      <c r="A598" s="410"/>
      <c r="B598" s="410"/>
      <c r="C598" s="410"/>
      <c r="D598" s="410"/>
      <c r="E598" s="410"/>
      <c r="F598" s="410"/>
      <c r="G598" s="410"/>
      <c r="H598" s="410"/>
      <c r="I598" s="410"/>
      <c r="J598" s="410"/>
      <c r="K598" s="410"/>
      <c r="L598" s="410"/>
      <c r="M598" s="410"/>
      <c r="N598" s="410"/>
      <c r="R598" s="410"/>
      <c r="S598" s="410"/>
      <c r="T598" s="410"/>
      <c r="U598" s="410"/>
      <c r="V598" s="410"/>
      <c r="W598" s="410"/>
      <c r="X598" s="410"/>
      <c r="Y598" s="410"/>
      <c r="Z598" s="410"/>
      <c r="AA598" s="410"/>
      <c r="AB598" s="410"/>
      <c r="AC598" s="410"/>
      <c r="AD598" s="410"/>
      <c r="AE598" s="410"/>
      <c r="AF598" s="410"/>
      <c r="AG598" s="410"/>
      <c r="AH598" s="410"/>
      <c r="AI598" s="410"/>
      <c r="AJ598" s="410"/>
      <c r="AK598" s="410"/>
    </row>
    <row r="599" spans="1:37" x14ac:dyDescent="0.2">
      <c r="A599" s="410"/>
      <c r="B599" s="410"/>
      <c r="C599" s="410"/>
      <c r="D599" s="410"/>
      <c r="E599" s="410"/>
      <c r="F599" s="410"/>
      <c r="G599" s="410"/>
      <c r="H599" s="410"/>
      <c r="I599" s="410"/>
      <c r="J599" s="410"/>
      <c r="K599" s="410"/>
      <c r="L599" s="410"/>
      <c r="M599" s="410"/>
      <c r="N599" s="410"/>
      <c r="R599" s="410"/>
      <c r="S599" s="410"/>
      <c r="T599" s="410"/>
      <c r="U599" s="410"/>
      <c r="V599" s="410"/>
      <c r="W599" s="410"/>
      <c r="X599" s="410"/>
      <c r="Y599" s="410"/>
      <c r="Z599" s="410"/>
      <c r="AA599" s="410"/>
      <c r="AB599" s="410"/>
      <c r="AC599" s="410"/>
      <c r="AD599" s="410"/>
      <c r="AE599" s="410"/>
      <c r="AF599" s="410"/>
      <c r="AG599" s="410"/>
      <c r="AH599" s="410"/>
      <c r="AI599" s="410"/>
      <c r="AJ599" s="410"/>
      <c r="AK599" s="410"/>
    </row>
    <row r="600" spans="1:37" x14ac:dyDescent="0.2">
      <c r="A600" s="410"/>
      <c r="B600" s="410"/>
      <c r="C600" s="410"/>
      <c r="D600" s="410"/>
      <c r="E600" s="410"/>
      <c r="F600" s="410"/>
      <c r="G600" s="410"/>
      <c r="H600" s="410"/>
      <c r="I600" s="410"/>
      <c r="J600" s="410"/>
      <c r="K600" s="410"/>
      <c r="L600" s="410"/>
      <c r="M600" s="410"/>
      <c r="N600" s="410"/>
      <c r="R600" s="410"/>
      <c r="S600" s="410"/>
      <c r="T600" s="410"/>
      <c r="U600" s="410"/>
      <c r="V600" s="410"/>
      <c r="W600" s="410"/>
      <c r="X600" s="410"/>
      <c r="Y600" s="410"/>
      <c r="Z600" s="410"/>
      <c r="AA600" s="410"/>
      <c r="AB600" s="410"/>
      <c r="AC600" s="410"/>
      <c r="AD600" s="410"/>
      <c r="AE600" s="410"/>
      <c r="AF600" s="410"/>
      <c r="AG600" s="410"/>
      <c r="AH600" s="410"/>
      <c r="AI600" s="410"/>
      <c r="AJ600" s="410"/>
      <c r="AK600" s="410"/>
    </row>
    <row r="601" spans="1:37" x14ac:dyDescent="0.2">
      <c r="A601" s="410"/>
      <c r="B601" s="410"/>
      <c r="C601" s="410"/>
      <c r="D601" s="410"/>
      <c r="E601" s="410"/>
      <c r="F601" s="410"/>
      <c r="G601" s="410"/>
      <c r="H601" s="410"/>
      <c r="I601" s="410"/>
      <c r="J601" s="410"/>
      <c r="K601" s="410"/>
      <c r="L601" s="410"/>
      <c r="M601" s="410"/>
      <c r="N601" s="410"/>
      <c r="R601" s="410"/>
      <c r="S601" s="410"/>
      <c r="T601" s="410"/>
      <c r="U601" s="410"/>
      <c r="V601" s="410"/>
      <c r="W601" s="410"/>
      <c r="X601" s="410"/>
      <c r="Y601" s="410"/>
      <c r="Z601" s="410"/>
      <c r="AA601" s="410"/>
      <c r="AB601" s="410"/>
      <c r="AC601" s="410"/>
      <c r="AD601" s="410"/>
      <c r="AE601" s="410"/>
      <c r="AF601" s="410"/>
      <c r="AG601" s="410"/>
      <c r="AH601" s="410"/>
      <c r="AI601" s="410"/>
      <c r="AJ601" s="410"/>
      <c r="AK601" s="410"/>
    </row>
    <row r="602" spans="1:37" x14ac:dyDescent="0.2">
      <c r="A602" s="410"/>
      <c r="B602" s="410"/>
      <c r="C602" s="410"/>
      <c r="D602" s="410"/>
      <c r="E602" s="410"/>
      <c r="F602" s="410"/>
      <c r="G602" s="410"/>
      <c r="H602" s="410"/>
      <c r="I602" s="410"/>
      <c r="J602" s="410"/>
      <c r="K602" s="410"/>
      <c r="L602" s="410"/>
      <c r="M602" s="410"/>
      <c r="N602" s="410"/>
      <c r="R602" s="410"/>
      <c r="S602" s="410"/>
      <c r="T602" s="410"/>
      <c r="U602" s="410"/>
      <c r="V602" s="410"/>
      <c r="W602" s="410"/>
      <c r="X602" s="410"/>
      <c r="Y602" s="410"/>
      <c r="Z602" s="410"/>
      <c r="AA602" s="410"/>
      <c r="AB602" s="410"/>
      <c r="AC602" s="410"/>
      <c r="AD602" s="410"/>
      <c r="AE602" s="410"/>
      <c r="AF602" s="410"/>
      <c r="AG602" s="410"/>
      <c r="AH602" s="410"/>
      <c r="AI602" s="410"/>
      <c r="AJ602" s="410"/>
      <c r="AK602" s="410"/>
    </row>
    <row r="603" spans="1:37" x14ac:dyDescent="0.2">
      <c r="A603" s="410"/>
      <c r="B603" s="410"/>
      <c r="C603" s="410"/>
      <c r="D603" s="410"/>
      <c r="E603" s="410"/>
      <c r="F603" s="410"/>
      <c r="G603" s="410"/>
      <c r="H603" s="410"/>
      <c r="I603" s="410"/>
      <c r="J603" s="410"/>
      <c r="K603" s="410"/>
      <c r="L603" s="410"/>
      <c r="M603" s="410"/>
      <c r="N603" s="410"/>
      <c r="R603" s="410"/>
      <c r="S603" s="410"/>
      <c r="T603" s="410"/>
      <c r="U603" s="410"/>
      <c r="V603" s="410"/>
      <c r="W603" s="410"/>
      <c r="X603" s="410"/>
      <c r="Y603" s="410"/>
      <c r="Z603" s="410"/>
      <c r="AA603" s="410"/>
      <c r="AB603" s="410"/>
      <c r="AC603" s="410"/>
      <c r="AD603" s="410"/>
      <c r="AE603" s="410"/>
      <c r="AF603" s="410"/>
      <c r="AG603" s="410"/>
      <c r="AH603" s="410"/>
      <c r="AI603" s="410"/>
      <c r="AJ603" s="410"/>
      <c r="AK603" s="410"/>
    </row>
    <row r="604" spans="1:37" x14ac:dyDescent="0.2">
      <c r="A604" s="410"/>
      <c r="B604" s="410"/>
      <c r="C604" s="410"/>
      <c r="D604" s="410"/>
      <c r="E604" s="410"/>
      <c r="F604" s="410"/>
      <c r="G604" s="410"/>
      <c r="H604" s="410"/>
      <c r="I604" s="410"/>
      <c r="J604" s="410"/>
      <c r="K604" s="410"/>
      <c r="L604" s="410"/>
      <c r="M604" s="410"/>
      <c r="N604" s="410"/>
      <c r="R604" s="410"/>
      <c r="S604" s="410"/>
      <c r="T604" s="410"/>
      <c r="U604" s="410"/>
      <c r="V604" s="410"/>
      <c r="W604" s="410"/>
      <c r="X604" s="410"/>
      <c r="Y604" s="410"/>
      <c r="Z604" s="410"/>
      <c r="AA604" s="410"/>
      <c r="AB604" s="410"/>
      <c r="AC604" s="410"/>
      <c r="AD604" s="410"/>
      <c r="AE604" s="410"/>
      <c r="AF604" s="410"/>
      <c r="AG604" s="410"/>
      <c r="AH604" s="410"/>
      <c r="AI604" s="410"/>
      <c r="AJ604" s="410"/>
      <c r="AK604" s="410"/>
    </row>
    <row r="605" spans="1:37" x14ac:dyDescent="0.2">
      <c r="A605" s="410"/>
      <c r="B605" s="410"/>
      <c r="C605" s="410"/>
      <c r="D605" s="410"/>
      <c r="E605" s="410"/>
      <c r="F605" s="410"/>
      <c r="G605" s="410"/>
      <c r="H605" s="410"/>
      <c r="I605" s="410"/>
      <c r="J605" s="410"/>
      <c r="K605" s="410"/>
      <c r="L605" s="410"/>
      <c r="M605" s="410"/>
      <c r="N605" s="410"/>
      <c r="R605" s="410"/>
      <c r="S605" s="410"/>
      <c r="T605" s="410"/>
      <c r="U605" s="410"/>
      <c r="V605" s="410"/>
      <c r="W605" s="410"/>
      <c r="X605" s="410"/>
      <c r="Y605" s="410"/>
      <c r="Z605" s="410"/>
      <c r="AA605" s="410"/>
      <c r="AB605" s="410"/>
      <c r="AC605" s="410"/>
      <c r="AD605" s="410"/>
      <c r="AE605" s="410"/>
      <c r="AF605" s="410"/>
      <c r="AG605" s="410"/>
      <c r="AH605" s="410"/>
      <c r="AI605" s="410"/>
      <c r="AJ605" s="410"/>
      <c r="AK605" s="410"/>
    </row>
    <row r="606" spans="1:37" x14ac:dyDescent="0.2">
      <c r="A606" s="410"/>
      <c r="B606" s="410"/>
      <c r="C606" s="410"/>
      <c r="D606" s="410"/>
      <c r="E606" s="410"/>
      <c r="F606" s="410"/>
      <c r="G606" s="410"/>
      <c r="H606" s="410"/>
      <c r="I606" s="410"/>
      <c r="J606" s="410"/>
      <c r="K606" s="410"/>
      <c r="L606" s="410"/>
      <c r="M606" s="410"/>
      <c r="N606" s="410"/>
      <c r="R606" s="410"/>
      <c r="S606" s="410"/>
      <c r="T606" s="410"/>
      <c r="U606" s="410"/>
      <c r="V606" s="410"/>
      <c r="W606" s="410"/>
      <c r="X606" s="410"/>
      <c r="Y606" s="410"/>
      <c r="Z606" s="410"/>
      <c r="AA606" s="410"/>
      <c r="AB606" s="410"/>
      <c r="AC606" s="410"/>
      <c r="AD606" s="410"/>
      <c r="AE606" s="410"/>
      <c r="AF606" s="410"/>
      <c r="AG606" s="410"/>
      <c r="AH606" s="410"/>
      <c r="AI606" s="410"/>
      <c r="AJ606" s="410"/>
      <c r="AK606" s="410"/>
    </row>
    <row r="607" spans="1:37" x14ac:dyDescent="0.2">
      <c r="A607" s="410"/>
      <c r="B607" s="410"/>
      <c r="C607" s="410"/>
      <c r="D607" s="410"/>
      <c r="E607" s="410"/>
      <c r="F607" s="410"/>
      <c r="G607" s="410"/>
      <c r="H607" s="410"/>
      <c r="I607" s="410"/>
      <c r="J607" s="410"/>
      <c r="K607" s="410"/>
      <c r="L607" s="410"/>
      <c r="M607" s="410"/>
      <c r="N607" s="410"/>
      <c r="R607" s="410"/>
      <c r="S607" s="410"/>
      <c r="T607" s="410"/>
      <c r="U607" s="410"/>
      <c r="V607" s="410"/>
      <c r="W607" s="410"/>
      <c r="X607" s="410"/>
      <c r="Y607" s="410"/>
      <c r="Z607" s="410"/>
      <c r="AA607" s="410"/>
      <c r="AB607" s="410"/>
      <c r="AC607" s="410"/>
      <c r="AD607" s="410"/>
      <c r="AE607" s="410"/>
      <c r="AF607" s="410"/>
      <c r="AG607" s="410"/>
      <c r="AH607" s="410"/>
      <c r="AI607" s="410"/>
      <c r="AJ607" s="410"/>
      <c r="AK607" s="410"/>
    </row>
    <row r="608" spans="1:37" x14ac:dyDescent="0.2">
      <c r="A608" s="410"/>
      <c r="B608" s="410"/>
      <c r="C608" s="410"/>
      <c r="D608" s="410"/>
      <c r="E608" s="410"/>
      <c r="F608" s="410"/>
      <c r="G608" s="410"/>
      <c r="H608" s="410"/>
      <c r="I608" s="410"/>
      <c r="J608" s="410"/>
      <c r="K608" s="410"/>
      <c r="L608" s="410"/>
      <c r="M608" s="410"/>
      <c r="N608" s="410"/>
      <c r="R608" s="410"/>
      <c r="S608" s="410"/>
      <c r="T608" s="410"/>
      <c r="U608" s="410"/>
      <c r="V608" s="410"/>
      <c r="W608" s="410"/>
      <c r="X608" s="410"/>
      <c r="Y608" s="410"/>
      <c r="Z608" s="410"/>
      <c r="AA608" s="410"/>
      <c r="AB608" s="410"/>
      <c r="AC608" s="410"/>
      <c r="AD608" s="410"/>
      <c r="AE608" s="410"/>
      <c r="AF608" s="410"/>
      <c r="AG608" s="410"/>
      <c r="AH608" s="410"/>
      <c r="AI608" s="410"/>
      <c r="AJ608" s="410"/>
      <c r="AK608" s="410"/>
    </row>
    <row r="609" spans="1:37" x14ac:dyDescent="0.2">
      <c r="A609" s="410"/>
      <c r="B609" s="410"/>
      <c r="C609" s="410"/>
      <c r="D609" s="410"/>
      <c r="E609" s="410"/>
      <c r="F609" s="410"/>
      <c r="G609" s="410"/>
      <c r="H609" s="410"/>
      <c r="I609" s="410"/>
      <c r="J609" s="410"/>
      <c r="K609" s="410"/>
      <c r="L609" s="410"/>
      <c r="M609" s="410"/>
      <c r="N609" s="410"/>
      <c r="R609" s="410"/>
      <c r="S609" s="410"/>
      <c r="T609" s="410"/>
      <c r="U609" s="410"/>
      <c r="V609" s="410"/>
      <c r="W609" s="410"/>
      <c r="X609" s="410"/>
      <c r="Y609" s="410"/>
      <c r="Z609" s="410"/>
      <c r="AA609" s="410"/>
      <c r="AB609" s="410"/>
      <c r="AC609" s="410"/>
      <c r="AD609" s="410"/>
      <c r="AE609" s="410"/>
      <c r="AF609" s="410"/>
      <c r="AG609" s="410"/>
      <c r="AH609" s="410"/>
      <c r="AI609" s="410"/>
      <c r="AJ609" s="410"/>
      <c r="AK609" s="410"/>
    </row>
    <row r="610" spans="1:37" x14ac:dyDescent="0.2">
      <c r="A610" s="410"/>
      <c r="B610" s="410"/>
      <c r="C610" s="410"/>
      <c r="D610" s="410"/>
      <c r="E610" s="410"/>
      <c r="F610" s="410"/>
      <c r="G610" s="410"/>
      <c r="H610" s="410"/>
      <c r="I610" s="410"/>
      <c r="J610" s="410"/>
      <c r="K610" s="410"/>
      <c r="L610" s="410"/>
      <c r="M610" s="410"/>
      <c r="N610" s="410"/>
      <c r="R610" s="410"/>
      <c r="S610" s="410"/>
      <c r="T610" s="410"/>
      <c r="U610" s="410"/>
      <c r="V610" s="410"/>
      <c r="W610" s="410"/>
      <c r="X610" s="410"/>
      <c r="Y610" s="410"/>
      <c r="Z610" s="410"/>
      <c r="AA610" s="410"/>
      <c r="AB610" s="410"/>
      <c r="AC610" s="410"/>
      <c r="AD610" s="410"/>
      <c r="AE610" s="410"/>
      <c r="AF610" s="410"/>
      <c r="AG610" s="410"/>
      <c r="AH610" s="410"/>
      <c r="AI610" s="410"/>
      <c r="AJ610" s="410"/>
      <c r="AK610" s="410"/>
    </row>
    <row r="611" spans="1:37" x14ac:dyDescent="0.2">
      <c r="A611" s="410"/>
      <c r="B611" s="410"/>
      <c r="C611" s="410"/>
      <c r="D611" s="410"/>
      <c r="E611" s="410"/>
      <c r="F611" s="410"/>
      <c r="G611" s="410"/>
      <c r="H611" s="410"/>
      <c r="I611" s="410"/>
      <c r="J611" s="410"/>
      <c r="K611" s="410"/>
      <c r="L611" s="410"/>
      <c r="M611" s="410"/>
      <c r="N611" s="410"/>
      <c r="R611" s="410"/>
      <c r="S611" s="410"/>
      <c r="T611" s="410"/>
      <c r="U611" s="410"/>
      <c r="V611" s="410"/>
      <c r="W611" s="410"/>
      <c r="X611" s="410"/>
      <c r="Y611" s="410"/>
      <c r="Z611" s="410"/>
      <c r="AA611" s="410"/>
      <c r="AB611" s="410"/>
      <c r="AC611" s="410"/>
      <c r="AD611" s="410"/>
      <c r="AE611" s="410"/>
      <c r="AF611" s="410"/>
      <c r="AG611" s="410"/>
      <c r="AH611" s="410"/>
      <c r="AI611" s="410"/>
      <c r="AJ611" s="410"/>
      <c r="AK611" s="410"/>
    </row>
    <row r="612" spans="1:37" x14ac:dyDescent="0.2">
      <c r="A612" s="410"/>
      <c r="B612" s="410"/>
      <c r="C612" s="410"/>
      <c r="D612" s="410"/>
      <c r="E612" s="410"/>
      <c r="F612" s="410"/>
      <c r="G612" s="410"/>
      <c r="H612" s="410"/>
      <c r="I612" s="410"/>
      <c r="J612" s="410"/>
      <c r="K612" s="410"/>
      <c r="L612" s="410"/>
      <c r="M612" s="410"/>
      <c r="N612" s="410"/>
      <c r="R612" s="410"/>
      <c r="S612" s="410"/>
      <c r="T612" s="410"/>
      <c r="U612" s="410"/>
      <c r="V612" s="410"/>
      <c r="W612" s="410"/>
      <c r="X612" s="410"/>
      <c r="Y612" s="410"/>
      <c r="Z612" s="410"/>
      <c r="AA612" s="410"/>
      <c r="AB612" s="410"/>
      <c r="AC612" s="410"/>
      <c r="AD612" s="410"/>
      <c r="AE612" s="410"/>
      <c r="AF612" s="410"/>
      <c r="AG612" s="410"/>
      <c r="AH612" s="410"/>
      <c r="AI612" s="410"/>
      <c r="AJ612" s="410"/>
      <c r="AK612" s="410"/>
    </row>
    <row r="613" spans="1:37" x14ac:dyDescent="0.2">
      <c r="A613" s="410"/>
      <c r="B613" s="410"/>
      <c r="C613" s="410"/>
      <c r="D613" s="410"/>
      <c r="E613" s="410"/>
      <c r="F613" s="410"/>
      <c r="G613" s="410"/>
      <c r="H613" s="410"/>
      <c r="I613" s="410"/>
      <c r="J613" s="410"/>
      <c r="K613" s="410"/>
      <c r="L613" s="410"/>
      <c r="M613" s="410"/>
      <c r="N613" s="410"/>
      <c r="R613" s="410"/>
      <c r="S613" s="410"/>
      <c r="T613" s="410"/>
      <c r="U613" s="410"/>
      <c r="V613" s="410"/>
      <c r="W613" s="410"/>
      <c r="X613" s="410"/>
      <c r="Y613" s="410"/>
      <c r="Z613" s="410"/>
      <c r="AA613" s="410"/>
      <c r="AB613" s="410"/>
      <c r="AC613" s="410"/>
      <c r="AD613" s="410"/>
      <c r="AE613" s="410"/>
      <c r="AF613" s="410"/>
      <c r="AG613" s="410"/>
      <c r="AH613" s="410"/>
      <c r="AI613" s="410"/>
      <c r="AJ613" s="410"/>
      <c r="AK613" s="410"/>
    </row>
    <row r="614" spans="1:37" x14ac:dyDescent="0.2">
      <c r="A614" s="410"/>
      <c r="B614" s="410"/>
      <c r="C614" s="410"/>
      <c r="D614" s="410"/>
      <c r="E614" s="410"/>
      <c r="F614" s="410"/>
      <c r="G614" s="410"/>
      <c r="H614" s="410"/>
      <c r="I614" s="410"/>
      <c r="J614" s="410"/>
      <c r="K614" s="410"/>
      <c r="L614" s="410"/>
      <c r="M614" s="410"/>
      <c r="N614" s="410"/>
      <c r="R614" s="410"/>
      <c r="S614" s="410"/>
      <c r="T614" s="410"/>
      <c r="U614" s="410"/>
      <c r="V614" s="410"/>
      <c r="W614" s="410"/>
      <c r="X614" s="410"/>
      <c r="Y614" s="410"/>
      <c r="Z614" s="410"/>
      <c r="AA614" s="410"/>
      <c r="AB614" s="410"/>
      <c r="AC614" s="410"/>
      <c r="AD614" s="410"/>
      <c r="AE614" s="410"/>
      <c r="AF614" s="410"/>
      <c r="AG614" s="410"/>
      <c r="AH614" s="410"/>
      <c r="AI614" s="410"/>
      <c r="AJ614" s="410"/>
      <c r="AK614" s="410"/>
    </row>
    <row r="615" spans="1:37" x14ac:dyDescent="0.2">
      <c r="A615" s="410"/>
      <c r="B615" s="410"/>
      <c r="C615" s="410"/>
      <c r="D615" s="410"/>
      <c r="E615" s="410"/>
      <c r="F615" s="410"/>
      <c r="G615" s="410"/>
      <c r="H615" s="410"/>
      <c r="I615" s="410"/>
      <c r="J615" s="410"/>
      <c r="K615" s="410"/>
      <c r="L615" s="410"/>
      <c r="M615" s="410"/>
      <c r="N615" s="410"/>
      <c r="R615" s="410"/>
      <c r="S615" s="410"/>
      <c r="T615" s="410"/>
      <c r="U615" s="410"/>
      <c r="V615" s="410"/>
      <c r="W615" s="410"/>
      <c r="X615" s="410"/>
      <c r="Y615" s="410"/>
      <c r="Z615" s="410"/>
      <c r="AA615" s="410"/>
      <c r="AB615" s="410"/>
      <c r="AC615" s="410"/>
      <c r="AD615" s="410"/>
      <c r="AE615" s="410"/>
      <c r="AF615" s="410"/>
      <c r="AG615" s="410"/>
      <c r="AH615" s="410"/>
      <c r="AI615" s="410"/>
      <c r="AJ615" s="410"/>
      <c r="AK615" s="410"/>
    </row>
    <row r="616" spans="1:37" x14ac:dyDescent="0.2">
      <c r="A616" s="410"/>
      <c r="B616" s="410"/>
      <c r="C616" s="410"/>
      <c r="D616" s="410"/>
      <c r="E616" s="410"/>
      <c r="F616" s="410"/>
      <c r="G616" s="410"/>
      <c r="H616" s="410"/>
      <c r="I616" s="410"/>
      <c r="J616" s="410"/>
      <c r="K616" s="410"/>
      <c r="L616" s="410"/>
      <c r="M616" s="410"/>
      <c r="N616" s="410"/>
      <c r="R616" s="410"/>
      <c r="S616" s="410"/>
      <c r="T616" s="410"/>
      <c r="U616" s="410"/>
      <c r="V616" s="410"/>
      <c r="W616" s="410"/>
      <c r="X616" s="410"/>
      <c r="Y616" s="410"/>
      <c r="Z616" s="410"/>
      <c r="AA616" s="410"/>
      <c r="AB616" s="410"/>
      <c r="AC616" s="410"/>
      <c r="AD616" s="410"/>
      <c r="AE616" s="410"/>
      <c r="AF616" s="410"/>
      <c r="AG616" s="410"/>
      <c r="AH616" s="410"/>
      <c r="AI616" s="410"/>
      <c r="AJ616" s="410"/>
      <c r="AK616" s="410"/>
    </row>
    <row r="617" spans="1:37" x14ac:dyDescent="0.2">
      <c r="A617" s="410"/>
      <c r="B617" s="410"/>
      <c r="C617" s="410"/>
      <c r="D617" s="410"/>
      <c r="E617" s="410"/>
      <c r="F617" s="410"/>
      <c r="G617" s="410"/>
      <c r="H617" s="410"/>
      <c r="I617" s="410"/>
      <c r="J617" s="410"/>
      <c r="K617" s="410"/>
      <c r="L617" s="410"/>
      <c r="M617" s="410"/>
      <c r="N617" s="410"/>
      <c r="R617" s="410"/>
      <c r="S617" s="410"/>
      <c r="T617" s="410"/>
      <c r="U617" s="410"/>
      <c r="V617" s="410"/>
      <c r="W617" s="410"/>
      <c r="X617" s="410"/>
      <c r="Y617" s="410"/>
      <c r="Z617" s="410"/>
      <c r="AA617" s="410"/>
      <c r="AB617" s="410"/>
      <c r="AC617" s="410"/>
      <c r="AD617" s="410"/>
      <c r="AE617" s="410"/>
      <c r="AF617" s="410"/>
      <c r="AG617" s="410"/>
      <c r="AH617" s="410"/>
      <c r="AI617" s="410"/>
      <c r="AJ617" s="410"/>
      <c r="AK617" s="410"/>
    </row>
    <row r="618" spans="1:37" x14ac:dyDescent="0.2">
      <c r="A618" s="410"/>
      <c r="B618" s="410"/>
      <c r="C618" s="410"/>
      <c r="D618" s="410"/>
      <c r="E618" s="410"/>
      <c r="F618" s="410"/>
      <c r="G618" s="410"/>
      <c r="H618" s="410"/>
      <c r="I618" s="410"/>
      <c r="J618" s="410"/>
      <c r="K618" s="410"/>
      <c r="L618" s="410"/>
      <c r="M618" s="410"/>
      <c r="N618" s="410"/>
      <c r="R618" s="410"/>
      <c r="S618" s="410"/>
      <c r="T618" s="410"/>
      <c r="U618" s="410"/>
      <c r="V618" s="410"/>
      <c r="W618" s="410"/>
      <c r="X618" s="410"/>
      <c r="Y618" s="410"/>
      <c r="Z618" s="410"/>
      <c r="AA618" s="410"/>
      <c r="AB618" s="410"/>
      <c r="AC618" s="410"/>
      <c r="AD618" s="410"/>
      <c r="AE618" s="410"/>
      <c r="AF618" s="410"/>
      <c r="AG618" s="410"/>
      <c r="AH618" s="410"/>
      <c r="AI618" s="410"/>
      <c r="AJ618" s="410"/>
      <c r="AK618" s="410"/>
    </row>
    <row r="619" spans="1:37" x14ac:dyDescent="0.2">
      <c r="A619" s="410"/>
      <c r="B619" s="410"/>
      <c r="C619" s="410"/>
      <c r="D619" s="410"/>
      <c r="E619" s="410"/>
      <c r="F619" s="410"/>
      <c r="G619" s="410"/>
      <c r="H619" s="410"/>
      <c r="I619" s="410"/>
      <c r="J619" s="410"/>
      <c r="K619" s="410"/>
      <c r="L619" s="410"/>
      <c r="M619" s="410"/>
      <c r="N619" s="410"/>
      <c r="R619" s="410"/>
      <c r="S619" s="410"/>
      <c r="T619" s="410"/>
      <c r="U619" s="410"/>
      <c r="V619" s="410"/>
      <c r="W619" s="410"/>
      <c r="X619" s="410"/>
      <c r="Y619" s="410"/>
      <c r="Z619" s="410"/>
      <c r="AA619" s="410"/>
      <c r="AB619" s="410"/>
      <c r="AC619" s="410"/>
      <c r="AD619" s="410"/>
      <c r="AE619" s="410"/>
      <c r="AF619" s="410"/>
      <c r="AG619" s="410"/>
      <c r="AH619" s="410"/>
      <c r="AI619" s="410"/>
      <c r="AJ619" s="410"/>
      <c r="AK619" s="410"/>
    </row>
    <row r="620" spans="1:37" x14ac:dyDescent="0.2">
      <c r="A620" s="410"/>
      <c r="B620" s="410"/>
      <c r="C620" s="410"/>
      <c r="D620" s="410"/>
      <c r="E620" s="410"/>
      <c r="F620" s="410"/>
      <c r="G620" s="410"/>
      <c r="H620" s="410"/>
      <c r="I620" s="410"/>
      <c r="J620" s="410"/>
      <c r="K620" s="410"/>
      <c r="L620" s="410"/>
      <c r="M620" s="410"/>
      <c r="N620" s="410"/>
      <c r="R620" s="410"/>
      <c r="S620" s="410"/>
      <c r="T620" s="410"/>
      <c r="U620" s="410"/>
      <c r="V620" s="410"/>
      <c r="W620" s="410"/>
      <c r="X620" s="410"/>
      <c r="Y620" s="410"/>
      <c r="Z620" s="410"/>
      <c r="AA620" s="410"/>
      <c r="AB620" s="410"/>
      <c r="AC620" s="410"/>
      <c r="AD620" s="410"/>
      <c r="AE620" s="410"/>
      <c r="AF620" s="410"/>
      <c r="AG620" s="410"/>
      <c r="AH620" s="410"/>
      <c r="AI620" s="410"/>
      <c r="AJ620" s="410"/>
      <c r="AK620" s="410"/>
    </row>
    <row r="621" spans="1:37" x14ac:dyDescent="0.2">
      <c r="A621" s="410"/>
      <c r="B621" s="410"/>
      <c r="C621" s="410"/>
      <c r="D621" s="410"/>
      <c r="E621" s="410"/>
      <c r="F621" s="410"/>
      <c r="G621" s="410"/>
      <c r="H621" s="410"/>
      <c r="I621" s="410"/>
      <c r="J621" s="410"/>
      <c r="K621" s="410"/>
      <c r="L621" s="410"/>
      <c r="M621" s="410"/>
      <c r="N621" s="410"/>
      <c r="R621" s="410"/>
      <c r="S621" s="410"/>
      <c r="T621" s="410"/>
      <c r="U621" s="410"/>
      <c r="V621" s="410"/>
      <c r="W621" s="410"/>
      <c r="X621" s="410"/>
      <c r="Y621" s="410"/>
      <c r="Z621" s="410"/>
      <c r="AA621" s="410"/>
      <c r="AB621" s="410"/>
      <c r="AC621" s="410"/>
      <c r="AD621" s="410"/>
      <c r="AE621" s="410"/>
      <c r="AF621" s="410"/>
      <c r="AG621" s="410"/>
      <c r="AH621" s="410"/>
      <c r="AI621" s="410"/>
      <c r="AJ621" s="410"/>
      <c r="AK621" s="410"/>
    </row>
    <row r="622" spans="1:37" x14ac:dyDescent="0.2">
      <c r="A622" s="410"/>
      <c r="B622" s="410"/>
      <c r="C622" s="410"/>
      <c r="D622" s="410"/>
      <c r="E622" s="410"/>
      <c r="F622" s="410"/>
      <c r="G622" s="410"/>
      <c r="H622" s="410"/>
      <c r="I622" s="410"/>
      <c r="J622" s="410"/>
      <c r="K622" s="410"/>
      <c r="L622" s="410"/>
      <c r="M622" s="410"/>
      <c r="N622" s="410"/>
      <c r="R622" s="410"/>
      <c r="S622" s="410"/>
      <c r="T622" s="410"/>
      <c r="U622" s="410"/>
      <c r="V622" s="410"/>
      <c r="W622" s="410"/>
      <c r="X622" s="410"/>
      <c r="Y622" s="410"/>
      <c r="Z622" s="410"/>
      <c r="AA622" s="410"/>
      <c r="AB622" s="410"/>
      <c r="AC622" s="410"/>
      <c r="AD622" s="410"/>
      <c r="AE622" s="410"/>
      <c r="AF622" s="410"/>
      <c r="AG622" s="410"/>
      <c r="AH622" s="410"/>
      <c r="AI622" s="410"/>
      <c r="AJ622" s="410"/>
      <c r="AK622" s="410"/>
    </row>
    <row r="623" spans="1:37" x14ac:dyDescent="0.2">
      <c r="A623" s="410"/>
      <c r="B623" s="410"/>
      <c r="C623" s="410"/>
      <c r="D623" s="410"/>
      <c r="E623" s="410"/>
      <c r="F623" s="410"/>
      <c r="G623" s="410"/>
      <c r="H623" s="410"/>
      <c r="I623" s="410"/>
      <c r="J623" s="410"/>
      <c r="K623" s="410"/>
      <c r="L623" s="410"/>
      <c r="M623" s="410"/>
      <c r="N623" s="410"/>
      <c r="R623" s="410"/>
      <c r="S623" s="410"/>
      <c r="T623" s="410"/>
      <c r="U623" s="410"/>
      <c r="V623" s="410"/>
      <c r="W623" s="410"/>
      <c r="X623" s="410"/>
      <c r="Y623" s="410"/>
      <c r="Z623" s="410"/>
      <c r="AA623" s="410"/>
      <c r="AB623" s="410"/>
      <c r="AC623" s="410"/>
      <c r="AD623" s="410"/>
      <c r="AE623" s="410"/>
      <c r="AF623" s="410"/>
      <c r="AG623" s="410"/>
      <c r="AH623" s="410"/>
      <c r="AI623" s="410"/>
      <c r="AJ623" s="410"/>
      <c r="AK623" s="410"/>
    </row>
    <row r="624" spans="1:37" x14ac:dyDescent="0.2">
      <c r="A624" s="410"/>
      <c r="B624" s="410"/>
      <c r="C624" s="410"/>
      <c r="D624" s="410"/>
      <c r="E624" s="410"/>
      <c r="F624" s="410"/>
      <c r="G624" s="410"/>
      <c r="H624" s="410"/>
      <c r="I624" s="410"/>
      <c r="J624" s="410"/>
      <c r="K624" s="410"/>
      <c r="L624" s="410"/>
      <c r="M624" s="410"/>
      <c r="N624" s="410"/>
      <c r="R624" s="410"/>
      <c r="S624" s="410"/>
      <c r="T624" s="410"/>
      <c r="U624" s="410"/>
      <c r="V624" s="410"/>
      <c r="W624" s="410"/>
      <c r="X624" s="410"/>
      <c r="Y624" s="410"/>
      <c r="Z624" s="410"/>
      <c r="AA624" s="410"/>
      <c r="AB624" s="410"/>
      <c r="AC624" s="410"/>
      <c r="AD624" s="410"/>
      <c r="AE624" s="410"/>
      <c r="AF624" s="410"/>
      <c r="AG624" s="410"/>
      <c r="AH624" s="410"/>
      <c r="AI624" s="410"/>
      <c r="AJ624" s="410"/>
      <c r="AK624" s="410"/>
    </row>
    <row r="625" spans="1:37" x14ac:dyDescent="0.2">
      <c r="A625" s="410"/>
      <c r="B625" s="410"/>
      <c r="C625" s="410"/>
      <c r="D625" s="410"/>
      <c r="E625" s="410"/>
      <c r="F625" s="410"/>
      <c r="G625" s="410"/>
      <c r="H625" s="410"/>
      <c r="I625" s="410"/>
      <c r="J625" s="410"/>
      <c r="K625" s="410"/>
      <c r="L625" s="410"/>
      <c r="M625" s="410"/>
      <c r="N625" s="410"/>
      <c r="R625" s="410"/>
      <c r="S625" s="410"/>
      <c r="T625" s="410"/>
      <c r="U625" s="410"/>
      <c r="V625" s="410"/>
      <c r="W625" s="410"/>
      <c r="X625" s="410"/>
      <c r="Y625" s="410"/>
      <c r="Z625" s="410"/>
      <c r="AA625" s="410"/>
      <c r="AB625" s="410"/>
      <c r="AC625" s="410"/>
      <c r="AD625" s="410"/>
      <c r="AE625" s="410"/>
      <c r="AF625" s="410"/>
      <c r="AG625" s="410"/>
      <c r="AH625" s="410"/>
      <c r="AI625" s="410"/>
      <c r="AJ625" s="410"/>
      <c r="AK625" s="410"/>
    </row>
    <row r="626" spans="1:37" x14ac:dyDescent="0.2">
      <c r="A626" s="410"/>
      <c r="B626" s="410"/>
      <c r="C626" s="410"/>
      <c r="D626" s="410"/>
      <c r="E626" s="410"/>
      <c r="F626" s="410"/>
      <c r="G626" s="410"/>
      <c r="H626" s="410"/>
      <c r="I626" s="410"/>
      <c r="J626" s="410"/>
      <c r="K626" s="410"/>
      <c r="L626" s="410"/>
      <c r="M626" s="410"/>
      <c r="N626" s="410"/>
      <c r="R626" s="410"/>
      <c r="S626" s="410"/>
      <c r="T626" s="410"/>
      <c r="U626" s="410"/>
      <c r="V626" s="410"/>
      <c r="W626" s="410"/>
      <c r="X626" s="410"/>
      <c r="Y626" s="410"/>
      <c r="Z626" s="410"/>
      <c r="AA626" s="410"/>
      <c r="AB626" s="410"/>
      <c r="AC626" s="410"/>
      <c r="AD626" s="410"/>
      <c r="AE626" s="410"/>
      <c r="AF626" s="410"/>
      <c r="AG626" s="410"/>
      <c r="AH626" s="410"/>
      <c r="AI626" s="410"/>
      <c r="AJ626" s="410"/>
      <c r="AK626" s="410"/>
    </row>
    <row r="627" spans="1:37" x14ac:dyDescent="0.2">
      <c r="A627" s="410"/>
      <c r="B627" s="410"/>
      <c r="C627" s="410"/>
      <c r="D627" s="410"/>
      <c r="E627" s="410"/>
      <c r="F627" s="410"/>
      <c r="G627" s="410"/>
      <c r="H627" s="410"/>
      <c r="I627" s="410"/>
      <c r="J627" s="410"/>
      <c r="K627" s="410"/>
      <c r="L627" s="410"/>
      <c r="M627" s="410"/>
      <c r="N627" s="410"/>
      <c r="R627" s="410"/>
      <c r="S627" s="410"/>
      <c r="T627" s="410"/>
      <c r="U627" s="410"/>
      <c r="V627" s="410"/>
      <c r="W627" s="410"/>
      <c r="X627" s="410"/>
      <c r="Y627" s="410"/>
      <c r="Z627" s="410"/>
      <c r="AA627" s="410"/>
      <c r="AB627" s="410"/>
      <c r="AC627" s="410"/>
      <c r="AD627" s="410"/>
      <c r="AE627" s="410"/>
      <c r="AF627" s="410"/>
      <c r="AG627" s="410"/>
      <c r="AH627" s="410"/>
      <c r="AI627" s="410"/>
      <c r="AJ627" s="410"/>
      <c r="AK627" s="410"/>
    </row>
    <row r="628" spans="1:37" x14ac:dyDescent="0.2">
      <c r="A628" s="410"/>
      <c r="B628" s="410"/>
      <c r="C628" s="410"/>
      <c r="D628" s="410"/>
      <c r="E628" s="410"/>
      <c r="F628" s="410"/>
      <c r="G628" s="410"/>
      <c r="H628" s="410"/>
      <c r="I628" s="410"/>
      <c r="J628" s="410"/>
      <c r="K628" s="410"/>
      <c r="L628" s="410"/>
      <c r="M628" s="410"/>
      <c r="N628" s="410"/>
      <c r="R628" s="410"/>
      <c r="S628" s="410"/>
      <c r="T628" s="410"/>
      <c r="U628" s="410"/>
      <c r="V628" s="410"/>
      <c r="W628" s="410"/>
      <c r="X628" s="410"/>
      <c r="Y628" s="410"/>
      <c r="Z628" s="410"/>
      <c r="AA628" s="410"/>
      <c r="AB628" s="410"/>
      <c r="AC628" s="410"/>
      <c r="AD628" s="410"/>
      <c r="AE628" s="410"/>
      <c r="AF628" s="410"/>
      <c r="AG628" s="410"/>
      <c r="AH628" s="410"/>
      <c r="AI628" s="410"/>
      <c r="AJ628" s="410"/>
      <c r="AK628" s="410"/>
    </row>
    <row r="629" spans="1:37" x14ac:dyDescent="0.2">
      <c r="A629" s="410"/>
      <c r="B629" s="410"/>
      <c r="C629" s="410"/>
      <c r="D629" s="410"/>
      <c r="E629" s="410"/>
      <c r="F629" s="410"/>
      <c r="G629" s="410"/>
      <c r="H629" s="410"/>
      <c r="I629" s="410"/>
      <c r="J629" s="410"/>
      <c r="K629" s="410"/>
      <c r="L629" s="410"/>
      <c r="M629" s="410"/>
      <c r="N629" s="410"/>
      <c r="R629" s="410"/>
      <c r="S629" s="410"/>
      <c r="T629" s="410"/>
      <c r="U629" s="410"/>
      <c r="V629" s="410"/>
      <c r="W629" s="410"/>
      <c r="X629" s="410"/>
      <c r="Y629" s="410"/>
      <c r="Z629" s="410"/>
      <c r="AA629" s="410"/>
      <c r="AB629" s="410"/>
      <c r="AC629" s="410"/>
      <c r="AD629" s="410"/>
      <c r="AE629" s="410"/>
      <c r="AF629" s="410"/>
      <c r="AG629" s="410"/>
      <c r="AH629" s="410"/>
      <c r="AI629" s="410"/>
      <c r="AJ629" s="410"/>
      <c r="AK629" s="410"/>
    </row>
    <row r="630" spans="1:37" x14ac:dyDescent="0.2">
      <c r="A630" s="410"/>
      <c r="B630" s="410"/>
      <c r="C630" s="410"/>
      <c r="D630" s="410"/>
      <c r="E630" s="410"/>
      <c r="F630" s="410"/>
      <c r="G630" s="410"/>
      <c r="H630" s="410"/>
      <c r="I630" s="410"/>
      <c r="J630" s="410"/>
      <c r="K630" s="410"/>
      <c r="L630" s="410"/>
      <c r="M630" s="410"/>
      <c r="N630" s="410"/>
      <c r="R630" s="410"/>
      <c r="S630" s="410"/>
      <c r="T630" s="410"/>
      <c r="U630" s="410"/>
      <c r="V630" s="410"/>
      <c r="W630" s="410"/>
      <c r="X630" s="410"/>
      <c r="Y630" s="410"/>
      <c r="Z630" s="410"/>
      <c r="AA630" s="410"/>
      <c r="AB630" s="410"/>
      <c r="AC630" s="410"/>
      <c r="AD630" s="410"/>
      <c r="AE630" s="410"/>
      <c r="AF630" s="410"/>
      <c r="AG630" s="410"/>
      <c r="AH630" s="410"/>
      <c r="AI630" s="410"/>
      <c r="AJ630" s="410"/>
      <c r="AK630" s="410"/>
    </row>
    <row r="631" spans="1:37" x14ac:dyDescent="0.2">
      <c r="A631" s="410"/>
      <c r="B631" s="410"/>
      <c r="C631" s="410"/>
      <c r="D631" s="410"/>
      <c r="E631" s="410"/>
      <c r="F631" s="410"/>
      <c r="G631" s="410"/>
      <c r="H631" s="410"/>
      <c r="I631" s="410"/>
      <c r="J631" s="410"/>
      <c r="K631" s="410"/>
      <c r="L631" s="410"/>
      <c r="M631" s="410"/>
      <c r="N631" s="410"/>
      <c r="R631" s="410"/>
      <c r="S631" s="410"/>
      <c r="T631" s="410"/>
      <c r="U631" s="410"/>
      <c r="V631" s="410"/>
      <c r="W631" s="410"/>
      <c r="X631" s="410"/>
      <c r="Y631" s="410"/>
      <c r="Z631" s="410"/>
      <c r="AA631" s="410"/>
      <c r="AB631" s="410"/>
      <c r="AC631" s="410"/>
      <c r="AD631" s="410"/>
      <c r="AE631" s="410"/>
      <c r="AF631" s="410"/>
      <c r="AG631" s="410"/>
      <c r="AH631" s="410"/>
      <c r="AI631" s="410"/>
      <c r="AJ631" s="410"/>
      <c r="AK631" s="410"/>
    </row>
    <row r="632" spans="1:37" x14ac:dyDescent="0.2">
      <c r="A632" s="410"/>
      <c r="B632" s="410"/>
      <c r="C632" s="410"/>
      <c r="D632" s="410"/>
      <c r="E632" s="410"/>
      <c r="F632" s="410"/>
      <c r="G632" s="410"/>
      <c r="H632" s="410"/>
      <c r="I632" s="410"/>
      <c r="J632" s="410"/>
      <c r="K632" s="410"/>
      <c r="L632" s="410"/>
      <c r="M632" s="410"/>
      <c r="N632" s="410"/>
      <c r="R632" s="410"/>
      <c r="S632" s="410"/>
      <c r="T632" s="410"/>
      <c r="U632" s="410"/>
      <c r="V632" s="410"/>
      <c r="W632" s="410"/>
      <c r="X632" s="410"/>
      <c r="Y632" s="410"/>
      <c r="Z632" s="410"/>
      <c r="AA632" s="410"/>
      <c r="AB632" s="410"/>
      <c r="AC632" s="410"/>
      <c r="AD632" s="410"/>
      <c r="AE632" s="410"/>
      <c r="AF632" s="410"/>
      <c r="AG632" s="410"/>
      <c r="AH632" s="410"/>
      <c r="AI632" s="410"/>
      <c r="AJ632" s="410"/>
      <c r="AK632" s="410"/>
    </row>
    <row r="633" spans="1:37" x14ac:dyDescent="0.2">
      <c r="A633" s="410"/>
      <c r="B633" s="410"/>
      <c r="C633" s="410"/>
      <c r="D633" s="410"/>
      <c r="E633" s="410"/>
      <c r="F633" s="410"/>
      <c r="G633" s="410"/>
      <c r="H633" s="410"/>
      <c r="I633" s="410"/>
      <c r="J633" s="410"/>
      <c r="K633" s="410"/>
      <c r="L633" s="410"/>
      <c r="M633" s="410"/>
      <c r="N633" s="410"/>
      <c r="R633" s="410"/>
      <c r="S633" s="410"/>
      <c r="T633" s="410"/>
      <c r="U633" s="410"/>
      <c r="V633" s="410"/>
      <c r="W633" s="410"/>
      <c r="X633" s="410"/>
      <c r="Y633" s="410"/>
      <c r="Z633" s="410"/>
      <c r="AA633" s="410"/>
      <c r="AB633" s="410"/>
      <c r="AC633" s="410"/>
      <c r="AD633" s="410"/>
      <c r="AE633" s="410"/>
      <c r="AF633" s="410"/>
      <c r="AG633" s="410"/>
      <c r="AH633" s="410"/>
      <c r="AI633" s="410"/>
      <c r="AJ633" s="410"/>
      <c r="AK633" s="410"/>
    </row>
    <row r="634" spans="1:37" x14ac:dyDescent="0.2">
      <c r="A634" s="410"/>
      <c r="B634" s="410"/>
      <c r="C634" s="410"/>
      <c r="D634" s="410"/>
      <c r="E634" s="410"/>
      <c r="F634" s="410"/>
      <c r="G634" s="410"/>
      <c r="H634" s="410"/>
      <c r="I634" s="410"/>
      <c r="J634" s="410"/>
      <c r="K634" s="410"/>
      <c r="L634" s="410"/>
      <c r="M634" s="410"/>
      <c r="N634" s="410"/>
      <c r="R634" s="410"/>
      <c r="S634" s="410"/>
      <c r="T634" s="410"/>
      <c r="U634" s="410"/>
      <c r="V634" s="410"/>
      <c r="W634" s="410"/>
      <c r="X634" s="410"/>
      <c r="Y634" s="410"/>
      <c r="Z634" s="410"/>
      <c r="AA634" s="410"/>
      <c r="AB634" s="410"/>
      <c r="AC634" s="410"/>
      <c r="AD634" s="410"/>
      <c r="AE634" s="410"/>
      <c r="AF634" s="410"/>
      <c r="AG634" s="410"/>
      <c r="AH634" s="410"/>
      <c r="AI634" s="410"/>
      <c r="AJ634" s="410"/>
      <c r="AK634" s="410"/>
    </row>
    <row r="635" spans="1:37" x14ac:dyDescent="0.2">
      <c r="A635" s="410"/>
      <c r="B635" s="410"/>
      <c r="C635" s="410"/>
      <c r="D635" s="410"/>
      <c r="E635" s="410"/>
      <c r="F635" s="410"/>
      <c r="G635" s="410"/>
      <c r="H635" s="410"/>
      <c r="I635" s="410"/>
      <c r="J635" s="410"/>
      <c r="K635" s="410"/>
      <c r="L635" s="410"/>
      <c r="M635" s="410"/>
      <c r="N635" s="410"/>
      <c r="R635" s="410"/>
      <c r="S635" s="410"/>
      <c r="T635" s="410"/>
      <c r="U635" s="410"/>
      <c r="V635" s="410"/>
      <c r="W635" s="410"/>
      <c r="X635" s="410"/>
      <c r="Y635" s="410"/>
      <c r="Z635" s="410"/>
      <c r="AA635" s="410"/>
      <c r="AB635" s="410"/>
      <c r="AC635" s="410"/>
      <c r="AD635" s="410"/>
      <c r="AE635" s="410"/>
      <c r="AF635" s="410"/>
      <c r="AG635" s="410"/>
      <c r="AH635" s="410"/>
      <c r="AI635" s="410"/>
      <c r="AJ635" s="410"/>
      <c r="AK635" s="410"/>
    </row>
    <row r="636" spans="1:37" x14ac:dyDescent="0.2">
      <c r="A636" s="410"/>
      <c r="B636" s="410"/>
      <c r="C636" s="410"/>
      <c r="D636" s="410"/>
      <c r="E636" s="410"/>
      <c r="F636" s="410"/>
      <c r="G636" s="410"/>
      <c r="H636" s="410"/>
      <c r="I636" s="410"/>
      <c r="J636" s="410"/>
      <c r="K636" s="410"/>
      <c r="L636" s="410"/>
      <c r="M636" s="410"/>
      <c r="N636" s="410"/>
      <c r="R636" s="410"/>
      <c r="S636" s="410"/>
      <c r="T636" s="410"/>
      <c r="U636" s="410"/>
      <c r="V636" s="410"/>
      <c r="W636" s="410"/>
      <c r="X636" s="410"/>
      <c r="Y636" s="410"/>
      <c r="Z636" s="410"/>
      <c r="AA636" s="410"/>
      <c r="AB636" s="410"/>
      <c r="AC636" s="410"/>
      <c r="AD636" s="410"/>
      <c r="AE636" s="410"/>
      <c r="AF636" s="410"/>
      <c r="AG636" s="410"/>
      <c r="AH636" s="410"/>
      <c r="AI636" s="410"/>
      <c r="AJ636" s="410"/>
      <c r="AK636" s="410"/>
    </row>
    <row r="637" spans="1:37" x14ac:dyDescent="0.2">
      <c r="A637" s="410"/>
      <c r="B637" s="410"/>
      <c r="C637" s="410"/>
      <c r="D637" s="410"/>
      <c r="E637" s="410"/>
      <c r="F637" s="410"/>
      <c r="G637" s="410"/>
      <c r="H637" s="410"/>
      <c r="I637" s="410"/>
      <c r="J637" s="410"/>
      <c r="K637" s="410"/>
      <c r="L637" s="410"/>
      <c r="M637" s="410"/>
      <c r="N637" s="410"/>
      <c r="R637" s="410"/>
      <c r="S637" s="410"/>
      <c r="T637" s="410"/>
      <c r="U637" s="410"/>
      <c r="V637" s="410"/>
      <c r="W637" s="410"/>
      <c r="X637" s="410"/>
      <c r="Y637" s="410"/>
      <c r="Z637" s="410"/>
      <c r="AA637" s="410"/>
      <c r="AB637" s="410"/>
      <c r="AC637" s="410"/>
      <c r="AD637" s="410"/>
      <c r="AE637" s="410"/>
      <c r="AF637" s="410"/>
      <c r="AG637" s="410"/>
      <c r="AH637" s="410"/>
      <c r="AI637" s="410"/>
      <c r="AJ637" s="410"/>
      <c r="AK637" s="410"/>
    </row>
    <row r="638" spans="1:37" x14ac:dyDescent="0.2">
      <c r="A638" s="410"/>
      <c r="B638" s="410"/>
      <c r="C638" s="410"/>
      <c r="D638" s="410"/>
      <c r="E638" s="410"/>
      <c r="F638" s="410"/>
      <c r="G638" s="410"/>
      <c r="H638" s="410"/>
      <c r="I638" s="410"/>
      <c r="J638" s="410"/>
      <c r="K638" s="410"/>
      <c r="L638" s="410"/>
      <c r="M638" s="410"/>
      <c r="N638" s="410"/>
      <c r="R638" s="410"/>
      <c r="S638" s="410"/>
      <c r="T638" s="410"/>
      <c r="U638" s="410"/>
      <c r="V638" s="410"/>
      <c r="W638" s="410"/>
      <c r="X638" s="410"/>
      <c r="Y638" s="410"/>
      <c r="Z638" s="410"/>
      <c r="AA638" s="410"/>
      <c r="AB638" s="410"/>
      <c r="AC638" s="410"/>
      <c r="AD638" s="410"/>
      <c r="AE638" s="410"/>
      <c r="AF638" s="410"/>
      <c r="AG638" s="410"/>
      <c r="AH638" s="410"/>
      <c r="AI638" s="410"/>
      <c r="AJ638" s="410"/>
      <c r="AK638" s="410"/>
    </row>
    <row r="639" spans="1:37" x14ac:dyDescent="0.2">
      <c r="A639" s="410"/>
      <c r="B639" s="410"/>
      <c r="C639" s="410"/>
      <c r="D639" s="410"/>
      <c r="E639" s="410"/>
      <c r="F639" s="410"/>
      <c r="G639" s="410"/>
      <c r="H639" s="410"/>
      <c r="I639" s="410"/>
      <c r="J639" s="410"/>
      <c r="K639" s="410"/>
      <c r="L639" s="410"/>
      <c r="M639" s="410"/>
      <c r="N639" s="410"/>
      <c r="R639" s="410"/>
      <c r="S639" s="410"/>
      <c r="T639" s="410"/>
      <c r="U639" s="410"/>
      <c r="V639" s="410"/>
      <c r="W639" s="410"/>
      <c r="X639" s="410"/>
      <c r="Y639" s="410"/>
      <c r="Z639" s="410"/>
      <c r="AA639" s="410"/>
      <c r="AB639" s="410"/>
      <c r="AC639" s="410"/>
      <c r="AD639" s="410"/>
      <c r="AE639" s="410"/>
      <c r="AF639" s="410"/>
      <c r="AG639" s="410"/>
      <c r="AH639" s="410"/>
      <c r="AI639" s="410"/>
      <c r="AJ639" s="410"/>
      <c r="AK639" s="410"/>
    </row>
    <row r="640" spans="1:37" x14ac:dyDescent="0.2">
      <c r="A640" s="410"/>
      <c r="B640" s="410"/>
      <c r="C640" s="410"/>
      <c r="D640" s="410"/>
      <c r="E640" s="410"/>
      <c r="F640" s="410"/>
      <c r="G640" s="410"/>
      <c r="H640" s="410"/>
      <c r="I640" s="410"/>
      <c r="J640" s="410"/>
      <c r="K640" s="410"/>
      <c r="L640" s="410"/>
      <c r="M640" s="410"/>
      <c r="N640" s="410"/>
      <c r="R640" s="410"/>
      <c r="S640" s="410"/>
      <c r="T640" s="410"/>
      <c r="U640" s="410"/>
      <c r="V640" s="410"/>
      <c r="W640" s="410"/>
      <c r="X640" s="410"/>
      <c r="Y640" s="410"/>
      <c r="Z640" s="410"/>
      <c r="AA640" s="410"/>
      <c r="AB640" s="410"/>
      <c r="AC640" s="410"/>
      <c r="AD640" s="410"/>
      <c r="AE640" s="410"/>
      <c r="AF640" s="410"/>
      <c r="AG640" s="410"/>
      <c r="AH640" s="410"/>
      <c r="AI640" s="410"/>
      <c r="AJ640" s="410"/>
      <c r="AK640" s="410"/>
    </row>
    <row r="641" spans="1:37" x14ac:dyDescent="0.2">
      <c r="A641" s="410"/>
      <c r="B641" s="410"/>
      <c r="C641" s="410"/>
      <c r="D641" s="410"/>
      <c r="E641" s="410"/>
      <c r="F641" s="410"/>
      <c r="G641" s="410"/>
      <c r="H641" s="410"/>
      <c r="I641" s="410"/>
      <c r="J641" s="410"/>
      <c r="K641" s="410"/>
      <c r="L641" s="410"/>
      <c r="M641" s="410"/>
      <c r="N641" s="410"/>
      <c r="R641" s="410"/>
      <c r="S641" s="410"/>
      <c r="T641" s="410"/>
      <c r="U641" s="410"/>
      <c r="V641" s="410"/>
      <c r="W641" s="410"/>
      <c r="X641" s="410"/>
      <c r="Y641" s="410"/>
      <c r="Z641" s="410"/>
      <c r="AA641" s="410"/>
      <c r="AB641" s="410"/>
      <c r="AC641" s="410"/>
      <c r="AD641" s="410"/>
      <c r="AE641" s="410"/>
      <c r="AF641" s="410"/>
      <c r="AG641" s="410"/>
      <c r="AH641" s="410"/>
      <c r="AI641" s="410"/>
      <c r="AJ641" s="410"/>
      <c r="AK641" s="410"/>
    </row>
    <row r="642" spans="1:37" x14ac:dyDescent="0.2">
      <c r="A642" s="410"/>
      <c r="B642" s="410"/>
      <c r="C642" s="410"/>
      <c r="D642" s="410"/>
      <c r="E642" s="410"/>
      <c r="F642" s="410"/>
      <c r="G642" s="410"/>
      <c r="H642" s="410"/>
      <c r="I642" s="410"/>
      <c r="J642" s="410"/>
      <c r="K642" s="410"/>
      <c r="L642" s="410"/>
      <c r="M642" s="410"/>
      <c r="N642" s="410"/>
      <c r="R642" s="410"/>
      <c r="S642" s="410"/>
      <c r="T642" s="410"/>
      <c r="U642" s="410"/>
      <c r="V642" s="410"/>
      <c r="W642" s="410"/>
      <c r="X642" s="410"/>
      <c r="Y642" s="410"/>
      <c r="Z642" s="410"/>
      <c r="AA642" s="410"/>
      <c r="AB642" s="410"/>
      <c r="AC642" s="410"/>
      <c r="AD642" s="410"/>
      <c r="AE642" s="410"/>
      <c r="AF642" s="410"/>
      <c r="AG642" s="410"/>
      <c r="AH642" s="410"/>
      <c r="AI642" s="410"/>
      <c r="AJ642" s="410"/>
      <c r="AK642" s="410"/>
    </row>
    <row r="643" spans="1:37" x14ac:dyDescent="0.2">
      <c r="A643" s="410"/>
      <c r="B643" s="410"/>
      <c r="C643" s="410"/>
      <c r="D643" s="410"/>
      <c r="E643" s="410"/>
      <c r="F643" s="410"/>
      <c r="G643" s="410"/>
      <c r="H643" s="410"/>
      <c r="I643" s="410"/>
      <c r="J643" s="410"/>
      <c r="K643" s="410"/>
      <c r="L643" s="410"/>
      <c r="M643" s="410"/>
      <c r="N643" s="410"/>
      <c r="R643" s="410"/>
      <c r="S643" s="410"/>
      <c r="T643" s="410"/>
      <c r="U643" s="410"/>
      <c r="V643" s="410"/>
      <c r="W643" s="410"/>
      <c r="X643" s="410"/>
      <c r="Y643" s="410"/>
      <c r="Z643" s="410"/>
      <c r="AA643" s="410"/>
      <c r="AB643" s="410"/>
      <c r="AC643" s="410"/>
      <c r="AD643" s="410"/>
      <c r="AE643" s="410"/>
      <c r="AF643" s="410"/>
      <c r="AG643" s="410"/>
      <c r="AH643" s="410"/>
      <c r="AI643" s="410"/>
      <c r="AJ643" s="410"/>
      <c r="AK643" s="410"/>
    </row>
    <row r="644" spans="1:37" x14ac:dyDescent="0.2">
      <c r="A644" s="410"/>
      <c r="B644" s="410"/>
      <c r="C644" s="410"/>
      <c r="D644" s="410"/>
      <c r="E644" s="410"/>
      <c r="F644" s="410"/>
      <c r="G644" s="410"/>
      <c r="H644" s="410"/>
      <c r="I644" s="410"/>
      <c r="J644" s="410"/>
      <c r="K644" s="410"/>
      <c r="L644" s="410"/>
      <c r="M644" s="410"/>
      <c r="N644" s="410"/>
      <c r="R644" s="410"/>
      <c r="S644" s="410"/>
      <c r="T644" s="410"/>
      <c r="U644" s="410"/>
      <c r="V644" s="410"/>
      <c r="W644" s="410"/>
      <c r="X644" s="410"/>
      <c r="Y644" s="410"/>
      <c r="Z644" s="410"/>
      <c r="AA644" s="410"/>
      <c r="AB644" s="410"/>
      <c r="AC644" s="410"/>
      <c r="AD644" s="410"/>
      <c r="AE644" s="410"/>
      <c r="AF644" s="410"/>
      <c r="AG644" s="410"/>
      <c r="AH644" s="410"/>
      <c r="AI644" s="410"/>
      <c r="AJ644" s="410"/>
      <c r="AK644" s="410"/>
    </row>
    <row r="645" spans="1:37" x14ac:dyDescent="0.2">
      <c r="A645" s="410"/>
      <c r="B645" s="410"/>
      <c r="C645" s="410"/>
      <c r="D645" s="410"/>
      <c r="E645" s="410"/>
      <c r="F645" s="410"/>
      <c r="G645" s="410"/>
      <c r="H645" s="410"/>
      <c r="I645" s="410"/>
      <c r="J645" s="410"/>
      <c r="K645" s="410"/>
      <c r="L645" s="410"/>
      <c r="M645" s="410"/>
      <c r="N645" s="410"/>
      <c r="R645" s="410"/>
      <c r="S645" s="410"/>
      <c r="T645" s="410"/>
      <c r="U645" s="410"/>
      <c r="V645" s="410"/>
      <c r="W645" s="410"/>
      <c r="X645" s="410"/>
      <c r="Y645" s="410"/>
      <c r="Z645" s="410"/>
      <c r="AA645" s="410"/>
      <c r="AB645" s="410"/>
      <c r="AC645" s="410"/>
      <c r="AD645" s="410"/>
      <c r="AE645" s="410"/>
      <c r="AF645" s="410"/>
      <c r="AG645" s="410"/>
      <c r="AH645" s="410"/>
      <c r="AI645" s="410"/>
      <c r="AJ645" s="410"/>
      <c r="AK645" s="410"/>
    </row>
    <row r="646" spans="1:37" x14ac:dyDescent="0.2">
      <c r="A646" s="410"/>
      <c r="B646" s="410"/>
      <c r="C646" s="410"/>
      <c r="D646" s="410"/>
      <c r="E646" s="410"/>
      <c r="F646" s="410"/>
      <c r="G646" s="410"/>
      <c r="H646" s="410"/>
      <c r="I646" s="410"/>
      <c r="J646" s="410"/>
      <c r="K646" s="410"/>
      <c r="L646" s="410"/>
      <c r="M646" s="410"/>
      <c r="N646" s="410"/>
      <c r="R646" s="410"/>
      <c r="S646" s="410"/>
      <c r="T646" s="410"/>
      <c r="U646" s="410"/>
      <c r="V646" s="410"/>
      <c r="W646" s="410"/>
      <c r="X646" s="410"/>
      <c r="Y646" s="410"/>
      <c r="Z646" s="410"/>
      <c r="AA646" s="410"/>
      <c r="AB646" s="410"/>
      <c r="AC646" s="410"/>
      <c r="AD646" s="410"/>
      <c r="AE646" s="410"/>
      <c r="AF646" s="410"/>
      <c r="AG646" s="410"/>
      <c r="AH646" s="410"/>
      <c r="AI646" s="410"/>
      <c r="AJ646" s="410"/>
      <c r="AK646" s="410"/>
    </row>
    <row r="647" spans="1:37" x14ac:dyDescent="0.2">
      <c r="A647" s="410"/>
      <c r="B647" s="410"/>
      <c r="C647" s="410"/>
      <c r="D647" s="410"/>
      <c r="E647" s="410"/>
      <c r="F647" s="410"/>
      <c r="G647" s="410"/>
      <c r="H647" s="410"/>
      <c r="I647" s="410"/>
      <c r="J647" s="410"/>
      <c r="K647" s="410"/>
      <c r="L647" s="410"/>
      <c r="M647" s="410"/>
      <c r="N647" s="410"/>
      <c r="R647" s="410"/>
      <c r="S647" s="410"/>
      <c r="T647" s="410"/>
      <c r="U647" s="410"/>
      <c r="V647" s="410"/>
      <c r="W647" s="410"/>
      <c r="X647" s="410"/>
      <c r="Y647" s="410"/>
      <c r="Z647" s="410"/>
      <c r="AA647" s="410"/>
      <c r="AB647" s="410"/>
      <c r="AC647" s="410"/>
      <c r="AD647" s="410"/>
      <c r="AE647" s="410"/>
      <c r="AF647" s="410"/>
      <c r="AG647" s="410"/>
      <c r="AH647" s="410"/>
      <c r="AI647" s="410"/>
      <c r="AJ647" s="410"/>
      <c r="AK647" s="410"/>
    </row>
    <row r="648" spans="1:37" x14ac:dyDescent="0.2">
      <c r="A648" s="410"/>
      <c r="B648" s="410"/>
      <c r="C648" s="410"/>
      <c r="D648" s="410"/>
      <c r="E648" s="410"/>
      <c r="F648" s="410"/>
      <c r="G648" s="410"/>
      <c r="H648" s="410"/>
      <c r="I648" s="410"/>
      <c r="J648" s="410"/>
      <c r="K648" s="410"/>
      <c r="L648" s="410"/>
      <c r="M648" s="410"/>
      <c r="N648" s="410"/>
      <c r="R648" s="410"/>
      <c r="S648" s="410"/>
      <c r="T648" s="410"/>
      <c r="U648" s="410"/>
      <c r="V648" s="410"/>
      <c r="W648" s="410"/>
      <c r="X648" s="410"/>
      <c r="Y648" s="410"/>
      <c r="Z648" s="410"/>
      <c r="AA648" s="410"/>
      <c r="AB648" s="410"/>
      <c r="AC648" s="410"/>
      <c r="AD648" s="410"/>
      <c r="AE648" s="410"/>
      <c r="AF648" s="410"/>
      <c r="AG648" s="410"/>
      <c r="AH648" s="410"/>
      <c r="AI648" s="410"/>
      <c r="AJ648" s="410"/>
      <c r="AK648" s="410"/>
    </row>
    <row r="649" spans="1:37" x14ac:dyDescent="0.2">
      <c r="A649" s="410"/>
      <c r="B649" s="410"/>
      <c r="C649" s="410"/>
      <c r="D649" s="410"/>
      <c r="E649" s="410"/>
      <c r="F649" s="410"/>
      <c r="G649" s="410"/>
      <c r="H649" s="410"/>
      <c r="I649" s="410"/>
      <c r="J649" s="410"/>
      <c r="K649" s="410"/>
      <c r="L649" s="410"/>
      <c r="M649" s="410"/>
      <c r="N649" s="410"/>
      <c r="R649" s="410"/>
      <c r="S649" s="410"/>
      <c r="T649" s="410"/>
      <c r="U649" s="410"/>
      <c r="V649" s="410"/>
      <c r="W649" s="410"/>
      <c r="X649" s="410"/>
      <c r="Y649" s="410"/>
      <c r="Z649" s="410"/>
      <c r="AA649" s="410"/>
      <c r="AB649" s="410"/>
      <c r="AC649" s="410"/>
      <c r="AD649" s="410"/>
      <c r="AE649" s="410"/>
      <c r="AF649" s="410"/>
      <c r="AG649" s="410"/>
      <c r="AH649" s="410"/>
      <c r="AI649" s="410"/>
      <c r="AJ649" s="410"/>
      <c r="AK649" s="410"/>
    </row>
    <row r="650" spans="1:37" x14ac:dyDescent="0.2">
      <c r="A650" s="410"/>
      <c r="B650" s="410"/>
      <c r="C650" s="410"/>
      <c r="D650" s="410"/>
      <c r="E650" s="410"/>
      <c r="F650" s="410"/>
      <c r="G650" s="410"/>
      <c r="H650" s="410"/>
      <c r="I650" s="410"/>
      <c r="J650" s="410"/>
      <c r="K650" s="410"/>
      <c r="L650" s="410"/>
      <c r="M650" s="410"/>
      <c r="N650" s="410"/>
      <c r="R650" s="410"/>
      <c r="S650" s="410"/>
      <c r="T650" s="410"/>
      <c r="U650" s="410"/>
      <c r="V650" s="410"/>
      <c r="W650" s="410"/>
      <c r="X650" s="410"/>
      <c r="Y650" s="410"/>
      <c r="Z650" s="410"/>
      <c r="AA650" s="410"/>
      <c r="AB650" s="410"/>
      <c r="AC650" s="410"/>
      <c r="AD650" s="410"/>
      <c r="AE650" s="410"/>
      <c r="AF650" s="410"/>
      <c r="AG650" s="410"/>
      <c r="AH650" s="410"/>
      <c r="AI650" s="410"/>
      <c r="AJ650" s="410"/>
      <c r="AK650" s="410"/>
    </row>
    <row r="651" spans="1:37" x14ac:dyDescent="0.2">
      <c r="A651" s="410"/>
      <c r="B651" s="410"/>
      <c r="C651" s="410"/>
      <c r="D651" s="410"/>
      <c r="E651" s="410"/>
      <c r="F651" s="410"/>
      <c r="G651" s="410"/>
      <c r="H651" s="410"/>
      <c r="I651" s="410"/>
      <c r="J651" s="410"/>
      <c r="K651" s="410"/>
      <c r="L651" s="410"/>
      <c r="M651" s="410"/>
      <c r="N651" s="410"/>
      <c r="R651" s="410"/>
      <c r="S651" s="410"/>
      <c r="T651" s="410"/>
      <c r="U651" s="410"/>
      <c r="V651" s="410"/>
      <c r="W651" s="410"/>
      <c r="X651" s="410"/>
      <c r="Y651" s="410"/>
      <c r="Z651" s="410"/>
      <c r="AA651" s="410"/>
      <c r="AB651" s="410"/>
      <c r="AC651" s="410"/>
      <c r="AD651" s="410"/>
      <c r="AE651" s="410"/>
      <c r="AF651" s="410"/>
      <c r="AG651" s="410"/>
      <c r="AH651" s="410"/>
      <c r="AI651" s="410"/>
      <c r="AJ651" s="410"/>
      <c r="AK651" s="410"/>
    </row>
    <row r="652" spans="1:37" x14ac:dyDescent="0.2">
      <c r="A652" s="410"/>
      <c r="B652" s="410"/>
      <c r="C652" s="410"/>
      <c r="D652" s="410"/>
      <c r="E652" s="410"/>
      <c r="F652" s="410"/>
      <c r="G652" s="410"/>
      <c r="H652" s="410"/>
      <c r="I652" s="410"/>
      <c r="J652" s="410"/>
      <c r="K652" s="410"/>
      <c r="L652" s="410"/>
      <c r="M652" s="410"/>
      <c r="N652" s="410"/>
      <c r="R652" s="410"/>
      <c r="S652" s="410"/>
      <c r="T652" s="410"/>
      <c r="U652" s="410"/>
      <c r="V652" s="410"/>
      <c r="W652" s="410"/>
      <c r="X652" s="410"/>
      <c r="Y652" s="410"/>
      <c r="Z652" s="410"/>
      <c r="AA652" s="410"/>
      <c r="AB652" s="410"/>
      <c r="AC652" s="410"/>
      <c r="AD652" s="410"/>
      <c r="AE652" s="410"/>
      <c r="AF652" s="410"/>
      <c r="AG652" s="410"/>
      <c r="AH652" s="410"/>
      <c r="AI652" s="410"/>
      <c r="AJ652" s="410"/>
      <c r="AK652" s="410"/>
    </row>
    <row r="653" spans="1:37" x14ac:dyDescent="0.2">
      <c r="A653" s="410"/>
      <c r="B653" s="410"/>
      <c r="C653" s="410"/>
      <c r="D653" s="410"/>
      <c r="E653" s="410"/>
      <c r="F653" s="410"/>
      <c r="G653" s="410"/>
      <c r="H653" s="410"/>
      <c r="I653" s="410"/>
      <c r="J653" s="410"/>
      <c r="K653" s="410"/>
      <c r="L653" s="410"/>
      <c r="M653" s="410"/>
      <c r="N653" s="410"/>
      <c r="R653" s="410"/>
      <c r="S653" s="410"/>
      <c r="T653" s="410"/>
      <c r="U653" s="410"/>
      <c r="V653" s="410"/>
      <c r="W653" s="410"/>
      <c r="X653" s="410"/>
      <c r="Y653" s="410"/>
      <c r="Z653" s="410"/>
      <c r="AA653" s="410"/>
      <c r="AB653" s="410"/>
      <c r="AC653" s="410"/>
      <c r="AD653" s="410"/>
      <c r="AE653" s="410"/>
      <c r="AF653" s="410"/>
      <c r="AG653" s="410"/>
      <c r="AH653" s="410"/>
      <c r="AI653" s="410"/>
      <c r="AJ653" s="410"/>
      <c r="AK653" s="410"/>
    </row>
    <row r="654" spans="1:37" x14ac:dyDescent="0.2">
      <c r="A654" s="410"/>
      <c r="B654" s="410"/>
      <c r="C654" s="410"/>
      <c r="D654" s="410"/>
      <c r="E654" s="410"/>
      <c r="F654" s="410"/>
      <c r="G654" s="410"/>
      <c r="H654" s="410"/>
      <c r="I654" s="410"/>
      <c r="J654" s="410"/>
      <c r="K654" s="410"/>
      <c r="L654" s="410"/>
      <c r="M654" s="410"/>
      <c r="N654" s="410"/>
      <c r="R654" s="410"/>
      <c r="S654" s="410"/>
      <c r="T654" s="410"/>
      <c r="U654" s="410"/>
      <c r="V654" s="410"/>
      <c r="W654" s="410"/>
      <c r="X654" s="410"/>
      <c r="Y654" s="410"/>
      <c r="Z654" s="410"/>
      <c r="AA654" s="410"/>
      <c r="AB654" s="410"/>
      <c r="AC654" s="410"/>
      <c r="AD654" s="410"/>
      <c r="AE654" s="410"/>
      <c r="AF654" s="410"/>
      <c r="AG654" s="410"/>
      <c r="AH654" s="410"/>
      <c r="AI654" s="410"/>
      <c r="AJ654" s="410"/>
      <c r="AK654" s="410"/>
    </row>
    <row r="655" spans="1:37" x14ac:dyDescent="0.2">
      <c r="A655" s="410"/>
      <c r="B655" s="410"/>
      <c r="C655" s="410"/>
      <c r="D655" s="410"/>
      <c r="E655" s="410"/>
      <c r="F655" s="410"/>
      <c r="G655" s="410"/>
      <c r="H655" s="410"/>
      <c r="I655" s="410"/>
      <c r="J655" s="410"/>
      <c r="K655" s="410"/>
      <c r="L655" s="410"/>
      <c r="M655" s="410"/>
      <c r="N655" s="410"/>
      <c r="R655" s="410"/>
      <c r="S655" s="410"/>
      <c r="T655" s="410"/>
      <c r="U655" s="410"/>
      <c r="V655" s="410"/>
      <c r="W655" s="410"/>
      <c r="X655" s="410"/>
      <c r="Y655" s="410"/>
      <c r="Z655" s="410"/>
      <c r="AA655" s="410"/>
      <c r="AB655" s="410"/>
      <c r="AC655" s="410"/>
      <c r="AD655" s="410"/>
      <c r="AE655" s="410"/>
      <c r="AF655" s="410"/>
      <c r="AG655" s="410"/>
      <c r="AH655" s="410"/>
      <c r="AI655" s="410"/>
      <c r="AJ655" s="410"/>
      <c r="AK655" s="410"/>
    </row>
    <row r="656" spans="1:37" x14ac:dyDescent="0.2">
      <c r="A656" s="410"/>
      <c r="B656" s="410"/>
      <c r="C656" s="410"/>
      <c r="D656" s="410"/>
      <c r="E656" s="410"/>
      <c r="F656" s="410"/>
      <c r="G656" s="410"/>
      <c r="H656" s="410"/>
      <c r="I656" s="410"/>
      <c r="J656" s="410"/>
      <c r="K656" s="410"/>
      <c r="L656" s="410"/>
      <c r="M656" s="410"/>
      <c r="N656" s="410"/>
      <c r="R656" s="410"/>
      <c r="S656" s="410"/>
      <c r="T656" s="410"/>
      <c r="U656" s="410"/>
      <c r="V656" s="410"/>
      <c r="W656" s="410"/>
      <c r="X656" s="410"/>
      <c r="Y656" s="410"/>
      <c r="Z656" s="410"/>
      <c r="AA656" s="410"/>
      <c r="AB656" s="410"/>
      <c r="AC656" s="410"/>
      <c r="AD656" s="410"/>
      <c r="AE656" s="410"/>
      <c r="AF656" s="410"/>
      <c r="AG656" s="410"/>
      <c r="AH656" s="410"/>
      <c r="AI656" s="410"/>
      <c r="AJ656" s="410"/>
      <c r="AK656" s="410"/>
    </row>
    <row r="657" spans="1:37" x14ac:dyDescent="0.2">
      <c r="A657" s="410"/>
      <c r="B657" s="410"/>
      <c r="C657" s="410"/>
      <c r="D657" s="410"/>
      <c r="E657" s="410"/>
      <c r="F657" s="410"/>
      <c r="G657" s="410"/>
      <c r="H657" s="410"/>
      <c r="I657" s="410"/>
      <c r="J657" s="410"/>
      <c r="K657" s="410"/>
      <c r="L657" s="410"/>
      <c r="M657" s="410"/>
      <c r="N657" s="410"/>
      <c r="R657" s="410"/>
      <c r="S657" s="410"/>
      <c r="T657" s="410"/>
      <c r="U657" s="410"/>
      <c r="V657" s="410"/>
      <c r="W657" s="410"/>
      <c r="X657" s="410"/>
      <c r="Y657" s="410"/>
      <c r="Z657" s="410"/>
      <c r="AA657" s="410"/>
      <c r="AB657" s="410"/>
      <c r="AC657" s="410"/>
      <c r="AD657" s="410"/>
      <c r="AE657" s="410"/>
      <c r="AF657" s="410"/>
      <c r="AG657" s="410"/>
      <c r="AH657" s="410"/>
      <c r="AI657" s="410"/>
      <c r="AJ657" s="410"/>
      <c r="AK657" s="410"/>
    </row>
    <row r="658" spans="1:37" x14ac:dyDescent="0.2">
      <c r="A658" s="410"/>
      <c r="B658" s="410"/>
      <c r="C658" s="410"/>
      <c r="D658" s="410"/>
      <c r="E658" s="410"/>
      <c r="F658" s="410"/>
      <c r="G658" s="410"/>
      <c r="H658" s="410"/>
      <c r="I658" s="410"/>
      <c r="J658" s="410"/>
      <c r="K658" s="410"/>
      <c r="L658" s="410"/>
      <c r="M658" s="410"/>
      <c r="N658" s="410"/>
      <c r="R658" s="410"/>
      <c r="S658" s="410"/>
      <c r="T658" s="410"/>
      <c r="U658" s="410"/>
      <c r="V658" s="410"/>
      <c r="W658" s="410"/>
      <c r="X658" s="410"/>
      <c r="Y658" s="410"/>
      <c r="Z658" s="410"/>
      <c r="AA658" s="410"/>
      <c r="AB658" s="410"/>
      <c r="AC658" s="410"/>
      <c r="AD658" s="410"/>
      <c r="AE658" s="410"/>
      <c r="AF658" s="410"/>
      <c r="AG658" s="410"/>
      <c r="AH658" s="410"/>
      <c r="AI658" s="410"/>
      <c r="AJ658" s="410"/>
      <c r="AK658" s="410"/>
    </row>
    <row r="659" spans="1:37" x14ac:dyDescent="0.2">
      <c r="A659" s="410"/>
      <c r="B659" s="410"/>
      <c r="C659" s="410"/>
      <c r="D659" s="410"/>
      <c r="E659" s="410"/>
      <c r="F659" s="410"/>
      <c r="G659" s="410"/>
      <c r="H659" s="410"/>
      <c r="I659" s="410"/>
      <c r="J659" s="410"/>
      <c r="K659" s="410"/>
      <c r="L659" s="410"/>
      <c r="M659" s="410"/>
      <c r="N659" s="410"/>
      <c r="R659" s="410"/>
      <c r="S659" s="410"/>
      <c r="T659" s="410"/>
      <c r="U659" s="410"/>
      <c r="V659" s="410"/>
      <c r="W659" s="410"/>
      <c r="X659" s="410"/>
      <c r="Y659" s="410"/>
      <c r="Z659" s="410"/>
      <c r="AA659" s="410"/>
      <c r="AB659" s="410"/>
      <c r="AC659" s="410"/>
      <c r="AD659" s="410"/>
      <c r="AE659" s="410"/>
      <c r="AF659" s="410"/>
      <c r="AG659" s="410"/>
      <c r="AH659" s="410"/>
      <c r="AI659" s="410"/>
      <c r="AJ659" s="410"/>
      <c r="AK659" s="410"/>
    </row>
    <row r="660" spans="1:37" x14ac:dyDescent="0.2">
      <c r="A660" s="410"/>
      <c r="B660" s="410"/>
      <c r="C660" s="410"/>
      <c r="D660" s="410"/>
      <c r="E660" s="410"/>
      <c r="F660" s="410"/>
      <c r="G660" s="410"/>
      <c r="H660" s="410"/>
      <c r="I660" s="410"/>
      <c r="J660" s="410"/>
      <c r="K660" s="410"/>
      <c r="L660" s="410"/>
      <c r="M660" s="410"/>
      <c r="N660" s="410"/>
      <c r="R660" s="410"/>
      <c r="S660" s="410"/>
      <c r="T660" s="410"/>
      <c r="U660" s="410"/>
      <c r="V660" s="410"/>
      <c r="W660" s="410"/>
      <c r="X660" s="410"/>
      <c r="Y660" s="410"/>
      <c r="Z660" s="410"/>
      <c r="AA660" s="410"/>
      <c r="AB660" s="410"/>
      <c r="AC660" s="410"/>
      <c r="AD660" s="410"/>
      <c r="AE660" s="410"/>
      <c r="AF660" s="410"/>
      <c r="AG660" s="410"/>
      <c r="AH660" s="410"/>
      <c r="AI660" s="410"/>
      <c r="AJ660" s="410"/>
      <c r="AK660" s="410"/>
    </row>
    <row r="661" spans="1:37" x14ac:dyDescent="0.2">
      <c r="A661" s="410"/>
      <c r="B661" s="410"/>
      <c r="C661" s="410"/>
      <c r="D661" s="410"/>
      <c r="E661" s="410"/>
      <c r="F661" s="410"/>
      <c r="G661" s="410"/>
      <c r="H661" s="410"/>
      <c r="I661" s="410"/>
      <c r="J661" s="410"/>
      <c r="K661" s="410"/>
      <c r="L661" s="410"/>
      <c r="M661" s="410"/>
      <c r="N661" s="410"/>
      <c r="R661" s="410"/>
      <c r="S661" s="410"/>
      <c r="T661" s="410"/>
      <c r="U661" s="410"/>
      <c r="V661" s="410"/>
      <c r="W661" s="410"/>
      <c r="X661" s="410"/>
      <c r="Y661" s="410"/>
      <c r="Z661" s="410"/>
      <c r="AA661" s="410"/>
      <c r="AB661" s="410"/>
      <c r="AC661" s="410"/>
      <c r="AD661" s="410"/>
      <c r="AE661" s="410"/>
      <c r="AF661" s="410"/>
      <c r="AG661" s="410"/>
      <c r="AH661" s="410"/>
      <c r="AI661" s="410"/>
      <c r="AJ661" s="410"/>
      <c r="AK661" s="410"/>
    </row>
    <row r="662" spans="1:37" x14ac:dyDescent="0.2">
      <c r="A662" s="410"/>
      <c r="B662" s="410"/>
      <c r="C662" s="410"/>
      <c r="D662" s="410"/>
      <c r="E662" s="410"/>
      <c r="F662" s="410"/>
      <c r="G662" s="410"/>
      <c r="H662" s="410"/>
      <c r="I662" s="410"/>
      <c r="J662" s="410"/>
      <c r="K662" s="410"/>
      <c r="L662" s="410"/>
      <c r="M662" s="410"/>
      <c r="N662" s="410"/>
      <c r="R662" s="410"/>
      <c r="S662" s="410"/>
      <c r="T662" s="410"/>
      <c r="U662" s="410"/>
      <c r="V662" s="410"/>
      <c r="W662" s="410"/>
      <c r="X662" s="410"/>
      <c r="Y662" s="410"/>
      <c r="Z662" s="410"/>
      <c r="AA662" s="410"/>
      <c r="AB662" s="410"/>
      <c r="AC662" s="410"/>
      <c r="AD662" s="410"/>
      <c r="AE662" s="410"/>
      <c r="AF662" s="410"/>
      <c r="AG662" s="410"/>
      <c r="AH662" s="410"/>
      <c r="AI662" s="410"/>
      <c r="AJ662" s="410"/>
      <c r="AK662" s="410"/>
    </row>
    <row r="663" spans="1:37" x14ac:dyDescent="0.2">
      <c r="A663" s="410"/>
      <c r="B663" s="410"/>
      <c r="C663" s="410"/>
      <c r="D663" s="410"/>
      <c r="E663" s="410"/>
      <c r="F663" s="410"/>
      <c r="G663" s="410"/>
      <c r="H663" s="410"/>
      <c r="I663" s="410"/>
      <c r="J663" s="410"/>
      <c r="K663" s="410"/>
      <c r="L663" s="410"/>
      <c r="M663" s="410"/>
      <c r="N663" s="410"/>
      <c r="R663" s="410"/>
      <c r="S663" s="410"/>
      <c r="T663" s="410"/>
      <c r="U663" s="410"/>
      <c r="V663" s="410"/>
      <c r="W663" s="410"/>
      <c r="X663" s="410"/>
      <c r="Y663" s="410"/>
      <c r="Z663" s="410"/>
      <c r="AA663" s="410"/>
      <c r="AB663" s="410"/>
      <c r="AC663" s="410"/>
      <c r="AD663" s="410"/>
      <c r="AE663" s="410"/>
      <c r="AF663" s="410"/>
      <c r="AG663" s="410"/>
      <c r="AH663" s="410"/>
      <c r="AI663" s="410"/>
      <c r="AJ663" s="410"/>
      <c r="AK663" s="410"/>
    </row>
    <row r="664" spans="1:37" x14ac:dyDescent="0.2">
      <c r="A664" s="410"/>
      <c r="B664" s="410"/>
      <c r="C664" s="410"/>
      <c r="D664" s="410"/>
      <c r="E664" s="410"/>
      <c r="F664" s="410"/>
      <c r="G664" s="410"/>
      <c r="H664" s="410"/>
      <c r="I664" s="410"/>
      <c r="J664" s="410"/>
      <c r="K664" s="410"/>
      <c r="L664" s="410"/>
      <c r="M664" s="410"/>
      <c r="N664" s="410"/>
      <c r="R664" s="410"/>
      <c r="S664" s="410"/>
      <c r="T664" s="410"/>
      <c r="U664" s="410"/>
      <c r="V664" s="410"/>
      <c r="W664" s="410"/>
      <c r="X664" s="410"/>
      <c r="Y664" s="410"/>
      <c r="Z664" s="410"/>
      <c r="AA664" s="410"/>
      <c r="AB664" s="410"/>
      <c r="AC664" s="410"/>
      <c r="AD664" s="410"/>
      <c r="AE664" s="410"/>
      <c r="AF664" s="410"/>
      <c r="AG664" s="410"/>
      <c r="AH664" s="410"/>
      <c r="AI664" s="410"/>
      <c r="AJ664" s="410"/>
      <c r="AK664" s="410"/>
    </row>
    <row r="665" spans="1:37" x14ac:dyDescent="0.2">
      <c r="A665" s="410"/>
      <c r="B665" s="410"/>
      <c r="C665" s="410"/>
      <c r="D665" s="410"/>
      <c r="E665" s="410"/>
      <c r="F665" s="410"/>
      <c r="G665" s="410"/>
      <c r="H665" s="410"/>
      <c r="I665" s="410"/>
      <c r="J665" s="410"/>
      <c r="K665" s="410"/>
      <c r="L665" s="410"/>
      <c r="M665" s="410"/>
      <c r="N665" s="410"/>
      <c r="R665" s="410"/>
      <c r="S665" s="410"/>
      <c r="T665" s="410"/>
      <c r="U665" s="410"/>
      <c r="V665" s="410"/>
      <c r="W665" s="410"/>
      <c r="X665" s="410"/>
      <c r="Y665" s="410"/>
      <c r="Z665" s="410"/>
      <c r="AA665" s="410"/>
      <c r="AB665" s="410"/>
      <c r="AC665" s="410"/>
      <c r="AD665" s="410"/>
      <c r="AE665" s="410"/>
      <c r="AF665" s="410"/>
      <c r="AG665" s="410"/>
      <c r="AH665" s="410"/>
      <c r="AI665" s="410"/>
      <c r="AJ665" s="410"/>
      <c r="AK665" s="410"/>
    </row>
    <row r="666" spans="1:37" x14ac:dyDescent="0.2">
      <c r="A666" s="410"/>
      <c r="B666" s="410"/>
      <c r="C666" s="410"/>
      <c r="D666" s="410"/>
      <c r="E666" s="410"/>
      <c r="F666" s="410"/>
      <c r="G666" s="410"/>
      <c r="H666" s="410"/>
      <c r="I666" s="410"/>
      <c r="J666" s="410"/>
      <c r="K666" s="410"/>
      <c r="L666" s="410"/>
      <c r="M666" s="410"/>
      <c r="N666" s="410"/>
      <c r="R666" s="410"/>
      <c r="S666" s="410"/>
      <c r="T666" s="410"/>
      <c r="U666" s="410"/>
      <c r="V666" s="410"/>
      <c r="W666" s="410"/>
      <c r="X666" s="410"/>
      <c r="Y666" s="410"/>
      <c r="Z666" s="410"/>
      <c r="AA666" s="410"/>
      <c r="AB666" s="410"/>
      <c r="AC666" s="410"/>
      <c r="AD666" s="410"/>
      <c r="AE666" s="410"/>
      <c r="AF666" s="410"/>
      <c r="AG666" s="410"/>
      <c r="AH666" s="410"/>
      <c r="AI666" s="410"/>
      <c r="AJ666" s="410"/>
      <c r="AK666" s="410"/>
    </row>
    <row r="667" spans="1:37" x14ac:dyDescent="0.2">
      <c r="A667" s="410"/>
      <c r="B667" s="410"/>
      <c r="C667" s="410"/>
      <c r="D667" s="410"/>
      <c r="E667" s="410"/>
      <c r="F667" s="410"/>
      <c r="G667" s="410"/>
      <c r="H667" s="410"/>
      <c r="I667" s="410"/>
      <c r="J667" s="410"/>
      <c r="K667" s="410"/>
      <c r="L667" s="410"/>
      <c r="M667" s="410"/>
      <c r="N667" s="410"/>
      <c r="R667" s="410"/>
      <c r="S667" s="410"/>
      <c r="T667" s="410"/>
      <c r="U667" s="410"/>
      <c r="V667" s="410"/>
      <c r="W667" s="410"/>
      <c r="X667" s="410"/>
      <c r="Y667" s="410"/>
      <c r="Z667" s="410"/>
      <c r="AA667" s="410"/>
      <c r="AB667" s="410"/>
      <c r="AC667" s="410"/>
      <c r="AD667" s="410"/>
      <c r="AE667" s="410"/>
      <c r="AF667" s="410"/>
      <c r="AG667" s="410"/>
      <c r="AH667" s="410"/>
      <c r="AI667" s="410"/>
      <c r="AJ667" s="410"/>
      <c r="AK667" s="410"/>
    </row>
    <row r="668" spans="1:37" x14ac:dyDescent="0.2">
      <c r="A668" s="410"/>
      <c r="B668" s="410"/>
      <c r="C668" s="410"/>
      <c r="D668" s="410"/>
      <c r="E668" s="410"/>
      <c r="F668" s="410"/>
      <c r="G668" s="410"/>
      <c r="H668" s="410"/>
      <c r="I668" s="410"/>
      <c r="J668" s="410"/>
      <c r="K668" s="410"/>
      <c r="L668" s="410"/>
      <c r="M668" s="410"/>
      <c r="N668" s="410"/>
      <c r="R668" s="410"/>
      <c r="S668" s="410"/>
      <c r="T668" s="410"/>
      <c r="U668" s="410"/>
      <c r="V668" s="410"/>
      <c r="W668" s="410"/>
      <c r="X668" s="410"/>
      <c r="Y668" s="410"/>
      <c r="Z668" s="410"/>
      <c r="AA668" s="410"/>
      <c r="AB668" s="410"/>
      <c r="AC668" s="410"/>
      <c r="AD668" s="410"/>
      <c r="AE668" s="410"/>
      <c r="AF668" s="410"/>
      <c r="AG668" s="410"/>
      <c r="AH668" s="410"/>
      <c r="AI668" s="410"/>
      <c r="AJ668" s="410"/>
      <c r="AK668" s="410"/>
    </row>
    <row r="669" spans="1:37" x14ac:dyDescent="0.2">
      <c r="A669" s="410"/>
      <c r="B669" s="410"/>
      <c r="C669" s="410"/>
      <c r="D669" s="410"/>
      <c r="E669" s="410"/>
      <c r="F669" s="410"/>
      <c r="G669" s="410"/>
      <c r="H669" s="410"/>
      <c r="I669" s="410"/>
      <c r="J669" s="410"/>
      <c r="K669" s="410"/>
      <c r="L669" s="410"/>
      <c r="M669" s="410"/>
      <c r="N669" s="410"/>
      <c r="R669" s="410"/>
      <c r="S669" s="410"/>
      <c r="T669" s="410"/>
      <c r="U669" s="410"/>
      <c r="V669" s="410"/>
      <c r="W669" s="410"/>
      <c r="X669" s="410"/>
      <c r="Y669" s="410"/>
      <c r="Z669" s="410"/>
      <c r="AA669" s="410"/>
      <c r="AB669" s="410"/>
      <c r="AC669" s="410"/>
      <c r="AD669" s="410"/>
      <c r="AE669" s="410"/>
      <c r="AF669" s="410"/>
      <c r="AG669" s="410"/>
      <c r="AH669" s="410"/>
      <c r="AI669" s="410"/>
      <c r="AJ669" s="410"/>
      <c r="AK669" s="410"/>
    </row>
    <row r="670" spans="1:37" x14ac:dyDescent="0.2">
      <c r="A670" s="410"/>
      <c r="B670" s="410"/>
      <c r="C670" s="410"/>
      <c r="D670" s="410"/>
      <c r="E670" s="410"/>
      <c r="F670" s="410"/>
      <c r="G670" s="410"/>
      <c r="H670" s="410"/>
      <c r="I670" s="410"/>
      <c r="J670" s="410"/>
      <c r="K670" s="410"/>
      <c r="L670" s="410"/>
      <c r="M670" s="410"/>
      <c r="N670" s="410"/>
      <c r="R670" s="410"/>
      <c r="S670" s="410"/>
      <c r="T670" s="410"/>
      <c r="U670" s="410"/>
      <c r="V670" s="410"/>
      <c r="W670" s="410"/>
      <c r="X670" s="410"/>
      <c r="Y670" s="410"/>
      <c r="Z670" s="410"/>
      <c r="AA670" s="410"/>
      <c r="AB670" s="410"/>
      <c r="AC670" s="410"/>
      <c r="AD670" s="410"/>
      <c r="AE670" s="410"/>
      <c r="AF670" s="410"/>
      <c r="AG670" s="410"/>
      <c r="AH670" s="410"/>
      <c r="AI670" s="410"/>
      <c r="AJ670" s="410"/>
      <c r="AK670" s="410"/>
    </row>
    <row r="671" spans="1:37" x14ac:dyDescent="0.2">
      <c r="A671" s="410"/>
      <c r="B671" s="410"/>
      <c r="C671" s="410"/>
      <c r="D671" s="410"/>
      <c r="E671" s="410"/>
      <c r="F671" s="410"/>
      <c r="G671" s="410"/>
      <c r="H671" s="410"/>
      <c r="I671" s="410"/>
      <c r="J671" s="410"/>
      <c r="K671" s="410"/>
      <c r="L671" s="410"/>
      <c r="M671" s="410"/>
      <c r="N671" s="410"/>
      <c r="R671" s="410"/>
      <c r="S671" s="410"/>
      <c r="T671" s="410"/>
      <c r="U671" s="410"/>
      <c r="V671" s="410"/>
      <c r="W671" s="410"/>
      <c r="X671" s="410"/>
      <c r="Y671" s="410"/>
      <c r="Z671" s="410"/>
      <c r="AA671" s="410"/>
      <c r="AB671" s="410"/>
      <c r="AC671" s="410"/>
      <c r="AD671" s="410"/>
      <c r="AE671" s="410"/>
      <c r="AF671" s="410"/>
      <c r="AG671" s="410"/>
      <c r="AH671" s="410"/>
      <c r="AI671" s="410"/>
      <c r="AJ671" s="410"/>
      <c r="AK671" s="410"/>
    </row>
    <row r="672" spans="1:37" x14ac:dyDescent="0.2">
      <c r="A672" s="410"/>
      <c r="B672" s="410"/>
      <c r="C672" s="410"/>
      <c r="D672" s="410"/>
      <c r="E672" s="410"/>
      <c r="F672" s="410"/>
      <c r="G672" s="410"/>
      <c r="H672" s="410"/>
      <c r="I672" s="410"/>
      <c r="J672" s="410"/>
      <c r="K672" s="410"/>
      <c r="L672" s="410"/>
      <c r="M672" s="410"/>
      <c r="N672" s="410"/>
      <c r="R672" s="410"/>
      <c r="S672" s="410"/>
      <c r="T672" s="410"/>
      <c r="U672" s="410"/>
      <c r="V672" s="410"/>
      <c r="W672" s="410"/>
      <c r="X672" s="410"/>
      <c r="Y672" s="410"/>
      <c r="Z672" s="410"/>
      <c r="AA672" s="410"/>
      <c r="AB672" s="410"/>
      <c r="AC672" s="410"/>
      <c r="AD672" s="410"/>
      <c r="AE672" s="410"/>
      <c r="AF672" s="410"/>
      <c r="AG672" s="410"/>
      <c r="AH672" s="410"/>
      <c r="AI672" s="410"/>
      <c r="AJ672" s="410"/>
      <c r="AK672" s="410"/>
    </row>
    <row r="673" spans="1:37" x14ac:dyDescent="0.2">
      <c r="A673" s="410"/>
      <c r="B673" s="410"/>
      <c r="C673" s="410"/>
      <c r="D673" s="410"/>
      <c r="E673" s="410"/>
      <c r="F673" s="410"/>
      <c r="G673" s="410"/>
      <c r="H673" s="410"/>
      <c r="I673" s="410"/>
      <c r="J673" s="410"/>
      <c r="K673" s="410"/>
      <c r="L673" s="410"/>
      <c r="M673" s="410"/>
      <c r="N673" s="410"/>
      <c r="R673" s="410"/>
      <c r="S673" s="410"/>
      <c r="T673" s="410"/>
      <c r="U673" s="410"/>
      <c r="V673" s="410"/>
      <c r="W673" s="410"/>
      <c r="X673" s="410"/>
      <c r="Y673" s="410"/>
      <c r="Z673" s="410"/>
      <c r="AA673" s="410"/>
      <c r="AB673" s="410"/>
      <c r="AC673" s="410"/>
      <c r="AD673" s="410"/>
      <c r="AE673" s="410"/>
      <c r="AF673" s="410"/>
      <c r="AG673" s="410"/>
      <c r="AH673" s="410"/>
      <c r="AI673" s="410"/>
      <c r="AJ673" s="410"/>
      <c r="AK673" s="410"/>
    </row>
    <row r="674" spans="1:37" x14ac:dyDescent="0.2">
      <c r="A674" s="410"/>
      <c r="B674" s="410"/>
      <c r="C674" s="410"/>
      <c r="D674" s="410"/>
      <c r="E674" s="410"/>
      <c r="F674" s="410"/>
      <c r="G674" s="410"/>
      <c r="H674" s="410"/>
      <c r="I674" s="410"/>
      <c r="J674" s="410"/>
      <c r="K674" s="410"/>
      <c r="L674" s="410"/>
      <c r="M674" s="410"/>
      <c r="N674" s="410"/>
      <c r="R674" s="410"/>
      <c r="S674" s="410"/>
      <c r="T674" s="410"/>
      <c r="U674" s="410"/>
      <c r="V674" s="410"/>
      <c r="W674" s="410"/>
      <c r="X674" s="410"/>
      <c r="Y674" s="410"/>
      <c r="Z674" s="410"/>
      <c r="AA674" s="410"/>
      <c r="AB674" s="410"/>
      <c r="AC674" s="410"/>
      <c r="AD674" s="410"/>
      <c r="AE674" s="410"/>
      <c r="AF674" s="410"/>
      <c r="AG674" s="410"/>
      <c r="AH674" s="410"/>
      <c r="AI674" s="410"/>
      <c r="AJ674" s="410"/>
      <c r="AK674" s="410"/>
    </row>
    <row r="675" spans="1:37" x14ac:dyDescent="0.2">
      <c r="A675" s="410"/>
      <c r="B675" s="410"/>
      <c r="C675" s="410"/>
      <c r="D675" s="410"/>
      <c r="E675" s="410"/>
      <c r="F675" s="410"/>
      <c r="G675" s="410"/>
      <c r="H675" s="410"/>
      <c r="I675" s="410"/>
      <c r="J675" s="410"/>
      <c r="K675" s="410"/>
      <c r="L675" s="410"/>
      <c r="M675" s="410"/>
      <c r="N675" s="410"/>
      <c r="R675" s="410"/>
      <c r="S675" s="410"/>
      <c r="T675" s="410"/>
      <c r="U675" s="410"/>
      <c r="V675" s="410"/>
      <c r="W675" s="410"/>
      <c r="X675" s="410"/>
      <c r="Y675" s="410"/>
      <c r="Z675" s="410"/>
      <c r="AA675" s="410"/>
      <c r="AB675" s="410"/>
      <c r="AC675" s="410"/>
      <c r="AD675" s="410"/>
      <c r="AE675" s="410"/>
      <c r="AF675" s="410"/>
      <c r="AG675" s="410"/>
      <c r="AH675" s="410"/>
      <c r="AI675" s="410"/>
      <c r="AJ675" s="410"/>
      <c r="AK675" s="410"/>
    </row>
    <row r="676" spans="1:37" x14ac:dyDescent="0.2">
      <c r="A676" s="410"/>
      <c r="B676" s="410"/>
      <c r="C676" s="410"/>
      <c r="D676" s="410"/>
      <c r="E676" s="410"/>
      <c r="F676" s="410"/>
      <c r="G676" s="410"/>
      <c r="H676" s="410"/>
      <c r="I676" s="410"/>
      <c r="J676" s="410"/>
      <c r="K676" s="410"/>
      <c r="L676" s="410"/>
      <c r="M676" s="410"/>
      <c r="N676" s="410"/>
      <c r="R676" s="410"/>
      <c r="S676" s="410"/>
      <c r="T676" s="410"/>
      <c r="U676" s="410"/>
      <c r="V676" s="410"/>
      <c r="W676" s="410"/>
      <c r="X676" s="410"/>
      <c r="Y676" s="410"/>
      <c r="Z676" s="410"/>
      <c r="AA676" s="410"/>
      <c r="AB676" s="410"/>
      <c r="AC676" s="410"/>
      <c r="AD676" s="410"/>
      <c r="AE676" s="410"/>
      <c r="AF676" s="410"/>
      <c r="AG676" s="410"/>
      <c r="AH676" s="410"/>
      <c r="AI676" s="410"/>
      <c r="AJ676" s="410"/>
      <c r="AK676" s="410"/>
    </row>
    <row r="677" spans="1:37" x14ac:dyDescent="0.2">
      <c r="A677" s="410"/>
      <c r="B677" s="410"/>
      <c r="C677" s="410"/>
      <c r="D677" s="410"/>
      <c r="E677" s="410"/>
      <c r="F677" s="410"/>
      <c r="G677" s="410"/>
      <c r="H677" s="410"/>
      <c r="I677" s="410"/>
      <c r="J677" s="410"/>
      <c r="K677" s="410"/>
      <c r="L677" s="410"/>
      <c r="M677" s="410"/>
      <c r="N677" s="410"/>
      <c r="R677" s="410"/>
      <c r="S677" s="410"/>
      <c r="T677" s="410"/>
      <c r="U677" s="410"/>
      <c r="V677" s="410"/>
      <c r="W677" s="410"/>
      <c r="X677" s="410"/>
      <c r="Y677" s="410"/>
      <c r="Z677" s="410"/>
      <c r="AA677" s="410"/>
      <c r="AB677" s="410"/>
      <c r="AC677" s="410"/>
      <c r="AD677" s="410"/>
      <c r="AE677" s="410"/>
      <c r="AF677" s="410"/>
      <c r="AG677" s="410"/>
      <c r="AH677" s="410"/>
      <c r="AI677" s="410"/>
      <c r="AJ677" s="410"/>
      <c r="AK677" s="410"/>
    </row>
    <row r="678" spans="1:37" x14ac:dyDescent="0.2">
      <c r="A678" s="410"/>
      <c r="B678" s="410"/>
      <c r="C678" s="410"/>
      <c r="D678" s="410"/>
      <c r="E678" s="410"/>
      <c r="F678" s="410"/>
      <c r="G678" s="410"/>
      <c r="H678" s="410"/>
      <c r="I678" s="410"/>
      <c r="J678" s="410"/>
      <c r="K678" s="410"/>
      <c r="L678" s="410"/>
      <c r="M678" s="410"/>
      <c r="N678" s="410"/>
      <c r="R678" s="410"/>
      <c r="S678" s="410"/>
      <c r="T678" s="410"/>
      <c r="U678" s="410"/>
      <c r="V678" s="410"/>
      <c r="W678" s="410"/>
      <c r="X678" s="410"/>
      <c r="Y678" s="410"/>
      <c r="Z678" s="410"/>
      <c r="AA678" s="410"/>
      <c r="AB678" s="410"/>
      <c r="AC678" s="410"/>
      <c r="AD678" s="410"/>
      <c r="AE678" s="410"/>
      <c r="AF678" s="410"/>
      <c r="AG678" s="410"/>
      <c r="AH678" s="410"/>
      <c r="AI678" s="410"/>
      <c r="AJ678" s="410"/>
      <c r="AK678" s="410"/>
    </row>
    <row r="679" spans="1:37" x14ac:dyDescent="0.2">
      <c r="A679" s="410"/>
      <c r="B679" s="410"/>
      <c r="C679" s="410"/>
      <c r="D679" s="410"/>
      <c r="E679" s="410"/>
      <c r="F679" s="410"/>
      <c r="G679" s="410"/>
      <c r="H679" s="410"/>
      <c r="I679" s="410"/>
      <c r="J679" s="410"/>
      <c r="K679" s="410"/>
      <c r="L679" s="410"/>
      <c r="M679" s="410"/>
      <c r="N679" s="410"/>
      <c r="R679" s="410"/>
      <c r="S679" s="410"/>
      <c r="T679" s="410"/>
      <c r="U679" s="410"/>
      <c r="V679" s="410"/>
      <c r="W679" s="410"/>
      <c r="X679" s="410"/>
      <c r="Y679" s="410"/>
      <c r="Z679" s="410"/>
      <c r="AA679" s="410"/>
      <c r="AB679" s="410"/>
      <c r="AC679" s="410"/>
      <c r="AD679" s="410"/>
      <c r="AE679" s="410"/>
      <c r="AF679" s="410"/>
      <c r="AG679" s="410"/>
      <c r="AH679" s="410"/>
      <c r="AI679" s="410"/>
      <c r="AJ679" s="410"/>
      <c r="AK679" s="410"/>
    </row>
    <row r="680" spans="1:37" x14ac:dyDescent="0.2">
      <c r="A680" s="410"/>
      <c r="B680" s="410"/>
      <c r="C680" s="410"/>
      <c r="D680" s="410"/>
      <c r="E680" s="410"/>
      <c r="F680" s="410"/>
      <c r="G680" s="410"/>
      <c r="H680" s="410"/>
      <c r="I680" s="410"/>
      <c r="J680" s="410"/>
      <c r="K680" s="410"/>
      <c r="L680" s="410"/>
      <c r="M680" s="410"/>
      <c r="N680" s="410"/>
      <c r="R680" s="410"/>
      <c r="S680" s="410"/>
      <c r="T680" s="410"/>
      <c r="U680" s="410"/>
      <c r="V680" s="410"/>
      <c r="W680" s="410"/>
      <c r="X680" s="410"/>
      <c r="Y680" s="410"/>
      <c r="Z680" s="410"/>
      <c r="AA680" s="410"/>
      <c r="AB680" s="410"/>
      <c r="AC680" s="410"/>
      <c r="AD680" s="410"/>
      <c r="AE680" s="410"/>
      <c r="AF680" s="410"/>
      <c r="AG680" s="410"/>
      <c r="AH680" s="410"/>
      <c r="AI680" s="410"/>
      <c r="AJ680" s="410"/>
      <c r="AK680" s="410"/>
    </row>
    <row r="681" spans="1:37" x14ac:dyDescent="0.2">
      <c r="A681" s="410"/>
      <c r="B681" s="410"/>
      <c r="C681" s="410"/>
      <c r="D681" s="410"/>
      <c r="E681" s="410"/>
      <c r="F681" s="410"/>
      <c r="G681" s="410"/>
      <c r="H681" s="410"/>
      <c r="I681" s="410"/>
      <c r="J681" s="410"/>
      <c r="K681" s="410"/>
      <c r="L681" s="410"/>
      <c r="M681" s="410"/>
      <c r="N681" s="410"/>
      <c r="R681" s="410"/>
      <c r="S681" s="410"/>
      <c r="T681" s="410"/>
      <c r="U681" s="410"/>
      <c r="V681" s="410"/>
      <c r="W681" s="410"/>
      <c r="X681" s="410"/>
      <c r="Y681" s="410"/>
      <c r="Z681" s="410"/>
      <c r="AA681" s="410"/>
      <c r="AB681" s="410"/>
      <c r="AC681" s="410"/>
      <c r="AD681" s="410"/>
      <c r="AE681" s="410"/>
      <c r="AF681" s="410"/>
      <c r="AG681" s="410"/>
      <c r="AH681" s="410"/>
      <c r="AI681" s="410"/>
      <c r="AJ681" s="410"/>
      <c r="AK681" s="410"/>
    </row>
    <row r="682" spans="1:37" x14ac:dyDescent="0.2">
      <c r="A682" s="410"/>
      <c r="B682" s="410"/>
      <c r="C682" s="410"/>
      <c r="D682" s="410"/>
      <c r="E682" s="410"/>
      <c r="F682" s="410"/>
      <c r="G682" s="410"/>
      <c r="H682" s="410"/>
      <c r="I682" s="410"/>
      <c r="J682" s="410"/>
      <c r="K682" s="410"/>
      <c r="L682" s="410"/>
      <c r="M682" s="410"/>
      <c r="N682" s="410"/>
      <c r="R682" s="410"/>
      <c r="S682" s="410"/>
      <c r="T682" s="410"/>
      <c r="U682" s="410"/>
      <c r="V682" s="410"/>
      <c r="W682" s="410"/>
      <c r="X682" s="410"/>
      <c r="Y682" s="410"/>
      <c r="Z682" s="410"/>
      <c r="AA682" s="410"/>
      <c r="AB682" s="410"/>
      <c r="AC682" s="410"/>
      <c r="AD682" s="410"/>
      <c r="AE682" s="410"/>
      <c r="AF682" s="410"/>
      <c r="AG682" s="410"/>
      <c r="AH682" s="410"/>
      <c r="AI682" s="410"/>
      <c r="AJ682" s="410"/>
      <c r="AK682" s="410"/>
    </row>
    <row r="683" spans="1:37" x14ac:dyDescent="0.2">
      <c r="A683" s="410"/>
      <c r="B683" s="410"/>
      <c r="C683" s="410"/>
      <c r="D683" s="410"/>
      <c r="E683" s="410"/>
      <c r="F683" s="410"/>
      <c r="G683" s="410"/>
      <c r="H683" s="410"/>
      <c r="I683" s="410"/>
      <c r="J683" s="410"/>
      <c r="K683" s="410"/>
      <c r="L683" s="410"/>
      <c r="M683" s="410"/>
      <c r="N683" s="410"/>
      <c r="R683" s="410"/>
      <c r="S683" s="410"/>
      <c r="T683" s="410"/>
      <c r="U683" s="410"/>
      <c r="V683" s="410"/>
      <c r="W683" s="410"/>
      <c r="X683" s="410"/>
      <c r="Y683" s="410"/>
      <c r="Z683" s="410"/>
      <c r="AA683" s="410"/>
      <c r="AB683" s="410"/>
      <c r="AC683" s="410"/>
      <c r="AD683" s="410"/>
      <c r="AE683" s="410"/>
      <c r="AF683" s="410"/>
      <c r="AG683" s="410"/>
      <c r="AH683" s="410"/>
      <c r="AI683" s="410"/>
      <c r="AJ683" s="410"/>
      <c r="AK683" s="410"/>
    </row>
    <row r="684" spans="1:37" x14ac:dyDescent="0.2">
      <c r="A684" s="410"/>
      <c r="B684" s="410"/>
      <c r="C684" s="410"/>
      <c r="D684" s="410"/>
      <c r="E684" s="410"/>
      <c r="F684" s="410"/>
      <c r="G684" s="410"/>
      <c r="H684" s="410"/>
      <c r="I684" s="410"/>
      <c r="J684" s="410"/>
      <c r="K684" s="410"/>
      <c r="L684" s="410"/>
      <c r="M684" s="410"/>
      <c r="N684" s="410"/>
      <c r="R684" s="410"/>
      <c r="S684" s="410"/>
      <c r="T684" s="410"/>
      <c r="U684" s="410"/>
      <c r="V684" s="410"/>
      <c r="W684" s="410"/>
      <c r="X684" s="410"/>
      <c r="Y684" s="410"/>
      <c r="Z684" s="410"/>
      <c r="AA684" s="410"/>
      <c r="AB684" s="410"/>
      <c r="AC684" s="410"/>
      <c r="AD684" s="410"/>
      <c r="AE684" s="410"/>
      <c r="AF684" s="410"/>
      <c r="AG684" s="410"/>
      <c r="AH684" s="410"/>
      <c r="AI684" s="410"/>
      <c r="AJ684" s="410"/>
      <c r="AK684" s="410"/>
    </row>
    <row r="685" spans="1:37" x14ac:dyDescent="0.2">
      <c r="A685" s="410"/>
      <c r="B685" s="410"/>
      <c r="C685" s="410"/>
      <c r="D685" s="410"/>
      <c r="E685" s="410"/>
      <c r="F685" s="410"/>
      <c r="G685" s="410"/>
      <c r="H685" s="410"/>
      <c r="I685" s="410"/>
      <c r="J685" s="410"/>
      <c r="K685" s="410"/>
      <c r="L685" s="410"/>
      <c r="M685" s="410"/>
      <c r="N685" s="410"/>
      <c r="R685" s="410"/>
      <c r="S685" s="410"/>
      <c r="T685" s="410"/>
      <c r="U685" s="410"/>
      <c r="V685" s="410"/>
      <c r="W685" s="410"/>
      <c r="X685" s="410"/>
      <c r="Y685" s="410"/>
      <c r="Z685" s="410"/>
      <c r="AA685" s="410"/>
      <c r="AB685" s="410"/>
      <c r="AC685" s="410"/>
      <c r="AD685" s="410"/>
      <c r="AE685" s="410"/>
      <c r="AF685" s="410"/>
      <c r="AG685" s="410"/>
      <c r="AH685" s="410"/>
      <c r="AI685" s="410"/>
      <c r="AJ685" s="410"/>
      <c r="AK685" s="410"/>
    </row>
    <row r="686" spans="1:37" x14ac:dyDescent="0.2">
      <c r="A686" s="410"/>
      <c r="B686" s="410"/>
      <c r="C686" s="410"/>
      <c r="D686" s="410"/>
      <c r="E686" s="410"/>
      <c r="F686" s="410"/>
      <c r="G686" s="410"/>
      <c r="H686" s="410"/>
      <c r="I686" s="410"/>
      <c r="J686" s="410"/>
      <c r="K686" s="410"/>
      <c r="L686" s="410"/>
      <c r="M686" s="410"/>
      <c r="N686" s="410"/>
      <c r="R686" s="410"/>
      <c r="S686" s="410"/>
      <c r="T686" s="410"/>
      <c r="U686" s="410"/>
      <c r="V686" s="410"/>
      <c r="W686" s="410"/>
      <c r="X686" s="410"/>
      <c r="Y686" s="410"/>
      <c r="Z686" s="410"/>
      <c r="AA686" s="410"/>
      <c r="AB686" s="410"/>
      <c r="AC686" s="410"/>
      <c r="AD686" s="410"/>
      <c r="AE686" s="410"/>
      <c r="AF686" s="410"/>
      <c r="AG686" s="410"/>
      <c r="AH686" s="410"/>
      <c r="AI686" s="410"/>
      <c r="AJ686" s="410"/>
      <c r="AK686" s="410"/>
    </row>
    <row r="687" spans="1:37" x14ac:dyDescent="0.2">
      <c r="A687" s="410"/>
      <c r="B687" s="410"/>
      <c r="C687" s="410"/>
      <c r="D687" s="410"/>
      <c r="E687" s="410"/>
      <c r="F687" s="410"/>
      <c r="G687" s="410"/>
      <c r="H687" s="410"/>
      <c r="I687" s="410"/>
      <c r="J687" s="410"/>
      <c r="K687" s="410"/>
      <c r="L687" s="410"/>
      <c r="M687" s="410"/>
      <c r="N687" s="410"/>
      <c r="R687" s="410"/>
      <c r="S687" s="410"/>
      <c r="T687" s="410"/>
      <c r="U687" s="410"/>
      <c r="V687" s="410"/>
      <c r="W687" s="410"/>
      <c r="X687" s="410"/>
      <c r="Y687" s="410"/>
      <c r="Z687" s="410"/>
      <c r="AA687" s="410"/>
      <c r="AB687" s="410"/>
      <c r="AC687" s="410"/>
      <c r="AD687" s="410"/>
      <c r="AE687" s="410"/>
      <c r="AF687" s="410"/>
      <c r="AG687" s="410"/>
      <c r="AH687" s="410"/>
      <c r="AI687" s="410"/>
      <c r="AJ687" s="410"/>
      <c r="AK687" s="410"/>
    </row>
    <row r="688" spans="1:37" x14ac:dyDescent="0.2">
      <c r="A688" s="410"/>
      <c r="B688" s="410"/>
      <c r="C688" s="410"/>
      <c r="D688" s="410"/>
      <c r="E688" s="410"/>
      <c r="F688" s="410"/>
      <c r="G688" s="410"/>
      <c r="H688" s="410"/>
      <c r="I688" s="410"/>
      <c r="J688" s="410"/>
      <c r="K688" s="410"/>
      <c r="L688" s="410"/>
      <c r="M688" s="410"/>
      <c r="N688" s="410"/>
      <c r="R688" s="410"/>
      <c r="S688" s="410"/>
      <c r="T688" s="410"/>
      <c r="U688" s="410"/>
      <c r="V688" s="410"/>
      <c r="W688" s="410"/>
      <c r="X688" s="410"/>
      <c r="Y688" s="410"/>
      <c r="Z688" s="410"/>
      <c r="AA688" s="410"/>
      <c r="AB688" s="410"/>
      <c r="AC688" s="410"/>
      <c r="AD688" s="410"/>
      <c r="AE688" s="410"/>
      <c r="AF688" s="410"/>
      <c r="AG688" s="410"/>
      <c r="AH688" s="410"/>
      <c r="AI688" s="410"/>
      <c r="AJ688" s="410"/>
      <c r="AK688" s="410"/>
    </row>
    <row r="689" spans="1:37" x14ac:dyDescent="0.2">
      <c r="A689" s="410"/>
      <c r="B689" s="410"/>
      <c r="C689" s="410"/>
      <c r="D689" s="410"/>
      <c r="E689" s="410"/>
      <c r="F689" s="410"/>
      <c r="G689" s="410"/>
      <c r="H689" s="410"/>
      <c r="I689" s="410"/>
      <c r="J689" s="410"/>
      <c r="K689" s="410"/>
      <c r="L689" s="410"/>
      <c r="M689" s="410"/>
      <c r="N689" s="410"/>
      <c r="R689" s="410"/>
      <c r="S689" s="410"/>
      <c r="T689" s="410"/>
      <c r="U689" s="410"/>
      <c r="V689" s="410"/>
      <c r="W689" s="410"/>
      <c r="X689" s="410"/>
      <c r="Y689" s="410"/>
      <c r="Z689" s="410"/>
      <c r="AA689" s="410"/>
      <c r="AB689" s="410"/>
      <c r="AC689" s="410"/>
      <c r="AD689" s="410"/>
      <c r="AE689" s="410"/>
      <c r="AF689" s="410"/>
      <c r="AG689" s="410"/>
      <c r="AH689" s="410"/>
      <c r="AI689" s="410"/>
      <c r="AJ689" s="410"/>
      <c r="AK689" s="410"/>
    </row>
    <row r="690" spans="1:37" x14ac:dyDescent="0.2">
      <c r="A690" s="410"/>
      <c r="B690" s="410"/>
      <c r="C690" s="410"/>
      <c r="D690" s="410"/>
      <c r="E690" s="410"/>
      <c r="F690" s="410"/>
      <c r="G690" s="410"/>
      <c r="H690" s="410"/>
      <c r="I690" s="410"/>
      <c r="J690" s="410"/>
      <c r="K690" s="410"/>
      <c r="L690" s="410"/>
      <c r="M690" s="410"/>
      <c r="N690" s="410"/>
      <c r="R690" s="410"/>
      <c r="S690" s="410"/>
      <c r="T690" s="410"/>
      <c r="U690" s="410"/>
      <c r="V690" s="410"/>
      <c r="W690" s="410"/>
      <c r="X690" s="410"/>
      <c r="Y690" s="410"/>
      <c r="Z690" s="410"/>
      <c r="AA690" s="410"/>
      <c r="AB690" s="410"/>
      <c r="AC690" s="410"/>
      <c r="AD690" s="410"/>
      <c r="AE690" s="410"/>
      <c r="AF690" s="410"/>
      <c r="AG690" s="410"/>
      <c r="AH690" s="410"/>
      <c r="AI690" s="410"/>
      <c r="AJ690" s="410"/>
      <c r="AK690" s="410"/>
    </row>
    <row r="691" spans="1:37" x14ac:dyDescent="0.2">
      <c r="A691" s="410"/>
      <c r="B691" s="410"/>
      <c r="C691" s="410"/>
      <c r="D691" s="410"/>
      <c r="E691" s="410"/>
      <c r="F691" s="410"/>
      <c r="G691" s="410"/>
      <c r="H691" s="410"/>
      <c r="I691" s="410"/>
      <c r="J691" s="410"/>
      <c r="K691" s="410"/>
      <c r="L691" s="410"/>
      <c r="M691" s="410"/>
      <c r="N691" s="410"/>
      <c r="R691" s="410"/>
      <c r="S691" s="410"/>
      <c r="T691" s="410"/>
      <c r="U691" s="410"/>
      <c r="V691" s="410"/>
      <c r="W691" s="410"/>
      <c r="X691" s="410"/>
      <c r="Y691" s="410"/>
      <c r="Z691" s="410"/>
      <c r="AA691" s="410"/>
      <c r="AB691" s="410"/>
      <c r="AC691" s="410"/>
      <c r="AD691" s="410"/>
      <c r="AE691" s="410"/>
      <c r="AF691" s="410"/>
      <c r="AG691" s="410"/>
      <c r="AH691" s="410"/>
      <c r="AI691" s="410"/>
      <c r="AJ691" s="410"/>
      <c r="AK691" s="410"/>
    </row>
    <row r="692" spans="1:37" x14ac:dyDescent="0.2">
      <c r="A692" s="410"/>
      <c r="B692" s="410"/>
      <c r="C692" s="410"/>
      <c r="D692" s="410"/>
      <c r="E692" s="410"/>
      <c r="F692" s="410"/>
      <c r="G692" s="410"/>
      <c r="H692" s="410"/>
      <c r="I692" s="410"/>
      <c r="J692" s="410"/>
      <c r="K692" s="410"/>
      <c r="L692" s="410"/>
      <c r="M692" s="410"/>
      <c r="N692" s="410"/>
      <c r="R692" s="410"/>
      <c r="S692" s="410"/>
      <c r="T692" s="410"/>
      <c r="U692" s="410"/>
      <c r="V692" s="410"/>
      <c r="W692" s="410"/>
      <c r="X692" s="410"/>
      <c r="Y692" s="410"/>
      <c r="Z692" s="410"/>
      <c r="AA692" s="410"/>
      <c r="AB692" s="410"/>
      <c r="AC692" s="410"/>
      <c r="AD692" s="410"/>
      <c r="AE692" s="410"/>
      <c r="AF692" s="410"/>
      <c r="AG692" s="410"/>
      <c r="AH692" s="410"/>
      <c r="AI692" s="410"/>
      <c r="AJ692" s="410"/>
      <c r="AK692" s="410"/>
    </row>
    <row r="693" spans="1:37" x14ac:dyDescent="0.2">
      <c r="A693" s="410"/>
      <c r="B693" s="410"/>
      <c r="C693" s="410"/>
      <c r="D693" s="410"/>
      <c r="E693" s="410"/>
      <c r="F693" s="410"/>
      <c r="G693" s="410"/>
      <c r="H693" s="410"/>
      <c r="I693" s="410"/>
      <c r="J693" s="410"/>
      <c r="K693" s="410"/>
      <c r="L693" s="410"/>
      <c r="M693" s="410"/>
      <c r="N693" s="410"/>
      <c r="R693" s="410"/>
      <c r="S693" s="410"/>
      <c r="T693" s="410"/>
      <c r="U693" s="410"/>
      <c r="V693" s="410"/>
      <c r="W693" s="410"/>
      <c r="X693" s="410"/>
      <c r="Y693" s="410"/>
      <c r="Z693" s="410"/>
      <c r="AA693" s="410"/>
      <c r="AB693" s="410"/>
      <c r="AC693" s="410"/>
      <c r="AD693" s="410"/>
      <c r="AE693" s="410"/>
      <c r="AF693" s="410"/>
      <c r="AG693" s="410"/>
      <c r="AH693" s="410"/>
      <c r="AI693" s="410"/>
      <c r="AJ693" s="410"/>
      <c r="AK693" s="410"/>
    </row>
    <row r="694" spans="1:37" x14ac:dyDescent="0.2">
      <c r="A694" s="410"/>
      <c r="B694" s="410"/>
      <c r="C694" s="410"/>
      <c r="D694" s="410"/>
      <c r="E694" s="410"/>
      <c r="F694" s="410"/>
      <c r="G694" s="410"/>
      <c r="H694" s="410"/>
      <c r="I694" s="410"/>
      <c r="J694" s="410"/>
      <c r="K694" s="410"/>
      <c r="L694" s="410"/>
      <c r="M694" s="410"/>
      <c r="N694" s="410"/>
      <c r="R694" s="410"/>
      <c r="S694" s="410"/>
      <c r="T694" s="410"/>
      <c r="U694" s="410"/>
      <c r="V694" s="410"/>
      <c r="W694" s="410"/>
      <c r="X694" s="410"/>
      <c r="Y694" s="410"/>
      <c r="Z694" s="410"/>
      <c r="AA694" s="410"/>
      <c r="AB694" s="410"/>
      <c r="AC694" s="410"/>
      <c r="AD694" s="410"/>
      <c r="AE694" s="410"/>
      <c r="AF694" s="410"/>
      <c r="AG694" s="410"/>
      <c r="AH694" s="410"/>
      <c r="AI694" s="410"/>
      <c r="AJ694" s="410"/>
      <c r="AK694" s="410"/>
    </row>
    <row r="695" spans="1:37" x14ac:dyDescent="0.2">
      <c r="A695" s="410"/>
      <c r="B695" s="410"/>
      <c r="C695" s="410"/>
      <c r="D695" s="410"/>
      <c r="E695" s="410"/>
      <c r="F695" s="410"/>
      <c r="G695" s="410"/>
      <c r="H695" s="410"/>
      <c r="I695" s="410"/>
      <c r="J695" s="410"/>
      <c r="K695" s="410"/>
      <c r="L695" s="410"/>
      <c r="M695" s="410"/>
      <c r="N695" s="410"/>
      <c r="R695" s="410"/>
      <c r="S695" s="410"/>
      <c r="T695" s="410"/>
      <c r="U695" s="410"/>
      <c r="V695" s="410"/>
      <c r="W695" s="410"/>
      <c r="X695" s="410"/>
      <c r="Y695" s="410"/>
      <c r="Z695" s="410"/>
      <c r="AA695" s="410"/>
      <c r="AB695" s="410"/>
      <c r="AC695" s="410"/>
      <c r="AD695" s="410"/>
      <c r="AE695" s="410"/>
      <c r="AF695" s="410"/>
      <c r="AG695" s="410"/>
      <c r="AH695" s="410"/>
      <c r="AI695" s="410"/>
      <c r="AJ695" s="410"/>
      <c r="AK695" s="410"/>
    </row>
    <row r="696" spans="1:37" x14ac:dyDescent="0.2">
      <c r="A696" s="410"/>
      <c r="B696" s="410"/>
      <c r="C696" s="410"/>
      <c r="D696" s="410"/>
      <c r="E696" s="410"/>
      <c r="F696" s="410"/>
      <c r="G696" s="410"/>
      <c r="H696" s="410"/>
      <c r="I696" s="410"/>
      <c r="J696" s="410"/>
      <c r="K696" s="410"/>
      <c r="L696" s="410"/>
      <c r="M696" s="410"/>
      <c r="N696" s="410"/>
      <c r="R696" s="410"/>
      <c r="S696" s="410"/>
      <c r="T696" s="410"/>
      <c r="U696" s="410"/>
      <c r="V696" s="410"/>
      <c r="W696" s="410"/>
      <c r="X696" s="410"/>
      <c r="Y696" s="410"/>
      <c r="Z696" s="410"/>
      <c r="AA696" s="410"/>
      <c r="AB696" s="410"/>
      <c r="AC696" s="410"/>
      <c r="AD696" s="410"/>
      <c r="AE696" s="410"/>
      <c r="AF696" s="410"/>
      <c r="AG696" s="410"/>
      <c r="AH696" s="410"/>
      <c r="AI696" s="410"/>
      <c r="AJ696" s="410"/>
      <c r="AK696" s="410"/>
    </row>
    <row r="697" spans="1:37" x14ac:dyDescent="0.2">
      <c r="A697" s="410"/>
      <c r="B697" s="410"/>
      <c r="C697" s="410"/>
      <c r="D697" s="410"/>
      <c r="E697" s="410"/>
      <c r="F697" s="410"/>
      <c r="G697" s="410"/>
      <c r="H697" s="410"/>
      <c r="I697" s="410"/>
      <c r="J697" s="410"/>
      <c r="K697" s="410"/>
      <c r="L697" s="410"/>
      <c r="M697" s="410"/>
      <c r="N697" s="410"/>
      <c r="R697" s="410"/>
      <c r="S697" s="410"/>
      <c r="T697" s="410"/>
      <c r="U697" s="410"/>
      <c r="V697" s="410"/>
      <c r="W697" s="410"/>
      <c r="X697" s="410"/>
      <c r="Y697" s="410"/>
      <c r="Z697" s="410"/>
      <c r="AA697" s="410"/>
      <c r="AB697" s="410"/>
      <c r="AC697" s="410"/>
      <c r="AD697" s="410"/>
      <c r="AE697" s="410"/>
      <c r="AF697" s="410"/>
      <c r="AG697" s="410"/>
      <c r="AH697" s="410"/>
      <c r="AI697" s="410"/>
      <c r="AJ697" s="410"/>
      <c r="AK697" s="410"/>
    </row>
    <row r="698" spans="1:37" x14ac:dyDescent="0.2">
      <c r="A698" s="410"/>
      <c r="B698" s="410"/>
      <c r="C698" s="410"/>
      <c r="D698" s="410"/>
      <c r="E698" s="410"/>
      <c r="F698" s="410"/>
      <c r="G698" s="410"/>
      <c r="H698" s="410"/>
      <c r="I698" s="410"/>
      <c r="J698" s="410"/>
      <c r="K698" s="410"/>
      <c r="L698" s="410"/>
      <c r="M698" s="410"/>
      <c r="N698" s="410"/>
      <c r="R698" s="410"/>
      <c r="S698" s="410"/>
      <c r="T698" s="410"/>
      <c r="U698" s="410"/>
      <c r="V698" s="410"/>
      <c r="W698" s="410"/>
      <c r="X698" s="410"/>
      <c r="Y698" s="410"/>
      <c r="Z698" s="410"/>
      <c r="AA698" s="410"/>
      <c r="AB698" s="410"/>
      <c r="AC698" s="410"/>
      <c r="AD698" s="410"/>
      <c r="AE698" s="410"/>
      <c r="AF698" s="410"/>
      <c r="AG698" s="410"/>
      <c r="AH698" s="410"/>
      <c r="AI698" s="410"/>
      <c r="AJ698" s="410"/>
      <c r="AK698" s="410"/>
    </row>
    <row r="699" spans="1:37" x14ac:dyDescent="0.2">
      <c r="A699" s="410"/>
      <c r="B699" s="410"/>
      <c r="C699" s="410"/>
      <c r="D699" s="410"/>
      <c r="E699" s="410"/>
      <c r="F699" s="410"/>
      <c r="G699" s="410"/>
      <c r="H699" s="410"/>
      <c r="I699" s="410"/>
      <c r="J699" s="410"/>
      <c r="K699" s="410"/>
      <c r="L699" s="410"/>
      <c r="M699" s="410"/>
      <c r="N699" s="410"/>
      <c r="R699" s="410"/>
      <c r="S699" s="410"/>
      <c r="T699" s="410"/>
      <c r="U699" s="410"/>
      <c r="V699" s="410"/>
      <c r="W699" s="410"/>
      <c r="X699" s="410"/>
      <c r="Y699" s="410"/>
      <c r="Z699" s="410"/>
      <c r="AA699" s="410"/>
      <c r="AB699" s="410"/>
      <c r="AC699" s="410"/>
      <c r="AD699" s="410"/>
      <c r="AE699" s="410"/>
      <c r="AF699" s="410"/>
      <c r="AG699" s="410"/>
      <c r="AH699" s="410"/>
      <c r="AI699" s="410"/>
      <c r="AJ699" s="410"/>
      <c r="AK699" s="410"/>
    </row>
    <row r="700" spans="1:37" x14ac:dyDescent="0.2">
      <c r="A700" s="410"/>
      <c r="B700" s="410"/>
      <c r="C700" s="410"/>
      <c r="D700" s="410"/>
      <c r="E700" s="410"/>
      <c r="F700" s="410"/>
      <c r="G700" s="410"/>
      <c r="H700" s="410"/>
      <c r="I700" s="410"/>
      <c r="J700" s="410"/>
      <c r="K700" s="410"/>
      <c r="L700" s="410"/>
      <c r="M700" s="410"/>
      <c r="N700" s="410"/>
      <c r="R700" s="410"/>
      <c r="S700" s="410"/>
      <c r="T700" s="410"/>
      <c r="U700" s="410"/>
      <c r="V700" s="410"/>
      <c r="W700" s="410"/>
      <c r="X700" s="410"/>
      <c r="Y700" s="410"/>
      <c r="Z700" s="410"/>
      <c r="AA700" s="410"/>
      <c r="AB700" s="410"/>
      <c r="AC700" s="410"/>
      <c r="AD700" s="410"/>
      <c r="AE700" s="410"/>
      <c r="AF700" s="410"/>
      <c r="AG700" s="410"/>
      <c r="AH700" s="410"/>
      <c r="AI700" s="410"/>
      <c r="AJ700" s="410"/>
      <c r="AK700" s="410"/>
    </row>
    <row r="701" spans="1:37" x14ac:dyDescent="0.2">
      <c r="A701" s="410"/>
      <c r="B701" s="410"/>
      <c r="C701" s="410"/>
      <c r="D701" s="410"/>
      <c r="E701" s="410"/>
      <c r="F701" s="410"/>
      <c r="G701" s="410"/>
      <c r="H701" s="410"/>
      <c r="I701" s="410"/>
      <c r="J701" s="410"/>
      <c r="K701" s="410"/>
      <c r="L701" s="410"/>
      <c r="M701" s="410"/>
      <c r="N701" s="410"/>
      <c r="R701" s="410"/>
      <c r="S701" s="410"/>
      <c r="T701" s="410"/>
      <c r="U701" s="410"/>
      <c r="V701" s="410"/>
      <c r="W701" s="410"/>
      <c r="X701" s="410"/>
      <c r="Y701" s="410"/>
      <c r="Z701" s="410"/>
      <c r="AA701" s="410"/>
      <c r="AB701" s="410"/>
      <c r="AC701" s="410"/>
      <c r="AD701" s="410"/>
      <c r="AE701" s="410"/>
      <c r="AF701" s="410"/>
      <c r="AG701" s="410"/>
      <c r="AH701" s="410"/>
      <c r="AI701" s="410"/>
      <c r="AJ701" s="410"/>
      <c r="AK701" s="410"/>
    </row>
    <row r="702" spans="1:37" x14ac:dyDescent="0.2">
      <c r="A702" s="410"/>
      <c r="B702" s="410"/>
      <c r="C702" s="410"/>
      <c r="D702" s="410"/>
      <c r="E702" s="410"/>
      <c r="F702" s="410"/>
      <c r="G702" s="410"/>
      <c r="H702" s="410"/>
      <c r="I702" s="410"/>
      <c r="J702" s="410"/>
      <c r="K702" s="410"/>
      <c r="L702" s="410"/>
      <c r="M702" s="410"/>
      <c r="N702" s="410"/>
      <c r="R702" s="410"/>
      <c r="S702" s="410"/>
      <c r="T702" s="410"/>
      <c r="U702" s="410"/>
      <c r="V702" s="410"/>
      <c r="W702" s="410"/>
      <c r="X702" s="410"/>
      <c r="Y702" s="410"/>
      <c r="Z702" s="410"/>
      <c r="AA702" s="410"/>
      <c r="AB702" s="410"/>
      <c r="AC702" s="410"/>
      <c r="AD702" s="410"/>
      <c r="AE702" s="410"/>
      <c r="AF702" s="410"/>
      <c r="AG702" s="410"/>
      <c r="AH702" s="410"/>
      <c r="AI702" s="410"/>
      <c r="AJ702" s="410"/>
      <c r="AK702" s="410"/>
    </row>
    <row r="703" spans="1:37" x14ac:dyDescent="0.2">
      <c r="A703" s="410"/>
      <c r="B703" s="410"/>
      <c r="C703" s="410"/>
      <c r="D703" s="410"/>
      <c r="E703" s="410"/>
      <c r="F703" s="410"/>
      <c r="G703" s="410"/>
      <c r="H703" s="410"/>
      <c r="I703" s="410"/>
      <c r="J703" s="410"/>
      <c r="K703" s="410"/>
      <c r="L703" s="410"/>
      <c r="M703" s="410"/>
      <c r="N703" s="410"/>
      <c r="R703" s="410"/>
      <c r="S703" s="410"/>
      <c r="T703" s="410"/>
      <c r="U703" s="410"/>
      <c r="V703" s="410"/>
      <c r="W703" s="410"/>
      <c r="X703" s="410"/>
      <c r="Y703" s="410"/>
      <c r="Z703" s="410"/>
      <c r="AA703" s="410"/>
      <c r="AB703" s="410"/>
      <c r="AC703" s="410"/>
      <c r="AD703" s="410"/>
      <c r="AE703" s="410"/>
      <c r="AF703" s="410"/>
      <c r="AG703" s="410"/>
      <c r="AH703" s="410"/>
      <c r="AI703" s="410"/>
      <c r="AJ703" s="410"/>
      <c r="AK703" s="410"/>
    </row>
    <row r="704" spans="1:37" x14ac:dyDescent="0.2">
      <c r="A704" s="410"/>
      <c r="B704" s="410"/>
      <c r="C704" s="410"/>
      <c r="D704" s="410"/>
      <c r="E704" s="410"/>
      <c r="F704" s="410"/>
      <c r="G704" s="410"/>
      <c r="H704" s="410"/>
      <c r="I704" s="410"/>
      <c r="J704" s="410"/>
      <c r="K704" s="410"/>
      <c r="L704" s="410"/>
      <c r="M704" s="410"/>
      <c r="N704" s="410"/>
      <c r="R704" s="410"/>
      <c r="S704" s="410"/>
      <c r="T704" s="410"/>
      <c r="U704" s="410"/>
      <c r="V704" s="410"/>
      <c r="W704" s="410"/>
      <c r="X704" s="410"/>
      <c r="Y704" s="410"/>
      <c r="Z704" s="410"/>
      <c r="AA704" s="410"/>
      <c r="AB704" s="410"/>
      <c r="AC704" s="410"/>
      <c r="AD704" s="410"/>
      <c r="AE704" s="410"/>
      <c r="AF704" s="410"/>
      <c r="AG704" s="410"/>
      <c r="AH704" s="410"/>
      <c r="AI704" s="410"/>
      <c r="AJ704" s="410"/>
      <c r="AK704" s="410"/>
    </row>
    <row r="705" spans="1:37" x14ac:dyDescent="0.2">
      <c r="A705" s="410"/>
      <c r="B705" s="410"/>
      <c r="C705" s="410"/>
      <c r="D705" s="410"/>
      <c r="E705" s="410"/>
      <c r="F705" s="410"/>
      <c r="G705" s="410"/>
      <c r="H705" s="410"/>
      <c r="I705" s="410"/>
      <c r="J705" s="410"/>
      <c r="K705" s="410"/>
      <c r="L705" s="410"/>
      <c r="M705" s="410"/>
      <c r="N705" s="410"/>
      <c r="R705" s="410"/>
      <c r="S705" s="410"/>
      <c r="T705" s="410"/>
      <c r="U705" s="410"/>
      <c r="V705" s="410"/>
      <c r="W705" s="410"/>
      <c r="X705" s="410"/>
      <c r="Y705" s="410"/>
      <c r="Z705" s="410"/>
      <c r="AA705" s="410"/>
      <c r="AB705" s="410"/>
      <c r="AC705" s="410"/>
      <c r="AD705" s="410"/>
      <c r="AE705" s="410"/>
      <c r="AF705" s="410"/>
      <c r="AG705" s="410"/>
      <c r="AH705" s="410"/>
      <c r="AI705" s="410"/>
      <c r="AJ705" s="410"/>
      <c r="AK705" s="410"/>
    </row>
    <row r="706" spans="1:37" x14ac:dyDescent="0.2">
      <c r="A706" s="410"/>
      <c r="B706" s="410"/>
      <c r="C706" s="410"/>
      <c r="D706" s="410"/>
      <c r="E706" s="410"/>
      <c r="F706" s="410"/>
      <c r="G706" s="410"/>
      <c r="H706" s="410"/>
      <c r="I706" s="410"/>
      <c r="J706" s="410"/>
      <c r="K706" s="410"/>
      <c r="L706" s="410"/>
      <c r="M706" s="410"/>
      <c r="N706" s="410"/>
      <c r="R706" s="410"/>
      <c r="S706" s="410"/>
      <c r="T706" s="410"/>
      <c r="U706" s="410"/>
      <c r="V706" s="410"/>
      <c r="W706" s="410"/>
      <c r="X706" s="410"/>
      <c r="Y706" s="410"/>
      <c r="Z706" s="410"/>
      <c r="AA706" s="410"/>
      <c r="AB706" s="410"/>
      <c r="AC706" s="410"/>
      <c r="AD706" s="410"/>
      <c r="AE706" s="410"/>
      <c r="AF706" s="410"/>
      <c r="AG706" s="410"/>
      <c r="AH706" s="410"/>
      <c r="AI706" s="410"/>
      <c r="AJ706" s="410"/>
      <c r="AK706" s="410"/>
    </row>
    <row r="707" spans="1:37" x14ac:dyDescent="0.2">
      <c r="A707" s="410"/>
      <c r="B707" s="410"/>
      <c r="C707" s="410"/>
      <c r="D707" s="410"/>
      <c r="E707" s="410"/>
      <c r="F707" s="410"/>
      <c r="G707" s="410"/>
      <c r="H707" s="410"/>
      <c r="I707" s="410"/>
      <c r="J707" s="410"/>
      <c r="K707" s="410"/>
      <c r="L707" s="410"/>
      <c r="M707" s="410"/>
      <c r="N707" s="410"/>
      <c r="R707" s="410"/>
      <c r="S707" s="410"/>
      <c r="T707" s="410"/>
      <c r="U707" s="410"/>
      <c r="V707" s="410"/>
      <c r="W707" s="410"/>
      <c r="X707" s="410"/>
      <c r="Y707" s="410"/>
      <c r="Z707" s="410"/>
      <c r="AA707" s="410"/>
      <c r="AB707" s="410"/>
      <c r="AC707" s="410"/>
      <c r="AD707" s="410"/>
      <c r="AE707" s="410"/>
      <c r="AF707" s="410"/>
      <c r="AG707" s="410"/>
      <c r="AH707" s="410"/>
      <c r="AI707" s="410"/>
      <c r="AJ707" s="410"/>
      <c r="AK707" s="410"/>
    </row>
    <row r="708" spans="1:37" x14ac:dyDescent="0.2">
      <c r="A708" s="410"/>
      <c r="B708" s="410"/>
      <c r="C708" s="410"/>
      <c r="D708" s="410"/>
      <c r="E708" s="410"/>
      <c r="F708" s="410"/>
      <c r="G708" s="410"/>
      <c r="H708" s="410"/>
      <c r="I708" s="410"/>
      <c r="J708" s="410"/>
      <c r="K708" s="410"/>
      <c r="L708" s="410"/>
      <c r="M708" s="410"/>
      <c r="N708" s="410"/>
      <c r="R708" s="410"/>
      <c r="S708" s="410"/>
      <c r="T708" s="410"/>
      <c r="U708" s="410"/>
      <c r="V708" s="410"/>
      <c r="W708" s="410"/>
      <c r="X708" s="410"/>
      <c r="Y708" s="410"/>
      <c r="Z708" s="410"/>
      <c r="AA708" s="410"/>
      <c r="AB708" s="410"/>
      <c r="AC708" s="410"/>
      <c r="AD708" s="410"/>
      <c r="AE708" s="410"/>
      <c r="AF708" s="410"/>
      <c r="AG708" s="410"/>
      <c r="AH708" s="410"/>
      <c r="AI708" s="410"/>
      <c r="AJ708" s="410"/>
      <c r="AK708" s="410"/>
    </row>
    <row r="709" spans="1:37" x14ac:dyDescent="0.2">
      <c r="A709" s="410"/>
      <c r="B709" s="410"/>
      <c r="C709" s="410"/>
      <c r="D709" s="410"/>
      <c r="E709" s="410"/>
      <c r="F709" s="410"/>
      <c r="G709" s="410"/>
      <c r="H709" s="410"/>
      <c r="I709" s="410"/>
      <c r="J709" s="410"/>
      <c r="K709" s="410"/>
      <c r="L709" s="410"/>
      <c r="M709" s="410"/>
      <c r="N709" s="410"/>
      <c r="R709" s="410"/>
      <c r="S709" s="410"/>
      <c r="T709" s="410"/>
      <c r="U709" s="410"/>
      <c r="V709" s="410"/>
      <c r="W709" s="410"/>
      <c r="X709" s="410"/>
      <c r="Y709" s="410"/>
      <c r="Z709" s="410"/>
      <c r="AA709" s="410"/>
      <c r="AB709" s="410"/>
      <c r="AC709" s="410"/>
      <c r="AD709" s="410"/>
      <c r="AE709" s="410"/>
      <c r="AF709" s="410"/>
      <c r="AG709" s="410"/>
      <c r="AH709" s="410"/>
      <c r="AI709" s="410"/>
      <c r="AJ709" s="410"/>
      <c r="AK709" s="410"/>
    </row>
    <row r="710" spans="1:37" x14ac:dyDescent="0.2">
      <c r="A710" s="410"/>
      <c r="B710" s="410"/>
      <c r="C710" s="410"/>
      <c r="D710" s="410"/>
      <c r="E710" s="410"/>
      <c r="F710" s="410"/>
      <c r="G710" s="410"/>
      <c r="H710" s="410"/>
      <c r="I710" s="410"/>
      <c r="J710" s="410"/>
      <c r="K710" s="410"/>
      <c r="L710" s="410"/>
      <c r="M710" s="410"/>
      <c r="N710" s="410"/>
      <c r="R710" s="410"/>
      <c r="S710" s="410"/>
      <c r="T710" s="410"/>
      <c r="U710" s="410"/>
      <c r="V710" s="410"/>
      <c r="W710" s="410"/>
      <c r="X710" s="410"/>
      <c r="Y710" s="410"/>
      <c r="Z710" s="410"/>
      <c r="AA710" s="410"/>
      <c r="AB710" s="410"/>
      <c r="AC710" s="410"/>
      <c r="AD710" s="410"/>
      <c r="AE710" s="410"/>
      <c r="AF710" s="410"/>
      <c r="AG710" s="410"/>
      <c r="AH710" s="410"/>
      <c r="AI710" s="410"/>
      <c r="AJ710" s="410"/>
      <c r="AK710" s="410"/>
    </row>
    <row r="711" spans="1:37" x14ac:dyDescent="0.2">
      <c r="A711" s="410"/>
      <c r="B711" s="410"/>
      <c r="C711" s="410"/>
      <c r="D711" s="410"/>
      <c r="E711" s="410"/>
      <c r="F711" s="410"/>
      <c r="G711" s="410"/>
      <c r="H711" s="410"/>
      <c r="I711" s="410"/>
      <c r="J711" s="410"/>
      <c r="K711" s="410"/>
      <c r="L711" s="410"/>
      <c r="M711" s="410"/>
      <c r="N711" s="410"/>
      <c r="R711" s="410"/>
      <c r="S711" s="410"/>
      <c r="T711" s="410"/>
      <c r="U711" s="410"/>
      <c r="V711" s="410"/>
      <c r="W711" s="410"/>
      <c r="X711" s="410"/>
      <c r="Y711" s="410"/>
      <c r="Z711" s="410"/>
      <c r="AA711" s="410"/>
      <c r="AB711" s="410"/>
      <c r="AC711" s="410"/>
      <c r="AD711" s="410"/>
      <c r="AE711" s="410"/>
      <c r="AF711" s="410"/>
      <c r="AG711" s="410"/>
      <c r="AH711" s="410"/>
      <c r="AI711" s="410"/>
      <c r="AJ711" s="410"/>
      <c r="AK711" s="410"/>
    </row>
    <row r="712" spans="1:37" x14ac:dyDescent="0.2">
      <c r="A712" s="410"/>
      <c r="B712" s="410"/>
      <c r="C712" s="410"/>
      <c r="D712" s="410"/>
      <c r="E712" s="410"/>
      <c r="F712" s="410"/>
      <c r="G712" s="410"/>
      <c r="H712" s="410"/>
      <c r="I712" s="410"/>
      <c r="J712" s="410"/>
      <c r="K712" s="410"/>
      <c r="L712" s="410"/>
      <c r="M712" s="410"/>
      <c r="N712" s="410"/>
      <c r="R712" s="410"/>
      <c r="S712" s="410"/>
      <c r="T712" s="410"/>
      <c r="U712" s="410"/>
      <c r="V712" s="410"/>
      <c r="W712" s="410"/>
      <c r="X712" s="410"/>
      <c r="Y712" s="410"/>
      <c r="Z712" s="410"/>
      <c r="AA712" s="410"/>
      <c r="AB712" s="410"/>
      <c r="AC712" s="410"/>
      <c r="AD712" s="410"/>
      <c r="AE712" s="410"/>
      <c r="AF712" s="410"/>
      <c r="AG712" s="410"/>
      <c r="AH712" s="410"/>
      <c r="AI712" s="410"/>
      <c r="AJ712" s="410"/>
      <c r="AK712" s="410"/>
    </row>
    <row r="713" spans="1:37" x14ac:dyDescent="0.2">
      <c r="A713" s="410"/>
      <c r="B713" s="410"/>
      <c r="C713" s="410"/>
      <c r="D713" s="410"/>
      <c r="E713" s="410"/>
      <c r="F713" s="410"/>
      <c r="G713" s="410"/>
      <c r="H713" s="410"/>
      <c r="I713" s="410"/>
      <c r="J713" s="410"/>
      <c r="K713" s="410"/>
      <c r="L713" s="410"/>
      <c r="M713" s="410"/>
      <c r="N713" s="410"/>
      <c r="R713" s="410"/>
      <c r="S713" s="410"/>
      <c r="T713" s="410"/>
      <c r="U713" s="410"/>
      <c r="V713" s="410"/>
      <c r="W713" s="410"/>
      <c r="X713" s="410"/>
      <c r="Y713" s="410"/>
      <c r="Z713" s="410"/>
      <c r="AA713" s="410"/>
      <c r="AB713" s="410"/>
      <c r="AC713" s="410"/>
      <c r="AD713" s="410"/>
      <c r="AE713" s="410"/>
      <c r="AF713" s="410"/>
      <c r="AG713" s="410"/>
      <c r="AH713" s="410"/>
      <c r="AI713" s="410"/>
      <c r="AJ713" s="410"/>
      <c r="AK713" s="410"/>
    </row>
    <row r="714" spans="1:37" x14ac:dyDescent="0.2">
      <c r="A714" s="410"/>
      <c r="B714" s="410"/>
      <c r="C714" s="410"/>
      <c r="D714" s="410"/>
      <c r="E714" s="410"/>
      <c r="F714" s="410"/>
      <c r="G714" s="410"/>
      <c r="H714" s="410"/>
      <c r="I714" s="410"/>
      <c r="J714" s="410"/>
      <c r="K714" s="410"/>
      <c r="L714" s="410"/>
      <c r="M714" s="410"/>
      <c r="N714" s="410"/>
      <c r="R714" s="410"/>
      <c r="S714" s="410"/>
      <c r="T714" s="410"/>
      <c r="U714" s="410"/>
      <c r="V714" s="410"/>
      <c r="W714" s="410"/>
      <c r="X714" s="410"/>
      <c r="Y714" s="410"/>
      <c r="Z714" s="410"/>
      <c r="AA714" s="410"/>
      <c r="AB714" s="410"/>
      <c r="AC714" s="410"/>
      <c r="AD714" s="410"/>
      <c r="AE714" s="410"/>
      <c r="AF714" s="410"/>
      <c r="AG714" s="410"/>
      <c r="AH714" s="410"/>
      <c r="AI714" s="410"/>
      <c r="AJ714" s="410"/>
      <c r="AK714" s="410"/>
    </row>
    <row r="715" spans="1:37" x14ac:dyDescent="0.2">
      <c r="A715" s="410"/>
      <c r="B715" s="410"/>
      <c r="C715" s="410"/>
      <c r="D715" s="410"/>
      <c r="E715" s="410"/>
      <c r="F715" s="410"/>
      <c r="G715" s="410"/>
      <c r="H715" s="410"/>
      <c r="I715" s="410"/>
      <c r="J715" s="410"/>
      <c r="K715" s="410"/>
      <c r="L715" s="410"/>
      <c r="M715" s="410"/>
      <c r="N715" s="410"/>
      <c r="R715" s="410"/>
      <c r="S715" s="410"/>
      <c r="T715" s="410"/>
      <c r="U715" s="410"/>
      <c r="V715" s="410"/>
      <c r="W715" s="410"/>
      <c r="X715" s="410"/>
      <c r="Y715" s="410"/>
      <c r="Z715" s="410"/>
      <c r="AA715" s="410"/>
      <c r="AB715" s="410"/>
      <c r="AC715" s="410"/>
      <c r="AD715" s="410"/>
      <c r="AE715" s="410"/>
      <c r="AF715" s="410"/>
      <c r="AG715" s="410"/>
      <c r="AH715" s="410"/>
      <c r="AI715" s="410"/>
      <c r="AJ715" s="410"/>
      <c r="AK715" s="410"/>
    </row>
    <row r="716" spans="1:37" x14ac:dyDescent="0.2">
      <c r="A716" s="410"/>
      <c r="B716" s="410"/>
      <c r="C716" s="410"/>
      <c r="D716" s="410"/>
      <c r="E716" s="410"/>
      <c r="F716" s="410"/>
      <c r="G716" s="410"/>
      <c r="H716" s="410"/>
      <c r="I716" s="410"/>
      <c r="J716" s="410"/>
      <c r="K716" s="410"/>
      <c r="L716" s="410"/>
      <c r="M716" s="410"/>
      <c r="N716" s="410"/>
      <c r="R716" s="410"/>
      <c r="S716" s="410"/>
      <c r="T716" s="410"/>
      <c r="U716" s="410"/>
      <c r="V716" s="410"/>
      <c r="W716" s="410"/>
      <c r="X716" s="410"/>
      <c r="Y716" s="410"/>
      <c r="Z716" s="410"/>
      <c r="AA716" s="410"/>
      <c r="AB716" s="410"/>
      <c r="AC716" s="410"/>
      <c r="AD716" s="410"/>
      <c r="AE716" s="410"/>
      <c r="AF716" s="410"/>
      <c r="AG716" s="410"/>
      <c r="AH716" s="410"/>
      <c r="AI716" s="410"/>
      <c r="AJ716" s="410"/>
      <c r="AK716" s="410"/>
    </row>
    <row r="717" spans="1:37" x14ac:dyDescent="0.2">
      <c r="A717" s="410"/>
      <c r="B717" s="410"/>
      <c r="C717" s="410"/>
      <c r="D717" s="410"/>
      <c r="E717" s="410"/>
      <c r="F717" s="410"/>
      <c r="G717" s="410"/>
      <c r="H717" s="410"/>
      <c r="I717" s="410"/>
      <c r="J717" s="410"/>
      <c r="K717" s="410"/>
      <c r="L717" s="410"/>
      <c r="M717" s="410"/>
      <c r="N717" s="410"/>
      <c r="R717" s="410"/>
      <c r="S717" s="410"/>
      <c r="T717" s="410"/>
      <c r="U717" s="410"/>
      <c r="V717" s="410"/>
      <c r="W717" s="410"/>
      <c r="X717" s="410"/>
      <c r="Y717" s="410"/>
      <c r="Z717" s="410"/>
      <c r="AA717" s="410"/>
      <c r="AB717" s="410"/>
      <c r="AC717" s="410"/>
      <c r="AD717" s="410"/>
      <c r="AE717" s="410"/>
      <c r="AF717" s="410"/>
      <c r="AG717" s="410"/>
      <c r="AH717" s="410"/>
      <c r="AI717" s="410"/>
      <c r="AJ717" s="410"/>
      <c r="AK717" s="410"/>
    </row>
    <row r="718" spans="1:37" x14ac:dyDescent="0.2">
      <c r="A718" s="410"/>
      <c r="B718" s="410"/>
      <c r="C718" s="410"/>
      <c r="D718" s="410"/>
      <c r="E718" s="410"/>
      <c r="F718" s="410"/>
      <c r="G718" s="410"/>
      <c r="H718" s="410"/>
      <c r="I718" s="410"/>
      <c r="J718" s="410"/>
      <c r="K718" s="410"/>
      <c r="L718" s="410"/>
      <c r="M718" s="410"/>
      <c r="N718" s="410"/>
      <c r="R718" s="410"/>
      <c r="S718" s="410"/>
      <c r="T718" s="410"/>
      <c r="U718" s="410"/>
      <c r="V718" s="410"/>
      <c r="W718" s="410"/>
      <c r="X718" s="410"/>
      <c r="Y718" s="410"/>
      <c r="Z718" s="410"/>
      <c r="AA718" s="410"/>
      <c r="AB718" s="410"/>
      <c r="AC718" s="410"/>
      <c r="AD718" s="410"/>
      <c r="AE718" s="410"/>
      <c r="AF718" s="410"/>
      <c r="AG718" s="410"/>
      <c r="AH718" s="410"/>
      <c r="AI718" s="410"/>
      <c r="AJ718" s="410"/>
      <c r="AK718" s="410"/>
    </row>
    <row r="719" spans="1:37" x14ac:dyDescent="0.2">
      <c r="A719" s="410"/>
      <c r="B719" s="410"/>
      <c r="C719" s="410"/>
      <c r="D719" s="410"/>
      <c r="E719" s="410"/>
      <c r="F719" s="410"/>
      <c r="G719" s="410"/>
      <c r="H719" s="410"/>
      <c r="I719" s="410"/>
      <c r="J719" s="410"/>
      <c r="K719" s="410"/>
      <c r="L719" s="410"/>
      <c r="M719" s="410"/>
      <c r="N719" s="410"/>
      <c r="R719" s="410"/>
      <c r="S719" s="410"/>
      <c r="T719" s="410"/>
      <c r="U719" s="410"/>
      <c r="V719" s="410"/>
      <c r="W719" s="410"/>
      <c r="X719" s="410"/>
      <c r="Y719" s="410"/>
      <c r="Z719" s="410"/>
      <c r="AA719" s="410"/>
      <c r="AB719" s="410"/>
      <c r="AC719" s="410"/>
      <c r="AD719" s="410"/>
      <c r="AE719" s="410"/>
      <c r="AF719" s="410"/>
      <c r="AG719" s="410"/>
      <c r="AH719" s="410"/>
      <c r="AI719" s="410"/>
      <c r="AJ719" s="410"/>
      <c r="AK719" s="410"/>
    </row>
    <row r="720" spans="1:37" x14ac:dyDescent="0.2">
      <c r="A720" s="410"/>
      <c r="B720" s="410"/>
      <c r="C720" s="410"/>
      <c r="D720" s="410"/>
      <c r="E720" s="410"/>
      <c r="F720" s="410"/>
      <c r="G720" s="410"/>
      <c r="H720" s="410"/>
      <c r="I720" s="410"/>
      <c r="J720" s="410"/>
      <c r="K720" s="410"/>
      <c r="L720" s="410"/>
      <c r="M720" s="410"/>
      <c r="N720" s="410"/>
      <c r="R720" s="410"/>
      <c r="S720" s="410"/>
      <c r="T720" s="410"/>
      <c r="U720" s="410"/>
      <c r="V720" s="410"/>
      <c r="W720" s="410"/>
      <c r="X720" s="410"/>
      <c r="Y720" s="410"/>
      <c r="Z720" s="410"/>
      <c r="AA720" s="410"/>
      <c r="AB720" s="410"/>
      <c r="AC720" s="410"/>
      <c r="AD720" s="410"/>
      <c r="AE720" s="410"/>
      <c r="AF720" s="410"/>
      <c r="AG720" s="410"/>
      <c r="AH720" s="410"/>
      <c r="AI720" s="410"/>
      <c r="AJ720" s="410"/>
      <c r="AK720" s="410"/>
    </row>
    <row r="721" spans="1:37" x14ac:dyDescent="0.2">
      <c r="A721" s="410"/>
      <c r="B721" s="410"/>
      <c r="C721" s="410"/>
      <c r="D721" s="410"/>
      <c r="E721" s="410"/>
      <c r="F721" s="410"/>
      <c r="G721" s="410"/>
      <c r="H721" s="410"/>
      <c r="I721" s="410"/>
      <c r="J721" s="410"/>
      <c r="K721" s="410"/>
      <c r="L721" s="410"/>
      <c r="M721" s="410"/>
      <c r="N721" s="410"/>
      <c r="R721" s="410"/>
      <c r="S721" s="410"/>
      <c r="T721" s="410"/>
      <c r="U721" s="410"/>
      <c r="V721" s="410"/>
      <c r="W721" s="410"/>
      <c r="X721" s="410"/>
      <c r="Y721" s="410"/>
      <c r="Z721" s="410"/>
      <c r="AA721" s="410"/>
      <c r="AB721" s="410"/>
      <c r="AC721" s="410"/>
      <c r="AD721" s="410"/>
      <c r="AE721" s="410"/>
      <c r="AF721" s="410"/>
      <c r="AG721" s="410"/>
      <c r="AH721" s="410"/>
      <c r="AI721" s="410"/>
      <c r="AJ721" s="410"/>
      <c r="AK721" s="410"/>
    </row>
    <row r="722" spans="1:37" x14ac:dyDescent="0.2">
      <c r="A722" s="410"/>
      <c r="B722" s="410"/>
      <c r="C722" s="410"/>
      <c r="D722" s="410"/>
      <c r="E722" s="410"/>
      <c r="F722" s="410"/>
      <c r="G722" s="410"/>
      <c r="H722" s="410"/>
      <c r="I722" s="410"/>
      <c r="J722" s="410"/>
      <c r="K722" s="410"/>
      <c r="L722" s="410"/>
      <c r="M722" s="410"/>
      <c r="N722" s="410"/>
      <c r="R722" s="410"/>
      <c r="S722" s="410"/>
      <c r="T722" s="410"/>
      <c r="U722" s="410"/>
      <c r="V722" s="410"/>
      <c r="W722" s="410"/>
      <c r="X722" s="410"/>
      <c r="Y722" s="410"/>
      <c r="Z722" s="410"/>
      <c r="AA722" s="410"/>
      <c r="AB722" s="410"/>
      <c r="AC722" s="410"/>
      <c r="AD722" s="410"/>
      <c r="AE722" s="410"/>
      <c r="AF722" s="410"/>
      <c r="AG722" s="410"/>
      <c r="AH722" s="410"/>
      <c r="AI722" s="410"/>
      <c r="AJ722" s="410"/>
      <c r="AK722" s="410"/>
    </row>
    <row r="723" spans="1:37" x14ac:dyDescent="0.2">
      <c r="A723" s="410"/>
      <c r="B723" s="410"/>
      <c r="C723" s="410"/>
      <c r="D723" s="410"/>
      <c r="E723" s="410"/>
      <c r="F723" s="410"/>
      <c r="G723" s="410"/>
      <c r="H723" s="410"/>
      <c r="I723" s="410"/>
      <c r="J723" s="410"/>
      <c r="K723" s="410"/>
      <c r="L723" s="410"/>
      <c r="M723" s="410"/>
      <c r="N723" s="410"/>
      <c r="R723" s="410"/>
      <c r="S723" s="410"/>
      <c r="T723" s="410"/>
      <c r="U723" s="410"/>
      <c r="V723" s="410"/>
      <c r="W723" s="410"/>
      <c r="X723" s="410"/>
      <c r="Y723" s="410"/>
      <c r="Z723" s="410"/>
      <c r="AA723" s="410"/>
      <c r="AB723" s="410"/>
      <c r="AC723" s="410"/>
      <c r="AD723" s="410"/>
      <c r="AE723" s="410"/>
      <c r="AF723" s="410"/>
      <c r="AG723" s="410"/>
      <c r="AH723" s="410"/>
      <c r="AI723" s="410"/>
      <c r="AJ723" s="410"/>
      <c r="AK723" s="410"/>
    </row>
    <row r="724" spans="1:37" x14ac:dyDescent="0.2">
      <c r="A724" s="410"/>
      <c r="B724" s="410"/>
      <c r="C724" s="410"/>
      <c r="D724" s="410"/>
      <c r="E724" s="410"/>
      <c r="F724" s="410"/>
      <c r="G724" s="410"/>
      <c r="H724" s="410"/>
      <c r="I724" s="410"/>
      <c r="J724" s="410"/>
      <c r="K724" s="410"/>
      <c r="L724" s="410"/>
      <c r="M724" s="410"/>
      <c r="N724" s="410"/>
      <c r="R724" s="410"/>
      <c r="S724" s="410"/>
      <c r="T724" s="410"/>
      <c r="U724" s="410"/>
      <c r="V724" s="410"/>
      <c r="W724" s="410"/>
      <c r="X724" s="410"/>
      <c r="Y724" s="410"/>
      <c r="Z724" s="410"/>
      <c r="AA724" s="410"/>
      <c r="AB724" s="410"/>
      <c r="AC724" s="410"/>
      <c r="AD724" s="410"/>
      <c r="AE724" s="410"/>
      <c r="AF724" s="410"/>
      <c r="AG724" s="410"/>
      <c r="AH724" s="410"/>
      <c r="AI724" s="410"/>
      <c r="AJ724" s="410"/>
      <c r="AK724" s="410"/>
    </row>
    <row r="725" spans="1:37" x14ac:dyDescent="0.2">
      <c r="A725" s="410"/>
      <c r="B725" s="410"/>
      <c r="C725" s="410"/>
      <c r="D725" s="410"/>
      <c r="E725" s="410"/>
      <c r="F725" s="410"/>
      <c r="G725" s="410"/>
      <c r="H725" s="410"/>
      <c r="I725" s="410"/>
      <c r="J725" s="410"/>
      <c r="K725" s="410"/>
      <c r="L725" s="410"/>
      <c r="M725" s="410"/>
      <c r="N725" s="410"/>
      <c r="R725" s="410"/>
      <c r="S725" s="410"/>
      <c r="T725" s="410"/>
      <c r="U725" s="410"/>
      <c r="V725" s="410"/>
      <c r="W725" s="410"/>
      <c r="X725" s="410"/>
      <c r="Y725" s="410"/>
      <c r="Z725" s="410"/>
      <c r="AA725" s="410"/>
      <c r="AB725" s="410"/>
      <c r="AC725" s="410"/>
      <c r="AD725" s="410"/>
      <c r="AE725" s="410"/>
      <c r="AF725" s="410"/>
      <c r="AG725" s="410"/>
      <c r="AH725" s="410"/>
      <c r="AI725" s="410"/>
      <c r="AJ725" s="410"/>
      <c r="AK725" s="410"/>
    </row>
    <row r="726" spans="1:37" x14ac:dyDescent="0.2">
      <c r="A726" s="410"/>
      <c r="B726" s="410"/>
      <c r="C726" s="410"/>
      <c r="D726" s="410"/>
      <c r="E726" s="410"/>
      <c r="F726" s="410"/>
      <c r="G726" s="410"/>
      <c r="H726" s="410"/>
      <c r="I726" s="410"/>
      <c r="J726" s="410"/>
      <c r="K726" s="410"/>
      <c r="L726" s="410"/>
      <c r="M726" s="410"/>
      <c r="N726" s="410"/>
      <c r="R726" s="410"/>
      <c r="S726" s="410"/>
      <c r="T726" s="410"/>
      <c r="U726" s="410"/>
      <c r="V726" s="410"/>
      <c r="W726" s="410"/>
      <c r="X726" s="410"/>
      <c r="Y726" s="410"/>
      <c r="Z726" s="410"/>
      <c r="AA726" s="410"/>
      <c r="AB726" s="410"/>
      <c r="AC726" s="410"/>
      <c r="AD726" s="410"/>
      <c r="AE726" s="410"/>
      <c r="AF726" s="410"/>
      <c r="AG726" s="410"/>
      <c r="AH726" s="410"/>
      <c r="AI726" s="410"/>
      <c r="AJ726" s="410"/>
      <c r="AK726" s="410"/>
    </row>
    <row r="727" spans="1:37" x14ac:dyDescent="0.2">
      <c r="A727" s="410"/>
      <c r="B727" s="410"/>
      <c r="C727" s="410"/>
      <c r="D727" s="410"/>
      <c r="E727" s="410"/>
      <c r="F727" s="410"/>
      <c r="G727" s="410"/>
      <c r="H727" s="410"/>
      <c r="I727" s="410"/>
      <c r="J727" s="410"/>
      <c r="K727" s="410"/>
      <c r="L727" s="410"/>
      <c r="M727" s="410"/>
      <c r="N727" s="410"/>
      <c r="R727" s="410"/>
      <c r="S727" s="410"/>
      <c r="T727" s="410"/>
      <c r="U727" s="410"/>
      <c r="V727" s="410"/>
      <c r="W727" s="410"/>
      <c r="X727" s="410"/>
      <c r="Y727" s="410"/>
      <c r="Z727" s="410"/>
      <c r="AA727" s="410"/>
      <c r="AB727" s="410"/>
      <c r="AC727" s="410"/>
      <c r="AD727" s="410"/>
      <c r="AE727" s="410"/>
      <c r="AF727" s="410"/>
      <c r="AG727" s="410"/>
      <c r="AH727" s="410"/>
      <c r="AI727" s="410"/>
      <c r="AJ727" s="410"/>
      <c r="AK727" s="410"/>
    </row>
    <row r="728" spans="1:37" x14ac:dyDescent="0.2">
      <c r="A728" s="410"/>
      <c r="B728" s="410"/>
      <c r="C728" s="410"/>
      <c r="D728" s="410"/>
      <c r="E728" s="410"/>
      <c r="F728" s="410"/>
      <c r="G728" s="410"/>
      <c r="H728" s="410"/>
      <c r="I728" s="410"/>
      <c r="J728" s="410"/>
      <c r="K728" s="410"/>
      <c r="L728" s="410"/>
      <c r="M728" s="410"/>
      <c r="N728" s="410"/>
      <c r="R728" s="410"/>
      <c r="S728" s="410"/>
      <c r="T728" s="410"/>
      <c r="U728" s="410"/>
      <c r="V728" s="410"/>
      <c r="W728" s="410"/>
      <c r="X728" s="410"/>
      <c r="Y728" s="410"/>
      <c r="Z728" s="410"/>
      <c r="AA728" s="410"/>
      <c r="AB728" s="410"/>
      <c r="AC728" s="410"/>
      <c r="AD728" s="410"/>
      <c r="AE728" s="410"/>
      <c r="AF728" s="410"/>
      <c r="AG728" s="410"/>
      <c r="AH728" s="410"/>
      <c r="AI728" s="410"/>
      <c r="AJ728" s="410"/>
      <c r="AK728" s="410"/>
    </row>
    <row r="729" spans="1:37" x14ac:dyDescent="0.2">
      <c r="A729" s="410"/>
      <c r="B729" s="410"/>
      <c r="C729" s="410"/>
      <c r="D729" s="410"/>
      <c r="E729" s="410"/>
      <c r="F729" s="410"/>
      <c r="G729" s="410"/>
      <c r="H729" s="410"/>
      <c r="I729" s="410"/>
      <c r="J729" s="410"/>
      <c r="K729" s="410"/>
      <c r="L729" s="410"/>
      <c r="M729" s="410"/>
      <c r="N729" s="410"/>
      <c r="R729" s="410"/>
      <c r="S729" s="410"/>
      <c r="T729" s="410"/>
      <c r="U729" s="410"/>
      <c r="V729" s="410"/>
      <c r="W729" s="410"/>
      <c r="X729" s="410"/>
      <c r="Y729" s="410"/>
      <c r="Z729" s="410"/>
      <c r="AA729" s="410"/>
      <c r="AB729" s="410"/>
      <c r="AC729" s="410"/>
      <c r="AD729" s="410"/>
      <c r="AE729" s="410"/>
      <c r="AF729" s="410"/>
      <c r="AG729" s="410"/>
      <c r="AH729" s="410"/>
      <c r="AI729" s="410"/>
      <c r="AJ729" s="410"/>
      <c r="AK729" s="410"/>
    </row>
    <row r="730" spans="1:37" x14ac:dyDescent="0.2">
      <c r="A730" s="410"/>
      <c r="B730" s="410"/>
      <c r="C730" s="410"/>
      <c r="D730" s="410"/>
      <c r="E730" s="410"/>
      <c r="F730" s="410"/>
      <c r="G730" s="410"/>
      <c r="H730" s="410"/>
      <c r="I730" s="410"/>
      <c r="J730" s="410"/>
      <c r="K730" s="410"/>
      <c r="L730" s="410"/>
      <c r="M730" s="410"/>
      <c r="N730" s="410"/>
      <c r="R730" s="410"/>
      <c r="S730" s="410"/>
      <c r="T730" s="410"/>
      <c r="U730" s="410"/>
      <c r="V730" s="410"/>
      <c r="W730" s="410"/>
      <c r="X730" s="410"/>
      <c r="Y730" s="410"/>
      <c r="Z730" s="410"/>
      <c r="AA730" s="410"/>
      <c r="AB730" s="410"/>
      <c r="AC730" s="410"/>
      <c r="AD730" s="410"/>
      <c r="AE730" s="410"/>
      <c r="AF730" s="410"/>
      <c r="AG730" s="410"/>
      <c r="AH730" s="410"/>
      <c r="AI730" s="410"/>
      <c r="AJ730" s="410"/>
      <c r="AK730" s="410"/>
    </row>
    <row r="731" spans="1:37" x14ac:dyDescent="0.2">
      <c r="A731" s="410"/>
      <c r="B731" s="410"/>
      <c r="C731" s="410"/>
      <c r="D731" s="410"/>
      <c r="E731" s="410"/>
      <c r="F731" s="410"/>
      <c r="G731" s="410"/>
      <c r="H731" s="410"/>
      <c r="I731" s="410"/>
      <c r="J731" s="410"/>
      <c r="K731" s="410"/>
      <c r="L731" s="410"/>
      <c r="M731" s="410"/>
      <c r="N731" s="410"/>
      <c r="R731" s="410"/>
      <c r="S731" s="410"/>
      <c r="T731" s="410"/>
      <c r="U731" s="410"/>
      <c r="V731" s="410"/>
      <c r="W731" s="410"/>
      <c r="X731" s="410"/>
      <c r="Y731" s="410"/>
      <c r="Z731" s="410"/>
      <c r="AA731" s="410"/>
      <c r="AB731" s="410"/>
      <c r="AC731" s="410"/>
      <c r="AD731" s="410"/>
      <c r="AE731" s="410"/>
      <c r="AF731" s="410"/>
      <c r="AG731" s="410"/>
      <c r="AH731" s="410"/>
      <c r="AI731" s="410"/>
      <c r="AJ731" s="410"/>
      <c r="AK731" s="410"/>
    </row>
    <row r="732" spans="1:37" x14ac:dyDescent="0.2">
      <c r="A732" s="410"/>
      <c r="B732" s="410"/>
      <c r="C732" s="410"/>
      <c r="D732" s="410"/>
      <c r="E732" s="410"/>
      <c r="F732" s="410"/>
      <c r="G732" s="410"/>
      <c r="H732" s="410"/>
      <c r="I732" s="410"/>
      <c r="J732" s="410"/>
      <c r="K732" s="410"/>
      <c r="L732" s="410"/>
      <c r="M732" s="410"/>
      <c r="N732" s="410"/>
      <c r="R732" s="410"/>
      <c r="S732" s="410"/>
      <c r="T732" s="410"/>
      <c r="U732" s="410"/>
      <c r="V732" s="410"/>
      <c r="W732" s="410"/>
      <c r="X732" s="410"/>
      <c r="Y732" s="410"/>
      <c r="Z732" s="410"/>
      <c r="AA732" s="410"/>
      <c r="AB732" s="410"/>
      <c r="AC732" s="410"/>
      <c r="AD732" s="410"/>
      <c r="AE732" s="410"/>
      <c r="AF732" s="410"/>
      <c r="AG732" s="410"/>
      <c r="AH732" s="410"/>
      <c r="AI732" s="410"/>
      <c r="AJ732" s="410"/>
      <c r="AK732" s="410"/>
    </row>
    <row r="733" spans="1:37" x14ac:dyDescent="0.2">
      <c r="A733" s="410"/>
      <c r="B733" s="410"/>
      <c r="C733" s="410"/>
      <c r="D733" s="410"/>
      <c r="E733" s="410"/>
      <c r="F733" s="410"/>
      <c r="G733" s="410"/>
      <c r="H733" s="410"/>
      <c r="I733" s="410"/>
      <c r="J733" s="410"/>
      <c r="K733" s="410"/>
      <c r="L733" s="410"/>
      <c r="M733" s="410"/>
      <c r="N733" s="410"/>
      <c r="R733" s="410"/>
      <c r="S733" s="410"/>
      <c r="T733" s="410"/>
      <c r="U733" s="410"/>
      <c r="V733" s="410"/>
      <c r="W733" s="410"/>
      <c r="X733" s="410"/>
      <c r="Y733" s="410"/>
      <c r="Z733" s="410"/>
      <c r="AA733" s="410"/>
      <c r="AB733" s="410"/>
      <c r="AC733" s="410"/>
      <c r="AD733" s="410"/>
      <c r="AE733" s="410"/>
      <c r="AF733" s="410"/>
      <c r="AG733" s="410"/>
      <c r="AH733" s="410"/>
      <c r="AI733" s="410"/>
      <c r="AJ733" s="410"/>
      <c r="AK733" s="410"/>
    </row>
    <row r="734" spans="1:37" x14ac:dyDescent="0.2">
      <c r="A734" s="410"/>
      <c r="B734" s="410"/>
      <c r="C734" s="410"/>
      <c r="D734" s="410"/>
      <c r="E734" s="410"/>
      <c r="F734" s="410"/>
      <c r="G734" s="410"/>
      <c r="H734" s="410"/>
      <c r="I734" s="410"/>
      <c r="J734" s="410"/>
      <c r="K734" s="410"/>
      <c r="L734" s="410"/>
      <c r="M734" s="410"/>
      <c r="N734" s="410"/>
      <c r="R734" s="410"/>
      <c r="S734" s="410"/>
      <c r="T734" s="410"/>
      <c r="U734" s="410"/>
      <c r="V734" s="410"/>
      <c r="W734" s="410"/>
      <c r="X734" s="410"/>
      <c r="Y734" s="410"/>
      <c r="Z734" s="410"/>
      <c r="AA734" s="410"/>
      <c r="AB734" s="410"/>
      <c r="AC734" s="410"/>
      <c r="AD734" s="410"/>
      <c r="AE734" s="410"/>
      <c r="AF734" s="410"/>
      <c r="AG734" s="410"/>
      <c r="AH734" s="410"/>
      <c r="AI734" s="410"/>
      <c r="AJ734" s="410"/>
      <c r="AK734" s="410"/>
    </row>
    <row r="735" spans="1:37" x14ac:dyDescent="0.2">
      <c r="A735" s="410"/>
      <c r="B735" s="410"/>
      <c r="C735" s="410"/>
      <c r="D735" s="410"/>
      <c r="E735" s="410"/>
      <c r="F735" s="410"/>
      <c r="G735" s="410"/>
      <c r="H735" s="410"/>
      <c r="I735" s="410"/>
      <c r="J735" s="410"/>
      <c r="K735" s="410"/>
      <c r="L735" s="410"/>
      <c r="M735" s="410"/>
      <c r="N735" s="410"/>
      <c r="R735" s="410"/>
      <c r="S735" s="410"/>
      <c r="T735" s="410"/>
      <c r="U735" s="410"/>
      <c r="V735" s="410"/>
      <c r="W735" s="410"/>
      <c r="X735" s="410"/>
      <c r="Y735" s="410"/>
      <c r="Z735" s="410"/>
      <c r="AA735" s="410"/>
      <c r="AB735" s="410"/>
      <c r="AC735" s="410"/>
      <c r="AD735" s="410"/>
      <c r="AE735" s="410"/>
      <c r="AF735" s="410"/>
      <c r="AG735" s="410"/>
      <c r="AH735" s="410"/>
      <c r="AI735" s="410"/>
      <c r="AJ735" s="410"/>
      <c r="AK735" s="410"/>
    </row>
    <row r="736" spans="1:37" x14ac:dyDescent="0.2">
      <c r="A736" s="410"/>
      <c r="B736" s="410"/>
      <c r="C736" s="410"/>
      <c r="D736" s="410"/>
      <c r="E736" s="410"/>
      <c r="F736" s="410"/>
      <c r="G736" s="410"/>
      <c r="H736" s="410"/>
      <c r="I736" s="410"/>
      <c r="J736" s="410"/>
      <c r="K736" s="410"/>
      <c r="L736" s="410"/>
      <c r="M736" s="410"/>
      <c r="N736" s="410"/>
      <c r="R736" s="410"/>
      <c r="S736" s="410"/>
      <c r="T736" s="410"/>
      <c r="U736" s="410"/>
      <c r="V736" s="410"/>
      <c r="W736" s="410"/>
      <c r="X736" s="410"/>
      <c r="Y736" s="410"/>
      <c r="Z736" s="410"/>
      <c r="AA736" s="410"/>
      <c r="AB736" s="410"/>
      <c r="AC736" s="410"/>
      <c r="AD736" s="410"/>
      <c r="AE736" s="410"/>
      <c r="AF736" s="410"/>
      <c r="AG736" s="410"/>
      <c r="AH736" s="410"/>
      <c r="AI736" s="410"/>
      <c r="AJ736" s="410"/>
      <c r="AK736" s="410"/>
    </row>
    <row r="737" spans="1:37" x14ac:dyDescent="0.2">
      <c r="A737" s="410"/>
      <c r="B737" s="410"/>
      <c r="C737" s="410"/>
      <c r="D737" s="410"/>
      <c r="E737" s="410"/>
      <c r="F737" s="410"/>
      <c r="G737" s="410"/>
      <c r="H737" s="410"/>
      <c r="I737" s="410"/>
      <c r="J737" s="410"/>
      <c r="K737" s="410"/>
      <c r="L737" s="410"/>
      <c r="M737" s="410"/>
      <c r="N737" s="410"/>
      <c r="R737" s="410"/>
      <c r="S737" s="410"/>
      <c r="T737" s="410"/>
      <c r="U737" s="410"/>
      <c r="V737" s="410"/>
      <c r="W737" s="410"/>
      <c r="X737" s="410"/>
      <c r="Y737" s="410"/>
      <c r="Z737" s="410"/>
      <c r="AA737" s="410"/>
      <c r="AB737" s="410"/>
      <c r="AC737" s="410"/>
      <c r="AD737" s="410"/>
      <c r="AE737" s="410"/>
      <c r="AF737" s="410"/>
      <c r="AG737" s="410"/>
      <c r="AH737" s="410"/>
      <c r="AI737" s="410"/>
      <c r="AJ737" s="410"/>
      <c r="AK737" s="410"/>
    </row>
    <row r="738" spans="1:37" x14ac:dyDescent="0.2">
      <c r="A738" s="410"/>
      <c r="B738" s="410"/>
      <c r="C738" s="410"/>
      <c r="D738" s="410"/>
      <c r="E738" s="410"/>
      <c r="F738" s="410"/>
      <c r="G738" s="410"/>
      <c r="H738" s="410"/>
      <c r="I738" s="410"/>
      <c r="J738" s="410"/>
      <c r="K738" s="410"/>
      <c r="L738" s="410"/>
      <c r="M738" s="410"/>
      <c r="N738" s="410"/>
      <c r="R738" s="410"/>
      <c r="S738" s="410"/>
      <c r="T738" s="410"/>
      <c r="U738" s="410"/>
      <c r="V738" s="410"/>
      <c r="W738" s="410"/>
      <c r="X738" s="410"/>
      <c r="Y738" s="410"/>
      <c r="Z738" s="410"/>
      <c r="AA738" s="410"/>
      <c r="AB738" s="410"/>
      <c r="AC738" s="410"/>
      <c r="AD738" s="410"/>
      <c r="AE738" s="410"/>
      <c r="AF738" s="410"/>
      <c r="AG738" s="410"/>
      <c r="AH738" s="410"/>
      <c r="AI738" s="410"/>
      <c r="AJ738" s="410"/>
      <c r="AK738" s="410"/>
    </row>
    <row r="739" spans="1:37" x14ac:dyDescent="0.2">
      <c r="A739" s="410"/>
      <c r="B739" s="410"/>
      <c r="C739" s="410"/>
      <c r="D739" s="410"/>
      <c r="E739" s="410"/>
      <c r="F739" s="410"/>
      <c r="G739" s="410"/>
      <c r="H739" s="410"/>
      <c r="I739" s="410"/>
      <c r="J739" s="410"/>
      <c r="K739" s="410"/>
      <c r="L739" s="410"/>
      <c r="M739" s="410"/>
      <c r="N739" s="410"/>
      <c r="R739" s="410"/>
      <c r="S739" s="410"/>
      <c r="T739" s="410"/>
      <c r="U739" s="410"/>
      <c r="V739" s="410"/>
      <c r="W739" s="410"/>
      <c r="X739" s="410"/>
      <c r="Y739" s="410"/>
      <c r="Z739" s="410"/>
      <c r="AA739" s="410"/>
      <c r="AB739" s="410"/>
      <c r="AC739" s="410"/>
      <c r="AD739" s="410"/>
      <c r="AE739" s="410"/>
      <c r="AF739" s="410"/>
      <c r="AG739" s="410"/>
      <c r="AH739" s="410"/>
      <c r="AI739" s="410"/>
      <c r="AJ739" s="410"/>
      <c r="AK739" s="410"/>
    </row>
    <row r="740" spans="1:37" x14ac:dyDescent="0.2">
      <c r="A740" s="410"/>
      <c r="B740" s="410"/>
      <c r="C740" s="410"/>
      <c r="D740" s="410"/>
      <c r="E740" s="410"/>
      <c r="F740" s="410"/>
      <c r="G740" s="410"/>
      <c r="H740" s="410"/>
      <c r="I740" s="410"/>
      <c r="J740" s="410"/>
      <c r="K740" s="410"/>
      <c r="L740" s="410"/>
      <c r="M740" s="410"/>
      <c r="N740" s="410"/>
      <c r="R740" s="410"/>
      <c r="S740" s="410"/>
      <c r="T740" s="410"/>
      <c r="U740" s="410"/>
      <c r="V740" s="410"/>
      <c r="W740" s="410"/>
      <c r="X740" s="410"/>
      <c r="Y740" s="410"/>
      <c r="Z740" s="410"/>
      <c r="AA740" s="410"/>
      <c r="AB740" s="410"/>
      <c r="AC740" s="410"/>
      <c r="AD740" s="410"/>
      <c r="AE740" s="410"/>
      <c r="AF740" s="410"/>
      <c r="AG740" s="410"/>
      <c r="AH740" s="410"/>
      <c r="AI740" s="410"/>
      <c r="AJ740" s="410"/>
      <c r="AK740" s="410"/>
    </row>
    <row r="741" spans="1:37" x14ac:dyDescent="0.2">
      <c r="A741" s="410"/>
      <c r="B741" s="410"/>
      <c r="C741" s="410"/>
      <c r="D741" s="410"/>
      <c r="E741" s="410"/>
      <c r="F741" s="410"/>
      <c r="G741" s="410"/>
      <c r="H741" s="410"/>
      <c r="I741" s="410"/>
      <c r="J741" s="410"/>
      <c r="K741" s="410"/>
      <c r="L741" s="410"/>
      <c r="M741" s="410"/>
      <c r="N741" s="410"/>
      <c r="R741" s="410"/>
      <c r="S741" s="410"/>
      <c r="T741" s="410"/>
      <c r="U741" s="410"/>
      <c r="V741" s="410"/>
      <c r="W741" s="410"/>
      <c r="X741" s="410"/>
      <c r="Y741" s="410"/>
      <c r="Z741" s="410"/>
      <c r="AA741" s="410"/>
      <c r="AB741" s="410"/>
      <c r="AC741" s="410"/>
      <c r="AD741" s="410"/>
      <c r="AE741" s="410"/>
      <c r="AF741" s="410"/>
      <c r="AG741" s="410"/>
      <c r="AH741" s="410"/>
      <c r="AI741" s="410"/>
      <c r="AJ741" s="410"/>
      <c r="AK741" s="410"/>
    </row>
    <row r="742" spans="1:37" x14ac:dyDescent="0.2">
      <c r="A742" s="410"/>
      <c r="B742" s="410"/>
      <c r="C742" s="410"/>
      <c r="D742" s="410"/>
      <c r="E742" s="410"/>
      <c r="F742" s="410"/>
      <c r="G742" s="410"/>
      <c r="H742" s="410"/>
      <c r="I742" s="410"/>
      <c r="J742" s="410"/>
      <c r="K742" s="410"/>
      <c r="L742" s="410"/>
      <c r="M742" s="410"/>
      <c r="N742" s="410"/>
      <c r="R742" s="410"/>
      <c r="S742" s="410"/>
      <c r="T742" s="410"/>
      <c r="U742" s="410"/>
      <c r="V742" s="410"/>
      <c r="W742" s="410"/>
      <c r="X742" s="410"/>
      <c r="Y742" s="410"/>
      <c r="Z742" s="410"/>
      <c r="AA742" s="410"/>
      <c r="AB742" s="410"/>
      <c r="AC742" s="410"/>
      <c r="AD742" s="410"/>
      <c r="AE742" s="410"/>
      <c r="AF742" s="410"/>
      <c r="AG742" s="410"/>
      <c r="AH742" s="410"/>
      <c r="AI742" s="410"/>
      <c r="AJ742" s="410"/>
      <c r="AK742" s="410"/>
    </row>
    <row r="743" spans="1:37" x14ac:dyDescent="0.2">
      <c r="A743" s="410"/>
      <c r="B743" s="410"/>
      <c r="C743" s="410"/>
      <c r="D743" s="410"/>
      <c r="E743" s="410"/>
      <c r="F743" s="410"/>
      <c r="G743" s="410"/>
      <c r="H743" s="410"/>
      <c r="I743" s="410"/>
      <c r="J743" s="410"/>
      <c r="K743" s="410"/>
      <c r="L743" s="410"/>
      <c r="M743" s="410"/>
      <c r="N743" s="410"/>
      <c r="R743" s="410"/>
      <c r="S743" s="410"/>
      <c r="T743" s="410"/>
      <c r="U743" s="410"/>
      <c r="V743" s="410"/>
      <c r="W743" s="410"/>
      <c r="X743" s="410"/>
      <c r="Y743" s="410"/>
      <c r="Z743" s="410"/>
      <c r="AA743" s="410"/>
      <c r="AB743" s="410"/>
      <c r="AC743" s="410"/>
      <c r="AD743" s="410"/>
      <c r="AE743" s="410"/>
      <c r="AF743" s="410"/>
      <c r="AG743" s="410"/>
      <c r="AH743" s="410"/>
      <c r="AI743" s="410"/>
      <c r="AJ743" s="410"/>
      <c r="AK743" s="410"/>
    </row>
    <row r="744" spans="1:37" x14ac:dyDescent="0.2">
      <c r="A744" s="410"/>
      <c r="B744" s="410"/>
      <c r="C744" s="410"/>
      <c r="D744" s="410"/>
      <c r="E744" s="410"/>
      <c r="F744" s="410"/>
      <c r="G744" s="410"/>
      <c r="H744" s="410"/>
      <c r="I744" s="410"/>
      <c r="J744" s="410"/>
      <c r="K744" s="410"/>
      <c r="L744" s="410"/>
      <c r="M744" s="410"/>
      <c r="N744" s="410"/>
      <c r="R744" s="410"/>
      <c r="S744" s="410"/>
      <c r="T744" s="410"/>
      <c r="U744" s="410"/>
      <c r="V744" s="410"/>
      <c r="W744" s="410"/>
      <c r="X744" s="410"/>
      <c r="Y744" s="410"/>
      <c r="Z744" s="410"/>
      <c r="AA744" s="410"/>
      <c r="AB744" s="410"/>
      <c r="AC744" s="410"/>
      <c r="AD744" s="410"/>
      <c r="AE744" s="410"/>
      <c r="AF744" s="410"/>
      <c r="AG744" s="410"/>
      <c r="AH744" s="410"/>
      <c r="AI744" s="410"/>
      <c r="AJ744" s="410"/>
      <c r="AK744" s="410"/>
    </row>
    <row r="745" spans="1:37" x14ac:dyDescent="0.2">
      <c r="A745" s="410"/>
      <c r="B745" s="410"/>
      <c r="C745" s="410"/>
      <c r="D745" s="410"/>
      <c r="E745" s="410"/>
      <c r="F745" s="410"/>
      <c r="G745" s="410"/>
      <c r="H745" s="410"/>
      <c r="I745" s="410"/>
      <c r="J745" s="410"/>
      <c r="K745" s="410"/>
      <c r="L745" s="410"/>
      <c r="M745" s="410"/>
      <c r="N745" s="410"/>
      <c r="R745" s="410"/>
      <c r="S745" s="410"/>
      <c r="T745" s="410"/>
      <c r="U745" s="410"/>
      <c r="V745" s="410"/>
      <c r="W745" s="410"/>
      <c r="X745" s="410"/>
      <c r="Y745" s="410"/>
      <c r="Z745" s="410"/>
      <c r="AA745" s="410"/>
      <c r="AB745" s="410"/>
      <c r="AC745" s="410"/>
      <c r="AD745" s="410"/>
      <c r="AE745" s="410"/>
      <c r="AF745" s="410"/>
      <c r="AG745" s="410"/>
      <c r="AH745" s="410"/>
      <c r="AI745" s="410"/>
      <c r="AJ745" s="410"/>
      <c r="AK745" s="410"/>
    </row>
    <row r="746" spans="1:37" x14ac:dyDescent="0.2">
      <c r="A746" s="410"/>
      <c r="B746" s="410"/>
      <c r="C746" s="410"/>
      <c r="D746" s="410"/>
      <c r="E746" s="410"/>
      <c r="F746" s="410"/>
      <c r="G746" s="410"/>
      <c r="H746" s="410"/>
      <c r="I746" s="410"/>
      <c r="J746" s="410"/>
      <c r="K746" s="410"/>
      <c r="L746" s="410"/>
      <c r="M746" s="410"/>
      <c r="N746" s="410"/>
      <c r="R746" s="410"/>
      <c r="S746" s="410"/>
      <c r="T746" s="410"/>
      <c r="U746" s="410"/>
      <c r="V746" s="410"/>
      <c r="W746" s="410"/>
      <c r="X746" s="410"/>
      <c r="Y746" s="410"/>
      <c r="Z746" s="410"/>
      <c r="AA746" s="410"/>
      <c r="AB746" s="410"/>
      <c r="AC746" s="410"/>
      <c r="AD746" s="410"/>
      <c r="AE746" s="410"/>
      <c r="AF746" s="410"/>
      <c r="AG746" s="410"/>
      <c r="AH746" s="410"/>
      <c r="AI746" s="410"/>
      <c r="AJ746" s="410"/>
      <c r="AK746" s="410"/>
    </row>
    <row r="747" spans="1:37" x14ac:dyDescent="0.2">
      <c r="A747" s="410"/>
      <c r="B747" s="410"/>
      <c r="C747" s="410"/>
      <c r="D747" s="410"/>
      <c r="E747" s="410"/>
      <c r="F747" s="410"/>
      <c r="G747" s="410"/>
      <c r="H747" s="410"/>
      <c r="I747" s="410"/>
      <c r="J747" s="410"/>
      <c r="K747" s="410"/>
      <c r="L747" s="410"/>
      <c r="M747" s="410"/>
      <c r="N747" s="410"/>
      <c r="R747" s="410"/>
      <c r="S747" s="410"/>
      <c r="T747" s="410"/>
      <c r="U747" s="410"/>
      <c r="V747" s="410"/>
      <c r="W747" s="410"/>
      <c r="X747" s="410"/>
      <c r="Y747" s="410"/>
      <c r="Z747" s="410"/>
      <c r="AA747" s="410"/>
      <c r="AB747" s="410"/>
      <c r="AC747" s="410"/>
      <c r="AD747" s="410"/>
      <c r="AE747" s="410"/>
      <c r="AF747" s="410"/>
      <c r="AG747" s="410"/>
      <c r="AH747" s="410"/>
      <c r="AI747" s="410"/>
      <c r="AJ747" s="410"/>
      <c r="AK747" s="410"/>
    </row>
    <row r="748" spans="1:37" x14ac:dyDescent="0.2">
      <c r="A748" s="410"/>
      <c r="B748" s="410"/>
      <c r="C748" s="410"/>
      <c r="D748" s="410"/>
      <c r="E748" s="410"/>
      <c r="F748" s="410"/>
      <c r="G748" s="410"/>
      <c r="H748" s="410"/>
      <c r="I748" s="410"/>
      <c r="J748" s="410"/>
      <c r="K748" s="410"/>
      <c r="L748" s="410"/>
      <c r="M748" s="410"/>
      <c r="N748" s="410"/>
      <c r="R748" s="410"/>
      <c r="S748" s="410"/>
      <c r="T748" s="410"/>
      <c r="U748" s="410"/>
      <c r="V748" s="410"/>
      <c r="W748" s="410"/>
      <c r="X748" s="410"/>
      <c r="Y748" s="410"/>
      <c r="Z748" s="410"/>
      <c r="AA748" s="410"/>
      <c r="AB748" s="410"/>
      <c r="AC748" s="410"/>
      <c r="AD748" s="410"/>
      <c r="AE748" s="410"/>
      <c r="AF748" s="410"/>
      <c r="AG748" s="410"/>
      <c r="AH748" s="410"/>
      <c r="AI748" s="410"/>
      <c r="AJ748" s="410"/>
      <c r="AK748" s="410"/>
    </row>
    <row r="749" spans="1:37" x14ac:dyDescent="0.2">
      <c r="A749" s="410"/>
      <c r="B749" s="410"/>
      <c r="C749" s="410"/>
      <c r="D749" s="410"/>
      <c r="E749" s="410"/>
      <c r="F749" s="410"/>
      <c r="G749" s="410"/>
      <c r="H749" s="410"/>
      <c r="I749" s="410"/>
      <c r="J749" s="410"/>
      <c r="K749" s="410"/>
      <c r="L749" s="410"/>
      <c r="M749" s="410"/>
      <c r="N749" s="410"/>
      <c r="R749" s="410"/>
      <c r="S749" s="410"/>
      <c r="T749" s="410"/>
      <c r="U749" s="410"/>
      <c r="V749" s="410"/>
      <c r="W749" s="410"/>
      <c r="X749" s="410"/>
      <c r="Y749" s="410"/>
      <c r="Z749" s="410"/>
      <c r="AA749" s="410"/>
      <c r="AB749" s="410"/>
      <c r="AC749" s="410"/>
      <c r="AD749" s="410"/>
      <c r="AE749" s="410"/>
      <c r="AF749" s="410"/>
      <c r="AG749" s="410"/>
      <c r="AH749" s="410"/>
      <c r="AI749" s="410"/>
      <c r="AJ749" s="410"/>
      <c r="AK749" s="410"/>
    </row>
    <row r="750" spans="1:37" x14ac:dyDescent="0.2">
      <c r="A750" s="410"/>
      <c r="B750" s="410"/>
      <c r="C750" s="410"/>
      <c r="D750" s="410"/>
      <c r="E750" s="410"/>
      <c r="F750" s="410"/>
      <c r="G750" s="410"/>
      <c r="H750" s="410"/>
      <c r="I750" s="410"/>
      <c r="J750" s="410"/>
      <c r="K750" s="410"/>
      <c r="L750" s="410"/>
      <c r="M750" s="410"/>
      <c r="N750" s="410"/>
      <c r="R750" s="410"/>
      <c r="S750" s="410"/>
      <c r="T750" s="410"/>
      <c r="U750" s="410"/>
      <c r="V750" s="410"/>
      <c r="W750" s="410"/>
      <c r="X750" s="410"/>
      <c r="Y750" s="410"/>
      <c r="Z750" s="410"/>
      <c r="AA750" s="410"/>
      <c r="AB750" s="410"/>
      <c r="AC750" s="410"/>
      <c r="AD750" s="410"/>
      <c r="AE750" s="410"/>
      <c r="AF750" s="410"/>
      <c r="AG750" s="410"/>
      <c r="AH750" s="410"/>
      <c r="AI750" s="410"/>
      <c r="AJ750" s="410"/>
      <c r="AK750" s="410"/>
    </row>
    <row r="751" spans="1:37" x14ac:dyDescent="0.2">
      <c r="A751" s="410"/>
      <c r="B751" s="410"/>
      <c r="C751" s="410"/>
      <c r="D751" s="410"/>
      <c r="E751" s="410"/>
      <c r="F751" s="410"/>
      <c r="G751" s="410"/>
      <c r="H751" s="410"/>
      <c r="I751" s="410"/>
      <c r="J751" s="410"/>
      <c r="K751" s="410"/>
      <c r="L751" s="410"/>
      <c r="M751" s="410"/>
      <c r="N751" s="410"/>
      <c r="R751" s="410"/>
      <c r="S751" s="410"/>
      <c r="T751" s="410"/>
      <c r="U751" s="410"/>
      <c r="V751" s="410"/>
      <c r="W751" s="410"/>
      <c r="X751" s="410"/>
      <c r="Y751" s="410"/>
      <c r="Z751" s="410"/>
      <c r="AA751" s="410"/>
      <c r="AB751" s="410"/>
      <c r="AC751" s="410"/>
      <c r="AD751" s="410"/>
      <c r="AE751" s="410"/>
      <c r="AF751" s="410"/>
      <c r="AG751" s="410"/>
      <c r="AH751" s="410"/>
      <c r="AI751" s="410"/>
      <c r="AJ751" s="410"/>
      <c r="AK751" s="410"/>
    </row>
    <row r="752" spans="1:37" x14ac:dyDescent="0.2">
      <c r="A752" s="410"/>
      <c r="B752" s="410"/>
      <c r="C752" s="410"/>
      <c r="D752" s="410"/>
      <c r="E752" s="410"/>
      <c r="F752" s="410"/>
      <c r="G752" s="410"/>
      <c r="H752" s="410"/>
      <c r="I752" s="410"/>
      <c r="J752" s="410"/>
      <c r="K752" s="410"/>
      <c r="L752" s="410"/>
      <c r="M752" s="410"/>
      <c r="N752" s="410"/>
      <c r="R752" s="410"/>
      <c r="S752" s="410"/>
      <c r="T752" s="410"/>
      <c r="U752" s="410"/>
      <c r="V752" s="410"/>
      <c r="W752" s="410"/>
      <c r="X752" s="410"/>
      <c r="Y752" s="410"/>
      <c r="Z752" s="410"/>
      <c r="AA752" s="410"/>
      <c r="AB752" s="410"/>
      <c r="AC752" s="410"/>
      <c r="AD752" s="410"/>
      <c r="AE752" s="410"/>
      <c r="AF752" s="410"/>
      <c r="AG752" s="410"/>
      <c r="AH752" s="410"/>
      <c r="AI752" s="410"/>
      <c r="AJ752" s="410"/>
      <c r="AK752" s="410"/>
    </row>
    <row r="753" spans="1:37" x14ac:dyDescent="0.2">
      <c r="A753" s="410"/>
      <c r="B753" s="410"/>
      <c r="C753" s="410"/>
      <c r="D753" s="410"/>
      <c r="E753" s="410"/>
      <c r="F753" s="410"/>
      <c r="G753" s="410"/>
      <c r="H753" s="410"/>
      <c r="I753" s="410"/>
      <c r="J753" s="410"/>
      <c r="K753" s="410"/>
      <c r="L753" s="410"/>
      <c r="M753" s="410"/>
      <c r="N753" s="410"/>
      <c r="R753" s="410"/>
      <c r="S753" s="410"/>
      <c r="T753" s="410"/>
      <c r="U753" s="410"/>
      <c r="V753" s="410"/>
      <c r="W753" s="410"/>
      <c r="X753" s="410"/>
      <c r="Y753" s="410"/>
      <c r="Z753" s="410"/>
      <c r="AA753" s="410"/>
      <c r="AB753" s="410"/>
      <c r="AC753" s="410"/>
      <c r="AD753" s="410"/>
      <c r="AE753" s="410"/>
      <c r="AF753" s="410"/>
      <c r="AG753" s="410"/>
      <c r="AH753" s="410"/>
      <c r="AI753" s="410"/>
      <c r="AJ753" s="410"/>
      <c r="AK753" s="410"/>
    </row>
    <row r="754" spans="1:37" x14ac:dyDescent="0.2">
      <c r="A754" s="410"/>
      <c r="B754" s="410"/>
      <c r="C754" s="410"/>
      <c r="D754" s="410"/>
      <c r="E754" s="410"/>
      <c r="F754" s="410"/>
      <c r="G754" s="410"/>
      <c r="H754" s="410"/>
      <c r="I754" s="410"/>
      <c r="J754" s="410"/>
      <c r="K754" s="410"/>
      <c r="L754" s="410"/>
      <c r="M754" s="410"/>
      <c r="N754" s="410"/>
      <c r="R754" s="410"/>
      <c r="S754" s="410"/>
      <c r="T754" s="410"/>
      <c r="U754" s="410"/>
      <c r="V754" s="410"/>
      <c r="W754" s="410"/>
      <c r="X754" s="410"/>
      <c r="Y754" s="410"/>
      <c r="Z754" s="410"/>
      <c r="AA754" s="410"/>
      <c r="AB754" s="410"/>
      <c r="AC754" s="410"/>
      <c r="AD754" s="410"/>
      <c r="AE754" s="410"/>
      <c r="AF754" s="410"/>
      <c r="AG754" s="410"/>
      <c r="AH754" s="410"/>
      <c r="AI754" s="410"/>
      <c r="AJ754" s="410"/>
      <c r="AK754" s="410"/>
    </row>
    <row r="755" spans="1:37" x14ac:dyDescent="0.2">
      <c r="A755" s="410"/>
      <c r="B755" s="410"/>
      <c r="C755" s="410"/>
      <c r="D755" s="410"/>
      <c r="E755" s="410"/>
      <c r="F755" s="410"/>
      <c r="G755" s="410"/>
      <c r="H755" s="410"/>
      <c r="I755" s="410"/>
      <c r="J755" s="410"/>
      <c r="K755" s="410"/>
      <c r="L755" s="410"/>
      <c r="M755" s="410"/>
      <c r="N755" s="410"/>
      <c r="R755" s="410"/>
      <c r="S755" s="410"/>
      <c r="T755" s="410"/>
      <c r="U755" s="410"/>
      <c r="V755" s="410"/>
      <c r="W755" s="410"/>
      <c r="X755" s="410"/>
      <c r="Y755" s="410"/>
      <c r="Z755" s="410"/>
      <c r="AA755" s="410"/>
      <c r="AB755" s="410"/>
      <c r="AC755" s="410"/>
      <c r="AD755" s="410"/>
      <c r="AE755" s="410"/>
      <c r="AF755" s="410"/>
      <c r="AG755" s="410"/>
      <c r="AH755" s="410"/>
      <c r="AI755" s="410"/>
      <c r="AJ755" s="410"/>
      <c r="AK755" s="410"/>
    </row>
    <row r="756" spans="1:37" x14ac:dyDescent="0.2">
      <c r="A756" s="410"/>
      <c r="B756" s="410"/>
      <c r="C756" s="410"/>
      <c r="D756" s="410"/>
      <c r="E756" s="410"/>
      <c r="F756" s="410"/>
      <c r="G756" s="410"/>
      <c r="H756" s="410"/>
      <c r="I756" s="410"/>
      <c r="J756" s="410"/>
      <c r="K756" s="410"/>
      <c r="L756" s="410"/>
      <c r="M756" s="410"/>
      <c r="N756" s="410"/>
      <c r="R756" s="410"/>
      <c r="S756" s="410"/>
      <c r="T756" s="410"/>
      <c r="U756" s="410"/>
      <c r="V756" s="410"/>
      <c r="W756" s="410"/>
      <c r="X756" s="410"/>
      <c r="Y756" s="410"/>
      <c r="Z756" s="410"/>
      <c r="AA756" s="410"/>
      <c r="AB756" s="410"/>
      <c r="AC756" s="410"/>
      <c r="AD756" s="410"/>
      <c r="AE756" s="410"/>
      <c r="AF756" s="410"/>
      <c r="AG756" s="410"/>
      <c r="AH756" s="410"/>
      <c r="AI756" s="410"/>
      <c r="AJ756" s="410"/>
      <c r="AK756" s="410"/>
    </row>
    <row r="757" spans="1:37" x14ac:dyDescent="0.2">
      <c r="A757" s="410"/>
      <c r="B757" s="410"/>
      <c r="C757" s="410"/>
      <c r="D757" s="410"/>
      <c r="E757" s="410"/>
      <c r="F757" s="410"/>
      <c r="G757" s="410"/>
      <c r="H757" s="410"/>
      <c r="I757" s="410"/>
      <c r="J757" s="410"/>
      <c r="K757" s="410"/>
      <c r="L757" s="410"/>
      <c r="M757" s="410"/>
      <c r="N757" s="410"/>
      <c r="R757" s="410"/>
      <c r="S757" s="410"/>
      <c r="T757" s="410"/>
      <c r="U757" s="410"/>
      <c r="V757" s="410"/>
      <c r="W757" s="410"/>
      <c r="X757" s="410"/>
      <c r="Y757" s="410"/>
      <c r="Z757" s="410"/>
      <c r="AA757" s="410"/>
      <c r="AB757" s="410"/>
      <c r="AC757" s="410"/>
      <c r="AD757" s="410"/>
      <c r="AE757" s="410"/>
      <c r="AF757" s="410"/>
      <c r="AG757" s="410"/>
      <c r="AH757" s="410"/>
      <c r="AI757" s="410"/>
      <c r="AJ757" s="410"/>
      <c r="AK757" s="410"/>
    </row>
    <row r="758" spans="1:37" x14ac:dyDescent="0.2">
      <c r="A758" s="410"/>
      <c r="B758" s="410"/>
      <c r="C758" s="410"/>
      <c r="D758" s="410"/>
      <c r="E758" s="410"/>
      <c r="F758" s="410"/>
      <c r="G758" s="410"/>
      <c r="H758" s="410"/>
      <c r="I758" s="410"/>
      <c r="J758" s="410"/>
      <c r="K758" s="410"/>
      <c r="L758" s="410"/>
      <c r="M758" s="410"/>
      <c r="N758" s="410"/>
      <c r="R758" s="410"/>
      <c r="S758" s="410"/>
      <c r="T758" s="410"/>
      <c r="U758" s="410"/>
      <c r="V758" s="410"/>
      <c r="W758" s="410"/>
      <c r="X758" s="410"/>
      <c r="Y758" s="410"/>
      <c r="Z758" s="410"/>
      <c r="AA758" s="410"/>
      <c r="AB758" s="410"/>
      <c r="AC758" s="410"/>
      <c r="AD758" s="410"/>
      <c r="AE758" s="410"/>
      <c r="AF758" s="410"/>
      <c r="AG758" s="410"/>
      <c r="AH758" s="410"/>
      <c r="AI758" s="410"/>
      <c r="AJ758" s="410"/>
      <c r="AK758" s="410"/>
    </row>
    <row r="759" spans="1:37" x14ac:dyDescent="0.2">
      <c r="A759" s="410"/>
      <c r="B759" s="410"/>
      <c r="C759" s="410"/>
      <c r="D759" s="410"/>
      <c r="E759" s="410"/>
      <c r="F759" s="410"/>
      <c r="G759" s="410"/>
      <c r="H759" s="410"/>
      <c r="I759" s="410"/>
      <c r="J759" s="410"/>
      <c r="K759" s="410"/>
      <c r="L759" s="410"/>
      <c r="M759" s="410"/>
      <c r="N759" s="410"/>
      <c r="R759" s="410"/>
      <c r="S759" s="410"/>
      <c r="T759" s="410"/>
      <c r="U759" s="410"/>
      <c r="V759" s="410"/>
      <c r="W759" s="410"/>
      <c r="X759" s="410"/>
      <c r="Y759" s="410"/>
      <c r="Z759" s="410"/>
      <c r="AA759" s="410"/>
      <c r="AB759" s="410"/>
      <c r="AC759" s="410"/>
      <c r="AD759" s="410"/>
      <c r="AE759" s="410"/>
      <c r="AF759" s="410"/>
      <c r="AG759" s="410"/>
      <c r="AH759" s="410"/>
      <c r="AI759" s="410"/>
      <c r="AJ759" s="410"/>
      <c r="AK759" s="410"/>
    </row>
    <row r="760" spans="1:37" x14ac:dyDescent="0.2">
      <c r="A760" s="410"/>
      <c r="B760" s="410"/>
      <c r="C760" s="410"/>
      <c r="D760" s="410"/>
      <c r="E760" s="410"/>
      <c r="F760" s="410"/>
      <c r="G760" s="410"/>
      <c r="H760" s="410"/>
      <c r="I760" s="410"/>
      <c r="J760" s="410"/>
      <c r="K760" s="410"/>
      <c r="L760" s="410"/>
      <c r="M760" s="410"/>
      <c r="N760" s="410"/>
      <c r="R760" s="410"/>
      <c r="S760" s="410"/>
      <c r="T760" s="410"/>
      <c r="U760" s="410"/>
      <c r="V760" s="410"/>
      <c r="W760" s="410"/>
      <c r="X760" s="410"/>
      <c r="Y760" s="410"/>
      <c r="Z760" s="410"/>
      <c r="AA760" s="410"/>
      <c r="AB760" s="410"/>
      <c r="AC760" s="410"/>
      <c r="AD760" s="410"/>
      <c r="AE760" s="410"/>
      <c r="AF760" s="410"/>
      <c r="AG760" s="410"/>
      <c r="AH760" s="410"/>
      <c r="AI760" s="410"/>
      <c r="AJ760" s="410"/>
      <c r="AK760" s="410"/>
    </row>
    <row r="761" spans="1:37" x14ac:dyDescent="0.2">
      <c r="A761" s="410"/>
      <c r="B761" s="410"/>
      <c r="C761" s="410"/>
      <c r="D761" s="410"/>
      <c r="E761" s="410"/>
      <c r="F761" s="410"/>
      <c r="G761" s="410"/>
      <c r="H761" s="410"/>
      <c r="I761" s="410"/>
      <c r="J761" s="410"/>
      <c r="K761" s="410"/>
      <c r="L761" s="410"/>
      <c r="M761" s="410"/>
      <c r="N761" s="410"/>
      <c r="R761" s="410"/>
      <c r="S761" s="410"/>
      <c r="T761" s="410"/>
      <c r="U761" s="410"/>
      <c r="V761" s="410"/>
      <c r="W761" s="410"/>
      <c r="X761" s="410"/>
      <c r="Y761" s="410"/>
      <c r="Z761" s="410"/>
      <c r="AA761" s="410"/>
      <c r="AB761" s="410"/>
      <c r="AC761" s="410"/>
      <c r="AD761" s="410"/>
      <c r="AE761" s="410"/>
      <c r="AF761" s="410"/>
      <c r="AG761" s="410"/>
      <c r="AH761" s="410"/>
      <c r="AI761" s="410"/>
      <c r="AJ761" s="410"/>
      <c r="AK761" s="410"/>
    </row>
    <row r="762" spans="1:37" x14ac:dyDescent="0.2">
      <c r="A762" s="410"/>
      <c r="B762" s="410"/>
      <c r="C762" s="410"/>
      <c r="D762" s="410"/>
      <c r="E762" s="410"/>
      <c r="F762" s="410"/>
      <c r="G762" s="410"/>
      <c r="H762" s="410"/>
      <c r="I762" s="410"/>
      <c r="J762" s="410"/>
      <c r="K762" s="410"/>
      <c r="L762" s="410"/>
      <c r="M762" s="410"/>
      <c r="N762" s="410"/>
      <c r="R762" s="410"/>
      <c r="S762" s="410"/>
      <c r="T762" s="410"/>
      <c r="U762" s="410"/>
      <c r="V762" s="410"/>
      <c r="W762" s="410"/>
      <c r="X762" s="410"/>
      <c r="Y762" s="410"/>
      <c r="Z762" s="410"/>
      <c r="AA762" s="410"/>
      <c r="AB762" s="410"/>
      <c r="AC762" s="410"/>
      <c r="AD762" s="410"/>
      <c r="AE762" s="410"/>
      <c r="AF762" s="410"/>
      <c r="AG762" s="410"/>
      <c r="AH762" s="410"/>
      <c r="AI762" s="410"/>
      <c r="AJ762" s="410"/>
      <c r="AK762" s="410"/>
    </row>
    <row r="763" spans="1:37" x14ac:dyDescent="0.2">
      <c r="A763" s="410"/>
      <c r="B763" s="410"/>
      <c r="C763" s="410"/>
      <c r="D763" s="410"/>
      <c r="E763" s="410"/>
      <c r="F763" s="410"/>
      <c r="G763" s="410"/>
      <c r="H763" s="410"/>
      <c r="I763" s="410"/>
      <c r="J763" s="410"/>
      <c r="K763" s="410"/>
      <c r="L763" s="410"/>
      <c r="M763" s="410"/>
      <c r="N763" s="410"/>
      <c r="R763" s="410"/>
      <c r="S763" s="410"/>
      <c r="T763" s="410"/>
      <c r="U763" s="410"/>
      <c r="V763" s="410"/>
      <c r="W763" s="410"/>
      <c r="X763" s="410"/>
      <c r="Y763" s="410"/>
      <c r="Z763" s="410"/>
      <c r="AA763" s="410"/>
      <c r="AB763" s="410"/>
      <c r="AC763" s="410"/>
      <c r="AD763" s="410"/>
      <c r="AE763" s="410"/>
      <c r="AF763" s="410"/>
      <c r="AG763" s="410"/>
      <c r="AH763" s="410"/>
      <c r="AI763" s="410"/>
      <c r="AJ763" s="410"/>
      <c r="AK763" s="410"/>
    </row>
    <row r="764" spans="1:37" x14ac:dyDescent="0.2">
      <c r="A764" s="410"/>
      <c r="B764" s="410"/>
      <c r="C764" s="410"/>
      <c r="D764" s="410"/>
      <c r="E764" s="410"/>
      <c r="F764" s="410"/>
      <c r="G764" s="410"/>
      <c r="H764" s="410"/>
      <c r="I764" s="410"/>
      <c r="J764" s="410"/>
      <c r="K764" s="410"/>
      <c r="L764" s="410"/>
      <c r="M764" s="410"/>
      <c r="N764" s="410"/>
      <c r="R764" s="410"/>
      <c r="S764" s="410"/>
      <c r="T764" s="410"/>
      <c r="U764" s="410"/>
      <c r="V764" s="410"/>
      <c r="W764" s="410"/>
      <c r="X764" s="410"/>
      <c r="Y764" s="410"/>
      <c r="Z764" s="410"/>
      <c r="AA764" s="410"/>
      <c r="AB764" s="410"/>
      <c r="AC764" s="410"/>
      <c r="AD764" s="410"/>
      <c r="AE764" s="410"/>
      <c r="AF764" s="410"/>
      <c r="AG764" s="410"/>
      <c r="AH764" s="410"/>
      <c r="AI764" s="410"/>
      <c r="AJ764" s="410"/>
      <c r="AK764" s="410"/>
    </row>
    <row r="765" spans="1:37" x14ac:dyDescent="0.2">
      <c r="A765" s="410"/>
      <c r="B765" s="410"/>
      <c r="C765" s="410"/>
      <c r="D765" s="410"/>
      <c r="E765" s="410"/>
      <c r="F765" s="410"/>
      <c r="G765" s="410"/>
      <c r="H765" s="410"/>
      <c r="I765" s="410"/>
      <c r="J765" s="410"/>
      <c r="K765" s="410"/>
      <c r="L765" s="410"/>
      <c r="M765" s="410"/>
      <c r="N765" s="410"/>
      <c r="R765" s="410"/>
      <c r="S765" s="410"/>
      <c r="T765" s="410"/>
      <c r="U765" s="410"/>
      <c r="V765" s="410"/>
      <c r="W765" s="410"/>
      <c r="X765" s="410"/>
      <c r="Y765" s="410"/>
      <c r="Z765" s="410"/>
      <c r="AA765" s="410"/>
      <c r="AB765" s="410"/>
      <c r="AC765" s="410"/>
      <c r="AD765" s="410"/>
      <c r="AE765" s="410"/>
      <c r="AF765" s="410"/>
      <c r="AG765" s="410"/>
      <c r="AH765" s="410"/>
      <c r="AI765" s="410"/>
      <c r="AJ765" s="410"/>
      <c r="AK765" s="410"/>
    </row>
    <row r="766" spans="1:37" x14ac:dyDescent="0.2">
      <c r="A766" s="410"/>
      <c r="B766" s="410"/>
      <c r="C766" s="410"/>
      <c r="D766" s="410"/>
      <c r="E766" s="410"/>
      <c r="F766" s="410"/>
      <c r="G766" s="410"/>
      <c r="H766" s="410"/>
      <c r="I766" s="410"/>
      <c r="J766" s="410"/>
      <c r="K766" s="410"/>
      <c r="L766" s="410"/>
      <c r="M766" s="410"/>
      <c r="N766" s="410"/>
      <c r="R766" s="410"/>
      <c r="S766" s="410"/>
      <c r="T766" s="410"/>
      <c r="U766" s="410"/>
      <c r="V766" s="410"/>
      <c r="W766" s="410"/>
      <c r="X766" s="410"/>
      <c r="Y766" s="410"/>
      <c r="Z766" s="410"/>
      <c r="AA766" s="410"/>
      <c r="AB766" s="410"/>
      <c r="AC766" s="410"/>
      <c r="AD766" s="410"/>
      <c r="AE766" s="410"/>
      <c r="AF766" s="410"/>
      <c r="AG766" s="410"/>
      <c r="AH766" s="410"/>
      <c r="AI766" s="410"/>
      <c r="AJ766" s="410"/>
      <c r="AK766" s="410"/>
    </row>
    <row r="767" spans="1:37" x14ac:dyDescent="0.2">
      <c r="A767" s="410"/>
      <c r="B767" s="410"/>
      <c r="C767" s="410"/>
      <c r="D767" s="410"/>
      <c r="E767" s="410"/>
      <c r="F767" s="410"/>
      <c r="G767" s="410"/>
      <c r="H767" s="410"/>
      <c r="I767" s="410"/>
      <c r="J767" s="410"/>
      <c r="K767" s="410"/>
      <c r="L767" s="410"/>
      <c r="M767" s="410"/>
      <c r="N767" s="410"/>
      <c r="R767" s="410"/>
      <c r="S767" s="410"/>
      <c r="T767" s="410"/>
      <c r="U767" s="410"/>
      <c r="V767" s="410"/>
      <c r="W767" s="410"/>
      <c r="X767" s="410"/>
      <c r="Y767" s="410"/>
      <c r="Z767" s="410"/>
      <c r="AA767" s="410"/>
      <c r="AB767" s="410"/>
      <c r="AC767" s="410"/>
      <c r="AD767" s="410"/>
      <c r="AE767" s="410"/>
      <c r="AF767" s="410"/>
      <c r="AG767" s="410"/>
      <c r="AH767" s="410"/>
      <c r="AI767" s="410"/>
      <c r="AJ767" s="410"/>
      <c r="AK767" s="410"/>
    </row>
    <row r="768" spans="1:37" x14ac:dyDescent="0.2">
      <c r="A768" s="410"/>
      <c r="B768" s="410"/>
      <c r="C768" s="410"/>
      <c r="D768" s="410"/>
      <c r="E768" s="410"/>
      <c r="F768" s="410"/>
      <c r="G768" s="410"/>
      <c r="H768" s="410"/>
      <c r="I768" s="410"/>
      <c r="J768" s="410"/>
      <c r="K768" s="410"/>
      <c r="L768" s="410"/>
      <c r="M768" s="410"/>
      <c r="N768" s="410"/>
      <c r="R768" s="410"/>
      <c r="S768" s="410"/>
      <c r="T768" s="410"/>
      <c r="U768" s="410"/>
      <c r="V768" s="410"/>
      <c r="W768" s="410"/>
      <c r="X768" s="410"/>
      <c r="Y768" s="410"/>
      <c r="Z768" s="410"/>
      <c r="AA768" s="410"/>
      <c r="AB768" s="410"/>
      <c r="AC768" s="410"/>
      <c r="AD768" s="410"/>
      <c r="AE768" s="410"/>
      <c r="AF768" s="410"/>
      <c r="AG768" s="410"/>
      <c r="AH768" s="410"/>
      <c r="AI768" s="410"/>
      <c r="AJ768" s="410"/>
      <c r="AK768" s="410"/>
    </row>
    <row r="769" spans="1:37" x14ac:dyDescent="0.2">
      <c r="A769" s="410"/>
      <c r="B769" s="410"/>
      <c r="C769" s="410"/>
      <c r="D769" s="410"/>
      <c r="E769" s="410"/>
      <c r="F769" s="410"/>
      <c r="G769" s="410"/>
      <c r="H769" s="410"/>
      <c r="I769" s="410"/>
      <c r="J769" s="410"/>
      <c r="K769" s="410"/>
      <c r="L769" s="410"/>
      <c r="M769" s="410"/>
      <c r="N769" s="410"/>
      <c r="R769" s="410"/>
      <c r="S769" s="410"/>
      <c r="T769" s="410"/>
      <c r="U769" s="410"/>
      <c r="V769" s="410"/>
      <c r="W769" s="410"/>
      <c r="X769" s="410"/>
      <c r="Y769" s="410"/>
      <c r="Z769" s="410"/>
      <c r="AA769" s="410"/>
      <c r="AB769" s="410"/>
      <c r="AC769" s="410"/>
      <c r="AD769" s="410"/>
      <c r="AE769" s="410"/>
      <c r="AF769" s="410"/>
      <c r="AG769" s="410"/>
      <c r="AH769" s="410"/>
      <c r="AI769" s="410"/>
      <c r="AJ769" s="410"/>
      <c r="AK769" s="410"/>
    </row>
    <row r="770" spans="1:37" x14ac:dyDescent="0.2">
      <c r="A770" s="410"/>
      <c r="B770" s="410"/>
      <c r="C770" s="410"/>
      <c r="D770" s="410"/>
      <c r="E770" s="410"/>
      <c r="F770" s="410"/>
      <c r="G770" s="410"/>
      <c r="H770" s="410"/>
      <c r="I770" s="410"/>
      <c r="J770" s="410"/>
      <c r="K770" s="410"/>
      <c r="L770" s="410"/>
      <c r="M770" s="410"/>
      <c r="N770" s="410"/>
      <c r="R770" s="410"/>
      <c r="S770" s="410"/>
      <c r="T770" s="410"/>
      <c r="U770" s="410"/>
      <c r="V770" s="410"/>
      <c r="W770" s="410"/>
      <c r="X770" s="410"/>
      <c r="Y770" s="410"/>
      <c r="Z770" s="410"/>
      <c r="AA770" s="410"/>
      <c r="AB770" s="410"/>
      <c r="AC770" s="410"/>
      <c r="AD770" s="410"/>
      <c r="AE770" s="410"/>
      <c r="AF770" s="410"/>
      <c r="AG770" s="410"/>
      <c r="AH770" s="410"/>
      <c r="AI770" s="410"/>
      <c r="AJ770" s="410"/>
      <c r="AK770" s="410"/>
    </row>
    <row r="771" spans="1:37" x14ac:dyDescent="0.2">
      <c r="A771" s="410"/>
      <c r="B771" s="410"/>
      <c r="C771" s="410"/>
      <c r="D771" s="410"/>
      <c r="E771" s="410"/>
      <c r="F771" s="410"/>
      <c r="G771" s="410"/>
      <c r="H771" s="410"/>
      <c r="I771" s="410"/>
      <c r="J771" s="410"/>
      <c r="K771" s="410"/>
      <c r="L771" s="410"/>
      <c r="M771" s="410"/>
      <c r="N771" s="410"/>
      <c r="R771" s="410"/>
      <c r="S771" s="410"/>
      <c r="T771" s="410"/>
      <c r="U771" s="410"/>
      <c r="V771" s="410"/>
      <c r="W771" s="410"/>
      <c r="X771" s="410"/>
      <c r="Y771" s="410"/>
      <c r="Z771" s="410"/>
      <c r="AA771" s="410"/>
      <c r="AB771" s="410"/>
      <c r="AC771" s="410"/>
      <c r="AD771" s="410"/>
      <c r="AE771" s="410"/>
      <c r="AF771" s="410"/>
      <c r="AG771" s="410"/>
      <c r="AH771" s="410"/>
      <c r="AI771" s="410"/>
      <c r="AJ771" s="410"/>
      <c r="AK771" s="410"/>
    </row>
    <row r="772" spans="1:37" x14ac:dyDescent="0.2">
      <c r="A772" s="410"/>
      <c r="B772" s="410"/>
      <c r="C772" s="410"/>
      <c r="D772" s="410"/>
      <c r="E772" s="410"/>
      <c r="F772" s="410"/>
      <c r="G772" s="410"/>
      <c r="H772" s="410"/>
      <c r="I772" s="410"/>
      <c r="J772" s="410"/>
      <c r="K772" s="410"/>
      <c r="L772" s="410"/>
      <c r="M772" s="410"/>
      <c r="N772" s="410"/>
      <c r="R772" s="410"/>
      <c r="S772" s="410"/>
      <c r="T772" s="410"/>
      <c r="U772" s="410"/>
      <c r="V772" s="410"/>
      <c r="W772" s="410"/>
      <c r="X772" s="410"/>
      <c r="Y772" s="410"/>
      <c r="Z772" s="410"/>
      <c r="AA772" s="410"/>
      <c r="AB772" s="410"/>
      <c r="AC772" s="410"/>
      <c r="AD772" s="410"/>
      <c r="AE772" s="410"/>
      <c r="AF772" s="410"/>
      <c r="AG772" s="410"/>
      <c r="AH772" s="410"/>
      <c r="AI772" s="410"/>
      <c r="AJ772" s="410"/>
      <c r="AK772" s="410"/>
    </row>
    <row r="773" spans="1:37" x14ac:dyDescent="0.2">
      <c r="A773" s="410"/>
      <c r="B773" s="410"/>
      <c r="C773" s="410"/>
      <c r="D773" s="410"/>
      <c r="E773" s="410"/>
      <c r="F773" s="410"/>
      <c r="G773" s="410"/>
      <c r="H773" s="410"/>
      <c r="I773" s="410"/>
      <c r="J773" s="410"/>
      <c r="K773" s="410"/>
      <c r="L773" s="410"/>
      <c r="M773" s="410"/>
      <c r="N773" s="410"/>
      <c r="R773" s="410"/>
      <c r="S773" s="410"/>
      <c r="T773" s="410"/>
      <c r="U773" s="410"/>
      <c r="V773" s="410"/>
      <c r="W773" s="410"/>
      <c r="X773" s="410"/>
      <c r="Y773" s="410"/>
      <c r="Z773" s="410"/>
      <c r="AA773" s="410"/>
      <c r="AB773" s="410"/>
      <c r="AC773" s="410"/>
      <c r="AD773" s="410"/>
      <c r="AE773" s="410"/>
      <c r="AF773" s="410"/>
      <c r="AG773" s="410"/>
      <c r="AH773" s="410"/>
      <c r="AI773" s="410"/>
      <c r="AJ773" s="410"/>
      <c r="AK773" s="410"/>
    </row>
    <row r="774" spans="1:37" x14ac:dyDescent="0.2">
      <c r="A774" s="410"/>
      <c r="B774" s="410"/>
      <c r="C774" s="410"/>
      <c r="D774" s="410"/>
      <c r="E774" s="410"/>
      <c r="F774" s="410"/>
      <c r="G774" s="410"/>
      <c r="H774" s="410"/>
      <c r="I774" s="410"/>
      <c r="J774" s="410"/>
      <c r="K774" s="410"/>
      <c r="L774" s="410"/>
      <c r="M774" s="410"/>
      <c r="N774" s="410"/>
      <c r="R774" s="410"/>
      <c r="S774" s="410"/>
      <c r="T774" s="410"/>
      <c r="U774" s="410"/>
      <c r="V774" s="410"/>
      <c r="W774" s="410"/>
      <c r="X774" s="410"/>
      <c r="Y774" s="410"/>
      <c r="Z774" s="410"/>
      <c r="AA774" s="410"/>
      <c r="AB774" s="410"/>
      <c r="AC774" s="410"/>
      <c r="AD774" s="410"/>
      <c r="AE774" s="410"/>
      <c r="AF774" s="410"/>
      <c r="AG774" s="410"/>
      <c r="AH774" s="410"/>
      <c r="AI774" s="410"/>
      <c r="AJ774" s="410"/>
      <c r="AK774" s="410"/>
    </row>
    <row r="775" spans="1:37" x14ac:dyDescent="0.2">
      <c r="A775" s="410"/>
      <c r="B775" s="410"/>
      <c r="C775" s="410"/>
      <c r="D775" s="410"/>
      <c r="E775" s="410"/>
      <c r="F775" s="410"/>
      <c r="G775" s="410"/>
      <c r="H775" s="410"/>
      <c r="I775" s="410"/>
      <c r="J775" s="410"/>
      <c r="K775" s="410"/>
      <c r="L775" s="410"/>
      <c r="M775" s="410"/>
      <c r="N775" s="410"/>
      <c r="R775" s="410"/>
      <c r="S775" s="410"/>
      <c r="T775" s="410"/>
      <c r="U775" s="410"/>
      <c r="V775" s="410"/>
      <c r="W775" s="410"/>
      <c r="X775" s="410"/>
      <c r="Y775" s="410"/>
      <c r="Z775" s="410"/>
      <c r="AA775" s="410"/>
      <c r="AB775" s="410"/>
      <c r="AC775" s="410"/>
      <c r="AD775" s="410"/>
      <c r="AE775" s="410"/>
      <c r="AF775" s="410"/>
      <c r="AG775" s="410"/>
      <c r="AH775" s="410"/>
      <c r="AI775" s="410"/>
      <c r="AJ775" s="410"/>
      <c r="AK775" s="410"/>
    </row>
    <row r="776" spans="1:37" x14ac:dyDescent="0.2">
      <c r="A776" s="410"/>
      <c r="B776" s="410"/>
      <c r="C776" s="410"/>
      <c r="D776" s="410"/>
      <c r="E776" s="410"/>
      <c r="F776" s="410"/>
      <c r="G776" s="410"/>
      <c r="H776" s="410"/>
      <c r="I776" s="410"/>
      <c r="J776" s="410"/>
      <c r="K776" s="410"/>
      <c r="L776" s="410"/>
      <c r="M776" s="410"/>
      <c r="N776" s="410"/>
      <c r="R776" s="410"/>
      <c r="S776" s="410"/>
      <c r="T776" s="410"/>
      <c r="U776" s="410"/>
      <c r="V776" s="410"/>
      <c r="W776" s="410"/>
      <c r="X776" s="410"/>
      <c r="Y776" s="410"/>
      <c r="Z776" s="410"/>
      <c r="AA776" s="410"/>
      <c r="AB776" s="410"/>
      <c r="AC776" s="410"/>
      <c r="AD776" s="410"/>
      <c r="AE776" s="410"/>
      <c r="AF776" s="410"/>
      <c r="AG776" s="410"/>
      <c r="AH776" s="410"/>
      <c r="AI776" s="410"/>
      <c r="AJ776" s="410"/>
      <c r="AK776" s="410"/>
    </row>
    <row r="777" spans="1:37" x14ac:dyDescent="0.2">
      <c r="A777" s="410"/>
      <c r="B777" s="410"/>
      <c r="C777" s="410"/>
      <c r="D777" s="410"/>
      <c r="E777" s="410"/>
      <c r="F777" s="410"/>
      <c r="G777" s="410"/>
      <c r="H777" s="410"/>
      <c r="I777" s="410"/>
      <c r="J777" s="410"/>
      <c r="K777" s="410"/>
      <c r="L777" s="410"/>
      <c r="M777" s="410"/>
      <c r="N777" s="410"/>
      <c r="R777" s="410"/>
      <c r="S777" s="410"/>
      <c r="T777" s="410"/>
      <c r="U777" s="410"/>
      <c r="V777" s="410"/>
      <c r="W777" s="410"/>
      <c r="X777" s="410"/>
      <c r="Y777" s="410"/>
      <c r="Z777" s="410"/>
      <c r="AA777" s="410"/>
      <c r="AB777" s="410"/>
      <c r="AC777" s="410"/>
      <c r="AD777" s="410"/>
      <c r="AE777" s="410"/>
      <c r="AF777" s="410"/>
      <c r="AG777" s="410"/>
      <c r="AH777" s="410"/>
      <c r="AI777" s="410"/>
      <c r="AJ777" s="410"/>
      <c r="AK777" s="410"/>
    </row>
    <row r="778" spans="1:37" x14ac:dyDescent="0.2">
      <c r="A778" s="410"/>
      <c r="B778" s="410"/>
      <c r="C778" s="410"/>
      <c r="D778" s="410"/>
      <c r="E778" s="410"/>
      <c r="F778" s="410"/>
      <c r="G778" s="410"/>
      <c r="H778" s="410"/>
      <c r="I778" s="410"/>
      <c r="J778" s="410"/>
      <c r="K778" s="410"/>
      <c r="L778" s="410"/>
      <c r="M778" s="410"/>
      <c r="N778" s="410"/>
      <c r="R778" s="410"/>
      <c r="S778" s="410"/>
      <c r="T778" s="410"/>
      <c r="U778" s="410"/>
      <c r="V778" s="410"/>
      <c r="W778" s="410"/>
      <c r="X778" s="410"/>
      <c r="Y778" s="410"/>
      <c r="Z778" s="410"/>
      <c r="AA778" s="410"/>
      <c r="AB778" s="410"/>
      <c r="AC778" s="410"/>
      <c r="AD778" s="410"/>
      <c r="AE778" s="410"/>
      <c r="AF778" s="410"/>
      <c r="AG778" s="410"/>
      <c r="AH778" s="410"/>
      <c r="AI778" s="410"/>
      <c r="AJ778" s="410"/>
      <c r="AK778" s="410"/>
    </row>
    <row r="779" spans="1:37" x14ac:dyDescent="0.2">
      <c r="A779" s="410"/>
      <c r="B779" s="410"/>
      <c r="C779" s="410"/>
      <c r="D779" s="410"/>
      <c r="E779" s="410"/>
      <c r="F779" s="410"/>
      <c r="G779" s="410"/>
      <c r="H779" s="410"/>
      <c r="I779" s="410"/>
      <c r="J779" s="410"/>
      <c r="K779" s="410"/>
      <c r="L779" s="410"/>
      <c r="M779" s="410"/>
      <c r="N779" s="410"/>
      <c r="R779" s="410"/>
      <c r="S779" s="410"/>
      <c r="T779" s="410"/>
      <c r="U779" s="410"/>
      <c r="V779" s="410"/>
      <c r="W779" s="410"/>
      <c r="X779" s="410"/>
      <c r="Y779" s="410"/>
      <c r="Z779" s="410"/>
      <c r="AA779" s="410"/>
      <c r="AB779" s="410"/>
      <c r="AC779" s="410"/>
      <c r="AD779" s="410"/>
      <c r="AE779" s="410"/>
      <c r="AF779" s="410"/>
      <c r="AG779" s="410"/>
      <c r="AH779" s="410"/>
      <c r="AI779" s="410"/>
      <c r="AJ779" s="410"/>
      <c r="AK779" s="410"/>
    </row>
    <row r="780" spans="1:37" x14ac:dyDescent="0.2">
      <c r="A780" s="410"/>
      <c r="B780" s="410"/>
      <c r="C780" s="410"/>
      <c r="D780" s="410"/>
      <c r="E780" s="410"/>
      <c r="F780" s="410"/>
      <c r="G780" s="410"/>
      <c r="H780" s="410"/>
      <c r="I780" s="410"/>
      <c r="J780" s="410"/>
      <c r="K780" s="410"/>
      <c r="L780" s="410"/>
      <c r="M780" s="410"/>
      <c r="N780" s="410"/>
      <c r="R780" s="410"/>
      <c r="S780" s="410"/>
      <c r="T780" s="410"/>
      <c r="U780" s="410"/>
      <c r="V780" s="410"/>
      <c r="W780" s="410"/>
      <c r="X780" s="410"/>
      <c r="Y780" s="410"/>
      <c r="Z780" s="410"/>
      <c r="AA780" s="410"/>
      <c r="AB780" s="410"/>
      <c r="AC780" s="410"/>
      <c r="AD780" s="410"/>
      <c r="AE780" s="410"/>
      <c r="AF780" s="410"/>
      <c r="AG780" s="410"/>
      <c r="AH780" s="410"/>
      <c r="AI780" s="410"/>
      <c r="AJ780" s="410"/>
      <c r="AK780" s="410"/>
    </row>
    <row r="781" spans="1:37" x14ac:dyDescent="0.2">
      <c r="A781" s="410"/>
      <c r="B781" s="410"/>
      <c r="C781" s="410"/>
      <c r="D781" s="410"/>
      <c r="E781" s="410"/>
      <c r="F781" s="410"/>
      <c r="G781" s="410"/>
      <c r="H781" s="410"/>
      <c r="I781" s="410"/>
      <c r="J781" s="410"/>
      <c r="K781" s="410"/>
      <c r="L781" s="410"/>
      <c r="M781" s="410"/>
      <c r="N781" s="410"/>
      <c r="R781" s="410"/>
      <c r="S781" s="410"/>
      <c r="T781" s="410"/>
      <c r="U781" s="410"/>
      <c r="V781" s="410"/>
      <c r="W781" s="410"/>
      <c r="X781" s="410"/>
      <c r="Y781" s="410"/>
      <c r="Z781" s="410"/>
      <c r="AA781" s="410"/>
      <c r="AB781" s="410"/>
      <c r="AC781" s="410"/>
      <c r="AD781" s="410"/>
      <c r="AE781" s="410"/>
      <c r="AF781" s="410"/>
      <c r="AG781" s="410"/>
      <c r="AH781" s="410"/>
      <c r="AI781" s="410"/>
      <c r="AJ781" s="410"/>
      <c r="AK781" s="410"/>
    </row>
    <row r="782" spans="1:37" x14ac:dyDescent="0.2">
      <c r="A782" s="410"/>
      <c r="B782" s="410"/>
      <c r="C782" s="410"/>
      <c r="D782" s="410"/>
      <c r="E782" s="410"/>
      <c r="F782" s="410"/>
      <c r="G782" s="410"/>
      <c r="H782" s="410"/>
      <c r="I782" s="410"/>
      <c r="J782" s="410"/>
      <c r="K782" s="410"/>
      <c r="L782" s="410"/>
      <c r="M782" s="410"/>
      <c r="N782" s="410"/>
      <c r="R782" s="410"/>
      <c r="S782" s="410"/>
      <c r="T782" s="410"/>
      <c r="U782" s="410"/>
      <c r="V782" s="410"/>
      <c r="W782" s="410"/>
      <c r="X782" s="410"/>
      <c r="Y782" s="410"/>
      <c r="Z782" s="410"/>
      <c r="AA782" s="410"/>
      <c r="AB782" s="410"/>
      <c r="AC782" s="410"/>
      <c r="AD782" s="410"/>
      <c r="AE782" s="410"/>
      <c r="AF782" s="410"/>
      <c r="AG782" s="410"/>
      <c r="AH782" s="410"/>
      <c r="AI782" s="410"/>
      <c r="AJ782" s="410"/>
      <c r="AK782" s="410"/>
    </row>
    <row r="783" spans="1:37" x14ac:dyDescent="0.2">
      <c r="A783" s="410"/>
      <c r="B783" s="410"/>
      <c r="C783" s="410"/>
      <c r="D783" s="410"/>
      <c r="E783" s="410"/>
      <c r="F783" s="410"/>
      <c r="G783" s="410"/>
      <c r="H783" s="410"/>
      <c r="I783" s="410"/>
      <c r="J783" s="410"/>
      <c r="K783" s="410"/>
      <c r="L783" s="410"/>
      <c r="M783" s="410"/>
      <c r="N783" s="410"/>
      <c r="R783" s="410"/>
      <c r="S783" s="410"/>
      <c r="T783" s="410"/>
      <c r="U783" s="410"/>
      <c r="V783" s="410"/>
      <c r="W783" s="410"/>
      <c r="X783" s="410"/>
      <c r="Y783" s="410"/>
    </row>
    <row r="784" spans="1:37" x14ac:dyDescent="0.2">
      <c r="A784" s="410"/>
      <c r="B784" s="410"/>
      <c r="C784" s="410"/>
      <c r="D784" s="410"/>
      <c r="E784" s="410"/>
      <c r="F784" s="410"/>
      <c r="G784" s="410"/>
      <c r="H784" s="410"/>
      <c r="I784" s="410"/>
      <c r="J784" s="410"/>
      <c r="K784" s="410"/>
      <c r="L784" s="410"/>
      <c r="M784" s="410"/>
      <c r="N784" s="410"/>
      <c r="R784" s="410"/>
      <c r="S784" s="410"/>
      <c r="T784" s="410"/>
      <c r="U784" s="410"/>
      <c r="V784" s="410"/>
      <c r="W784" s="410"/>
      <c r="X784" s="410"/>
      <c r="Y784" s="410"/>
    </row>
    <row r="785" spans="1:25" x14ac:dyDescent="0.2">
      <c r="A785" s="410"/>
      <c r="B785" s="410"/>
      <c r="C785" s="410"/>
      <c r="D785" s="410"/>
      <c r="E785" s="410"/>
      <c r="F785" s="410"/>
      <c r="G785" s="410"/>
      <c r="H785" s="410"/>
      <c r="I785" s="410"/>
      <c r="J785" s="410"/>
      <c r="K785" s="410"/>
      <c r="L785" s="410"/>
      <c r="M785" s="410"/>
      <c r="N785" s="410"/>
      <c r="R785" s="410"/>
      <c r="S785" s="410"/>
      <c r="T785" s="410"/>
      <c r="U785" s="410"/>
      <c r="V785" s="410"/>
      <c r="W785" s="410"/>
      <c r="X785" s="410"/>
      <c r="Y785" s="410"/>
    </row>
    <row r="786" spans="1:25" x14ac:dyDescent="0.2">
      <c r="A786" s="410"/>
      <c r="B786" s="410"/>
      <c r="C786" s="410"/>
      <c r="D786" s="410"/>
      <c r="E786" s="410"/>
      <c r="F786" s="410"/>
      <c r="G786" s="410"/>
      <c r="H786" s="410"/>
      <c r="I786" s="410"/>
      <c r="J786" s="410"/>
      <c r="K786" s="410"/>
      <c r="L786" s="410"/>
      <c r="M786" s="410"/>
      <c r="N786" s="410"/>
      <c r="R786" s="410"/>
      <c r="S786" s="410"/>
      <c r="T786" s="410"/>
      <c r="U786" s="410"/>
      <c r="V786" s="410"/>
      <c r="W786" s="410"/>
      <c r="X786" s="410"/>
      <c r="Y786" s="410"/>
    </row>
    <row r="787" spans="1:25" x14ac:dyDescent="0.2">
      <c r="A787" s="410"/>
      <c r="B787" s="410"/>
      <c r="C787" s="410"/>
      <c r="D787" s="410"/>
      <c r="E787" s="410"/>
      <c r="F787" s="410"/>
      <c r="G787" s="410"/>
      <c r="H787" s="410"/>
      <c r="I787" s="410"/>
      <c r="J787" s="410"/>
      <c r="K787" s="410"/>
      <c r="L787" s="410"/>
      <c r="M787" s="410"/>
      <c r="N787" s="410"/>
      <c r="R787" s="410"/>
      <c r="S787" s="410"/>
      <c r="T787" s="410"/>
      <c r="U787" s="410"/>
      <c r="V787" s="410"/>
      <c r="W787" s="410"/>
      <c r="X787" s="410"/>
      <c r="Y787" s="410"/>
    </row>
    <row r="788" spans="1:25" x14ac:dyDescent="0.2">
      <c r="A788" s="410"/>
      <c r="B788" s="410"/>
      <c r="C788" s="410"/>
      <c r="D788" s="410"/>
      <c r="E788" s="410"/>
      <c r="F788" s="410"/>
      <c r="G788" s="410"/>
      <c r="H788" s="410"/>
      <c r="I788" s="410"/>
      <c r="J788" s="410"/>
      <c r="K788" s="410"/>
      <c r="L788" s="410"/>
      <c r="M788" s="410"/>
      <c r="N788" s="410"/>
      <c r="R788" s="410"/>
      <c r="S788" s="410"/>
      <c r="T788" s="410"/>
      <c r="U788" s="410"/>
      <c r="V788" s="410"/>
      <c r="W788" s="410"/>
      <c r="X788" s="410"/>
      <c r="Y788" s="410"/>
    </row>
    <row r="789" spans="1:25" x14ac:dyDescent="0.2">
      <c r="A789" s="410"/>
      <c r="B789" s="410"/>
      <c r="C789" s="410"/>
      <c r="D789" s="410"/>
      <c r="E789" s="410"/>
      <c r="F789" s="410"/>
      <c r="G789" s="410"/>
      <c r="H789" s="410"/>
      <c r="I789" s="410"/>
      <c r="J789" s="410"/>
      <c r="K789" s="410"/>
      <c r="L789" s="410"/>
      <c r="M789" s="410"/>
      <c r="N789" s="410"/>
      <c r="R789" s="410"/>
      <c r="S789" s="410"/>
      <c r="T789" s="410"/>
      <c r="U789" s="410"/>
      <c r="V789" s="410"/>
      <c r="W789" s="410"/>
      <c r="X789" s="410"/>
      <c r="Y789" s="410"/>
    </row>
    <row r="790" spans="1:25" x14ac:dyDescent="0.2">
      <c r="A790" s="410"/>
      <c r="B790" s="410"/>
      <c r="C790" s="410"/>
      <c r="D790" s="410"/>
      <c r="E790" s="410"/>
      <c r="F790" s="410"/>
      <c r="G790" s="410"/>
      <c r="H790" s="410"/>
      <c r="I790" s="410"/>
      <c r="J790" s="410"/>
      <c r="K790" s="410"/>
      <c r="L790" s="410"/>
      <c r="M790" s="410"/>
      <c r="N790" s="410"/>
      <c r="R790" s="410"/>
      <c r="S790" s="410"/>
      <c r="T790" s="410"/>
      <c r="U790" s="410"/>
      <c r="V790" s="410"/>
      <c r="W790" s="410"/>
      <c r="X790" s="410"/>
      <c r="Y790" s="410"/>
    </row>
    <row r="791" spans="1:25" x14ac:dyDescent="0.2">
      <c r="A791" s="410"/>
      <c r="B791" s="410"/>
      <c r="C791" s="410"/>
      <c r="D791" s="410"/>
      <c r="E791" s="410"/>
      <c r="F791" s="410"/>
      <c r="G791" s="410"/>
      <c r="H791" s="410"/>
      <c r="I791" s="410"/>
      <c r="J791" s="410"/>
      <c r="K791" s="410"/>
      <c r="L791" s="410"/>
      <c r="M791" s="410"/>
      <c r="N791" s="410"/>
      <c r="R791" s="410"/>
      <c r="S791" s="410"/>
      <c r="T791" s="410"/>
      <c r="U791" s="410"/>
      <c r="V791" s="410"/>
      <c r="W791" s="410"/>
      <c r="X791" s="410"/>
      <c r="Y791" s="410"/>
    </row>
    <row r="792" spans="1:25" x14ac:dyDescent="0.2">
      <c r="A792" s="410"/>
      <c r="B792" s="410"/>
      <c r="C792" s="410"/>
      <c r="D792" s="410"/>
      <c r="E792" s="410"/>
      <c r="F792" s="410"/>
      <c r="G792" s="410"/>
      <c r="H792" s="410"/>
      <c r="I792" s="410"/>
      <c r="J792" s="410"/>
      <c r="K792" s="410"/>
      <c r="L792" s="410"/>
      <c r="M792" s="410"/>
      <c r="N792" s="410"/>
      <c r="R792" s="410"/>
      <c r="S792" s="410"/>
      <c r="T792" s="410"/>
      <c r="U792" s="410"/>
      <c r="V792" s="410"/>
      <c r="W792" s="410"/>
      <c r="X792" s="410"/>
      <c r="Y792" s="410"/>
    </row>
    <row r="793" spans="1:25" x14ac:dyDescent="0.2">
      <c r="A793" s="410"/>
      <c r="B793" s="410"/>
      <c r="C793" s="410"/>
      <c r="D793" s="410"/>
      <c r="E793" s="410"/>
      <c r="F793" s="410"/>
      <c r="G793" s="410"/>
      <c r="H793" s="410"/>
      <c r="I793" s="410"/>
      <c r="J793" s="410"/>
      <c r="K793" s="410"/>
      <c r="L793" s="410"/>
      <c r="M793" s="410"/>
      <c r="N793" s="410"/>
      <c r="R793" s="410"/>
      <c r="S793" s="410"/>
      <c r="T793" s="410"/>
      <c r="U793" s="410"/>
      <c r="V793" s="410"/>
      <c r="W793" s="410"/>
      <c r="X793" s="410"/>
      <c r="Y793" s="410"/>
    </row>
    <row r="794" spans="1:25" x14ac:dyDescent="0.2">
      <c r="A794" s="410"/>
      <c r="B794" s="410"/>
      <c r="C794" s="410"/>
      <c r="D794" s="410"/>
      <c r="E794" s="410"/>
      <c r="F794" s="410"/>
      <c r="G794" s="410"/>
      <c r="H794" s="410"/>
      <c r="I794" s="410"/>
      <c r="J794" s="410"/>
      <c r="K794" s="410"/>
      <c r="L794" s="410"/>
      <c r="M794" s="410"/>
      <c r="N794" s="410"/>
      <c r="R794" s="410"/>
      <c r="S794" s="410"/>
      <c r="T794" s="410"/>
      <c r="U794" s="410"/>
      <c r="V794" s="410"/>
      <c r="W794" s="410"/>
      <c r="X794" s="410"/>
      <c r="Y794" s="410"/>
    </row>
    <row r="795" spans="1:25" x14ac:dyDescent="0.2">
      <c r="A795" s="410"/>
      <c r="B795" s="410"/>
      <c r="C795" s="410"/>
      <c r="D795" s="410"/>
      <c r="E795" s="410"/>
      <c r="F795" s="410"/>
      <c r="G795" s="410"/>
      <c r="H795" s="410"/>
      <c r="I795" s="410"/>
      <c r="J795" s="410"/>
      <c r="K795" s="410"/>
      <c r="L795" s="410"/>
      <c r="M795" s="410"/>
      <c r="N795" s="410"/>
      <c r="R795" s="410"/>
      <c r="S795" s="410"/>
      <c r="T795" s="410"/>
      <c r="U795" s="410"/>
      <c r="V795" s="410"/>
      <c r="W795" s="410"/>
      <c r="X795" s="410"/>
      <c r="Y795" s="410"/>
    </row>
    <row r="796" spans="1:25" x14ac:dyDescent="0.2">
      <c r="A796" s="410"/>
      <c r="B796" s="410"/>
      <c r="C796" s="410"/>
      <c r="D796" s="410"/>
      <c r="E796" s="410"/>
      <c r="F796" s="410"/>
      <c r="G796" s="410"/>
      <c r="H796" s="410"/>
      <c r="I796" s="410"/>
      <c r="J796" s="410"/>
      <c r="K796" s="410"/>
      <c r="L796" s="410"/>
      <c r="M796" s="410"/>
      <c r="N796" s="410"/>
      <c r="R796" s="410"/>
      <c r="S796" s="410"/>
      <c r="T796" s="410"/>
      <c r="U796" s="410"/>
      <c r="V796" s="410"/>
      <c r="W796" s="410"/>
      <c r="X796" s="410"/>
      <c r="Y796" s="410"/>
    </row>
    <row r="797" spans="1:25" x14ac:dyDescent="0.2">
      <c r="A797" s="410"/>
      <c r="B797" s="410"/>
      <c r="C797" s="410"/>
      <c r="D797" s="410"/>
      <c r="E797" s="410"/>
      <c r="F797" s="410"/>
      <c r="G797" s="410"/>
      <c r="H797" s="410"/>
      <c r="I797" s="410"/>
      <c r="J797" s="410"/>
      <c r="K797" s="410"/>
      <c r="L797" s="410"/>
      <c r="M797" s="410"/>
      <c r="N797" s="410"/>
      <c r="R797" s="410"/>
      <c r="S797" s="410"/>
      <c r="T797" s="410"/>
      <c r="U797" s="410"/>
      <c r="V797" s="410"/>
      <c r="W797" s="410"/>
      <c r="X797" s="410"/>
      <c r="Y797" s="410"/>
    </row>
    <row r="798" spans="1:25" x14ac:dyDescent="0.2">
      <c r="A798" s="410"/>
      <c r="B798" s="410"/>
      <c r="C798" s="410"/>
      <c r="D798" s="410"/>
      <c r="E798" s="410"/>
      <c r="F798" s="410"/>
      <c r="G798" s="410"/>
      <c r="H798" s="410"/>
      <c r="I798" s="410"/>
      <c r="J798" s="410"/>
      <c r="K798" s="410"/>
      <c r="L798" s="410"/>
      <c r="M798" s="410"/>
      <c r="N798" s="410"/>
      <c r="R798" s="410"/>
      <c r="S798" s="410"/>
      <c r="T798" s="410"/>
      <c r="U798" s="410"/>
      <c r="V798" s="410"/>
      <c r="W798" s="410"/>
      <c r="X798" s="410"/>
      <c r="Y798" s="410"/>
    </row>
    <row r="799" spans="1:25" x14ac:dyDescent="0.2">
      <c r="A799" s="410"/>
      <c r="B799" s="410"/>
      <c r="C799" s="410"/>
      <c r="D799" s="410"/>
      <c r="E799" s="410"/>
      <c r="F799" s="410"/>
      <c r="G799" s="410"/>
      <c r="H799" s="410"/>
      <c r="I799" s="410"/>
      <c r="J799" s="410"/>
      <c r="K799" s="410"/>
      <c r="L799" s="410"/>
      <c r="M799" s="410"/>
      <c r="N799" s="410"/>
      <c r="R799" s="410"/>
      <c r="S799" s="410"/>
      <c r="T799" s="410"/>
      <c r="U799" s="410"/>
      <c r="V799" s="410"/>
      <c r="W799" s="410"/>
      <c r="X799" s="410"/>
      <c r="Y799" s="410"/>
    </row>
    <row r="800" spans="1:25" x14ac:dyDescent="0.2">
      <c r="A800" s="410"/>
      <c r="B800" s="410"/>
      <c r="C800" s="410"/>
      <c r="D800" s="410"/>
      <c r="E800" s="410"/>
      <c r="F800" s="410"/>
      <c r="G800" s="410"/>
      <c r="H800" s="410"/>
      <c r="I800" s="410"/>
      <c r="J800" s="410"/>
      <c r="K800" s="410"/>
      <c r="L800" s="410"/>
      <c r="M800" s="410"/>
      <c r="N800" s="410"/>
      <c r="R800" s="410"/>
      <c r="S800" s="410"/>
      <c r="T800" s="410"/>
      <c r="U800" s="410"/>
      <c r="V800" s="410"/>
      <c r="W800" s="410"/>
      <c r="X800" s="410"/>
      <c r="Y800" s="410"/>
    </row>
    <row r="801" spans="1:25" x14ac:dyDescent="0.2">
      <c r="A801" s="410"/>
      <c r="B801" s="410"/>
      <c r="C801" s="410"/>
      <c r="D801" s="410"/>
      <c r="E801" s="410"/>
      <c r="F801" s="410"/>
      <c r="G801" s="410"/>
      <c r="H801" s="410"/>
      <c r="I801" s="410"/>
      <c r="J801" s="410"/>
      <c r="K801" s="410"/>
      <c r="L801" s="410"/>
      <c r="M801" s="410"/>
      <c r="N801" s="410"/>
      <c r="R801" s="410"/>
      <c r="S801" s="410"/>
      <c r="T801" s="410"/>
      <c r="U801" s="410"/>
      <c r="V801" s="410"/>
      <c r="W801" s="410"/>
      <c r="X801" s="410"/>
      <c r="Y801" s="410"/>
    </row>
    <row r="802" spans="1:25" x14ac:dyDescent="0.2">
      <c r="A802" s="410"/>
      <c r="B802" s="410"/>
      <c r="C802" s="410"/>
      <c r="D802" s="410"/>
      <c r="E802" s="410"/>
      <c r="F802" s="410"/>
      <c r="G802" s="410"/>
      <c r="H802" s="410"/>
      <c r="I802" s="410"/>
      <c r="J802" s="410"/>
      <c r="K802" s="410"/>
      <c r="L802" s="410"/>
      <c r="M802" s="410"/>
      <c r="N802" s="410"/>
      <c r="R802" s="410"/>
      <c r="S802" s="410"/>
      <c r="T802" s="410"/>
      <c r="U802" s="410"/>
      <c r="V802" s="410"/>
      <c r="W802" s="410"/>
      <c r="X802" s="410"/>
      <c r="Y802" s="410"/>
    </row>
    <row r="803" spans="1:25" x14ac:dyDescent="0.2">
      <c r="A803" s="410"/>
      <c r="B803" s="410"/>
      <c r="C803" s="410"/>
      <c r="D803" s="410"/>
      <c r="E803" s="410"/>
      <c r="F803" s="410"/>
      <c r="G803" s="410"/>
      <c r="H803" s="410"/>
      <c r="I803" s="410"/>
      <c r="J803" s="410"/>
      <c r="K803" s="410"/>
      <c r="L803" s="410"/>
      <c r="M803" s="410"/>
      <c r="N803" s="410"/>
      <c r="R803" s="410"/>
      <c r="S803" s="410"/>
      <c r="T803" s="410"/>
      <c r="U803" s="410"/>
      <c r="V803" s="410"/>
      <c r="W803" s="410"/>
      <c r="X803" s="410"/>
      <c r="Y803" s="410"/>
    </row>
    <row r="804" spans="1:25" x14ac:dyDescent="0.2">
      <c r="A804" s="410"/>
      <c r="B804" s="410"/>
      <c r="C804" s="410"/>
      <c r="D804" s="410"/>
      <c r="E804" s="410"/>
      <c r="F804" s="410"/>
      <c r="G804" s="410"/>
      <c r="H804" s="410"/>
      <c r="I804" s="410"/>
      <c r="J804" s="410"/>
      <c r="K804" s="410"/>
      <c r="L804" s="410"/>
      <c r="M804" s="410"/>
      <c r="N804" s="410"/>
      <c r="R804" s="410"/>
      <c r="S804" s="410"/>
      <c r="T804" s="410"/>
      <c r="U804" s="410"/>
      <c r="V804" s="410"/>
      <c r="W804" s="410"/>
      <c r="X804" s="410"/>
      <c r="Y804" s="410"/>
    </row>
    <row r="805" spans="1:25" x14ac:dyDescent="0.2">
      <c r="A805" s="410"/>
      <c r="B805" s="410"/>
      <c r="C805" s="410"/>
      <c r="D805" s="410"/>
      <c r="E805" s="410"/>
      <c r="F805" s="410"/>
      <c r="G805" s="410"/>
      <c r="H805" s="410"/>
      <c r="I805" s="410"/>
      <c r="J805" s="410"/>
      <c r="K805" s="410"/>
      <c r="L805" s="410"/>
      <c r="M805" s="410"/>
      <c r="N805" s="410"/>
      <c r="R805" s="410"/>
      <c r="S805" s="410"/>
      <c r="T805" s="410"/>
      <c r="U805" s="410"/>
      <c r="V805" s="410"/>
      <c r="W805" s="410"/>
      <c r="X805" s="410"/>
      <c r="Y805" s="410"/>
    </row>
    <row r="806" spans="1:25" x14ac:dyDescent="0.2">
      <c r="A806" s="410"/>
      <c r="B806" s="410"/>
      <c r="C806" s="410"/>
      <c r="D806" s="410"/>
      <c r="E806" s="410"/>
      <c r="F806" s="410"/>
      <c r="G806" s="410"/>
      <c r="H806" s="410"/>
      <c r="I806" s="410"/>
      <c r="J806" s="410"/>
      <c r="K806" s="410"/>
      <c r="L806" s="410"/>
      <c r="M806" s="410"/>
      <c r="N806" s="410"/>
      <c r="R806" s="410"/>
      <c r="S806" s="410"/>
      <c r="T806" s="410"/>
      <c r="U806" s="410"/>
      <c r="V806" s="410"/>
      <c r="W806" s="410"/>
      <c r="X806" s="410"/>
      <c r="Y806" s="410"/>
    </row>
    <row r="807" spans="1:25" x14ac:dyDescent="0.2">
      <c r="A807" s="410"/>
      <c r="B807" s="410"/>
      <c r="C807" s="410"/>
      <c r="D807" s="410"/>
      <c r="E807" s="410"/>
      <c r="F807" s="410"/>
      <c r="G807" s="410"/>
      <c r="H807" s="410"/>
      <c r="I807" s="410"/>
      <c r="J807" s="410"/>
      <c r="K807" s="410"/>
      <c r="L807" s="410"/>
      <c r="M807" s="410"/>
      <c r="N807" s="410"/>
      <c r="R807" s="410"/>
      <c r="S807" s="410"/>
      <c r="T807" s="410"/>
      <c r="U807" s="410"/>
      <c r="V807" s="410"/>
      <c r="W807" s="410"/>
      <c r="X807" s="410"/>
      <c r="Y807" s="410"/>
    </row>
    <row r="808" spans="1:25" x14ac:dyDescent="0.2">
      <c r="A808" s="410"/>
      <c r="B808" s="410"/>
      <c r="C808" s="410"/>
      <c r="D808" s="410"/>
      <c r="E808" s="410"/>
      <c r="F808" s="410"/>
      <c r="G808" s="410"/>
      <c r="H808" s="410"/>
      <c r="I808" s="410"/>
      <c r="J808" s="410"/>
      <c r="K808" s="410"/>
      <c r="L808" s="410"/>
      <c r="M808" s="410"/>
      <c r="N808" s="410"/>
      <c r="R808" s="410"/>
      <c r="S808" s="410"/>
      <c r="T808" s="410"/>
      <c r="U808" s="410"/>
      <c r="V808" s="410"/>
      <c r="W808" s="410"/>
      <c r="X808" s="410"/>
      <c r="Y808" s="410"/>
    </row>
    <row r="809" spans="1:25" x14ac:dyDescent="0.2">
      <c r="A809" s="410"/>
      <c r="B809" s="410"/>
      <c r="C809" s="410"/>
      <c r="D809" s="410"/>
      <c r="E809" s="410"/>
      <c r="F809" s="410"/>
      <c r="G809" s="410"/>
      <c r="H809" s="410"/>
      <c r="I809" s="410"/>
      <c r="J809" s="410"/>
      <c r="K809" s="410"/>
      <c r="L809" s="410"/>
      <c r="M809" s="410"/>
      <c r="N809" s="410"/>
      <c r="R809" s="410"/>
      <c r="S809" s="410"/>
      <c r="T809" s="410"/>
      <c r="U809" s="410"/>
      <c r="V809" s="410"/>
      <c r="W809" s="410"/>
      <c r="X809" s="410"/>
      <c r="Y809" s="410"/>
    </row>
    <row r="810" spans="1:25" x14ac:dyDescent="0.2">
      <c r="A810" s="410"/>
      <c r="B810" s="410"/>
      <c r="C810" s="410"/>
      <c r="D810" s="410"/>
      <c r="E810" s="410"/>
      <c r="F810" s="410"/>
      <c r="G810" s="410"/>
      <c r="H810" s="410"/>
      <c r="I810" s="410"/>
      <c r="J810" s="410"/>
      <c r="K810" s="410"/>
      <c r="L810" s="410"/>
      <c r="M810" s="410"/>
      <c r="N810" s="410"/>
      <c r="R810" s="410"/>
      <c r="S810" s="410"/>
      <c r="T810" s="410"/>
      <c r="U810" s="410"/>
      <c r="V810" s="410"/>
      <c r="W810" s="410"/>
      <c r="X810" s="410"/>
      <c r="Y810" s="410"/>
    </row>
    <row r="811" spans="1:25" x14ac:dyDescent="0.2">
      <c r="A811" s="410"/>
      <c r="B811" s="410"/>
      <c r="C811" s="410"/>
      <c r="D811" s="410"/>
      <c r="E811" s="410"/>
      <c r="F811" s="410"/>
      <c r="G811" s="410"/>
      <c r="H811" s="410"/>
      <c r="I811" s="410"/>
      <c r="J811" s="410"/>
      <c r="K811" s="410"/>
      <c r="L811" s="410"/>
      <c r="M811" s="410"/>
      <c r="N811" s="410"/>
      <c r="R811" s="410"/>
      <c r="S811" s="410"/>
      <c r="T811" s="410"/>
      <c r="U811" s="410"/>
      <c r="V811" s="410"/>
      <c r="W811" s="410"/>
      <c r="X811" s="410"/>
      <c r="Y811" s="410"/>
    </row>
    <row r="812" spans="1:25" x14ac:dyDescent="0.2">
      <c r="A812" s="410"/>
      <c r="B812" s="410"/>
      <c r="C812" s="410"/>
      <c r="D812" s="410"/>
      <c r="E812" s="410"/>
      <c r="F812" s="410"/>
      <c r="G812" s="410"/>
      <c r="H812" s="410"/>
      <c r="I812" s="410"/>
      <c r="J812" s="410"/>
      <c r="K812" s="410"/>
      <c r="L812" s="410"/>
      <c r="M812" s="410"/>
      <c r="N812" s="410"/>
      <c r="R812" s="410"/>
      <c r="S812" s="410"/>
      <c r="T812" s="410"/>
      <c r="U812" s="410"/>
      <c r="V812" s="410"/>
      <c r="W812" s="410"/>
      <c r="X812" s="410"/>
      <c r="Y812" s="410"/>
    </row>
    <row r="813" spans="1:25" x14ac:dyDescent="0.2">
      <c r="A813" s="410"/>
      <c r="B813" s="410"/>
      <c r="C813" s="410"/>
      <c r="D813" s="410"/>
      <c r="E813" s="410"/>
      <c r="F813" s="410"/>
      <c r="G813" s="410"/>
      <c r="H813" s="410"/>
      <c r="I813" s="410"/>
      <c r="J813" s="410"/>
      <c r="K813" s="410"/>
      <c r="L813" s="410"/>
      <c r="M813" s="410"/>
      <c r="N813" s="410"/>
      <c r="R813" s="410"/>
      <c r="S813" s="410"/>
      <c r="T813" s="410"/>
      <c r="U813" s="410"/>
      <c r="V813" s="410"/>
      <c r="W813" s="410"/>
      <c r="X813" s="410"/>
      <c r="Y813" s="410"/>
    </row>
    <row r="814" spans="1:25" x14ac:dyDescent="0.2">
      <c r="A814" s="410"/>
      <c r="B814" s="410"/>
      <c r="C814" s="410"/>
      <c r="D814" s="410"/>
      <c r="E814" s="410"/>
      <c r="F814" s="410"/>
      <c r="G814" s="410"/>
      <c r="H814" s="410"/>
      <c r="I814" s="410"/>
      <c r="J814" s="410"/>
      <c r="K814" s="410"/>
      <c r="L814" s="410"/>
      <c r="M814" s="410"/>
      <c r="N814" s="410"/>
      <c r="R814" s="410"/>
      <c r="S814" s="410"/>
      <c r="T814" s="410"/>
      <c r="U814" s="410"/>
      <c r="V814" s="410"/>
      <c r="W814" s="410"/>
      <c r="X814" s="410"/>
      <c r="Y814" s="410"/>
    </row>
    <row r="815" spans="1:25" x14ac:dyDescent="0.2">
      <c r="A815" s="410"/>
      <c r="B815" s="410"/>
      <c r="C815" s="410"/>
      <c r="D815" s="410"/>
      <c r="E815" s="410"/>
      <c r="F815" s="410"/>
      <c r="G815" s="410"/>
      <c r="H815" s="410"/>
      <c r="I815" s="410"/>
      <c r="J815" s="410"/>
      <c r="K815" s="410"/>
      <c r="L815" s="410"/>
      <c r="M815" s="410"/>
      <c r="N815" s="410"/>
      <c r="R815" s="410"/>
      <c r="S815" s="410"/>
      <c r="T815" s="410"/>
      <c r="U815" s="410"/>
      <c r="V815" s="410"/>
      <c r="W815" s="410"/>
      <c r="X815" s="410"/>
      <c r="Y815" s="410"/>
    </row>
    <row r="816" spans="1:25" x14ac:dyDescent="0.2">
      <c r="A816" s="410"/>
      <c r="B816" s="410"/>
      <c r="C816" s="410"/>
      <c r="D816" s="410"/>
      <c r="E816" s="410"/>
      <c r="F816" s="410"/>
      <c r="G816" s="410"/>
      <c r="H816" s="410"/>
      <c r="I816" s="410"/>
      <c r="J816" s="410"/>
      <c r="K816" s="410"/>
      <c r="L816" s="410"/>
      <c r="M816" s="410"/>
      <c r="N816" s="410"/>
      <c r="R816" s="410"/>
      <c r="S816" s="410"/>
      <c r="T816" s="410"/>
      <c r="U816" s="410"/>
      <c r="V816" s="410"/>
      <c r="W816" s="410"/>
      <c r="X816" s="410"/>
      <c r="Y816" s="410"/>
    </row>
    <row r="817" spans="1:25" x14ac:dyDescent="0.2">
      <c r="A817" s="410"/>
      <c r="B817" s="410"/>
      <c r="C817" s="410"/>
      <c r="D817" s="410"/>
      <c r="E817" s="410"/>
      <c r="F817" s="410"/>
      <c r="G817" s="410"/>
      <c r="H817" s="410"/>
      <c r="I817" s="410"/>
      <c r="J817" s="410"/>
      <c r="K817" s="410"/>
      <c r="L817" s="410"/>
      <c r="M817" s="410"/>
      <c r="N817" s="410"/>
      <c r="R817" s="410"/>
      <c r="S817" s="410"/>
      <c r="T817" s="410"/>
      <c r="U817" s="410"/>
      <c r="V817" s="410"/>
      <c r="W817" s="410"/>
      <c r="X817" s="410"/>
      <c r="Y817" s="410"/>
    </row>
    <row r="818" spans="1:25" x14ac:dyDescent="0.2">
      <c r="A818" s="410"/>
      <c r="B818" s="410"/>
      <c r="C818" s="410"/>
      <c r="D818" s="410"/>
      <c r="E818" s="410"/>
      <c r="F818" s="410"/>
      <c r="G818" s="410"/>
      <c r="H818" s="410"/>
      <c r="I818" s="410"/>
      <c r="J818" s="410"/>
      <c r="K818" s="410"/>
      <c r="L818" s="410"/>
      <c r="M818" s="410"/>
      <c r="N818" s="410"/>
      <c r="R818" s="410"/>
      <c r="S818" s="410"/>
      <c r="T818" s="410"/>
      <c r="U818" s="410"/>
      <c r="V818" s="410"/>
      <c r="W818" s="410"/>
      <c r="X818" s="410"/>
      <c r="Y818" s="410"/>
    </row>
    <row r="819" spans="1:25" x14ac:dyDescent="0.2">
      <c r="A819" s="410"/>
      <c r="B819" s="410"/>
      <c r="C819" s="410"/>
      <c r="D819" s="410"/>
      <c r="E819" s="410"/>
      <c r="F819" s="410"/>
      <c r="G819" s="410"/>
      <c r="H819" s="410"/>
      <c r="I819" s="410"/>
      <c r="J819" s="410"/>
      <c r="K819" s="410"/>
      <c r="L819" s="410"/>
      <c r="M819" s="410"/>
      <c r="N819" s="410"/>
      <c r="R819" s="410"/>
      <c r="S819" s="410"/>
      <c r="T819" s="410"/>
      <c r="U819" s="410"/>
      <c r="V819" s="410"/>
      <c r="W819" s="410"/>
      <c r="X819" s="410"/>
      <c r="Y819" s="410"/>
    </row>
    <row r="820" spans="1:25" x14ac:dyDescent="0.2">
      <c r="A820" s="410"/>
      <c r="B820" s="410"/>
      <c r="C820" s="410"/>
      <c r="D820" s="410"/>
      <c r="E820" s="410"/>
      <c r="F820" s="410"/>
      <c r="G820" s="410"/>
      <c r="H820" s="410"/>
      <c r="I820" s="410"/>
      <c r="J820" s="410"/>
      <c r="K820" s="410"/>
      <c r="L820" s="410"/>
      <c r="M820" s="410"/>
      <c r="N820" s="410"/>
      <c r="R820" s="410"/>
      <c r="S820" s="410"/>
      <c r="T820" s="410"/>
      <c r="U820" s="410"/>
      <c r="V820" s="410"/>
      <c r="W820" s="410"/>
      <c r="X820" s="410"/>
      <c r="Y820" s="410"/>
    </row>
    <row r="821" spans="1:25" x14ac:dyDescent="0.2">
      <c r="A821" s="410"/>
      <c r="B821" s="410"/>
      <c r="C821" s="410"/>
      <c r="D821" s="410"/>
      <c r="E821" s="410"/>
      <c r="F821" s="410"/>
      <c r="G821" s="410"/>
      <c r="H821" s="410"/>
      <c r="I821" s="410"/>
      <c r="J821" s="410"/>
      <c r="K821" s="410"/>
      <c r="L821" s="410"/>
      <c r="M821" s="410"/>
      <c r="N821" s="410"/>
      <c r="R821" s="410"/>
      <c r="S821" s="410"/>
      <c r="T821" s="410"/>
      <c r="U821" s="410"/>
      <c r="V821" s="410"/>
      <c r="W821" s="410"/>
      <c r="X821" s="410"/>
      <c r="Y821" s="410"/>
    </row>
    <row r="822" spans="1:25" x14ac:dyDescent="0.2">
      <c r="A822" s="410"/>
      <c r="B822" s="410"/>
      <c r="C822" s="410"/>
      <c r="D822" s="410"/>
      <c r="E822" s="410"/>
      <c r="F822" s="410"/>
      <c r="G822" s="410"/>
      <c r="H822" s="410"/>
      <c r="I822" s="410"/>
      <c r="J822" s="410"/>
      <c r="K822" s="410"/>
      <c r="L822" s="410"/>
      <c r="M822" s="410"/>
      <c r="N822" s="410"/>
      <c r="R822" s="410"/>
      <c r="S822" s="410"/>
      <c r="T822" s="410"/>
      <c r="U822" s="410"/>
      <c r="V822" s="410"/>
      <c r="W822" s="410"/>
      <c r="X822" s="410"/>
      <c r="Y822" s="410"/>
    </row>
    <row r="823" spans="1:25" x14ac:dyDescent="0.2">
      <c r="A823" s="410"/>
      <c r="B823" s="410"/>
      <c r="C823" s="410"/>
      <c r="D823" s="410"/>
      <c r="E823" s="410"/>
      <c r="F823" s="410"/>
      <c r="G823" s="410"/>
      <c r="H823" s="410"/>
      <c r="I823" s="410"/>
      <c r="J823" s="410"/>
      <c r="K823" s="410"/>
      <c r="L823" s="410"/>
      <c r="M823" s="410"/>
      <c r="N823" s="410"/>
      <c r="R823" s="410"/>
      <c r="S823" s="410"/>
      <c r="T823" s="410"/>
      <c r="U823" s="410"/>
      <c r="V823" s="410"/>
      <c r="W823" s="410"/>
      <c r="X823" s="410"/>
      <c r="Y823" s="410"/>
    </row>
    <row r="824" spans="1:25" x14ac:dyDescent="0.2">
      <c r="A824" s="410"/>
      <c r="B824" s="410"/>
      <c r="C824" s="410"/>
      <c r="D824" s="410"/>
      <c r="E824" s="410"/>
      <c r="F824" s="410"/>
      <c r="G824" s="410"/>
      <c r="H824" s="410"/>
      <c r="I824" s="410"/>
      <c r="J824" s="410"/>
      <c r="K824" s="410"/>
      <c r="L824" s="410"/>
      <c r="M824" s="410"/>
      <c r="N824" s="410"/>
      <c r="R824" s="410"/>
      <c r="S824" s="410"/>
      <c r="T824" s="410"/>
      <c r="U824" s="410"/>
      <c r="V824" s="410"/>
      <c r="W824" s="410"/>
      <c r="X824" s="410"/>
      <c r="Y824" s="410"/>
    </row>
    <row r="825" spans="1:25" x14ac:dyDescent="0.2">
      <c r="A825" s="410"/>
      <c r="B825" s="410"/>
      <c r="C825" s="410"/>
      <c r="D825" s="410"/>
      <c r="E825" s="410"/>
      <c r="F825" s="410"/>
      <c r="G825" s="410"/>
      <c r="H825" s="410"/>
      <c r="I825" s="410"/>
      <c r="J825" s="410"/>
      <c r="K825" s="410"/>
      <c r="L825" s="410"/>
      <c r="M825" s="410"/>
      <c r="N825" s="410"/>
      <c r="R825" s="410"/>
      <c r="S825" s="410"/>
      <c r="T825" s="410"/>
      <c r="U825" s="410"/>
      <c r="V825" s="410"/>
      <c r="W825" s="410"/>
      <c r="X825" s="410"/>
      <c r="Y825" s="410"/>
    </row>
    <row r="826" spans="1:25" x14ac:dyDescent="0.2">
      <c r="A826" s="410"/>
      <c r="B826" s="410"/>
      <c r="C826" s="410"/>
      <c r="D826" s="410"/>
      <c r="E826" s="410"/>
      <c r="F826" s="410"/>
      <c r="G826" s="410"/>
      <c r="H826" s="410"/>
      <c r="I826" s="410"/>
      <c r="J826" s="410"/>
      <c r="K826" s="410"/>
      <c r="L826" s="410"/>
      <c r="M826" s="410"/>
      <c r="N826" s="410"/>
      <c r="R826" s="410"/>
      <c r="S826" s="410"/>
      <c r="T826" s="410"/>
      <c r="U826" s="410"/>
      <c r="V826" s="410"/>
      <c r="W826" s="410"/>
      <c r="X826" s="410"/>
      <c r="Y826" s="410"/>
    </row>
    <row r="827" spans="1:25" x14ac:dyDescent="0.2">
      <c r="A827" s="410"/>
      <c r="B827" s="410"/>
      <c r="C827" s="410"/>
      <c r="D827" s="410"/>
      <c r="E827" s="410"/>
      <c r="F827" s="410"/>
      <c r="G827" s="410"/>
      <c r="H827" s="410"/>
      <c r="I827" s="410"/>
      <c r="J827" s="410"/>
      <c r="K827" s="410"/>
      <c r="L827" s="410"/>
      <c r="M827" s="410"/>
      <c r="N827" s="410"/>
      <c r="R827" s="410"/>
      <c r="S827" s="410"/>
      <c r="T827" s="410"/>
      <c r="U827" s="410"/>
      <c r="V827" s="410"/>
      <c r="W827" s="410"/>
      <c r="X827" s="410"/>
      <c r="Y827" s="410"/>
    </row>
    <row r="828" spans="1:25" x14ac:dyDescent="0.2">
      <c r="A828" s="410"/>
      <c r="B828" s="410"/>
      <c r="C828" s="410"/>
      <c r="D828" s="410"/>
      <c r="E828" s="410"/>
      <c r="F828" s="410"/>
      <c r="G828" s="410"/>
      <c r="H828" s="410"/>
      <c r="I828" s="410"/>
      <c r="J828" s="410"/>
      <c r="K828" s="410"/>
      <c r="L828" s="410"/>
      <c r="M828" s="410"/>
      <c r="N828" s="410"/>
      <c r="R828" s="410"/>
      <c r="S828" s="410"/>
      <c r="T828" s="410"/>
      <c r="U828" s="410"/>
      <c r="V828" s="410"/>
      <c r="W828" s="410"/>
      <c r="X828" s="410"/>
      <c r="Y828" s="410"/>
    </row>
    <row r="829" spans="1:25" x14ac:dyDescent="0.2">
      <c r="A829" s="410"/>
      <c r="B829" s="410"/>
      <c r="C829" s="410"/>
      <c r="D829" s="410"/>
      <c r="E829" s="410"/>
      <c r="F829" s="410"/>
      <c r="G829" s="410"/>
      <c r="H829" s="410"/>
      <c r="I829" s="410"/>
      <c r="J829" s="410"/>
      <c r="K829" s="410"/>
      <c r="L829" s="410"/>
      <c r="M829" s="410"/>
      <c r="N829" s="410"/>
      <c r="R829" s="410"/>
      <c r="S829" s="410"/>
      <c r="T829" s="410"/>
      <c r="U829" s="410"/>
      <c r="V829" s="410"/>
      <c r="W829" s="410"/>
      <c r="X829" s="410"/>
      <c r="Y829" s="410"/>
    </row>
    <row r="830" spans="1:25" x14ac:dyDescent="0.2">
      <c r="A830" s="410"/>
      <c r="B830" s="410"/>
      <c r="C830" s="410"/>
      <c r="D830" s="410"/>
      <c r="E830" s="410"/>
      <c r="F830" s="410"/>
      <c r="G830" s="410"/>
      <c r="H830" s="410"/>
      <c r="I830" s="410"/>
      <c r="J830" s="410"/>
      <c r="K830" s="410"/>
      <c r="L830" s="410"/>
      <c r="M830" s="410"/>
      <c r="N830" s="410"/>
      <c r="R830" s="410"/>
      <c r="S830" s="410"/>
      <c r="T830" s="410"/>
      <c r="U830" s="410"/>
      <c r="V830" s="410"/>
      <c r="W830" s="410"/>
      <c r="X830" s="410"/>
      <c r="Y830" s="410"/>
    </row>
    <row r="831" spans="1:25" x14ac:dyDescent="0.2">
      <c r="A831" s="410"/>
      <c r="B831" s="410"/>
      <c r="C831" s="410"/>
      <c r="D831" s="410"/>
      <c r="E831" s="410"/>
      <c r="F831" s="410"/>
      <c r="G831" s="410"/>
      <c r="H831" s="410"/>
      <c r="I831" s="410"/>
      <c r="J831" s="410"/>
      <c r="K831" s="410"/>
      <c r="L831" s="410"/>
      <c r="M831" s="410"/>
      <c r="N831" s="410"/>
      <c r="R831" s="410"/>
      <c r="S831" s="410"/>
      <c r="T831" s="410"/>
      <c r="U831" s="410"/>
      <c r="V831" s="410"/>
      <c r="W831" s="410"/>
      <c r="X831" s="410"/>
      <c r="Y831" s="410"/>
    </row>
    <row r="832" spans="1:25" x14ac:dyDescent="0.2">
      <c r="A832" s="410"/>
      <c r="B832" s="410"/>
      <c r="C832" s="410"/>
      <c r="D832" s="410"/>
      <c r="E832" s="410"/>
      <c r="F832" s="410"/>
      <c r="G832" s="410"/>
      <c r="H832" s="410"/>
      <c r="I832" s="410"/>
      <c r="J832" s="410"/>
      <c r="K832" s="410"/>
      <c r="L832" s="410"/>
      <c r="M832" s="410"/>
      <c r="N832" s="410"/>
      <c r="R832" s="410"/>
      <c r="S832" s="410"/>
      <c r="T832" s="410"/>
      <c r="U832" s="410"/>
      <c r="V832" s="410"/>
      <c r="W832" s="410"/>
      <c r="X832" s="410"/>
      <c r="Y832" s="410"/>
    </row>
    <row r="833" spans="1:25" x14ac:dyDescent="0.2">
      <c r="A833" s="410"/>
      <c r="B833" s="410"/>
      <c r="C833" s="410"/>
      <c r="D833" s="410"/>
      <c r="E833" s="410"/>
      <c r="F833" s="410"/>
      <c r="G833" s="410"/>
      <c r="H833" s="410"/>
      <c r="I833" s="410"/>
      <c r="J833" s="410"/>
      <c r="K833" s="410"/>
      <c r="L833" s="410"/>
      <c r="M833" s="410"/>
      <c r="N833" s="410"/>
      <c r="R833" s="410"/>
      <c r="S833" s="410"/>
      <c r="T833" s="410"/>
      <c r="U833" s="410"/>
      <c r="V833" s="410"/>
      <c r="W833" s="410"/>
      <c r="X833" s="410"/>
      <c r="Y833" s="410"/>
    </row>
    <row r="834" spans="1:25" x14ac:dyDescent="0.2">
      <c r="A834" s="410"/>
      <c r="B834" s="410"/>
      <c r="C834" s="410"/>
      <c r="D834" s="410"/>
      <c r="E834" s="410"/>
      <c r="F834" s="410"/>
      <c r="G834" s="410"/>
      <c r="H834" s="410"/>
      <c r="I834" s="410"/>
      <c r="J834" s="410"/>
      <c r="K834" s="410"/>
      <c r="L834" s="410"/>
      <c r="M834" s="410"/>
      <c r="N834" s="410"/>
      <c r="R834" s="410"/>
      <c r="S834" s="410"/>
      <c r="T834" s="410"/>
      <c r="U834" s="410"/>
      <c r="V834" s="410"/>
      <c r="W834" s="410"/>
      <c r="X834" s="410"/>
      <c r="Y834" s="410"/>
    </row>
    <row r="835" spans="1:25" x14ac:dyDescent="0.2">
      <c r="A835" s="410"/>
      <c r="B835" s="410"/>
      <c r="C835" s="410"/>
      <c r="D835" s="410"/>
      <c r="E835" s="410"/>
      <c r="F835" s="410"/>
      <c r="G835" s="410"/>
      <c r="H835" s="410"/>
      <c r="I835" s="410"/>
      <c r="J835" s="410"/>
      <c r="K835" s="410"/>
      <c r="L835" s="410"/>
      <c r="M835" s="410"/>
      <c r="N835" s="410"/>
      <c r="R835" s="410"/>
      <c r="S835" s="410"/>
      <c r="T835" s="410"/>
      <c r="U835" s="410"/>
      <c r="V835" s="410"/>
      <c r="W835" s="410"/>
      <c r="X835" s="410"/>
      <c r="Y835" s="410"/>
    </row>
    <row r="836" spans="1:25" x14ac:dyDescent="0.2">
      <c r="A836" s="410"/>
      <c r="B836" s="410"/>
      <c r="C836" s="410"/>
      <c r="D836" s="410"/>
      <c r="E836" s="410"/>
      <c r="F836" s="410"/>
      <c r="G836" s="410"/>
      <c r="H836" s="410"/>
      <c r="I836" s="410"/>
      <c r="J836" s="410"/>
      <c r="K836" s="410"/>
      <c r="L836" s="410"/>
      <c r="M836" s="410"/>
      <c r="N836" s="410"/>
      <c r="R836" s="410"/>
      <c r="S836" s="410"/>
      <c r="T836" s="410"/>
      <c r="U836" s="410"/>
      <c r="V836" s="410"/>
      <c r="W836" s="410"/>
      <c r="X836" s="410"/>
      <c r="Y836" s="410"/>
    </row>
    <row r="837" spans="1:25" x14ac:dyDescent="0.2">
      <c r="A837" s="410"/>
      <c r="B837" s="410"/>
      <c r="C837" s="410"/>
      <c r="D837" s="410"/>
      <c r="E837" s="410"/>
      <c r="F837" s="410"/>
      <c r="G837" s="410"/>
      <c r="H837" s="410"/>
      <c r="I837" s="410"/>
      <c r="J837" s="410"/>
      <c r="K837" s="410"/>
      <c r="L837" s="410"/>
      <c r="M837" s="410"/>
      <c r="N837" s="410"/>
      <c r="R837" s="410"/>
      <c r="S837" s="410"/>
      <c r="T837" s="410"/>
      <c r="U837" s="410"/>
      <c r="V837" s="410"/>
      <c r="W837" s="410"/>
      <c r="X837" s="410"/>
      <c r="Y837" s="410"/>
    </row>
    <row r="838" spans="1:25" x14ac:dyDescent="0.2">
      <c r="A838" s="410"/>
      <c r="B838" s="410"/>
      <c r="C838" s="410"/>
      <c r="D838" s="410"/>
      <c r="E838" s="410"/>
      <c r="F838" s="410"/>
      <c r="G838" s="410"/>
      <c r="H838" s="410"/>
      <c r="I838" s="410"/>
      <c r="J838" s="410"/>
      <c r="K838" s="410"/>
      <c r="L838" s="410"/>
      <c r="M838" s="410"/>
      <c r="N838" s="410"/>
      <c r="R838" s="410"/>
      <c r="S838" s="410"/>
      <c r="T838" s="410"/>
      <c r="U838" s="410"/>
      <c r="V838" s="410"/>
      <c r="W838" s="410"/>
      <c r="X838" s="410"/>
      <c r="Y838" s="410"/>
    </row>
    <row r="839" spans="1:25" x14ac:dyDescent="0.2">
      <c r="A839" s="410"/>
      <c r="B839" s="410"/>
      <c r="C839" s="410"/>
      <c r="D839" s="410"/>
      <c r="E839" s="410"/>
      <c r="F839" s="410"/>
      <c r="G839" s="410"/>
      <c r="H839" s="410"/>
      <c r="I839" s="410"/>
      <c r="J839" s="410"/>
      <c r="K839" s="410"/>
      <c r="L839" s="410"/>
      <c r="M839" s="410"/>
      <c r="N839" s="410"/>
      <c r="R839" s="410"/>
      <c r="S839" s="410"/>
      <c r="T839" s="410"/>
      <c r="U839" s="410"/>
      <c r="V839" s="410"/>
      <c r="W839" s="410"/>
      <c r="X839" s="410"/>
      <c r="Y839" s="410"/>
    </row>
    <row r="840" spans="1:25" x14ac:dyDescent="0.2">
      <c r="A840" s="410"/>
      <c r="B840" s="410"/>
      <c r="C840" s="410"/>
      <c r="D840" s="410"/>
      <c r="E840" s="410"/>
      <c r="F840" s="410"/>
      <c r="G840" s="410"/>
      <c r="H840" s="410"/>
      <c r="I840" s="410"/>
      <c r="J840" s="410"/>
      <c r="K840" s="410"/>
      <c r="L840" s="410"/>
      <c r="M840" s="410"/>
      <c r="N840" s="410"/>
      <c r="R840" s="410"/>
      <c r="S840" s="410"/>
      <c r="T840" s="410"/>
      <c r="U840" s="410"/>
      <c r="V840" s="410"/>
      <c r="W840" s="410"/>
      <c r="X840" s="410"/>
      <c r="Y840" s="410"/>
    </row>
    <row r="841" spans="1:25" x14ac:dyDescent="0.2">
      <c r="A841" s="410"/>
      <c r="B841" s="410"/>
      <c r="C841" s="410"/>
      <c r="D841" s="410"/>
      <c r="E841" s="410"/>
      <c r="F841" s="410"/>
      <c r="G841" s="410"/>
      <c r="H841" s="410"/>
      <c r="I841" s="410"/>
      <c r="J841" s="410"/>
      <c r="K841" s="410"/>
      <c r="L841" s="410"/>
      <c r="M841" s="410"/>
      <c r="N841" s="410"/>
      <c r="R841" s="410"/>
      <c r="S841" s="410"/>
      <c r="T841" s="410"/>
      <c r="U841" s="410"/>
      <c r="V841" s="410"/>
      <c r="W841" s="410"/>
      <c r="X841" s="410"/>
      <c r="Y841" s="410"/>
    </row>
    <row r="842" spans="1:25" x14ac:dyDescent="0.2">
      <c r="A842" s="410"/>
      <c r="B842" s="410"/>
      <c r="C842" s="410"/>
      <c r="D842" s="410"/>
      <c r="E842" s="410"/>
      <c r="F842" s="410"/>
      <c r="G842" s="410"/>
      <c r="H842" s="410"/>
      <c r="I842" s="410"/>
      <c r="J842" s="410"/>
      <c r="K842" s="410"/>
      <c r="L842" s="410"/>
      <c r="M842" s="410"/>
      <c r="N842" s="410"/>
      <c r="R842" s="410"/>
      <c r="S842" s="410"/>
      <c r="T842" s="410"/>
      <c r="U842" s="410"/>
      <c r="V842" s="410"/>
      <c r="W842" s="410"/>
      <c r="X842" s="410"/>
      <c r="Y842" s="410"/>
    </row>
    <row r="843" spans="1:25" x14ac:dyDescent="0.2">
      <c r="A843" s="410"/>
      <c r="B843" s="410"/>
      <c r="C843" s="410"/>
      <c r="D843" s="410"/>
      <c r="E843" s="410"/>
      <c r="F843" s="410"/>
      <c r="G843" s="410"/>
      <c r="H843" s="410"/>
      <c r="I843" s="410"/>
      <c r="J843" s="410"/>
      <c r="K843" s="410"/>
      <c r="L843" s="410"/>
      <c r="M843" s="410"/>
      <c r="N843" s="410"/>
      <c r="R843" s="410"/>
      <c r="S843" s="410"/>
      <c r="T843" s="410"/>
      <c r="U843" s="410"/>
      <c r="V843" s="410"/>
      <c r="W843" s="410"/>
      <c r="X843" s="410"/>
      <c r="Y843" s="410"/>
    </row>
    <row r="844" spans="1:25" x14ac:dyDescent="0.2">
      <c r="A844" s="410"/>
      <c r="B844" s="410"/>
      <c r="C844" s="410"/>
      <c r="D844" s="410"/>
      <c r="E844" s="410"/>
      <c r="F844" s="410"/>
      <c r="G844" s="410"/>
      <c r="H844" s="410"/>
      <c r="I844" s="410"/>
      <c r="J844" s="410"/>
      <c r="K844" s="410"/>
      <c r="L844" s="410"/>
      <c r="M844" s="410"/>
      <c r="N844" s="410"/>
      <c r="R844" s="410"/>
      <c r="S844" s="410"/>
      <c r="T844" s="410"/>
      <c r="U844" s="410"/>
      <c r="V844" s="410"/>
      <c r="W844" s="410"/>
      <c r="X844" s="410"/>
      <c r="Y844" s="410"/>
    </row>
    <row r="845" spans="1:25" x14ac:dyDescent="0.2">
      <c r="A845" s="410"/>
      <c r="B845" s="410"/>
      <c r="C845" s="410"/>
      <c r="D845" s="410"/>
      <c r="E845" s="410"/>
      <c r="F845" s="410"/>
      <c r="G845" s="410"/>
      <c r="H845" s="410"/>
      <c r="I845" s="410"/>
      <c r="J845" s="410"/>
      <c r="K845" s="410"/>
      <c r="L845" s="410"/>
      <c r="M845" s="410"/>
      <c r="N845" s="410"/>
      <c r="R845" s="410"/>
      <c r="S845" s="410"/>
      <c r="T845" s="410"/>
      <c r="U845" s="410"/>
      <c r="V845" s="410"/>
      <c r="W845" s="410"/>
      <c r="X845" s="410"/>
      <c r="Y845" s="410"/>
    </row>
    <row r="846" spans="1:25" x14ac:dyDescent="0.2">
      <c r="A846" s="410"/>
      <c r="B846" s="410"/>
      <c r="C846" s="410"/>
      <c r="D846" s="410"/>
      <c r="E846" s="410"/>
      <c r="F846" s="410"/>
      <c r="G846" s="410"/>
      <c r="H846" s="410"/>
      <c r="I846" s="410"/>
      <c r="J846" s="410"/>
      <c r="K846" s="410"/>
      <c r="L846" s="410"/>
      <c r="M846" s="410"/>
      <c r="N846" s="410"/>
      <c r="R846" s="410"/>
      <c r="S846" s="410"/>
      <c r="T846" s="410"/>
      <c r="U846" s="410"/>
      <c r="V846" s="410"/>
      <c r="W846" s="410"/>
      <c r="X846" s="410"/>
      <c r="Y846" s="410"/>
    </row>
    <row r="847" spans="1:25" x14ac:dyDescent="0.2">
      <c r="A847" s="410"/>
      <c r="B847" s="410"/>
      <c r="C847" s="410"/>
      <c r="D847" s="410"/>
      <c r="E847" s="410"/>
      <c r="F847" s="410"/>
      <c r="G847" s="410"/>
      <c r="H847" s="410"/>
      <c r="I847" s="410"/>
      <c r="J847" s="410"/>
      <c r="K847" s="410"/>
      <c r="L847" s="410"/>
      <c r="M847" s="410"/>
      <c r="N847" s="410"/>
      <c r="R847" s="410"/>
      <c r="S847" s="410"/>
      <c r="T847" s="410"/>
      <c r="U847" s="410"/>
      <c r="V847" s="410"/>
      <c r="W847" s="410"/>
      <c r="X847" s="410"/>
      <c r="Y847" s="410"/>
    </row>
    <row r="848" spans="1:25" x14ac:dyDescent="0.2">
      <c r="A848" s="410"/>
      <c r="B848" s="410"/>
      <c r="C848" s="410"/>
      <c r="D848" s="410"/>
      <c r="E848" s="410"/>
      <c r="F848" s="410"/>
      <c r="G848" s="410"/>
      <c r="H848" s="410"/>
      <c r="I848" s="410"/>
      <c r="J848" s="410"/>
      <c r="K848" s="410"/>
      <c r="L848" s="410"/>
      <c r="M848" s="410"/>
      <c r="N848" s="410"/>
      <c r="R848" s="410"/>
      <c r="S848" s="410"/>
      <c r="T848" s="410"/>
      <c r="U848" s="410"/>
      <c r="V848" s="410"/>
      <c r="W848" s="410"/>
      <c r="X848" s="410"/>
      <c r="Y848" s="410"/>
    </row>
    <row r="849" spans="1:25" x14ac:dyDescent="0.2">
      <c r="A849" s="410"/>
      <c r="B849" s="410"/>
      <c r="C849" s="410"/>
      <c r="D849" s="410"/>
      <c r="E849" s="410"/>
      <c r="F849" s="410"/>
      <c r="G849" s="410"/>
      <c r="H849" s="410"/>
      <c r="I849" s="410"/>
      <c r="J849" s="410"/>
      <c r="K849" s="410"/>
      <c r="L849" s="410"/>
      <c r="M849" s="410"/>
      <c r="N849" s="410"/>
      <c r="R849" s="410"/>
      <c r="S849" s="410"/>
      <c r="T849" s="410"/>
      <c r="U849" s="410"/>
      <c r="V849" s="410"/>
      <c r="W849" s="410"/>
      <c r="X849" s="410"/>
      <c r="Y849" s="410"/>
    </row>
    <row r="850" spans="1:25" x14ac:dyDescent="0.2">
      <c r="A850" s="410"/>
      <c r="B850" s="410"/>
      <c r="C850" s="410"/>
      <c r="D850" s="410"/>
      <c r="E850" s="410"/>
      <c r="F850" s="410"/>
      <c r="G850" s="410"/>
      <c r="H850" s="410"/>
      <c r="I850" s="410"/>
      <c r="J850" s="410"/>
      <c r="K850" s="410"/>
      <c r="L850" s="410"/>
      <c r="M850" s="410"/>
      <c r="N850" s="410"/>
      <c r="R850" s="410"/>
      <c r="S850" s="410"/>
      <c r="T850" s="410"/>
      <c r="U850" s="410"/>
      <c r="V850" s="410"/>
      <c r="W850" s="410"/>
      <c r="X850" s="410"/>
      <c r="Y850" s="410"/>
    </row>
    <row r="851" spans="1:25" x14ac:dyDescent="0.2">
      <c r="A851" s="410"/>
      <c r="B851" s="410"/>
      <c r="C851" s="410"/>
      <c r="D851" s="410"/>
      <c r="E851" s="410"/>
      <c r="F851" s="410"/>
      <c r="G851" s="410"/>
      <c r="H851" s="410"/>
      <c r="I851" s="410"/>
      <c r="J851" s="410"/>
      <c r="K851" s="410"/>
      <c r="L851" s="410"/>
      <c r="M851" s="410"/>
      <c r="N851" s="410"/>
      <c r="R851" s="410"/>
      <c r="S851" s="410"/>
      <c r="T851" s="410"/>
      <c r="U851" s="410"/>
      <c r="V851" s="410"/>
      <c r="W851" s="410"/>
      <c r="X851" s="410"/>
      <c r="Y851" s="410"/>
    </row>
    <row r="852" spans="1:25" x14ac:dyDescent="0.2">
      <c r="A852" s="410"/>
      <c r="B852" s="410"/>
      <c r="C852" s="410"/>
      <c r="D852" s="410"/>
      <c r="E852" s="410"/>
      <c r="F852" s="410"/>
      <c r="G852" s="410"/>
      <c r="H852" s="410"/>
      <c r="I852" s="410"/>
      <c r="J852" s="410"/>
      <c r="K852" s="410"/>
      <c r="L852" s="410"/>
      <c r="M852" s="410"/>
      <c r="N852" s="410"/>
      <c r="R852" s="410"/>
      <c r="S852" s="410"/>
      <c r="T852" s="410"/>
      <c r="U852" s="410"/>
      <c r="V852" s="410"/>
      <c r="W852" s="410"/>
      <c r="X852" s="410"/>
      <c r="Y852" s="410"/>
    </row>
    <row r="853" spans="1:25" x14ac:dyDescent="0.2">
      <c r="A853" s="410"/>
      <c r="B853" s="410"/>
      <c r="C853" s="410"/>
      <c r="D853" s="410"/>
      <c r="E853" s="410"/>
      <c r="F853" s="410"/>
      <c r="G853" s="410"/>
      <c r="H853" s="410"/>
      <c r="I853" s="410"/>
      <c r="J853" s="410"/>
      <c r="K853" s="410"/>
      <c r="L853" s="410"/>
      <c r="M853" s="410"/>
      <c r="N853" s="410"/>
      <c r="R853" s="410"/>
      <c r="S853" s="410"/>
      <c r="T853" s="410"/>
      <c r="U853" s="410"/>
      <c r="V853" s="410"/>
      <c r="W853" s="410"/>
      <c r="X853" s="410"/>
      <c r="Y853" s="410"/>
    </row>
    <row r="854" spans="1:25" x14ac:dyDescent="0.2">
      <c r="A854" s="410"/>
      <c r="B854" s="410"/>
      <c r="C854" s="410"/>
      <c r="D854" s="410"/>
      <c r="E854" s="410"/>
      <c r="F854" s="410"/>
      <c r="G854" s="410"/>
      <c r="H854" s="410"/>
      <c r="I854" s="410"/>
      <c r="J854" s="410"/>
      <c r="K854" s="410"/>
      <c r="L854" s="410"/>
      <c r="M854" s="410"/>
      <c r="N854" s="410"/>
      <c r="R854" s="410"/>
      <c r="S854" s="410"/>
      <c r="T854" s="410"/>
      <c r="U854" s="410"/>
      <c r="V854" s="410"/>
      <c r="W854" s="410"/>
      <c r="X854" s="410"/>
      <c r="Y854" s="410"/>
    </row>
    <row r="855" spans="1:25" x14ac:dyDescent="0.2">
      <c r="A855" s="410"/>
      <c r="B855" s="410"/>
      <c r="C855" s="410"/>
      <c r="D855" s="410"/>
      <c r="E855" s="410"/>
      <c r="F855" s="410"/>
      <c r="G855" s="410"/>
      <c r="H855" s="410"/>
      <c r="I855" s="410"/>
      <c r="J855" s="410"/>
      <c r="K855" s="410"/>
      <c r="L855" s="410"/>
      <c r="M855" s="410"/>
      <c r="N855" s="410"/>
      <c r="R855" s="410"/>
      <c r="S855" s="410"/>
      <c r="T855" s="410"/>
      <c r="U855" s="410"/>
      <c r="V855" s="410"/>
      <c r="W855" s="410"/>
      <c r="X855" s="410"/>
      <c r="Y855" s="410"/>
    </row>
    <row r="856" spans="1:25" x14ac:dyDescent="0.2">
      <c r="A856" s="410"/>
      <c r="B856" s="410"/>
      <c r="C856" s="410"/>
      <c r="D856" s="410"/>
      <c r="E856" s="410"/>
      <c r="F856" s="410"/>
      <c r="G856" s="410"/>
      <c r="H856" s="410"/>
      <c r="I856" s="410"/>
      <c r="J856" s="410"/>
      <c r="K856" s="410"/>
      <c r="L856" s="410"/>
      <c r="M856" s="410"/>
      <c r="N856" s="410"/>
      <c r="R856" s="410"/>
      <c r="S856" s="410"/>
      <c r="T856" s="410"/>
      <c r="U856" s="410"/>
      <c r="V856" s="410"/>
      <c r="W856" s="410"/>
      <c r="X856" s="410"/>
      <c r="Y856" s="410"/>
    </row>
    <row r="857" spans="1:25" x14ac:dyDescent="0.2">
      <c r="A857" s="410"/>
      <c r="B857" s="410"/>
      <c r="C857" s="410"/>
      <c r="D857" s="410"/>
      <c r="E857" s="410"/>
      <c r="F857" s="410"/>
      <c r="G857" s="410"/>
      <c r="H857" s="410"/>
      <c r="I857" s="410"/>
      <c r="J857" s="410"/>
      <c r="K857" s="410"/>
      <c r="L857" s="410"/>
      <c r="M857" s="410"/>
      <c r="N857" s="410"/>
      <c r="R857" s="410"/>
      <c r="S857" s="410"/>
      <c r="T857" s="410"/>
      <c r="U857" s="410"/>
      <c r="V857" s="410"/>
      <c r="W857" s="410"/>
      <c r="X857" s="410"/>
      <c r="Y857" s="410"/>
    </row>
    <row r="858" spans="1:25" x14ac:dyDescent="0.2">
      <c r="A858" s="410"/>
      <c r="B858" s="410"/>
      <c r="C858" s="410"/>
      <c r="D858" s="410"/>
      <c r="E858" s="410"/>
      <c r="F858" s="410"/>
      <c r="G858" s="410"/>
      <c r="H858" s="410"/>
      <c r="I858" s="410"/>
      <c r="J858" s="410"/>
      <c r="K858" s="410"/>
      <c r="L858" s="410"/>
      <c r="M858" s="410"/>
      <c r="N858" s="410"/>
      <c r="R858" s="410"/>
      <c r="S858" s="410"/>
      <c r="T858" s="410"/>
      <c r="U858" s="410"/>
      <c r="V858" s="410"/>
      <c r="W858" s="410"/>
      <c r="X858" s="410"/>
      <c r="Y858" s="410"/>
    </row>
    <row r="859" spans="1:25" x14ac:dyDescent="0.2">
      <c r="A859" s="410"/>
      <c r="B859" s="410"/>
      <c r="C859" s="410"/>
      <c r="D859" s="410"/>
      <c r="E859" s="410"/>
      <c r="F859" s="410"/>
      <c r="G859" s="410"/>
      <c r="H859" s="410"/>
      <c r="I859" s="410"/>
      <c r="J859" s="410"/>
      <c r="K859" s="410"/>
      <c r="L859" s="410"/>
      <c r="M859" s="410"/>
      <c r="N859" s="410"/>
      <c r="R859" s="410"/>
      <c r="S859" s="410"/>
      <c r="T859" s="410"/>
      <c r="U859" s="410"/>
      <c r="V859" s="410"/>
      <c r="W859" s="410"/>
      <c r="X859" s="410"/>
      <c r="Y859" s="410"/>
    </row>
    <row r="860" spans="1:25" x14ac:dyDescent="0.2">
      <c r="A860" s="410"/>
      <c r="B860" s="410"/>
      <c r="C860" s="410"/>
      <c r="D860" s="410"/>
      <c r="E860" s="410"/>
      <c r="F860" s="410"/>
      <c r="G860" s="410"/>
      <c r="H860" s="410"/>
      <c r="I860" s="410"/>
      <c r="J860" s="410"/>
      <c r="K860" s="410"/>
      <c r="L860" s="410"/>
      <c r="M860" s="410"/>
      <c r="N860" s="410"/>
      <c r="R860" s="410"/>
      <c r="S860" s="410"/>
      <c r="T860" s="410"/>
      <c r="U860" s="410"/>
      <c r="V860" s="410"/>
      <c r="W860" s="410"/>
      <c r="X860" s="410"/>
      <c r="Y860" s="410"/>
    </row>
    <row r="861" spans="1:25" x14ac:dyDescent="0.2">
      <c r="A861" s="410"/>
      <c r="B861" s="410"/>
      <c r="C861" s="410"/>
      <c r="D861" s="410"/>
      <c r="E861" s="410"/>
      <c r="F861" s="410"/>
      <c r="G861" s="410"/>
      <c r="H861" s="410"/>
      <c r="I861" s="410"/>
      <c r="J861" s="410"/>
      <c r="K861" s="410"/>
      <c r="L861" s="410"/>
      <c r="M861" s="410"/>
      <c r="N861" s="410"/>
      <c r="R861" s="410"/>
      <c r="S861" s="410"/>
      <c r="T861" s="410"/>
      <c r="U861" s="410"/>
      <c r="V861" s="410"/>
      <c r="W861" s="410"/>
      <c r="X861" s="410"/>
      <c r="Y861" s="410"/>
    </row>
    <row r="862" spans="1:25" x14ac:dyDescent="0.2">
      <c r="A862" s="410"/>
      <c r="B862" s="410"/>
      <c r="C862" s="410"/>
      <c r="D862" s="410"/>
      <c r="E862" s="410"/>
      <c r="F862" s="410"/>
      <c r="G862" s="410"/>
      <c r="H862" s="410"/>
      <c r="I862" s="410"/>
      <c r="J862" s="410"/>
      <c r="K862" s="410"/>
      <c r="L862" s="410"/>
      <c r="M862" s="410"/>
      <c r="N862" s="410"/>
      <c r="R862" s="410"/>
      <c r="S862" s="410"/>
      <c r="T862" s="410"/>
      <c r="U862" s="410"/>
      <c r="V862" s="410"/>
      <c r="W862" s="410"/>
      <c r="X862" s="410"/>
      <c r="Y862" s="410"/>
    </row>
    <row r="863" spans="1:25" x14ac:dyDescent="0.2">
      <c r="A863" s="410"/>
      <c r="B863" s="410"/>
      <c r="C863" s="410"/>
      <c r="D863" s="410"/>
      <c r="E863" s="410"/>
      <c r="F863" s="410"/>
      <c r="G863" s="410"/>
      <c r="H863" s="410"/>
      <c r="I863" s="410"/>
      <c r="J863" s="410"/>
      <c r="K863" s="410"/>
      <c r="L863" s="410"/>
      <c r="M863" s="410"/>
      <c r="N863" s="410"/>
      <c r="R863" s="410"/>
      <c r="S863" s="410"/>
      <c r="T863" s="410"/>
      <c r="U863" s="410"/>
      <c r="V863" s="410"/>
      <c r="W863" s="410"/>
      <c r="X863" s="410"/>
      <c r="Y863" s="410"/>
    </row>
    <row r="864" spans="1:25" x14ac:dyDescent="0.2">
      <c r="A864" s="410"/>
      <c r="B864" s="410"/>
      <c r="C864" s="410"/>
      <c r="D864" s="410"/>
      <c r="E864" s="410"/>
      <c r="F864" s="410"/>
      <c r="G864" s="410"/>
      <c r="H864" s="410"/>
      <c r="I864" s="410"/>
      <c r="J864" s="410"/>
      <c r="K864" s="410"/>
      <c r="L864" s="410"/>
      <c r="M864" s="410"/>
      <c r="N864" s="410"/>
      <c r="R864" s="410"/>
      <c r="S864" s="410"/>
      <c r="T864" s="410"/>
      <c r="U864" s="410"/>
      <c r="V864" s="410"/>
      <c r="W864" s="410"/>
      <c r="X864" s="410"/>
      <c r="Y864" s="410"/>
    </row>
    <row r="865" spans="1:25" x14ac:dyDescent="0.2">
      <c r="A865" s="410"/>
      <c r="B865" s="410"/>
      <c r="C865" s="410"/>
      <c r="D865" s="410"/>
      <c r="E865" s="410"/>
      <c r="F865" s="410"/>
      <c r="G865" s="410"/>
      <c r="H865" s="410"/>
      <c r="I865" s="410"/>
      <c r="J865" s="410"/>
      <c r="K865" s="410"/>
      <c r="L865" s="410"/>
      <c r="M865" s="410"/>
      <c r="N865" s="410"/>
      <c r="R865" s="410"/>
      <c r="S865" s="410"/>
      <c r="T865" s="410"/>
      <c r="U865" s="410"/>
      <c r="V865" s="410"/>
      <c r="W865" s="410"/>
      <c r="X865" s="410"/>
      <c r="Y865" s="410"/>
    </row>
    <row r="866" spans="1:25" x14ac:dyDescent="0.2">
      <c r="A866" s="410"/>
      <c r="B866" s="410"/>
      <c r="C866" s="410"/>
      <c r="D866" s="410"/>
      <c r="E866" s="410"/>
      <c r="F866" s="410"/>
      <c r="G866" s="410"/>
      <c r="H866" s="410"/>
      <c r="I866" s="410"/>
      <c r="J866" s="410"/>
      <c r="K866" s="410"/>
      <c r="L866" s="410"/>
      <c r="M866" s="410"/>
      <c r="N866" s="410"/>
      <c r="R866" s="410"/>
      <c r="S866" s="410"/>
      <c r="T866" s="410"/>
      <c r="U866" s="410"/>
      <c r="V866" s="410"/>
      <c r="W866" s="410"/>
      <c r="X866" s="410"/>
      <c r="Y866" s="410"/>
    </row>
    <row r="867" spans="1:25" x14ac:dyDescent="0.2">
      <c r="A867" s="410"/>
      <c r="B867" s="410"/>
      <c r="C867" s="410"/>
      <c r="D867" s="410"/>
      <c r="E867" s="410"/>
      <c r="F867" s="410"/>
      <c r="G867" s="410"/>
      <c r="H867" s="410"/>
      <c r="I867" s="410"/>
      <c r="J867" s="410"/>
      <c r="K867" s="410"/>
      <c r="L867" s="410"/>
      <c r="M867" s="410"/>
      <c r="N867" s="410"/>
      <c r="R867" s="410"/>
      <c r="S867" s="410"/>
      <c r="T867" s="410"/>
      <c r="U867" s="410"/>
      <c r="V867" s="410"/>
      <c r="W867" s="410"/>
      <c r="X867" s="410"/>
      <c r="Y867" s="410"/>
    </row>
    <row r="868" spans="1:25" x14ac:dyDescent="0.2">
      <c r="A868" s="410"/>
      <c r="B868" s="410"/>
      <c r="C868" s="410"/>
      <c r="D868" s="410"/>
      <c r="E868" s="410"/>
      <c r="F868" s="410"/>
      <c r="G868" s="410"/>
      <c r="H868" s="410"/>
      <c r="I868" s="410"/>
      <c r="J868" s="410"/>
      <c r="K868" s="410"/>
      <c r="L868" s="410"/>
      <c r="M868" s="410"/>
      <c r="N868" s="410"/>
      <c r="R868" s="410"/>
      <c r="S868" s="410"/>
      <c r="T868" s="410"/>
      <c r="U868" s="410"/>
      <c r="V868" s="410"/>
      <c r="W868" s="410"/>
      <c r="X868" s="410"/>
      <c r="Y868" s="410"/>
    </row>
    <row r="869" spans="1:25" x14ac:dyDescent="0.2">
      <c r="A869" s="410"/>
      <c r="B869" s="410"/>
      <c r="C869" s="410"/>
      <c r="D869" s="410"/>
      <c r="E869" s="410"/>
      <c r="F869" s="410"/>
      <c r="G869" s="410"/>
      <c r="H869" s="410"/>
      <c r="I869" s="410"/>
      <c r="J869" s="410"/>
      <c r="K869" s="410"/>
      <c r="L869" s="410"/>
      <c r="M869" s="410"/>
      <c r="N869" s="410"/>
      <c r="R869" s="410"/>
      <c r="S869" s="410"/>
      <c r="T869" s="410"/>
      <c r="U869" s="410"/>
      <c r="V869" s="410"/>
      <c r="W869" s="410"/>
      <c r="X869" s="410"/>
      <c r="Y869" s="410"/>
    </row>
    <row r="870" spans="1:25" x14ac:dyDescent="0.2">
      <c r="A870" s="410"/>
      <c r="B870" s="410"/>
      <c r="C870" s="410"/>
      <c r="D870" s="410"/>
      <c r="E870" s="410"/>
      <c r="F870" s="410"/>
      <c r="G870" s="410"/>
      <c r="H870" s="410"/>
      <c r="I870" s="410"/>
      <c r="J870" s="410"/>
      <c r="K870" s="410"/>
      <c r="L870" s="410"/>
      <c r="M870" s="410"/>
      <c r="N870" s="410"/>
      <c r="R870" s="410"/>
      <c r="S870" s="410"/>
      <c r="T870" s="410"/>
      <c r="U870" s="410"/>
      <c r="V870" s="410"/>
      <c r="W870" s="410"/>
      <c r="X870" s="410"/>
      <c r="Y870" s="410"/>
    </row>
    <row r="871" spans="1:25" x14ac:dyDescent="0.2">
      <c r="A871" s="410"/>
      <c r="B871" s="410"/>
      <c r="C871" s="410"/>
      <c r="D871" s="410"/>
      <c r="E871" s="410"/>
      <c r="F871" s="410"/>
      <c r="G871" s="410"/>
      <c r="H871" s="410"/>
      <c r="I871" s="410"/>
      <c r="J871" s="410"/>
      <c r="K871" s="410"/>
      <c r="L871" s="410"/>
      <c r="M871" s="410"/>
      <c r="N871" s="410"/>
      <c r="R871" s="410"/>
      <c r="S871" s="410"/>
      <c r="T871" s="410"/>
      <c r="U871" s="410"/>
      <c r="V871" s="410"/>
      <c r="W871" s="410"/>
      <c r="X871" s="410"/>
      <c r="Y871" s="410"/>
    </row>
    <row r="872" spans="1:25" x14ac:dyDescent="0.2">
      <c r="A872" s="410"/>
      <c r="B872" s="410"/>
      <c r="C872" s="410"/>
      <c r="D872" s="410"/>
      <c r="E872" s="410"/>
      <c r="F872" s="410"/>
      <c r="G872" s="410"/>
      <c r="H872" s="410"/>
      <c r="I872" s="410"/>
      <c r="J872" s="410"/>
      <c r="K872" s="410"/>
      <c r="L872" s="410"/>
      <c r="M872" s="410"/>
      <c r="N872" s="410"/>
      <c r="R872" s="410"/>
      <c r="S872" s="410"/>
      <c r="T872" s="410"/>
      <c r="U872" s="410"/>
      <c r="V872" s="410"/>
      <c r="W872" s="410"/>
      <c r="X872" s="410"/>
      <c r="Y872" s="410"/>
    </row>
    <row r="873" spans="1:25" x14ac:dyDescent="0.2">
      <c r="A873" s="410"/>
      <c r="B873" s="410"/>
      <c r="C873" s="410"/>
      <c r="D873" s="410"/>
      <c r="E873" s="410"/>
      <c r="F873" s="410"/>
      <c r="G873" s="410"/>
      <c r="H873" s="410"/>
      <c r="I873" s="410"/>
      <c r="J873" s="410"/>
      <c r="K873" s="410"/>
      <c r="L873" s="410"/>
      <c r="M873" s="410"/>
      <c r="N873" s="410"/>
      <c r="R873" s="410"/>
      <c r="S873" s="410"/>
      <c r="T873" s="410"/>
      <c r="U873" s="410"/>
      <c r="V873" s="410"/>
      <c r="W873" s="410"/>
      <c r="X873" s="410"/>
      <c r="Y873" s="410"/>
    </row>
    <row r="874" spans="1:25" x14ac:dyDescent="0.2">
      <c r="A874" s="410"/>
      <c r="B874" s="410"/>
      <c r="C874" s="410"/>
      <c r="D874" s="410"/>
      <c r="E874" s="410"/>
      <c r="F874" s="410"/>
      <c r="G874" s="410"/>
      <c r="H874" s="410"/>
      <c r="I874" s="410"/>
      <c r="J874" s="410"/>
      <c r="K874" s="410"/>
      <c r="L874" s="410"/>
      <c r="M874" s="410"/>
      <c r="N874" s="410"/>
      <c r="R874" s="410"/>
      <c r="S874" s="410"/>
      <c r="T874" s="410"/>
      <c r="U874" s="410"/>
      <c r="V874" s="410"/>
      <c r="W874" s="410"/>
      <c r="X874" s="410"/>
      <c r="Y874" s="410"/>
    </row>
    <row r="875" spans="1:25" x14ac:dyDescent="0.2">
      <c r="A875" s="410"/>
      <c r="B875" s="410"/>
      <c r="C875" s="410"/>
      <c r="D875" s="410"/>
      <c r="E875" s="410"/>
      <c r="F875" s="410"/>
      <c r="G875" s="410"/>
      <c r="H875" s="410"/>
      <c r="I875" s="410"/>
      <c r="J875" s="410"/>
      <c r="K875" s="410"/>
      <c r="L875" s="410"/>
      <c r="M875" s="410"/>
      <c r="N875" s="410"/>
      <c r="R875" s="410"/>
      <c r="S875" s="410"/>
      <c r="T875" s="410"/>
      <c r="U875" s="410"/>
      <c r="V875" s="410"/>
      <c r="W875" s="410"/>
      <c r="X875" s="410"/>
      <c r="Y875" s="410"/>
    </row>
    <row r="876" spans="1:25" x14ac:dyDescent="0.2">
      <c r="A876" s="410"/>
      <c r="B876" s="410"/>
      <c r="C876" s="410"/>
      <c r="D876" s="410"/>
      <c r="E876" s="410"/>
      <c r="F876" s="410"/>
      <c r="G876" s="410"/>
      <c r="H876" s="410"/>
      <c r="I876" s="410"/>
      <c r="J876" s="410"/>
      <c r="K876" s="410"/>
      <c r="L876" s="410"/>
      <c r="M876" s="410"/>
      <c r="N876" s="410"/>
      <c r="R876" s="410"/>
      <c r="S876" s="410"/>
      <c r="T876" s="410"/>
      <c r="U876" s="410"/>
      <c r="V876" s="410"/>
      <c r="W876" s="410"/>
      <c r="X876" s="410"/>
      <c r="Y876" s="410"/>
    </row>
    <row r="877" spans="1:25" x14ac:dyDescent="0.2">
      <c r="A877" s="410"/>
      <c r="B877" s="410"/>
      <c r="C877" s="410"/>
      <c r="D877" s="410"/>
      <c r="E877" s="410"/>
      <c r="F877" s="410"/>
      <c r="G877" s="410"/>
      <c r="H877" s="410"/>
      <c r="I877" s="410"/>
      <c r="J877" s="410"/>
      <c r="K877" s="410"/>
      <c r="L877" s="410"/>
      <c r="M877" s="410"/>
      <c r="N877" s="410"/>
      <c r="R877" s="410"/>
      <c r="S877" s="410"/>
      <c r="T877" s="410"/>
      <c r="U877" s="410"/>
      <c r="V877" s="410"/>
      <c r="W877" s="410"/>
      <c r="X877" s="410"/>
      <c r="Y877" s="410"/>
    </row>
    <row r="878" spans="1:25" x14ac:dyDescent="0.2">
      <c r="A878" s="410"/>
      <c r="B878" s="410"/>
      <c r="C878" s="410"/>
      <c r="D878" s="410"/>
      <c r="E878" s="410"/>
      <c r="F878" s="410"/>
      <c r="G878" s="410"/>
      <c r="H878" s="410"/>
      <c r="I878" s="410"/>
      <c r="J878" s="410"/>
      <c r="K878" s="410"/>
      <c r="L878" s="410"/>
      <c r="M878" s="410"/>
      <c r="N878" s="410"/>
      <c r="R878" s="410"/>
      <c r="S878" s="410"/>
      <c r="T878" s="410"/>
      <c r="U878" s="410"/>
      <c r="V878" s="410"/>
      <c r="W878" s="410"/>
      <c r="X878" s="410"/>
      <c r="Y878" s="410"/>
    </row>
    <row r="879" spans="1:25" x14ac:dyDescent="0.2">
      <c r="A879" s="410"/>
      <c r="B879" s="410"/>
      <c r="C879" s="410"/>
      <c r="D879" s="410"/>
      <c r="E879" s="410"/>
      <c r="F879" s="410"/>
      <c r="G879" s="410"/>
      <c r="H879" s="410"/>
      <c r="I879" s="410"/>
      <c r="J879" s="410"/>
      <c r="K879" s="410"/>
      <c r="L879" s="410"/>
      <c r="M879" s="410"/>
      <c r="N879" s="410"/>
      <c r="R879" s="410"/>
      <c r="S879" s="410"/>
      <c r="T879" s="410"/>
      <c r="U879" s="410"/>
      <c r="V879" s="410"/>
      <c r="W879" s="410"/>
      <c r="X879" s="410"/>
      <c r="Y879" s="410"/>
    </row>
    <row r="880" spans="1:25" x14ac:dyDescent="0.2">
      <c r="A880" s="410"/>
      <c r="B880" s="410"/>
      <c r="C880" s="410"/>
      <c r="D880" s="410"/>
      <c r="E880" s="410"/>
      <c r="F880" s="410"/>
      <c r="G880" s="410"/>
      <c r="H880" s="410"/>
      <c r="I880" s="410"/>
      <c r="J880" s="410"/>
      <c r="K880" s="410"/>
      <c r="L880" s="410"/>
      <c r="M880" s="410"/>
      <c r="N880" s="410"/>
      <c r="R880" s="410"/>
      <c r="S880" s="410"/>
      <c r="T880" s="410"/>
      <c r="U880" s="410"/>
      <c r="V880" s="410"/>
      <c r="W880" s="410"/>
      <c r="X880" s="410"/>
      <c r="Y880" s="410"/>
    </row>
    <row r="881" spans="1:25" x14ac:dyDescent="0.2">
      <c r="A881" s="410"/>
      <c r="B881" s="410"/>
      <c r="C881" s="410"/>
      <c r="D881" s="410"/>
      <c r="E881" s="410"/>
      <c r="F881" s="410"/>
      <c r="G881" s="410"/>
      <c r="H881" s="410"/>
      <c r="I881" s="410"/>
      <c r="J881" s="410"/>
      <c r="K881" s="410"/>
      <c r="L881" s="410"/>
      <c r="M881" s="410"/>
      <c r="N881" s="410"/>
      <c r="R881" s="410"/>
      <c r="S881" s="410"/>
      <c r="T881" s="410"/>
      <c r="U881" s="410"/>
      <c r="V881" s="410"/>
      <c r="W881" s="410"/>
      <c r="X881" s="410"/>
      <c r="Y881" s="410"/>
    </row>
    <row r="882" spans="1:25" x14ac:dyDescent="0.2">
      <c r="A882" s="410"/>
      <c r="B882" s="410"/>
      <c r="C882" s="410"/>
      <c r="D882" s="410"/>
      <c r="E882" s="410"/>
      <c r="F882" s="410"/>
      <c r="G882" s="410"/>
      <c r="H882" s="410"/>
      <c r="I882" s="410"/>
      <c r="J882" s="410"/>
      <c r="K882" s="410"/>
      <c r="L882" s="410"/>
      <c r="M882" s="410"/>
      <c r="N882" s="410"/>
      <c r="R882" s="410"/>
      <c r="S882" s="410"/>
      <c r="T882" s="410"/>
      <c r="U882" s="410"/>
      <c r="V882" s="410"/>
      <c r="W882" s="410"/>
      <c r="X882" s="410"/>
      <c r="Y882" s="410"/>
    </row>
    <row r="883" spans="1:25" x14ac:dyDescent="0.2">
      <c r="A883" s="410"/>
      <c r="B883" s="410"/>
      <c r="C883" s="410"/>
      <c r="D883" s="410"/>
      <c r="E883" s="410"/>
      <c r="F883" s="410"/>
      <c r="G883" s="410"/>
      <c r="H883" s="410"/>
      <c r="I883" s="410"/>
      <c r="J883" s="410"/>
      <c r="K883" s="410"/>
      <c r="L883" s="410"/>
      <c r="M883" s="410"/>
      <c r="N883" s="410"/>
      <c r="R883" s="410"/>
      <c r="S883" s="410"/>
      <c r="T883" s="410"/>
      <c r="U883" s="410"/>
      <c r="V883" s="410"/>
      <c r="W883" s="410"/>
      <c r="X883" s="410"/>
      <c r="Y883" s="410"/>
    </row>
    <row r="884" spans="1:25" x14ac:dyDescent="0.2">
      <c r="A884" s="410"/>
      <c r="B884" s="410"/>
      <c r="C884" s="410"/>
      <c r="D884" s="410"/>
      <c r="E884" s="410"/>
      <c r="F884" s="410"/>
      <c r="G884" s="410"/>
      <c r="H884" s="410"/>
      <c r="I884" s="410"/>
      <c r="J884" s="410"/>
      <c r="K884" s="410"/>
      <c r="L884" s="410"/>
      <c r="M884" s="410"/>
      <c r="N884" s="410"/>
      <c r="R884" s="410"/>
      <c r="S884" s="410"/>
      <c r="T884" s="410"/>
      <c r="U884" s="410"/>
      <c r="V884" s="410"/>
      <c r="W884" s="410"/>
      <c r="X884" s="410"/>
      <c r="Y884" s="410"/>
    </row>
    <row r="885" spans="1:25" x14ac:dyDescent="0.2">
      <c r="A885" s="410"/>
      <c r="B885" s="410"/>
      <c r="C885" s="410"/>
      <c r="D885" s="410"/>
      <c r="E885" s="410"/>
      <c r="F885" s="410"/>
      <c r="G885" s="410"/>
      <c r="H885" s="410"/>
      <c r="I885" s="410"/>
      <c r="J885" s="410"/>
      <c r="K885" s="410"/>
      <c r="L885" s="410"/>
      <c r="M885" s="410"/>
      <c r="N885" s="410"/>
      <c r="R885" s="410"/>
      <c r="S885" s="410"/>
      <c r="T885" s="410"/>
      <c r="U885" s="410"/>
      <c r="V885" s="410"/>
      <c r="W885" s="410"/>
      <c r="X885" s="410"/>
      <c r="Y885" s="410"/>
    </row>
    <row r="886" spans="1:25" x14ac:dyDescent="0.2">
      <c r="A886" s="410"/>
      <c r="B886" s="410"/>
      <c r="C886" s="410"/>
      <c r="D886" s="410"/>
      <c r="E886" s="410"/>
      <c r="F886" s="410"/>
      <c r="G886" s="410"/>
      <c r="H886" s="410"/>
      <c r="I886" s="410"/>
      <c r="J886" s="410"/>
      <c r="K886" s="410"/>
      <c r="L886" s="410"/>
      <c r="M886" s="410"/>
      <c r="N886" s="410"/>
      <c r="R886" s="410"/>
      <c r="S886" s="410"/>
      <c r="T886" s="410"/>
      <c r="U886" s="410"/>
      <c r="V886" s="410"/>
      <c r="W886" s="410"/>
      <c r="X886" s="410"/>
      <c r="Y886" s="410"/>
    </row>
    <row r="887" spans="1:25" x14ac:dyDescent="0.2">
      <c r="A887" s="410"/>
      <c r="B887" s="410"/>
      <c r="C887" s="410"/>
      <c r="D887" s="410"/>
      <c r="E887" s="410"/>
      <c r="F887" s="410"/>
      <c r="G887" s="410"/>
      <c r="H887" s="410"/>
      <c r="I887" s="410"/>
      <c r="J887" s="410"/>
      <c r="K887" s="410"/>
      <c r="L887" s="410"/>
      <c r="M887" s="410"/>
      <c r="N887" s="410"/>
      <c r="R887" s="410"/>
      <c r="S887" s="410"/>
      <c r="T887" s="410"/>
      <c r="U887" s="410"/>
      <c r="V887" s="410"/>
      <c r="W887" s="410"/>
      <c r="X887" s="410"/>
      <c r="Y887" s="410"/>
    </row>
    <row r="888" spans="1:25" x14ac:dyDescent="0.2">
      <c r="A888" s="410"/>
      <c r="B888" s="410"/>
      <c r="C888" s="410"/>
      <c r="D888" s="410"/>
      <c r="E888" s="410"/>
      <c r="F888" s="410"/>
      <c r="G888" s="410"/>
      <c r="H888" s="410"/>
      <c r="I888" s="410"/>
      <c r="J888" s="410"/>
      <c r="K888" s="410"/>
      <c r="L888" s="410"/>
      <c r="M888" s="410"/>
      <c r="N888" s="410"/>
      <c r="R888" s="410"/>
      <c r="S888" s="410"/>
      <c r="T888" s="410"/>
      <c r="U888" s="410"/>
      <c r="V888" s="410"/>
      <c r="W888" s="410"/>
      <c r="X888" s="410"/>
      <c r="Y888" s="410"/>
    </row>
    <row r="889" spans="1:25" x14ac:dyDescent="0.2">
      <c r="A889" s="410"/>
      <c r="B889" s="410"/>
      <c r="C889" s="410"/>
      <c r="D889" s="410"/>
      <c r="E889" s="410"/>
      <c r="F889" s="410"/>
      <c r="G889" s="410"/>
      <c r="H889" s="410"/>
      <c r="I889" s="410"/>
      <c r="J889" s="410"/>
      <c r="K889" s="410"/>
      <c r="L889" s="410"/>
      <c r="M889" s="410"/>
      <c r="N889" s="410"/>
      <c r="R889" s="410"/>
      <c r="S889" s="410"/>
      <c r="T889" s="410"/>
      <c r="U889" s="410"/>
      <c r="V889" s="410"/>
      <c r="W889" s="410"/>
      <c r="X889" s="410"/>
      <c r="Y889" s="410"/>
    </row>
    <row r="890" spans="1:25" x14ac:dyDescent="0.2">
      <c r="A890" s="410"/>
      <c r="B890" s="410"/>
      <c r="C890" s="410"/>
      <c r="D890" s="410"/>
      <c r="E890" s="410"/>
      <c r="F890" s="410"/>
      <c r="G890" s="410"/>
      <c r="H890" s="410"/>
      <c r="I890" s="410"/>
      <c r="J890" s="410"/>
      <c r="K890" s="410"/>
      <c r="L890" s="410"/>
      <c r="M890" s="410"/>
      <c r="N890" s="410"/>
      <c r="R890" s="410"/>
      <c r="S890" s="410"/>
      <c r="T890" s="410"/>
      <c r="U890" s="410"/>
      <c r="V890" s="410"/>
      <c r="W890" s="410"/>
      <c r="X890" s="410"/>
      <c r="Y890" s="410"/>
    </row>
    <row r="891" spans="1:25" x14ac:dyDescent="0.2">
      <c r="A891" s="410"/>
      <c r="B891" s="410"/>
      <c r="C891" s="410"/>
      <c r="D891" s="410"/>
      <c r="E891" s="410"/>
      <c r="F891" s="410"/>
      <c r="G891" s="410"/>
      <c r="H891" s="410"/>
      <c r="I891" s="410"/>
      <c r="J891" s="410"/>
      <c r="K891" s="410"/>
      <c r="L891" s="410"/>
      <c r="M891" s="410"/>
      <c r="N891" s="410"/>
      <c r="R891" s="410"/>
      <c r="S891" s="410"/>
      <c r="T891" s="410"/>
      <c r="U891" s="410"/>
      <c r="V891" s="410"/>
      <c r="W891" s="410"/>
      <c r="X891" s="410"/>
      <c r="Y891" s="410"/>
    </row>
    <row r="892" spans="1:25" x14ac:dyDescent="0.2">
      <c r="A892" s="410"/>
      <c r="B892" s="410"/>
      <c r="C892" s="410"/>
      <c r="D892" s="410"/>
      <c r="E892" s="410"/>
      <c r="F892" s="410"/>
      <c r="G892" s="410"/>
      <c r="H892" s="410"/>
      <c r="I892" s="410"/>
      <c r="J892" s="410"/>
      <c r="K892" s="410"/>
      <c r="L892" s="410"/>
      <c r="M892" s="410"/>
      <c r="N892" s="410"/>
      <c r="R892" s="410"/>
      <c r="S892" s="410"/>
      <c r="T892" s="410"/>
      <c r="U892" s="410"/>
      <c r="V892" s="410"/>
      <c r="W892" s="410"/>
      <c r="X892" s="410"/>
      <c r="Y892" s="410"/>
    </row>
    <row r="893" spans="1:25" x14ac:dyDescent="0.2">
      <c r="A893" s="410"/>
      <c r="B893" s="410"/>
      <c r="C893" s="410"/>
      <c r="D893" s="410"/>
      <c r="E893" s="410"/>
      <c r="F893" s="410"/>
      <c r="G893" s="410"/>
      <c r="H893" s="410"/>
      <c r="I893" s="410"/>
      <c r="J893" s="410"/>
      <c r="K893" s="410"/>
      <c r="L893" s="410"/>
      <c r="M893" s="410"/>
      <c r="N893" s="410"/>
      <c r="R893" s="410"/>
      <c r="S893" s="410"/>
      <c r="T893" s="410"/>
      <c r="U893" s="410"/>
      <c r="V893" s="410"/>
      <c r="W893" s="410"/>
      <c r="X893" s="410"/>
      <c r="Y893" s="410"/>
    </row>
    <row r="894" spans="1:25" x14ac:dyDescent="0.2">
      <c r="A894" s="410"/>
      <c r="B894" s="410"/>
      <c r="C894" s="410"/>
      <c r="D894" s="410"/>
      <c r="E894" s="410"/>
      <c r="F894" s="410"/>
      <c r="G894" s="410"/>
      <c r="H894" s="410"/>
      <c r="I894" s="410"/>
      <c r="J894" s="410"/>
      <c r="K894" s="410"/>
      <c r="L894" s="410"/>
      <c r="M894" s="410"/>
      <c r="N894" s="410"/>
      <c r="R894" s="410"/>
      <c r="S894" s="410"/>
      <c r="T894" s="410"/>
      <c r="U894" s="410"/>
      <c r="V894" s="410"/>
      <c r="W894" s="410"/>
      <c r="X894" s="410"/>
      <c r="Y894" s="410"/>
    </row>
    <row r="895" spans="1:25" x14ac:dyDescent="0.2">
      <c r="A895" s="410"/>
      <c r="B895" s="410"/>
      <c r="C895" s="410"/>
      <c r="D895" s="410"/>
      <c r="E895" s="410"/>
      <c r="F895" s="410"/>
      <c r="G895" s="410"/>
      <c r="H895" s="410"/>
      <c r="I895" s="410"/>
      <c r="J895" s="410"/>
      <c r="K895" s="410"/>
      <c r="L895" s="410"/>
      <c r="M895" s="410"/>
      <c r="N895" s="410"/>
      <c r="R895" s="410"/>
      <c r="S895" s="410"/>
      <c r="T895" s="410"/>
      <c r="U895" s="410"/>
      <c r="V895" s="410"/>
      <c r="W895" s="410"/>
      <c r="X895" s="410"/>
      <c r="Y895" s="410"/>
    </row>
    <row r="896" spans="1:25" x14ac:dyDescent="0.2">
      <c r="A896" s="410"/>
      <c r="B896" s="410"/>
      <c r="C896" s="410"/>
      <c r="D896" s="410"/>
      <c r="E896" s="410"/>
      <c r="F896" s="410"/>
      <c r="G896" s="410"/>
      <c r="H896" s="410"/>
      <c r="I896" s="410"/>
      <c r="J896" s="410"/>
      <c r="K896" s="410"/>
      <c r="L896" s="410"/>
      <c r="M896" s="410"/>
      <c r="N896" s="410"/>
      <c r="R896" s="410"/>
      <c r="S896" s="410"/>
      <c r="T896" s="410"/>
      <c r="U896" s="410"/>
      <c r="V896" s="410"/>
      <c r="W896" s="410"/>
      <c r="X896" s="410"/>
      <c r="Y896" s="410"/>
    </row>
    <row r="897" spans="1:25" x14ac:dyDescent="0.2">
      <c r="A897" s="410"/>
      <c r="B897" s="410"/>
      <c r="C897" s="410"/>
      <c r="D897" s="410"/>
      <c r="E897" s="410"/>
      <c r="F897" s="410"/>
      <c r="G897" s="410"/>
      <c r="H897" s="410"/>
      <c r="I897" s="410"/>
      <c r="J897" s="410"/>
      <c r="K897" s="410"/>
      <c r="L897" s="410"/>
      <c r="M897" s="410"/>
      <c r="N897" s="410"/>
      <c r="R897" s="410"/>
      <c r="S897" s="410"/>
      <c r="T897" s="410"/>
      <c r="U897" s="410"/>
      <c r="V897" s="410"/>
      <c r="W897" s="410"/>
      <c r="X897" s="410"/>
      <c r="Y897" s="410"/>
    </row>
    <row r="898" spans="1:25" x14ac:dyDescent="0.2">
      <c r="A898" s="410"/>
      <c r="B898" s="410"/>
      <c r="C898" s="410"/>
      <c r="D898" s="410"/>
      <c r="E898" s="410"/>
      <c r="F898" s="410"/>
      <c r="G898" s="410"/>
      <c r="H898" s="410"/>
      <c r="I898" s="410"/>
      <c r="J898" s="410"/>
      <c r="K898" s="410"/>
      <c r="L898" s="410"/>
      <c r="M898" s="410"/>
      <c r="N898" s="410"/>
      <c r="R898" s="410"/>
      <c r="S898" s="410"/>
      <c r="T898" s="410"/>
      <c r="U898" s="410"/>
      <c r="V898" s="410"/>
      <c r="W898" s="410"/>
      <c r="X898" s="410"/>
      <c r="Y898" s="410"/>
    </row>
    <row r="899" spans="1:25" x14ac:dyDescent="0.2">
      <c r="A899" s="410"/>
      <c r="B899" s="410"/>
      <c r="C899" s="410"/>
      <c r="D899" s="410"/>
      <c r="E899" s="410"/>
      <c r="F899" s="410"/>
      <c r="G899" s="410"/>
      <c r="H899" s="410"/>
      <c r="I899" s="410"/>
      <c r="J899" s="410"/>
      <c r="K899" s="410"/>
      <c r="L899" s="410"/>
      <c r="M899" s="410"/>
      <c r="N899" s="410"/>
      <c r="R899" s="410"/>
      <c r="S899" s="410"/>
      <c r="T899" s="410"/>
      <c r="U899" s="410"/>
      <c r="V899" s="410"/>
      <c r="W899" s="410"/>
      <c r="X899" s="410"/>
      <c r="Y899" s="410"/>
    </row>
    <row r="900" spans="1:25" x14ac:dyDescent="0.2">
      <c r="A900" s="410"/>
      <c r="B900" s="410"/>
      <c r="C900" s="410"/>
      <c r="D900" s="410"/>
      <c r="E900" s="410"/>
      <c r="F900" s="410"/>
      <c r="G900" s="410"/>
      <c r="H900" s="410"/>
      <c r="I900" s="410"/>
      <c r="J900" s="410"/>
      <c r="K900" s="410"/>
      <c r="L900" s="410"/>
      <c r="M900" s="410"/>
      <c r="N900" s="410"/>
      <c r="R900" s="410"/>
      <c r="S900" s="410"/>
      <c r="T900" s="410"/>
      <c r="U900" s="410"/>
      <c r="V900" s="410"/>
      <c r="W900" s="410"/>
      <c r="X900" s="410"/>
      <c r="Y900" s="410"/>
    </row>
    <row r="901" spans="1:25" x14ac:dyDescent="0.2">
      <c r="A901" s="410"/>
      <c r="B901" s="410"/>
      <c r="C901" s="410"/>
      <c r="D901" s="410"/>
      <c r="E901" s="410"/>
      <c r="F901" s="410"/>
      <c r="G901" s="410"/>
      <c r="H901" s="410"/>
      <c r="I901" s="410"/>
      <c r="J901" s="410"/>
      <c r="K901" s="410"/>
      <c r="L901" s="410"/>
      <c r="M901" s="410"/>
      <c r="N901" s="410"/>
      <c r="R901" s="410"/>
      <c r="S901" s="410"/>
      <c r="T901" s="410"/>
      <c r="U901" s="410"/>
      <c r="V901" s="410"/>
      <c r="W901" s="410"/>
      <c r="X901" s="410"/>
      <c r="Y901" s="410"/>
    </row>
    <row r="902" spans="1:25" x14ac:dyDescent="0.2">
      <c r="A902" s="410"/>
      <c r="B902" s="410"/>
      <c r="C902" s="410"/>
      <c r="D902" s="410"/>
      <c r="E902" s="410"/>
      <c r="F902" s="410"/>
      <c r="G902" s="410"/>
      <c r="H902" s="410"/>
      <c r="I902" s="410"/>
      <c r="J902" s="410"/>
      <c r="K902" s="410"/>
      <c r="L902" s="410"/>
      <c r="M902" s="410"/>
      <c r="N902" s="410"/>
      <c r="R902" s="410"/>
      <c r="S902" s="410"/>
      <c r="T902" s="410"/>
      <c r="U902" s="410"/>
      <c r="V902" s="410"/>
      <c r="W902" s="410"/>
      <c r="X902" s="410"/>
      <c r="Y902" s="410"/>
    </row>
    <row r="903" spans="1:25" x14ac:dyDescent="0.2">
      <c r="A903" s="410"/>
      <c r="B903" s="410"/>
      <c r="C903" s="410"/>
      <c r="D903" s="410"/>
      <c r="E903" s="410"/>
      <c r="F903" s="410"/>
      <c r="G903" s="410"/>
      <c r="H903" s="410"/>
      <c r="I903" s="410"/>
      <c r="J903" s="410"/>
      <c r="K903" s="410"/>
      <c r="L903" s="410"/>
      <c r="M903" s="410"/>
      <c r="N903" s="410"/>
      <c r="R903" s="410"/>
      <c r="S903" s="410"/>
      <c r="T903" s="410"/>
      <c r="U903" s="410"/>
      <c r="V903" s="410"/>
      <c r="W903" s="410"/>
      <c r="X903" s="410"/>
      <c r="Y903" s="410"/>
    </row>
    <row r="904" spans="1:25" x14ac:dyDescent="0.2">
      <c r="A904" s="410"/>
      <c r="B904" s="410"/>
      <c r="C904" s="410"/>
      <c r="D904" s="410"/>
      <c r="E904" s="410"/>
      <c r="F904" s="410"/>
      <c r="G904" s="410"/>
      <c r="H904" s="410"/>
      <c r="I904" s="410"/>
      <c r="J904" s="410"/>
      <c r="K904" s="410"/>
      <c r="L904" s="410"/>
      <c r="M904" s="410"/>
      <c r="N904" s="410"/>
      <c r="R904" s="410"/>
      <c r="S904" s="410"/>
      <c r="T904" s="410"/>
      <c r="U904" s="410"/>
      <c r="V904" s="410"/>
      <c r="W904" s="410"/>
      <c r="X904" s="410"/>
      <c r="Y904" s="410"/>
    </row>
    <row r="905" spans="1:25" x14ac:dyDescent="0.2">
      <c r="A905" s="410"/>
      <c r="B905" s="410"/>
      <c r="C905" s="410"/>
      <c r="D905" s="410"/>
      <c r="E905" s="410"/>
      <c r="F905" s="410"/>
      <c r="G905" s="410"/>
      <c r="H905" s="410"/>
      <c r="I905" s="410"/>
      <c r="J905" s="410"/>
      <c r="K905" s="410"/>
      <c r="L905" s="410"/>
      <c r="M905" s="410"/>
      <c r="N905" s="410"/>
      <c r="R905" s="410"/>
      <c r="S905" s="410"/>
      <c r="T905" s="410"/>
      <c r="U905" s="410"/>
      <c r="V905" s="410"/>
      <c r="W905" s="410"/>
      <c r="X905" s="410"/>
      <c r="Y905" s="410"/>
    </row>
    <row r="906" spans="1:25" x14ac:dyDescent="0.2">
      <c r="A906" s="410"/>
      <c r="B906" s="410"/>
      <c r="C906" s="410"/>
      <c r="D906" s="410"/>
      <c r="E906" s="410"/>
      <c r="F906" s="410"/>
      <c r="G906" s="410"/>
      <c r="H906" s="410"/>
      <c r="I906" s="410"/>
      <c r="J906" s="410"/>
      <c r="K906" s="410"/>
      <c r="L906" s="410"/>
      <c r="M906" s="410"/>
      <c r="N906" s="410"/>
      <c r="R906" s="410"/>
      <c r="S906" s="410"/>
      <c r="T906" s="410"/>
      <c r="U906" s="410"/>
      <c r="V906" s="410"/>
      <c r="W906" s="410"/>
      <c r="X906" s="410"/>
      <c r="Y906" s="410"/>
    </row>
    <row r="907" spans="1:25" x14ac:dyDescent="0.2">
      <c r="A907" s="410"/>
      <c r="B907" s="410"/>
      <c r="C907" s="410"/>
      <c r="D907" s="410"/>
      <c r="E907" s="410"/>
      <c r="F907" s="410"/>
      <c r="G907" s="410"/>
      <c r="H907" s="410"/>
      <c r="I907" s="410"/>
      <c r="J907" s="410"/>
      <c r="K907" s="410"/>
      <c r="L907" s="410"/>
      <c r="M907" s="410"/>
      <c r="N907" s="410"/>
      <c r="R907" s="410"/>
      <c r="S907" s="410"/>
      <c r="T907" s="410"/>
      <c r="U907" s="410"/>
      <c r="V907" s="410"/>
      <c r="W907" s="410"/>
      <c r="X907" s="410"/>
      <c r="Y907" s="410"/>
    </row>
    <row r="908" spans="1:25" x14ac:dyDescent="0.2">
      <c r="A908" s="410"/>
      <c r="B908" s="410"/>
      <c r="C908" s="410"/>
      <c r="D908" s="410"/>
      <c r="E908" s="410"/>
      <c r="F908" s="410"/>
      <c r="G908" s="410"/>
      <c r="H908" s="410"/>
      <c r="I908" s="410"/>
      <c r="J908" s="410"/>
      <c r="K908" s="410"/>
      <c r="L908" s="410"/>
      <c r="M908" s="410"/>
      <c r="N908" s="410"/>
      <c r="R908" s="410"/>
      <c r="S908" s="410"/>
      <c r="T908" s="410"/>
      <c r="U908" s="410"/>
      <c r="V908" s="410"/>
      <c r="W908" s="410"/>
      <c r="X908" s="410"/>
      <c r="Y908" s="410"/>
    </row>
    <row r="909" spans="1:25" x14ac:dyDescent="0.2">
      <c r="A909" s="410"/>
      <c r="B909" s="410"/>
      <c r="C909" s="410"/>
      <c r="D909" s="410"/>
      <c r="E909" s="410"/>
      <c r="F909" s="410"/>
      <c r="G909" s="410"/>
      <c r="H909" s="410"/>
      <c r="I909" s="410"/>
      <c r="J909" s="410"/>
      <c r="K909" s="410"/>
      <c r="L909" s="410"/>
      <c r="M909" s="410"/>
      <c r="N909" s="410"/>
      <c r="R909" s="410"/>
      <c r="S909" s="410"/>
      <c r="T909" s="410"/>
      <c r="U909" s="410"/>
      <c r="V909" s="410"/>
      <c r="W909" s="410"/>
      <c r="X909" s="410"/>
      <c r="Y909" s="410"/>
    </row>
    <row r="910" spans="1:25" x14ac:dyDescent="0.2">
      <c r="A910" s="410"/>
      <c r="B910" s="410"/>
      <c r="C910" s="410"/>
      <c r="D910" s="410"/>
      <c r="E910" s="410"/>
      <c r="F910" s="410"/>
      <c r="G910" s="410"/>
      <c r="H910" s="410"/>
      <c r="I910" s="410"/>
      <c r="J910" s="410"/>
      <c r="K910" s="410"/>
      <c r="L910" s="410"/>
      <c r="M910" s="410"/>
      <c r="N910" s="410"/>
      <c r="R910" s="410"/>
      <c r="S910" s="410"/>
      <c r="T910" s="410"/>
      <c r="U910" s="410"/>
      <c r="V910" s="410"/>
      <c r="W910" s="410"/>
      <c r="X910" s="410"/>
      <c r="Y910" s="410"/>
    </row>
    <row r="911" spans="1:25" x14ac:dyDescent="0.2">
      <c r="A911" s="410"/>
      <c r="B911" s="410"/>
      <c r="C911" s="410"/>
      <c r="D911" s="410"/>
      <c r="E911" s="410"/>
      <c r="F911" s="410"/>
      <c r="G911" s="410"/>
      <c r="H911" s="410"/>
      <c r="I911" s="410"/>
      <c r="J911" s="410"/>
      <c r="K911" s="410"/>
      <c r="L911" s="410"/>
      <c r="M911" s="410"/>
      <c r="N911" s="410"/>
      <c r="R911" s="410"/>
      <c r="S911" s="410"/>
      <c r="T911" s="410"/>
      <c r="U911" s="410"/>
      <c r="V911" s="410"/>
      <c r="W911" s="410"/>
      <c r="X911" s="410"/>
      <c r="Y911" s="410"/>
    </row>
    <row r="912" spans="1:25" x14ac:dyDescent="0.2">
      <c r="A912" s="410"/>
      <c r="B912" s="410"/>
      <c r="C912" s="410"/>
      <c r="D912" s="410"/>
      <c r="E912" s="410"/>
      <c r="F912" s="410"/>
      <c r="G912" s="410"/>
      <c r="H912" s="410"/>
      <c r="I912" s="410"/>
      <c r="J912" s="410"/>
      <c r="K912" s="410"/>
      <c r="L912" s="410"/>
      <c r="M912" s="410"/>
      <c r="N912" s="410"/>
      <c r="R912" s="410"/>
      <c r="S912" s="410"/>
      <c r="T912" s="410"/>
      <c r="U912" s="410"/>
      <c r="V912" s="410"/>
      <c r="W912" s="410"/>
      <c r="X912" s="410"/>
      <c r="Y912" s="410"/>
    </row>
    <row r="913" spans="1:25" x14ac:dyDescent="0.2">
      <c r="A913" s="410"/>
      <c r="B913" s="410"/>
      <c r="C913" s="410"/>
      <c r="D913" s="410"/>
      <c r="E913" s="410"/>
      <c r="F913" s="410"/>
      <c r="G913" s="410"/>
      <c r="H913" s="410"/>
      <c r="I913" s="410"/>
      <c r="J913" s="410"/>
      <c r="K913" s="410"/>
      <c r="L913" s="410"/>
      <c r="M913" s="410"/>
      <c r="N913" s="410"/>
      <c r="R913" s="410"/>
      <c r="S913" s="410"/>
      <c r="T913" s="410"/>
      <c r="U913" s="410"/>
      <c r="V913" s="410"/>
      <c r="W913" s="410"/>
      <c r="X913" s="410"/>
      <c r="Y913" s="410"/>
    </row>
    <row r="914" spans="1:25" x14ac:dyDescent="0.2">
      <c r="A914" s="410"/>
      <c r="B914" s="410"/>
      <c r="C914" s="410"/>
      <c r="D914" s="410"/>
      <c r="E914" s="410"/>
      <c r="F914" s="410"/>
      <c r="G914" s="410"/>
      <c r="H914" s="410"/>
      <c r="I914" s="410"/>
      <c r="J914" s="410"/>
      <c r="K914" s="410"/>
      <c r="L914" s="410"/>
      <c r="M914" s="410"/>
      <c r="N914" s="410"/>
      <c r="R914" s="410"/>
      <c r="S914" s="410"/>
      <c r="T914" s="410"/>
      <c r="U914" s="410"/>
      <c r="V914" s="410"/>
      <c r="W914" s="410"/>
      <c r="X914" s="410"/>
      <c r="Y914" s="410"/>
    </row>
    <row r="915" spans="1:25" x14ac:dyDescent="0.2">
      <c r="A915" s="410"/>
      <c r="B915" s="410"/>
      <c r="C915" s="410"/>
      <c r="D915" s="410"/>
      <c r="E915" s="410"/>
      <c r="F915" s="410"/>
      <c r="G915" s="410"/>
      <c r="H915" s="410"/>
      <c r="I915" s="410"/>
      <c r="J915" s="410"/>
      <c r="K915" s="410"/>
      <c r="L915" s="410"/>
      <c r="M915" s="410"/>
      <c r="N915" s="410"/>
      <c r="R915" s="410"/>
      <c r="S915" s="410"/>
      <c r="T915" s="410"/>
      <c r="U915" s="410"/>
      <c r="V915" s="410"/>
      <c r="W915" s="410"/>
      <c r="X915" s="410"/>
      <c r="Y915" s="410"/>
    </row>
    <row r="916" spans="1:25" x14ac:dyDescent="0.2">
      <c r="A916" s="410"/>
      <c r="B916" s="410"/>
      <c r="C916" s="410"/>
      <c r="D916" s="410"/>
      <c r="E916" s="410"/>
      <c r="F916" s="410"/>
      <c r="G916" s="410"/>
      <c r="H916" s="410"/>
      <c r="I916" s="410"/>
      <c r="J916" s="410"/>
      <c r="K916" s="410"/>
      <c r="L916" s="410"/>
      <c r="M916" s="410"/>
      <c r="N916" s="410"/>
      <c r="R916" s="410"/>
      <c r="S916" s="410"/>
      <c r="T916" s="410"/>
      <c r="U916" s="410"/>
      <c r="V916" s="410"/>
      <c r="W916" s="410"/>
      <c r="X916" s="410"/>
      <c r="Y916" s="410"/>
    </row>
    <row r="917" spans="1:25" x14ac:dyDescent="0.2">
      <c r="A917" s="410"/>
      <c r="B917" s="410"/>
      <c r="C917" s="410"/>
      <c r="D917" s="410"/>
      <c r="E917" s="410"/>
      <c r="F917" s="410"/>
      <c r="G917" s="410"/>
      <c r="H917" s="410"/>
      <c r="I917" s="410"/>
      <c r="J917" s="410"/>
      <c r="K917" s="410"/>
      <c r="L917" s="410"/>
      <c r="M917" s="410"/>
      <c r="N917" s="410"/>
      <c r="R917" s="410"/>
      <c r="S917" s="410"/>
      <c r="T917" s="410"/>
      <c r="U917" s="410"/>
      <c r="V917" s="410"/>
      <c r="W917" s="410"/>
      <c r="X917" s="410"/>
      <c r="Y917" s="410"/>
    </row>
    <row r="918" spans="1:25" x14ac:dyDescent="0.2">
      <c r="A918" s="410"/>
      <c r="B918" s="410"/>
      <c r="C918" s="410"/>
      <c r="D918" s="410"/>
      <c r="E918" s="410"/>
      <c r="F918" s="410"/>
      <c r="G918" s="410"/>
      <c r="H918" s="410"/>
      <c r="I918" s="410"/>
      <c r="J918" s="410"/>
      <c r="K918" s="410"/>
      <c r="L918" s="410"/>
      <c r="M918" s="410"/>
      <c r="N918" s="410"/>
      <c r="R918" s="410"/>
      <c r="S918" s="410"/>
      <c r="T918" s="410"/>
      <c r="U918" s="410"/>
      <c r="V918" s="410"/>
      <c r="W918" s="410"/>
      <c r="X918" s="410"/>
      <c r="Y918" s="410"/>
    </row>
    <row r="919" spans="1:25" x14ac:dyDescent="0.2">
      <c r="A919" s="410"/>
      <c r="B919" s="410"/>
      <c r="C919" s="410"/>
      <c r="D919" s="410"/>
      <c r="E919" s="410"/>
      <c r="F919" s="410"/>
      <c r="G919" s="410"/>
      <c r="H919" s="410"/>
      <c r="I919" s="410"/>
      <c r="J919" s="410"/>
      <c r="K919" s="410"/>
      <c r="L919" s="410"/>
      <c r="M919" s="410"/>
      <c r="N919" s="410"/>
      <c r="R919" s="410"/>
      <c r="S919" s="410"/>
      <c r="T919" s="410"/>
      <c r="U919" s="410"/>
      <c r="V919" s="410"/>
      <c r="W919" s="410"/>
      <c r="X919" s="410"/>
      <c r="Y919" s="410"/>
    </row>
    <row r="920" spans="1:25" x14ac:dyDescent="0.2">
      <c r="A920" s="410"/>
      <c r="B920" s="410"/>
      <c r="C920" s="410"/>
      <c r="D920" s="410"/>
      <c r="E920" s="410"/>
      <c r="F920" s="410"/>
      <c r="G920" s="410"/>
      <c r="H920" s="410"/>
      <c r="I920" s="410"/>
      <c r="J920" s="410"/>
      <c r="K920" s="410"/>
      <c r="L920" s="410"/>
      <c r="M920" s="410"/>
      <c r="N920" s="410"/>
      <c r="R920" s="410"/>
      <c r="S920" s="410"/>
      <c r="T920" s="410"/>
      <c r="U920" s="410"/>
      <c r="V920" s="410"/>
      <c r="W920" s="410"/>
      <c r="X920" s="410"/>
      <c r="Y920" s="410"/>
    </row>
    <row r="921" spans="1:25" x14ac:dyDescent="0.2">
      <c r="A921" s="410"/>
      <c r="B921" s="410"/>
      <c r="C921" s="410"/>
      <c r="D921" s="410"/>
      <c r="E921" s="410"/>
      <c r="F921" s="410"/>
      <c r="G921" s="410"/>
      <c r="H921" s="410"/>
      <c r="I921" s="410"/>
      <c r="J921" s="410"/>
      <c r="K921" s="410"/>
      <c r="L921" s="410"/>
      <c r="M921" s="410"/>
      <c r="N921" s="410"/>
      <c r="R921" s="410"/>
      <c r="S921" s="410"/>
      <c r="T921" s="410"/>
      <c r="U921" s="410"/>
      <c r="V921" s="410"/>
      <c r="W921" s="410"/>
      <c r="X921" s="410"/>
      <c r="Y921" s="410"/>
    </row>
    <row r="922" spans="1:25" x14ac:dyDescent="0.2">
      <c r="A922" s="410"/>
      <c r="B922" s="410"/>
      <c r="C922" s="410"/>
      <c r="D922" s="410"/>
      <c r="E922" s="410"/>
      <c r="F922" s="410"/>
      <c r="G922" s="410"/>
      <c r="H922" s="410"/>
      <c r="I922" s="410"/>
      <c r="J922" s="410"/>
      <c r="K922" s="410"/>
      <c r="L922" s="410"/>
      <c r="M922" s="410"/>
      <c r="N922" s="410"/>
      <c r="R922" s="410"/>
      <c r="S922" s="410"/>
      <c r="T922" s="410"/>
      <c r="U922" s="410"/>
      <c r="V922" s="410"/>
      <c r="W922" s="410"/>
      <c r="X922" s="410"/>
      <c r="Y922" s="410"/>
    </row>
    <row r="923" spans="1:25" x14ac:dyDescent="0.2">
      <c r="A923" s="410"/>
      <c r="B923" s="410"/>
      <c r="C923" s="410"/>
      <c r="D923" s="410"/>
      <c r="E923" s="410"/>
      <c r="F923" s="410"/>
      <c r="G923" s="410"/>
      <c r="H923" s="410"/>
      <c r="I923" s="410"/>
      <c r="J923" s="410"/>
      <c r="K923" s="410"/>
      <c r="L923" s="410"/>
      <c r="M923" s="410"/>
      <c r="N923" s="410"/>
      <c r="R923" s="410"/>
      <c r="S923" s="410"/>
      <c r="T923" s="410"/>
      <c r="U923" s="410"/>
      <c r="V923" s="410"/>
      <c r="W923" s="410"/>
      <c r="X923" s="410"/>
      <c r="Y923" s="410"/>
    </row>
    <row r="924" spans="1:25" x14ac:dyDescent="0.2">
      <c r="A924" s="410"/>
      <c r="B924" s="410"/>
      <c r="C924" s="410"/>
      <c r="D924" s="410"/>
      <c r="E924" s="410"/>
      <c r="F924" s="410"/>
      <c r="G924" s="410"/>
      <c r="H924" s="410"/>
      <c r="I924" s="410"/>
      <c r="J924" s="410"/>
      <c r="K924" s="410"/>
      <c r="L924" s="410"/>
      <c r="M924" s="410"/>
      <c r="N924" s="410"/>
      <c r="R924" s="410"/>
      <c r="S924" s="410"/>
      <c r="T924" s="410"/>
      <c r="U924" s="410"/>
      <c r="V924" s="410"/>
      <c r="W924" s="410"/>
      <c r="X924" s="410"/>
      <c r="Y924" s="410"/>
    </row>
    <row r="925" spans="1:25" x14ac:dyDescent="0.2">
      <c r="A925" s="410"/>
      <c r="B925" s="410"/>
      <c r="C925" s="410"/>
      <c r="D925" s="410"/>
      <c r="E925" s="410"/>
      <c r="F925" s="410"/>
      <c r="G925" s="410"/>
      <c r="H925" s="410"/>
      <c r="I925" s="410"/>
      <c r="J925" s="410"/>
      <c r="K925" s="410"/>
      <c r="L925" s="410"/>
      <c r="M925" s="410"/>
      <c r="N925" s="410"/>
      <c r="R925" s="410"/>
      <c r="S925" s="410"/>
      <c r="T925" s="410"/>
      <c r="U925" s="410"/>
      <c r="V925" s="410"/>
      <c r="W925" s="410"/>
      <c r="X925" s="410"/>
      <c r="Y925" s="410"/>
    </row>
    <row r="926" spans="1:25" x14ac:dyDescent="0.2">
      <c r="A926" s="410"/>
      <c r="B926" s="410"/>
      <c r="C926" s="410"/>
      <c r="D926" s="410"/>
      <c r="E926" s="410"/>
      <c r="F926" s="410"/>
      <c r="G926" s="410"/>
      <c r="H926" s="410"/>
      <c r="I926" s="410"/>
      <c r="J926" s="410"/>
      <c r="K926" s="410"/>
      <c r="L926" s="410"/>
      <c r="M926" s="410"/>
      <c r="N926" s="410"/>
      <c r="R926" s="410"/>
      <c r="S926" s="410"/>
      <c r="T926" s="410"/>
      <c r="U926" s="410"/>
      <c r="V926" s="410"/>
      <c r="W926" s="410"/>
      <c r="X926" s="410"/>
      <c r="Y926" s="410"/>
    </row>
    <row r="927" spans="1:25" x14ac:dyDescent="0.2">
      <c r="A927" s="410"/>
      <c r="B927" s="410"/>
      <c r="C927" s="410"/>
      <c r="D927" s="410"/>
      <c r="E927" s="410"/>
      <c r="F927" s="410"/>
      <c r="G927" s="410"/>
      <c r="H927" s="410"/>
      <c r="I927" s="410"/>
      <c r="J927" s="410"/>
      <c r="K927" s="410"/>
      <c r="L927" s="410"/>
      <c r="M927" s="410"/>
      <c r="N927" s="410"/>
      <c r="R927" s="410"/>
      <c r="S927" s="410"/>
      <c r="T927" s="410"/>
      <c r="U927" s="410"/>
      <c r="V927" s="410"/>
      <c r="W927" s="410"/>
      <c r="X927" s="410"/>
      <c r="Y927" s="410"/>
    </row>
    <row r="928" spans="1:25" x14ac:dyDescent="0.2">
      <c r="A928" s="410"/>
      <c r="B928" s="410"/>
      <c r="C928" s="410"/>
      <c r="D928" s="410"/>
      <c r="E928" s="410"/>
      <c r="F928" s="410"/>
      <c r="G928" s="410"/>
      <c r="H928" s="410"/>
      <c r="I928" s="410"/>
      <c r="J928" s="410"/>
      <c r="K928" s="410"/>
      <c r="L928" s="410"/>
      <c r="M928" s="410"/>
      <c r="N928" s="410"/>
      <c r="R928" s="410"/>
      <c r="S928" s="410"/>
      <c r="T928" s="410"/>
      <c r="U928" s="410"/>
      <c r="V928" s="410"/>
      <c r="W928" s="410"/>
      <c r="X928" s="410"/>
      <c r="Y928" s="410"/>
    </row>
    <row r="929" spans="1:25" x14ac:dyDescent="0.2">
      <c r="A929" s="410"/>
      <c r="B929" s="410"/>
      <c r="C929" s="410"/>
      <c r="D929" s="410"/>
      <c r="E929" s="410"/>
      <c r="F929" s="410"/>
      <c r="G929" s="410"/>
      <c r="H929" s="410"/>
      <c r="I929" s="410"/>
      <c r="J929" s="410"/>
      <c r="K929" s="410"/>
      <c r="L929" s="410"/>
      <c r="M929" s="410"/>
      <c r="N929" s="410"/>
      <c r="R929" s="410"/>
      <c r="S929" s="410"/>
      <c r="T929" s="410"/>
      <c r="U929" s="410"/>
      <c r="V929" s="410"/>
      <c r="W929" s="410"/>
      <c r="X929" s="410"/>
      <c r="Y929" s="410"/>
    </row>
    <row r="930" spans="1:25" x14ac:dyDescent="0.2">
      <c r="A930" s="410"/>
      <c r="B930" s="410"/>
      <c r="C930" s="410"/>
      <c r="D930" s="410"/>
      <c r="E930" s="410"/>
      <c r="F930" s="410"/>
      <c r="G930" s="410"/>
      <c r="H930" s="410"/>
      <c r="I930" s="410"/>
      <c r="J930" s="410"/>
      <c r="K930" s="410"/>
      <c r="L930" s="410"/>
      <c r="M930" s="410"/>
      <c r="N930" s="410"/>
      <c r="R930" s="410"/>
      <c r="S930" s="410"/>
      <c r="T930" s="410"/>
      <c r="U930" s="410"/>
      <c r="V930" s="410"/>
      <c r="W930" s="410"/>
      <c r="X930" s="410"/>
      <c r="Y930" s="410"/>
    </row>
    <row r="931" spans="1:25" x14ac:dyDescent="0.2">
      <c r="A931" s="410"/>
      <c r="B931" s="410"/>
      <c r="C931" s="410"/>
      <c r="D931" s="410"/>
      <c r="E931" s="410"/>
      <c r="F931" s="410"/>
      <c r="G931" s="410"/>
      <c r="H931" s="410"/>
      <c r="I931" s="410"/>
      <c r="J931" s="410"/>
      <c r="K931" s="410"/>
      <c r="L931" s="410"/>
      <c r="M931" s="410"/>
      <c r="N931" s="410"/>
      <c r="R931" s="410"/>
      <c r="S931" s="410"/>
      <c r="T931" s="410"/>
      <c r="U931" s="410"/>
      <c r="V931" s="410"/>
      <c r="W931" s="410"/>
      <c r="X931" s="410"/>
      <c r="Y931" s="410"/>
    </row>
    <row r="932" spans="1:25" x14ac:dyDescent="0.2">
      <c r="A932" s="410"/>
      <c r="B932" s="410"/>
      <c r="C932" s="410"/>
      <c r="D932" s="410"/>
      <c r="E932" s="410"/>
      <c r="F932" s="410"/>
      <c r="G932" s="410"/>
      <c r="H932" s="410"/>
      <c r="I932" s="410"/>
      <c r="J932" s="410"/>
      <c r="K932" s="410"/>
      <c r="L932" s="410"/>
      <c r="M932" s="410"/>
      <c r="N932" s="410"/>
      <c r="R932" s="410"/>
      <c r="S932" s="410"/>
      <c r="T932" s="410"/>
      <c r="U932" s="410"/>
      <c r="V932" s="410"/>
      <c r="W932" s="410"/>
      <c r="X932" s="410"/>
      <c r="Y932" s="410"/>
    </row>
    <row r="933" spans="1:25" x14ac:dyDescent="0.2">
      <c r="A933" s="410"/>
      <c r="B933" s="410"/>
      <c r="C933" s="410"/>
      <c r="D933" s="410"/>
      <c r="E933" s="410"/>
      <c r="F933" s="410"/>
      <c r="G933" s="410"/>
      <c r="H933" s="410"/>
      <c r="I933" s="410"/>
      <c r="J933" s="410"/>
      <c r="K933" s="410"/>
      <c r="L933" s="410"/>
      <c r="M933" s="410"/>
      <c r="N933" s="410"/>
      <c r="R933" s="410"/>
      <c r="S933" s="410"/>
      <c r="T933" s="410"/>
      <c r="U933" s="410"/>
      <c r="V933" s="410"/>
      <c r="W933" s="410"/>
      <c r="X933" s="410"/>
      <c r="Y933" s="410"/>
    </row>
    <row r="934" spans="1:25" x14ac:dyDescent="0.2">
      <c r="A934" s="410"/>
      <c r="B934" s="410"/>
      <c r="C934" s="410"/>
      <c r="D934" s="410"/>
      <c r="E934" s="410"/>
      <c r="F934" s="410"/>
      <c r="G934" s="410"/>
      <c r="H934" s="410"/>
      <c r="I934" s="410"/>
      <c r="J934" s="410"/>
      <c r="K934" s="410"/>
      <c r="L934" s="410"/>
      <c r="M934" s="410"/>
      <c r="N934" s="410"/>
      <c r="R934" s="410"/>
      <c r="S934" s="410"/>
      <c r="T934" s="410"/>
      <c r="U934" s="410"/>
      <c r="V934" s="410"/>
      <c r="W934" s="410"/>
      <c r="X934" s="410"/>
      <c r="Y934" s="410"/>
    </row>
    <row r="935" spans="1:25" x14ac:dyDescent="0.2">
      <c r="A935" s="410"/>
      <c r="B935" s="410"/>
      <c r="C935" s="410"/>
      <c r="D935" s="410"/>
      <c r="E935" s="410"/>
      <c r="F935" s="410"/>
      <c r="G935" s="410"/>
      <c r="H935" s="410"/>
      <c r="I935" s="410"/>
      <c r="J935" s="410"/>
      <c r="K935" s="410"/>
      <c r="L935" s="410"/>
      <c r="M935" s="410"/>
      <c r="N935" s="410"/>
      <c r="R935" s="410"/>
      <c r="S935" s="410"/>
      <c r="T935" s="410"/>
      <c r="U935" s="410"/>
      <c r="V935" s="410"/>
      <c r="W935" s="410"/>
      <c r="X935" s="410"/>
      <c r="Y935" s="410"/>
    </row>
    <row r="936" spans="1:25" x14ac:dyDescent="0.2">
      <c r="A936" s="410"/>
      <c r="B936" s="410"/>
      <c r="C936" s="410"/>
      <c r="D936" s="410"/>
      <c r="E936" s="410"/>
      <c r="F936" s="410"/>
      <c r="G936" s="410"/>
      <c r="H936" s="410"/>
      <c r="I936" s="410"/>
      <c r="J936" s="410"/>
      <c r="K936" s="410"/>
      <c r="L936" s="410"/>
      <c r="M936" s="410"/>
      <c r="N936" s="410"/>
      <c r="R936" s="410"/>
      <c r="S936" s="410"/>
      <c r="T936" s="410"/>
      <c r="U936" s="410"/>
      <c r="V936" s="410"/>
      <c r="W936" s="410"/>
      <c r="X936" s="410"/>
      <c r="Y936" s="410"/>
    </row>
    <row r="937" spans="1:25" x14ac:dyDescent="0.2">
      <c r="A937" s="410"/>
      <c r="B937" s="410"/>
      <c r="C937" s="410"/>
      <c r="D937" s="410"/>
      <c r="E937" s="410"/>
      <c r="F937" s="410"/>
      <c r="G937" s="410"/>
      <c r="H937" s="410"/>
      <c r="I937" s="410"/>
      <c r="J937" s="410"/>
      <c r="K937" s="410"/>
      <c r="L937" s="410"/>
      <c r="M937" s="410"/>
      <c r="N937" s="410"/>
      <c r="R937" s="410"/>
      <c r="S937" s="410"/>
      <c r="T937" s="410"/>
      <c r="U937" s="410"/>
      <c r="V937" s="410"/>
      <c r="W937" s="410"/>
      <c r="X937" s="410"/>
      <c r="Y937" s="410"/>
    </row>
    <row r="938" spans="1:25" x14ac:dyDescent="0.2">
      <c r="A938" s="410"/>
      <c r="B938" s="410"/>
      <c r="C938" s="410"/>
      <c r="D938" s="410"/>
      <c r="E938" s="410"/>
      <c r="F938" s="410"/>
      <c r="G938" s="410"/>
      <c r="H938" s="410"/>
      <c r="I938" s="410"/>
      <c r="J938" s="410"/>
      <c r="K938" s="410"/>
      <c r="L938" s="410"/>
      <c r="M938" s="410"/>
      <c r="N938" s="410"/>
      <c r="R938" s="410"/>
      <c r="S938" s="410"/>
      <c r="T938" s="410"/>
      <c r="U938" s="410"/>
      <c r="V938" s="410"/>
      <c r="W938" s="410"/>
      <c r="X938" s="410"/>
      <c r="Y938" s="410"/>
    </row>
    <row r="939" spans="1:25" x14ac:dyDescent="0.2">
      <c r="A939" s="410"/>
      <c r="B939" s="410"/>
      <c r="C939" s="410"/>
      <c r="D939" s="410"/>
      <c r="E939" s="410"/>
      <c r="F939" s="410"/>
      <c r="G939" s="410"/>
      <c r="H939" s="410"/>
      <c r="I939" s="410"/>
      <c r="J939" s="410"/>
      <c r="K939" s="410"/>
      <c r="L939" s="410"/>
      <c r="M939" s="410"/>
      <c r="N939" s="410"/>
      <c r="R939" s="410"/>
      <c r="S939" s="410"/>
      <c r="T939" s="410"/>
      <c r="U939" s="410"/>
      <c r="V939" s="410"/>
      <c r="W939" s="410"/>
      <c r="X939" s="410"/>
      <c r="Y939" s="410"/>
    </row>
    <row r="940" spans="1:25" x14ac:dyDescent="0.2">
      <c r="A940" s="410"/>
      <c r="B940" s="410"/>
      <c r="C940" s="410"/>
      <c r="D940" s="410"/>
      <c r="E940" s="410"/>
      <c r="F940" s="410"/>
      <c r="G940" s="410"/>
      <c r="H940" s="410"/>
      <c r="I940" s="410"/>
      <c r="J940" s="410"/>
      <c r="K940" s="410"/>
      <c r="L940" s="410"/>
      <c r="M940" s="410"/>
      <c r="N940" s="410"/>
      <c r="R940" s="410"/>
      <c r="S940" s="410"/>
      <c r="T940" s="410"/>
      <c r="U940" s="410"/>
      <c r="V940" s="410"/>
      <c r="W940" s="410"/>
      <c r="X940" s="410"/>
      <c r="Y940" s="410"/>
    </row>
    <row r="941" spans="1:25" x14ac:dyDescent="0.2">
      <c r="A941" s="410"/>
      <c r="B941" s="410"/>
      <c r="C941" s="410"/>
      <c r="D941" s="410"/>
      <c r="E941" s="410"/>
      <c r="F941" s="410"/>
      <c r="G941" s="410"/>
      <c r="H941" s="410"/>
      <c r="I941" s="410"/>
      <c r="J941" s="410"/>
      <c r="K941" s="410"/>
      <c r="L941" s="410"/>
      <c r="M941" s="410"/>
      <c r="N941" s="410"/>
      <c r="R941" s="410"/>
      <c r="S941" s="410"/>
      <c r="T941" s="410"/>
      <c r="U941" s="410"/>
      <c r="V941" s="410"/>
      <c r="W941" s="410"/>
      <c r="X941" s="410"/>
      <c r="Y941" s="410"/>
    </row>
    <row r="942" spans="1:25" x14ac:dyDescent="0.2">
      <c r="A942" s="410"/>
      <c r="B942" s="410"/>
      <c r="C942" s="410"/>
      <c r="D942" s="410"/>
      <c r="E942" s="410"/>
      <c r="F942" s="410"/>
      <c r="G942" s="410"/>
      <c r="H942" s="410"/>
      <c r="I942" s="410"/>
      <c r="J942" s="410"/>
      <c r="K942" s="410"/>
      <c r="L942" s="410"/>
      <c r="M942" s="410"/>
      <c r="N942" s="410"/>
      <c r="R942" s="410"/>
      <c r="S942" s="410"/>
      <c r="T942" s="410"/>
      <c r="U942" s="410"/>
      <c r="V942" s="410"/>
      <c r="W942" s="410"/>
      <c r="X942" s="410"/>
      <c r="Y942" s="410"/>
    </row>
    <row r="943" spans="1:25" x14ac:dyDescent="0.2">
      <c r="A943" s="410"/>
      <c r="B943" s="410"/>
      <c r="C943" s="410"/>
      <c r="D943" s="410"/>
      <c r="E943" s="410"/>
      <c r="F943" s="410"/>
      <c r="G943" s="410"/>
      <c r="H943" s="410"/>
      <c r="I943" s="410"/>
      <c r="J943" s="410"/>
      <c r="K943" s="410"/>
      <c r="L943" s="410"/>
      <c r="M943" s="410"/>
      <c r="N943" s="410"/>
      <c r="R943" s="410"/>
      <c r="S943" s="410"/>
      <c r="T943" s="410"/>
      <c r="U943" s="410"/>
      <c r="V943" s="410"/>
      <c r="W943" s="410"/>
      <c r="X943" s="410"/>
      <c r="Y943" s="410"/>
    </row>
    <row r="944" spans="1:25" x14ac:dyDescent="0.2">
      <c r="A944" s="410"/>
      <c r="B944" s="410"/>
      <c r="C944" s="410"/>
      <c r="D944" s="410"/>
      <c r="E944" s="410"/>
      <c r="F944" s="410"/>
      <c r="G944" s="410"/>
      <c r="H944" s="410"/>
      <c r="I944" s="410"/>
      <c r="J944" s="410"/>
      <c r="K944" s="410"/>
      <c r="L944" s="410"/>
      <c r="M944" s="410"/>
      <c r="N944" s="410"/>
      <c r="R944" s="410"/>
      <c r="S944" s="410"/>
      <c r="T944" s="410"/>
      <c r="U944" s="410"/>
      <c r="V944" s="410"/>
      <c r="W944" s="410"/>
      <c r="X944" s="410"/>
      <c r="Y944" s="410"/>
    </row>
    <row r="945" spans="1:25" x14ac:dyDescent="0.2">
      <c r="A945" s="410"/>
      <c r="B945" s="410"/>
      <c r="C945" s="410"/>
      <c r="D945" s="410"/>
      <c r="E945" s="410"/>
      <c r="F945" s="410"/>
      <c r="G945" s="410"/>
      <c r="H945" s="410"/>
      <c r="I945" s="410"/>
      <c r="J945" s="410"/>
      <c r="K945" s="410"/>
      <c r="L945" s="410"/>
      <c r="M945" s="410"/>
      <c r="N945" s="410"/>
      <c r="R945" s="410"/>
      <c r="S945" s="410"/>
      <c r="T945" s="410"/>
      <c r="U945" s="410"/>
      <c r="V945" s="410"/>
      <c r="W945" s="410"/>
      <c r="X945" s="410"/>
      <c r="Y945" s="410"/>
    </row>
    <row r="946" spans="1:25" x14ac:dyDescent="0.2">
      <c r="A946" s="410"/>
      <c r="B946" s="410"/>
      <c r="C946" s="410"/>
      <c r="D946" s="410"/>
      <c r="E946" s="410"/>
      <c r="F946" s="410"/>
      <c r="G946" s="410"/>
      <c r="H946" s="410"/>
      <c r="I946" s="410"/>
      <c r="J946" s="410"/>
      <c r="K946" s="410"/>
      <c r="L946" s="410"/>
      <c r="M946" s="410"/>
      <c r="N946" s="410"/>
      <c r="R946" s="410"/>
      <c r="S946" s="410"/>
      <c r="T946" s="410"/>
      <c r="U946" s="410"/>
      <c r="V946" s="410"/>
      <c r="W946" s="410"/>
      <c r="X946" s="410"/>
      <c r="Y946" s="410"/>
    </row>
    <row r="947" spans="1:25" x14ac:dyDescent="0.2">
      <c r="A947" s="410"/>
      <c r="B947" s="410"/>
      <c r="C947" s="410"/>
      <c r="D947" s="410"/>
      <c r="E947" s="410"/>
      <c r="F947" s="410"/>
      <c r="G947" s="410"/>
      <c r="H947" s="410"/>
      <c r="I947" s="410"/>
      <c r="J947" s="410"/>
      <c r="K947" s="410"/>
      <c r="L947" s="410"/>
      <c r="M947" s="410"/>
      <c r="N947" s="410"/>
      <c r="R947" s="410"/>
      <c r="S947" s="410"/>
      <c r="T947" s="410"/>
      <c r="U947" s="410"/>
      <c r="V947" s="410"/>
      <c r="W947" s="410"/>
      <c r="X947" s="410"/>
      <c r="Y947" s="410"/>
    </row>
    <row r="948" spans="1:25" x14ac:dyDescent="0.2">
      <c r="A948" s="410"/>
      <c r="B948" s="410"/>
      <c r="C948" s="410"/>
      <c r="D948" s="410"/>
      <c r="E948" s="410"/>
      <c r="F948" s="410"/>
      <c r="G948" s="410"/>
      <c r="H948" s="410"/>
      <c r="I948" s="410"/>
      <c r="J948" s="410"/>
      <c r="K948" s="410"/>
      <c r="L948" s="410"/>
      <c r="M948" s="410"/>
      <c r="N948" s="410"/>
      <c r="R948" s="410"/>
      <c r="S948" s="410"/>
      <c r="T948" s="410"/>
      <c r="U948" s="410"/>
      <c r="V948" s="410"/>
      <c r="W948" s="410"/>
      <c r="X948" s="410"/>
      <c r="Y948" s="410"/>
    </row>
    <row r="949" spans="1:25" x14ac:dyDescent="0.2">
      <c r="A949" s="410"/>
      <c r="B949" s="410"/>
      <c r="C949" s="410"/>
      <c r="D949" s="410"/>
      <c r="E949" s="410"/>
      <c r="F949" s="410"/>
      <c r="G949" s="410"/>
      <c r="H949" s="410"/>
      <c r="I949" s="410"/>
      <c r="J949" s="410"/>
      <c r="K949" s="410"/>
      <c r="L949" s="410"/>
      <c r="M949" s="410"/>
      <c r="N949" s="410"/>
      <c r="R949" s="410"/>
      <c r="S949" s="410"/>
      <c r="T949" s="410"/>
      <c r="U949" s="410"/>
      <c r="V949" s="410"/>
      <c r="W949" s="410"/>
      <c r="X949" s="410"/>
      <c r="Y949" s="410"/>
    </row>
    <row r="950" spans="1:25" x14ac:dyDescent="0.2">
      <c r="A950" s="410"/>
      <c r="B950" s="410"/>
      <c r="C950" s="410"/>
      <c r="D950" s="410"/>
      <c r="E950" s="410"/>
      <c r="F950" s="410"/>
      <c r="G950" s="410"/>
      <c r="H950" s="410"/>
      <c r="I950" s="410"/>
      <c r="J950" s="410"/>
      <c r="K950" s="410"/>
      <c r="L950" s="410"/>
      <c r="M950" s="410"/>
      <c r="N950" s="410"/>
      <c r="R950" s="410"/>
      <c r="S950" s="410"/>
      <c r="T950" s="410"/>
      <c r="U950" s="410"/>
      <c r="V950" s="410"/>
      <c r="W950" s="410"/>
      <c r="X950" s="410"/>
      <c r="Y950" s="410"/>
    </row>
    <row r="951" spans="1:25" x14ac:dyDescent="0.2">
      <c r="A951" s="410"/>
      <c r="B951" s="410"/>
      <c r="C951" s="410"/>
      <c r="D951" s="410"/>
      <c r="E951" s="410"/>
      <c r="F951" s="410"/>
      <c r="G951" s="410"/>
      <c r="H951" s="410"/>
      <c r="I951" s="410"/>
      <c r="J951" s="410"/>
      <c r="K951" s="410"/>
      <c r="L951" s="410"/>
      <c r="M951" s="410"/>
      <c r="N951" s="410"/>
      <c r="R951" s="410"/>
      <c r="S951" s="410"/>
      <c r="T951" s="410"/>
      <c r="U951" s="410"/>
      <c r="V951" s="410"/>
      <c r="W951" s="410"/>
      <c r="X951" s="410"/>
      <c r="Y951" s="410"/>
    </row>
    <row r="952" spans="1:25" x14ac:dyDescent="0.2">
      <c r="A952" s="410"/>
      <c r="B952" s="410"/>
      <c r="C952" s="410"/>
      <c r="D952" s="410"/>
      <c r="E952" s="410"/>
      <c r="F952" s="410"/>
      <c r="G952" s="410"/>
      <c r="H952" s="410"/>
      <c r="I952" s="410"/>
      <c r="J952" s="410"/>
      <c r="K952" s="410"/>
      <c r="L952" s="410"/>
      <c r="M952" s="410"/>
      <c r="N952" s="410"/>
      <c r="R952" s="410"/>
      <c r="S952" s="410"/>
      <c r="T952" s="410"/>
      <c r="U952" s="410"/>
      <c r="V952" s="410"/>
      <c r="W952" s="410"/>
      <c r="X952" s="410"/>
      <c r="Y952" s="410"/>
    </row>
    <row r="953" spans="1:25" x14ac:dyDescent="0.2">
      <c r="A953" s="410"/>
      <c r="B953" s="410"/>
      <c r="C953" s="410"/>
      <c r="D953" s="410"/>
      <c r="E953" s="410"/>
      <c r="F953" s="410"/>
      <c r="G953" s="410"/>
      <c r="H953" s="410"/>
      <c r="I953" s="410"/>
      <c r="J953" s="410"/>
      <c r="K953" s="410"/>
      <c r="L953" s="410"/>
      <c r="M953" s="410"/>
      <c r="N953" s="410"/>
      <c r="R953" s="410"/>
      <c r="S953" s="410"/>
      <c r="T953" s="410"/>
      <c r="U953" s="410"/>
      <c r="V953" s="410"/>
      <c r="W953" s="410"/>
      <c r="X953" s="410"/>
      <c r="Y953" s="410"/>
    </row>
    <row r="954" spans="1:25" x14ac:dyDescent="0.2">
      <c r="A954" s="410"/>
      <c r="B954" s="410"/>
      <c r="C954" s="410"/>
      <c r="D954" s="410"/>
      <c r="E954" s="410"/>
      <c r="F954" s="410"/>
      <c r="G954" s="410"/>
      <c r="H954" s="410"/>
      <c r="I954" s="410"/>
      <c r="J954" s="410"/>
      <c r="K954" s="410"/>
      <c r="L954" s="410"/>
      <c r="M954" s="410"/>
      <c r="N954" s="410"/>
      <c r="R954" s="410"/>
      <c r="S954" s="410"/>
      <c r="T954" s="410"/>
      <c r="U954" s="410"/>
      <c r="V954" s="410"/>
      <c r="W954" s="410"/>
      <c r="X954" s="410"/>
      <c r="Y954" s="410"/>
    </row>
    <row r="955" spans="1:25" x14ac:dyDescent="0.2">
      <c r="A955" s="410"/>
      <c r="B955" s="410"/>
      <c r="C955" s="410"/>
      <c r="D955" s="410"/>
      <c r="E955" s="410"/>
      <c r="F955" s="410"/>
      <c r="G955" s="410"/>
      <c r="H955" s="410"/>
      <c r="I955" s="410"/>
      <c r="J955" s="410"/>
      <c r="K955" s="410"/>
      <c r="L955" s="410"/>
      <c r="M955" s="410"/>
      <c r="N955" s="410"/>
      <c r="R955" s="410"/>
      <c r="S955" s="410"/>
      <c r="T955" s="410"/>
      <c r="U955" s="410"/>
      <c r="V955" s="410"/>
      <c r="W955" s="410"/>
      <c r="X955" s="410"/>
      <c r="Y955" s="410"/>
    </row>
    <row r="956" spans="1:25" x14ac:dyDescent="0.2">
      <c r="A956" s="410"/>
      <c r="B956" s="410"/>
      <c r="C956" s="410"/>
      <c r="D956" s="410"/>
      <c r="E956" s="410"/>
      <c r="F956" s="410"/>
      <c r="G956" s="410"/>
      <c r="H956" s="410"/>
      <c r="I956" s="410"/>
      <c r="J956" s="410"/>
      <c r="K956" s="410"/>
      <c r="L956" s="410"/>
      <c r="M956" s="410"/>
      <c r="N956" s="410"/>
      <c r="R956" s="410"/>
      <c r="S956" s="410"/>
      <c r="T956" s="410"/>
      <c r="U956" s="410"/>
      <c r="V956" s="410"/>
      <c r="W956" s="410"/>
      <c r="X956" s="410"/>
      <c r="Y956" s="410"/>
    </row>
    <row r="957" spans="1:25" x14ac:dyDescent="0.2">
      <c r="A957" s="410"/>
      <c r="B957" s="410"/>
      <c r="C957" s="410"/>
      <c r="D957" s="410"/>
      <c r="E957" s="410"/>
      <c r="F957" s="410"/>
      <c r="G957" s="410"/>
      <c r="H957" s="410"/>
      <c r="I957" s="410"/>
      <c r="J957" s="410"/>
      <c r="K957" s="410"/>
      <c r="L957" s="410"/>
      <c r="M957" s="410"/>
      <c r="N957" s="410"/>
      <c r="R957" s="410"/>
      <c r="S957" s="410"/>
      <c r="T957" s="410"/>
      <c r="U957" s="410"/>
      <c r="V957" s="410"/>
      <c r="W957" s="410"/>
      <c r="X957" s="410"/>
      <c r="Y957" s="410"/>
    </row>
    <row r="958" spans="1:25" x14ac:dyDescent="0.2">
      <c r="A958" s="410"/>
      <c r="B958" s="410"/>
      <c r="C958" s="410"/>
      <c r="D958" s="410"/>
      <c r="E958" s="410"/>
      <c r="F958" s="410"/>
      <c r="G958" s="410"/>
      <c r="H958" s="410"/>
      <c r="I958" s="410"/>
      <c r="J958" s="410"/>
      <c r="K958" s="410"/>
      <c r="L958" s="410"/>
      <c r="M958" s="410"/>
      <c r="N958" s="410"/>
      <c r="R958" s="410"/>
      <c r="S958" s="410"/>
      <c r="T958" s="410"/>
      <c r="U958" s="410"/>
      <c r="V958" s="410"/>
      <c r="W958" s="410"/>
      <c r="X958" s="410"/>
      <c r="Y958" s="410"/>
    </row>
    <row r="959" spans="1:25" x14ac:dyDescent="0.2">
      <c r="A959" s="410"/>
      <c r="B959" s="410"/>
      <c r="C959" s="410"/>
      <c r="D959" s="410"/>
      <c r="E959" s="410"/>
      <c r="F959" s="410"/>
      <c r="G959" s="410"/>
      <c r="H959" s="410"/>
      <c r="I959" s="410"/>
      <c r="J959" s="410"/>
      <c r="K959" s="410"/>
      <c r="L959" s="410"/>
      <c r="M959" s="410"/>
      <c r="N959" s="410"/>
      <c r="R959" s="410"/>
      <c r="S959" s="410"/>
      <c r="T959" s="410"/>
      <c r="U959" s="410"/>
      <c r="V959" s="410"/>
      <c r="W959" s="410"/>
      <c r="X959" s="410"/>
      <c r="Y959" s="410"/>
    </row>
    <row r="960" spans="1:25" x14ac:dyDescent="0.2">
      <c r="A960" s="410"/>
      <c r="B960" s="410"/>
      <c r="C960" s="410"/>
      <c r="D960" s="410"/>
      <c r="E960" s="410"/>
      <c r="F960" s="410"/>
      <c r="G960" s="410"/>
      <c r="H960" s="410"/>
      <c r="I960" s="410"/>
      <c r="J960" s="410"/>
      <c r="K960" s="410"/>
      <c r="L960" s="410"/>
      <c r="M960" s="410"/>
      <c r="N960" s="410"/>
      <c r="R960" s="410"/>
      <c r="S960" s="410"/>
      <c r="T960" s="410"/>
      <c r="U960" s="410"/>
      <c r="V960" s="410"/>
      <c r="W960" s="410"/>
      <c r="X960" s="410"/>
      <c r="Y960" s="410"/>
    </row>
    <row r="961" spans="1:25" x14ac:dyDescent="0.2">
      <c r="A961" s="410"/>
      <c r="B961" s="410"/>
      <c r="C961" s="410"/>
      <c r="D961" s="410"/>
      <c r="E961" s="410"/>
      <c r="F961" s="410"/>
      <c r="G961" s="410"/>
      <c r="H961" s="410"/>
      <c r="I961" s="410"/>
      <c r="J961" s="410"/>
      <c r="K961" s="410"/>
      <c r="L961" s="410"/>
      <c r="M961" s="410"/>
      <c r="N961" s="410"/>
      <c r="R961" s="410"/>
      <c r="S961" s="410"/>
      <c r="T961" s="410"/>
      <c r="U961" s="410"/>
      <c r="V961" s="410"/>
      <c r="W961" s="410"/>
      <c r="X961" s="410"/>
      <c r="Y961" s="410"/>
    </row>
    <row r="962" spans="1:25" x14ac:dyDescent="0.2">
      <c r="A962" s="410"/>
      <c r="B962" s="410"/>
      <c r="C962" s="410"/>
      <c r="D962" s="410"/>
      <c r="E962" s="410"/>
      <c r="F962" s="410"/>
      <c r="G962" s="410"/>
      <c r="H962" s="410"/>
      <c r="I962" s="410"/>
      <c r="J962" s="410"/>
      <c r="K962" s="410"/>
      <c r="L962" s="410"/>
      <c r="M962" s="410"/>
      <c r="N962" s="410"/>
      <c r="R962" s="410"/>
      <c r="S962" s="410"/>
      <c r="T962" s="410"/>
      <c r="U962" s="410"/>
      <c r="V962" s="410"/>
      <c r="W962" s="410"/>
      <c r="X962" s="410"/>
      <c r="Y962" s="410"/>
    </row>
    <row r="963" spans="1:25" x14ac:dyDescent="0.2">
      <c r="A963" s="410"/>
      <c r="B963" s="410"/>
      <c r="C963" s="410"/>
      <c r="D963" s="410"/>
      <c r="E963" s="410"/>
      <c r="F963" s="410"/>
      <c r="G963" s="410"/>
      <c r="H963" s="410"/>
      <c r="I963" s="410"/>
      <c r="J963" s="410"/>
      <c r="K963" s="410"/>
      <c r="L963" s="410"/>
      <c r="M963" s="410"/>
      <c r="N963" s="410"/>
      <c r="R963" s="410"/>
      <c r="S963" s="410"/>
      <c r="T963" s="410"/>
      <c r="U963" s="410"/>
      <c r="V963" s="410"/>
      <c r="W963" s="410"/>
      <c r="X963" s="410"/>
      <c r="Y963" s="410"/>
    </row>
    <row r="964" spans="1:25" x14ac:dyDescent="0.2">
      <c r="A964" s="410"/>
      <c r="B964" s="410"/>
      <c r="C964" s="410"/>
      <c r="D964" s="410"/>
      <c r="E964" s="410"/>
      <c r="F964" s="410"/>
      <c r="G964" s="410"/>
      <c r="H964" s="410"/>
      <c r="I964" s="410"/>
      <c r="J964" s="410"/>
      <c r="K964" s="410"/>
      <c r="L964" s="410"/>
      <c r="M964" s="410"/>
      <c r="N964" s="410"/>
      <c r="R964" s="410"/>
      <c r="S964" s="410"/>
      <c r="T964" s="410"/>
      <c r="U964" s="410"/>
      <c r="V964" s="410"/>
      <c r="W964" s="410"/>
      <c r="X964" s="410"/>
      <c r="Y964" s="410"/>
    </row>
    <row r="965" spans="1:25" x14ac:dyDescent="0.2">
      <c r="A965" s="410"/>
      <c r="B965" s="410"/>
      <c r="C965" s="410"/>
      <c r="D965" s="410"/>
      <c r="E965" s="410"/>
      <c r="F965" s="410"/>
      <c r="G965" s="410"/>
      <c r="H965" s="410"/>
      <c r="I965" s="410"/>
      <c r="J965" s="410"/>
      <c r="K965" s="410"/>
      <c r="L965" s="410"/>
      <c r="M965" s="410"/>
      <c r="N965" s="410"/>
      <c r="R965" s="410"/>
      <c r="S965" s="410"/>
      <c r="T965" s="410"/>
      <c r="U965" s="410"/>
      <c r="V965" s="410"/>
      <c r="W965" s="410"/>
      <c r="X965" s="410"/>
      <c r="Y965" s="410"/>
    </row>
    <row r="966" spans="1:25" x14ac:dyDescent="0.2">
      <c r="A966" s="410"/>
      <c r="B966" s="410"/>
      <c r="C966" s="410"/>
      <c r="D966" s="410"/>
      <c r="E966" s="410"/>
      <c r="F966" s="410"/>
      <c r="G966" s="410"/>
      <c r="H966" s="410"/>
      <c r="I966" s="410"/>
      <c r="J966" s="410"/>
      <c r="K966" s="410"/>
      <c r="L966" s="410"/>
      <c r="M966" s="410"/>
      <c r="N966" s="410"/>
      <c r="R966" s="410"/>
      <c r="S966" s="410"/>
      <c r="T966" s="410"/>
      <c r="U966" s="410"/>
      <c r="V966" s="410"/>
      <c r="W966" s="410"/>
      <c r="X966" s="410"/>
      <c r="Y966" s="410"/>
    </row>
    <row r="967" spans="1:25" x14ac:dyDescent="0.2">
      <c r="A967" s="410"/>
      <c r="B967" s="410"/>
      <c r="C967" s="410"/>
      <c r="D967" s="410"/>
      <c r="E967" s="410"/>
      <c r="F967" s="410"/>
      <c r="G967" s="410"/>
      <c r="H967" s="410"/>
      <c r="I967" s="410"/>
      <c r="J967" s="410"/>
      <c r="K967" s="410"/>
      <c r="L967" s="410"/>
      <c r="M967" s="410"/>
      <c r="N967" s="410"/>
      <c r="R967" s="410"/>
      <c r="S967" s="410"/>
      <c r="T967" s="410"/>
      <c r="U967" s="410"/>
      <c r="V967" s="410"/>
      <c r="W967" s="410"/>
      <c r="X967" s="410"/>
      <c r="Y967" s="410"/>
    </row>
    <row r="968" spans="1:25" x14ac:dyDescent="0.2">
      <c r="A968" s="410"/>
      <c r="B968" s="410"/>
      <c r="C968" s="410"/>
      <c r="D968" s="410"/>
      <c r="E968" s="410"/>
      <c r="F968" s="410"/>
      <c r="G968" s="410"/>
      <c r="H968" s="410"/>
      <c r="I968" s="410"/>
      <c r="J968" s="410"/>
      <c r="K968" s="410"/>
      <c r="L968" s="410"/>
      <c r="M968" s="410"/>
      <c r="N968" s="410"/>
      <c r="R968" s="410"/>
      <c r="S968" s="410"/>
      <c r="T968" s="410"/>
      <c r="U968" s="410"/>
      <c r="V968" s="410"/>
      <c r="W968" s="410"/>
      <c r="X968" s="410"/>
      <c r="Y968" s="410"/>
    </row>
    <row r="969" spans="1:25" x14ac:dyDescent="0.2">
      <c r="A969" s="410"/>
      <c r="B969" s="410"/>
      <c r="C969" s="410"/>
      <c r="D969" s="410"/>
      <c r="E969" s="410"/>
      <c r="F969" s="410"/>
      <c r="G969" s="410"/>
      <c r="H969" s="410"/>
      <c r="I969" s="410"/>
      <c r="J969" s="410"/>
      <c r="K969" s="410"/>
      <c r="L969" s="410"/>
      <c r="M969" s="410"/>
      <c r="N969" s="410"/>
      <c r="R969" s="410"/>
      <c r="S969" s="410"/>
      <c r="T969" s="410"/>
      <c r="U969" s="410"/>
      <c r="V969" s="410"/>
      <c r="W969" s="410"/>
      <c r="X969" s="410"/>
      <c r="Y969" s="410"/>
    </row>
    <row r="970" spans="1:25" x14ac:dyDescent="0.2">
      <c r="A970" s="410"/>
      <c r="B970" s="410"/>
      <c r="C970" s="410"/>
      <c r="D970" s="410"/>
      <c r="E970" s="410"/>
      <c r="F970" s="410"/>
      <c r="G970" s="410"/>
      <c r="H970" s="410"/>
      <c r="I970" s="410"/>
      <c r="J970" s="410"/>
      <c r="K970" s="410"/>
      <c r="L970" s="410"/>
      <c r="M970" s="410"/>
      <c r="N970" s="410"/>
      <c r="R970" s="410"/>
      <c r="S970" s="410"/>
      <c r="T970" s="410"/>
      <c r="U970" s="410"/>
      <c r="V970" s="410"/>
      <c r="W970" s="410"/>
      <c r="X970" s="410"/>
      <c r="Y970" s="410"/>
    </row>
    <row r="971" spans="1:25" x14ac:dyDescent="0.2">
      <c r="A971" s="410"/>
      <c r="B971" s="410"/>
      <c r="C971" s="410"/>
      <c r="D971" s="410"/>
      <c r="E971" s="410"/>
      <c r="F971" s="410"/>
      <c r="G971" s="410"/>
      <c r="H971" s="410"/>
      <c r="I971" s="410"/>
      <c r="J971" s="410"/>
      <c r="K971" s="410"/>
      <c r="L971" s="410"/>
      <c r="M971" s="410"/>
      <c r="N971" s="410"/>
      <c r="R971" s="410"/>
      <c r="S971" s="410"/>
      <c r="T971" s="410"/>
      <c r="U971" s="410"/>
      <c r="V971" s="410"/>
      <c r="W971" s="410"/>
      <c r="X971" s="410"/>
      <c r="Y971" s="410"/>
    </row>
    <row r="972" spans="1:25" x14ac:dyDescent="0.2">
      <c r="A972" s="410"/>
      <c r="B972" s="410"/>
      <c r="C972" s="410"/>
      <c r="D972" s="410"/>
      <c r="E972" s="410"/>
      <c r="F972" s="410"/>
      <c r="G972" s="410"/>
      <c r="H972" s="410"/>
      <c r="I972" s="410"/>
      <c r="J972" s="410"/>
      <c r="K972" s="410"/>
      <c r="L972" s="410"/>
      <c r="M972" s="410"/>
      <c r="N972" s="410"/>
      <c r="R972" s="410"/>
      <c r="S972" s="410"/>
      <c r="T972" s="410"/>
      <c r="U972" s="410"/>
      <c r="V972" s="410"/>
      <c r="W972" s="410"/>
      <c r="X972" s="410"/>
      <c r="Y972" s="410"/>
    </row>
    <row r="973" spans="1:25" x14ac:dyDescent="0.2">
      <c r="A973" s="410"/>
      <c r="B973" s="410"/>
      <c r="C973" s="410"/>
      <c r="D973" s="410"/>
      <c r="E973" s="410"/>
      <c r="F973" s="410"/>
      <c r="G973" s="410"/>
      <c r="H973" s="410"/>
      <c r="I973" s="410"/>
      <c r="J973" s="410"/>
      <c r="K973" s="410"/>
      <c r="L973" s="410"/>
      <c r="M973" s="410"/>
      <c r="N973" s="410"/>
      <c r="R973" s="410"/>
      <c r="S973" s="410"/>
      <c r="T973" s="410"/>
      <c r="U973" s="410"/>
      <c r="V973" s="410"/>
      <c r="W973" s="410"/>
      <c r="X973" s="410"/>
      <c r="Y973" s="410"/>
    </row>
    <row r="974" spans="1:25" x14ac:dyDescent="0.2">
      <c r="A974" s="410"/>
      <c r="B974" s="410"/>
      <c r="C974" s="410"/>
      <c r="D974" s="410"/>
      <c r="E974" s="410"/>
      <c r="F974" s="410"/>
      <c r="G974" s="410"/>
      <c r="H974" s="410"/>
      <c r="I974" s="410"/>
      <c r="J974" s="410"/>
      <c r="K974" s="410"/>
      <c r="L974" s="410"/>
      <c r="M974" s="410"/>
      <c r="N974" s="410"/>
      <c r="R974" s="410"/>
      <c r="S974" s="410"/>
      <c r="T974" s="410"/>
      <c r="U974" s="410"/>
      <c r="V974" s="410"/>
      <c r="W974" s="410"/>
      <c r="X974" s="410"/>
      <c r="Y974" s="410"/>
    </row>
    <row r="975" spans="1:25" x14ac:dyDescent="0.2">
      <c r="A975" s="410"/>
      <c r="B975" s="410"/>
      <c r="C975" s="410"/>
      <c r="D975" s="410"/>
      <c r="E975" s="410"/>
      <c r="F975" s="410"/>
      <c r="G975" s="410"/>
      <c r="H975" s="410"/>
      <c r="I975" s="410"/>
      <c r="J975" s="410"/>
      <c r="K975" s="410"/>
      <c r="L975" s="410"/>
      <c r="M975" s="410"/>
      <c r="N975" s="410"/>
      <c r="R975" s="410"/>
      <c r="S975" s="410"/>
      <c r="T975" s="410"/>
      <c r="U975" s="410"/>
      <c r="V975" s="410"/>
      <c r="W975" s="410"/>
      <c r="X975" s="410"/>
      <c r="Y975" s="410"/>
    </row>
    <row r="976" spans="1:25" x14ac:dyDescent="0.2">
      <c r="A976" s="410"/>
      <c r="B976" s="410"/>
      <c r="C976" s="410"/>
      <c r="D976" s="410"/>
      <c r="E976" s="410"/>
      <c r="F976" s="410"/>
      <c r="G976" s="410"/>
      <c r="H976" s="410"/>
      <c r="I976" s="410"/>
      <c r="J976" s="410"/>
      <c r="K976" s="410"/>
      <c r="L976" s="410"/>
      <c r="M976" s="410"/>
      <c r="N976" s="410"/>
      <c r="R976" s="410"/>
      <c r="S976" s="410"/>
      <c r="T976" s="410"/>
      <c r="U976" s="410"/>
      <c r="V976" s="410"/>
      <c r="W976" s="410"/>
      <c r="X976" s="410"/>
      <c r="Y976" s="410"/>
    </row>
    <row r="977" spans="1:25" x14ac:dyDescent="0.2">
      <c r="A977" s="410"/>
      <c r="B977" s="410"/>
      <c r="C977" s="410"/>
      <c r="D977" s="410"/>
      <c r="E977" s="410"/>
      <c r="F977" s="410"/>
      <c r="G977" s="410"/>
      <c r="H977" s="410"/>
      <c r="I977" s="410"/>
      <c r="J977" s="410"/>
      <c r="K977" s="410"/>
      <c r="L977" s="410"/>
      <c r="M977" s="410"/>
      <c r="N977" s="410"/>
      <c r="R977" s="410"/>
      <c r="S977" s="410"/>
      <c r="T977" s="410"/>
      <c r="U977" s="410"/>
      <c r="V977" s="410"/>
      <c r="W977" s="410"/>
      <c r="X977" s="410"/>
      <c r="Y977" s="410"/>
    </row>
    <row r="978" spans="1:25" x14ac:dyDescent="0.2">
      <c r="A978" s="410"/>
      <c r="B978" s="410"/>
      <c r="C978" s="410"/>
      <c r="D978" s="410"/>
      <c r="E978" s="410"/>
      <c r="F978" s="410"/>
      <c r="G978" s="410"/>
      <c r="H978" s="410"/>
      <c r="I978" s="410"/>
      <c r="J978" s="410"/>
      <c r="K978" s="410"/>
      <c r="L978" s="410"/>
      <c r="M978" s="410"/>
      <c r="N978" s="410"/>
      <c r="R978" s="410"/>
      <c r="S978" s="410"/>
      <c r="T978" s="410"/>
      <c r="U978" s="410"/>
      <c r="V978" s="410"/>
      <c r="W978" s="410"/>
      <c r="X978" s="410"/>
      <c r="Y978" s="410"/>
    </row>
    <row r="979" spans="1:25" x14ac:dyDescent="0.2">
      <c r="A979" s="410"/>
      <c r="B979" s="410"/>
      <c r="C979" s="410"/>
      <c r="D979" s="410"/>
      <c r="E979" s="410"/>
      <c r="F979" s="410"/>
      <c r="G979" s="410"/>
      <c r="H979" s="410"/>
      <c r="I979" s="410"/>
      <c r="J979" s="410"/>
      <c r="K979" s="410"/>
      <c r="L979" s="410"/>
      <c r="M979" s="410"/>
      <c r="N979" s="410"/>
      <c r="R979" s="410"/>
      <c r="S979" s="410"/>
      <c r="T979" s="410"/>
      <c r="U979" s="410"/>
      <c r="V979" s="410"/>
      <c r="W979" s="410"/>
      <c r="X979" s="410"/>
      <c r="Y979" s="410"/>
    </row>
    <row r="980" spans="1:25" x14ac:dyDescent="0.2">
      <c r="A980" s="410"/>
      <c r="B980" s="410"/>
      <c r="C980" s="410"/>
      <c r="D980" s="410"/>
      <c r="E980" s="410"/>
      <c r="F980" s="410"/>
      <c r="G980" s="410"/>
      <c r="H980" s="410"/>
      <c r="I980" s="410"/>
      <c r="J980" s="410"/>
      <c r="K980" s="410"/>
      <c r="L980" s="410"/>
      <c r="M980" s="410"/>
      <c r="N980" s="410"/>
      <c r="R980" s="410"/>
      <c r="S980" s="410"/>
      <c r="T980" s="410"/>
      <c r="U980" s="410"/>
      <c r="V980" s="410"/>
      <c r="W980" s="410"/>
      <c r="X980" s="410"/>
      <c r="Y980" s="410"/>
    </row>
    <row r="981" spans="1:25" x14ac:dyDescent="0.2">
      <c r="A981" s="410"/>
      <c r="B981" s="410"/>
      <c r="C981" s="410"/>
      <c r="D981" s="410"/>
      <c r="E981" s="410"/>
      <c r="F981" s="410"/>
      <c r="G981" s="410"/>
      <c r="H981" s="410"/>
      <c r="I981" s="410"/>
      <c r="J981" s="410"/>
      <c r="K981" s="410"/>
      <c r="L981" s="410"/>
      <c r="M981" s="410"/>
      <c r="N981" s="410"/>
      <c r="R981" s="410"/>
      <c r="S981" s="410"/>
      <c r="T981" s="410"/>
      <c r="U981" s="410"/>
      <c r="V981" s="410"/>
      <c r="W981" s="410"/>
      <c r="X981" s="410"/>
      <c r="Y981" s="410"/>
    </row>
    <row r="982" spans="1:25" x14ac:dyDescent="0.2">
      <c r="A982" s="410"/>
      <c r="B982" s="410"/>
      <c r="C982" s="410"/>
      <c r="D982" s="410"/>
      <c r="E982" s="410"/>
      <c r="F982" s="410"/>
      <c r="G982" s="410"/>
      <c r="H982" s="410"/>
      <c r="I982" s="410"/>
      <c r="J982" s="410"/>
      <c r="K982" s="410"/>
      <c r="L982" s="410"/>
      <c r="M982" s="410"/>
      <c r="N982" s="410"/>
      <c r="R982" s="410"/>
      <c r="S982" s="410"/>
      <c r="T982" s="410"/>
      <c r="U982" s="410"/>
      <c r="V982" s="410"/>
      <c r="W982" s="410"/>
      <c r="X982" s="410"/>
      <c r="Y982" s="410"/>
    </row>
    <row r="983" spans="1:25" x14ac:dyDescent="0.2">
      <c r="A983" s="410"/>
      <c r="B983" s="410"/>
      <c r="C983" s="410"/>
      <c r="D983" s="410"/>
      <c r="E983" s="410"/>
      <c r="F983" s="410"/>
      <c r="G983" s="410"/>
      <c r="H983" s="410"/>
      <c r="I983" s="410"/>
      <c r="J983" s="410"/>
      <c r="K983" s="410"/>
      <c r="L983" s="410"/>
      <c r="M983" s="410"/>
      <c r="N983" s="410"/>
      <c r="R983" s="410"/>
      <c r="S983" s="410"/>
      <c r="T983" s="410"/>
      <c r="U983" s="410"/>
      <c r="V983" s="410"/>
      <c r="W983" s="410"/>
      <c r="X983" s="410"/>
      <c r="Y983" s="410"/>
    </row>
    <row r="984" spans="1:25" x14ac:dyDescent="0.2">
      <c r="A984" s="410"/>
      <c r="B984" s="410"/>
      <c r="C984" s="410"/>
      <c r="D984" s="410"/>
      <c r="E984" s="410"/>
      <c r="F984" s="410"/>
      <c r="G984" s="410"/>
      <c r="H984" s="410"/>
      <c r="I984" s="410"/>
      <c r="J984" s="410"/>
      <c r="K984" s="410"/>
      <c r="L984" s="410"/>
      <c r="M984" s="410"/>
      <c r="N984" s="410"/>
      <c r="R984" s="410"/>
      <c r="S984" s="410"/>
      <c r="T984" s="410"/>
      <c r="U984" s="410"/>
      <c r="V984" s="410"/>
      <c r="W984" s="410"/>
      <c r="X984" s="410"/>
      <c r="Y984" s="410"/>
    </row>
    <row r="985" spans="1:25" x14ac:dyDescent="0.2">
      <c r="A985" s="410"/>
      <c r="B985" s="410"/>
      <c r="C985" s="410"/>
      <c r="D985" s="410"/>
      <c r="E985" s="410"/>
      <c r="F985" s="410"/>
      <c r="G985" s="410"/>
      <c r="H985" s="410"/>
      <c r="I985" s="410"/>
      <c r="J985" s="410"/>
      <c r="K985" s="410"/>
      <c r="L985" s="410"/>
      <c r="M985" s="410"/>
      <c r="N985" s="410"/>
      <c r="R985" s="410"/>
      <c r="S985" s="410"/>
      <c r="T985" s="410"/>
      <c r="U985" s="410"/>
      <c r="V985" s="410"/>
      <c r="W985" s="410"/>
      <c r="X985" s="410"/>
      <c r="Y985" s="410"/>
    </row>
    <row r="986" spans="1:25" x14ac:dyDescent="0.2">
      <c r="A986" s="410"/>
      <c r="B986" s="410"/>
      <c r="C986" s="410"/>
      <c r="D986" s="410"/>
      <c r="E986" s="410"/>
      <c r="F986" s="410"/>
      <c r="G986" s="410"/>
      <c r="H986" s="410"/>
      <c r="I986" s="410"/>
      <c r="J986" s="410"/>
      <c r="K986" s="410"/>
      <c r="L986" s="410"/>
      <c r="M986" s="410"/>
      <c r="N986" s="410"/>
      <c r="R986" s="410"/>
      <c r="S986" s="410"/>
      <c r="T986" s="410"/>
      <c r="U986" s="410"/>
      <c r="V986" s="410"/>
      <c r="W986" s="410"/>
      <c r="X986" s="410"/>
      <c r="Y986" s="410"/>
    </row>
    <row r="987" spans="1:25" x14ac:dyDescent="0.2">
      <c r="A987" s="410"/>
      <c r="B987" s="410"/>
      <c r="C987" s="410"/>
      <c r="D987" s="410"/>
      <c r="E987" s="410"/>
      <c r="F987" s="410"/>
      <c r="G987" s="410"/>
      <c r="H987" s="410"/>
      <c r="I987" s="410"/>
      <c r="J987" s="410"/>
      <c r="K987" s="410"/>
      <c r="L987" s="410"/>
      <c r="M987" s="410"/>
      <c r="N987" s="410"/>
      <c r="R987" s="410"/>
      <c r="S987" s="410"/>
      <c r="T987" s="410"/>
      <c r="U987" s="410"/>
      <c r="V987" s="410"/>
      <c r="W987" s="410"/>
      <c r="X987" s="410"/>
      <c r="Y987" s="410"/>
    </row>
    <row r="988" spans="1:25" x14ac:dyDescent="0.2">
      <c r="A988" s="410"/>
      <c r="B988" s="410"/>
      <c r="C988" s="410"/>
      <c r="D988" s="410"/>
      <c r="E988" s="410"/>
      <c r="F988" s="410"/>
      <c r="G988" s="410"/>
      <c r="H988" s="410"/>
      <c r="I988" s="410"/>
      <c r="J988" s="410"/>
      <c r="K988" s="410"/>
      <c r="L988" s="410"/>
      <c r="M988" s="410"/>
      <c r="N988" s="410"/>
      <c r="R988" s="410"/>
      <c r="S988" s="410"/>
      <c r="T988" s="410"/>
      <c r="U988" s="410"/>
      <c r="V988" s="410"/>
      <c r="W988" s="410"/>
      <c r="X988" s="410"/>
      <c r="Y988" s="410"/>
    </row>
    <row r="989" spans="1:25" x14ac:dyDescent="0.2">
      <c r="A989" s="410"/>
      <c r="B989" s="410"/>
      <c r="C989" s="410"/>
      <c r="D989" s="410"/>
      <c r="E989" s="410"/>
      <c r="F989" s="410"/>
      <c r="G989" s="410"/>
      <c r="H989" s="410"/>
      <c r="I989" s="410"/>
      <c r="J989" s="410"/>
      <c r="K989" s="410"/>
      <c r="L989" s="410"/>
      <c r="M989" s="410"/>
      <c r="N989" s="410"/>
      <c r="R989" s="410"/>
      <c r="S989" s="410"/>
      <c r="T989" s="410"/>
      <c r="U989" s="410"/>
      <c r="V989" s="410"/>
      <c r="W989" s="410"/>
      <c r="X989" s="410"/>
      <c r="Y989" s="410"/>
    </row>
    <row r="990" spans="1:25" x14ac:dyDescent="0.2">
      <c r="A990" s="410"/>
      <c r="B990" s="410"/>
      <c r="C990" s="410"/>
      <c r="D990" s="410"/>
      <c r="E990" s="410"/>
      <c r="F990" s="410"/>
      <c r="G990" s="410"/>
      <c r="H990" s="410"/>
      <c r="I990" s="410"/>
      <c r="J990" s="410"/>
      <c r="K990" s="410"/>
      <c r="L990" s="410"/>
      <c r="M990" s="410"/>
      <c r="N990" s="410"/>
      <c r="R990" s="410"/>
      <c r="S990" s="410"/>
      <c r="T990" s="410"/>
      <c r="U990" s="410"/>
      <c r="V990" s="410"/>
      <c r="W990" s="410"/>
      <c r="X990" s="410"/>
      <c r="Y990" s="410"/>
    </row>
    <row r="991" spans="1:25" x14ac:dyDescent="0.2">
      <c r="A991" s="410"/>
      <c r="B991" s="410"/>
      <c r="C991" s="410"/>
      <c r="D991" s="410"/>
      <c r="E991" s="410"/>
      <c r="F991" s="410"/>
      <c r="G991" s="410"/>
      <c r="H991" s="410"/>
      <c r="I991" s="410"/>
      <c r="J991" s="410"/>
      <c r="K991" s="410"/>
      <c r="L991" s="410"/>
      <c r="M991" s="410"/>
      <c r="N991" s="410"/>
      <c r="R991" s="410"/>
      <c r="S991" s="410"/>
      <c r="T991" s="410"/>
      <c r="U991" s="410"/>
      <c r="V991" s="410"/>
      <c r="W991" s="410"/>
      <c r="X991" s="410"/>
      <c r="Y991" s="410"/>
    </row>
    <row r="992" spans="1:25" x14ac:dyDescent="0.2">
      <c r="A992" s="410"/>
      <c r="B992" s="410"/>
      <c r="C992" s="410"/>
      <c r="D992" s="410"/>
      <c r="E992" s="410"/>
      <c r="F992" s="410"/>
      <c r="G992" s="410"/>
      <c r="H992" s="410"/>
      <c r="I992" s="410"/>
      <c r="J992" s="410"/>
      <c r="K992" s="410"/>
      <c r="L992" s="410"/>
      <c r="M992" s="410"/>
      <c r="N992" s="410"/>
      <c r="R992" s="410"/>
      <c r="S992" s="410"/>
      <c r="T992" s="410"/>
      <c r="U992" s="410"/>
      <c r="V992" s="410"/>
      <c r="W992" s="410"/>
      <c r="X992" s="410"/>
      <c r="Y992" s="410"/>
    </row>
    <row r="993" spans="1:25" x14ac:dyDescent="0.2">
      <c r="A993" s="410"/>
      <c r="B993" s="410"/>
      <c r="C993" s="410"/>
      <c r="D993" s="410"/>
      <c r="E993" s="410"/>
      <c r="F993" s="410"/>
      <c r="G993" s="410"/>
      <c r="H993" s="410"/>
      <c r="I993" s="410"/>
      <c r="J993" s="410"/>
      <c r="K993" s="410"/>
      <c r="L993" s="410"/>
      <c r="M993" s="410"/>
      <c r="N993" s="410"/>
      <c r="R993" s="410"/>
      <c r="S993" s="410"/>
      <c r="T993" s="410"/>
      <c r="U993" s="410"/>
      <c r="V993" s="410"/>
      <c r="W993" s="410"/>
      <c r="X993" s="410"/>
      <c r="Y993" s="410"/>
    </row>
    <row r="994" spans="1:25" x14ac:dyDescent="0.2">
      <c r="A994" s="410"/>
      <c r="B994" s="410"/>
      <c r="C994" s="410"/>
      <c r="D994" s="410"/>
      <c r="E994" s="410"/>
      <c r="F994" s="410"/>
      <c r="G994" s="410"/>
      <c r="H994" s="410"/>
      <c r="I994" s="410"/>
      <c r="J994" s="410"/>
      <c r="K994" s="410"/>
      <c r="L994" s="410"/>
      <c r="M994" s="410"/>
      <c r="N994" s="410"/>
      <c r="R994" s="410"/>
      <c r="S994" s="410"/>
      <c r="T994" s="410"/>
      <c r="U994" s="410"/>
      <c r="V994" s="410"/>
      <c r="W994" s="410"/>
      <c r="X994" s="410"/>
      <c r="Y994" s="410"/>
    </row>
    <row r="995" spans="1:25" x14ac:dyDescent="0.2">
      <c r="A995" s="410"/>
      <c r="B995" s="410"/>
      <c r="C995" s="410"/>
      <c r="D995" s="410"/>
      <c r="E995" s="410"/>
      <c r="F995" s="410"/>
      <c r="G995" s="410"/>
      <c r="H995" s="410"/>
      <c r="I995" s="410"/>
      <c r="J995" s="410"/>
      <c r="K995" s="410"/>
      <c r="L995" s="410"/>
      <c r="M995" s="410"/>
      <c r="N995" s="410"/>
      <c r="R995" s="410"/>
      <c r="S995" s="410"/>
      <c r="T995" s="410"/>
      <c r="U995" s="410"/>
      <c r="V995" s="410"/>
      <c r="W995" s="410"/>
      <c r="X995" s="410"/>
      <c r="Y995" s="410"/>
    </row>
    <row r="996" spans="1:25" x14ac:dyDescent="0.2">
      <c r="A996" s="410"/>
      <c r="B996" s="410"/>
      <c r="C996" s="410"/>
      <c r="D996" s="410"/>
      <c r="E996" s="410"/>
      <c r="F996" s="410"/>
      <c r="G996" s="410"/>
      <c r="H996" s="410"/>
      <c r="I996" s="410"/>
      <c r="J996" s="410"/>
      <c r="K996" s="410"/>
      <c r="L996" s="410"/>
      <c r="M996" s="410"/>
      <c r="N996" s="410"/>
      <c r="R996" s="410"/>
      <c r="S996" s="410"/>
      <c r="T996" s="410"/>
      <c r="U996" s="410"/>
      <c r="V996" s="410"/>
      <c r="W996" s="410"/>
      <c r="X996" s="410"/>
      <c r="Y996" s="410"/>
    </row>
    <row r="997" spans="1:25" x14ac:dyDescent="0.2">
      <c r="A997" s="410"/>
      <c r="B997" s="410"/>
      <c r="C997" s="410"/>
      <c r="D997" s="410"/>
      <c r="E997" s="410"/>
      <c r="F997" s="410"/>
      <c r="G997" s="410"/>
      <c r="H997" s="410"/>
      <c r="I997" s="410"/>
      <c r="J997" s="410"/>
      <c r="K997" s="410"/>
      <c r="L997" s="410"/>
      <c r="M997" s="410"/>
      <c r="N997" s="410"/>
      <c r="R997" s="410"/>
      <c r="S997" s="410"/>
      <c r="T997" s="410"/>
      <c r="U997" s="410"/>
      <c r="V997" s="410"/>
      <c r="W997" s="410"/>
      <c r="X997" s="410"/>
      <c r="Y997" s="410"/>
    </row>
    <row r="998" spans="1:25" x14ac:dyDescent="0.2">
      <c r="A998" s="410"/>
      <c r="B998" s="410"/>
      <c r="C998" s="410"/>
      <c r="D998" s="410"/>
      <c r="E998" s="410"/>
      <c r="F998" s="410"/>
      <c r="G998" s="410"/>
      <c r="H998" s="410"/>
      <c r="I998" s="410"/>
      <c r="J998" s="410"/>
      <c r="K998" s="410"/>
      <c r="L998" s="410"/>
      <c r="M998" s="410"/>
      <c r="N998" s="410"/>
      <c r="R998" s="410"/>
      <c r="S998" s="410"/>
      <c r="T998" s="410"/>
      <c r="U998" s="410"/>
      <c r="V998" s="410"/>
      <c r="W998" s="410"/>
      <c r="X998" s="410"/>
      <c r="Y998" s="410"/>
    </row>
    <row r="999" spans="1:25" x14ac:dyDescent="0.2">
      <c r="A999" s="410"/>
      <c r="B999" s="410"/>
      <c r="C999" s="410"/>
      <c r="D999" s="410"/>
      <c r="E999" s="410"/>
      <c r="F999" s="410"/>
      <c r="G999" s="410"/>
      <c r="H999" s="410"/>
      <c r="I999" s="410"/>
      <c r="J999" s="410"/>
      <c r="K999" s="410"/>
      <c r="L999" s="410"/>
      <c r="M999" s="410"/>
      <c r="N999" s="410"/>
      <c r="R999" s="410"/>
      <c r="S999" s="410"/>
      <c r="T999" s="410"/>
      <c r="U999" s="410"/>
      <c r="V999" s="410"/>
      <c r="W999" s="410"/>
      <c r="X999" s="410"/>
      <c r="Y999" s="410"/>
    </row>
    <row r="1000" spans="1:25" x14ac:dyDescent="0.2">
      <c r="A1000" s="410"/>
      <c r="B1000" s="410"/>
      <c r="C1000" s="410"/>
      <c r="D1000" s="410"/>
      <c r="E1000" s="410"/>
      <c r="F1000" s="410"/>
      <c r="G1000" s="410"/>
      <c r="H1000" s="410"/>
      <c r="I1000" s="410"/>
      <c r="J1000" s="410"/>
      <c r="K1000" s="410"/>
      <c r="L1000" s="410"/>
      <c r="M1000" s="410"/>
      <c r="N1000" s="410"/>
      <c r="R1000" s="410"/>
      <c r="S1000" s="410"/>
      <c r="T1000" s="410"/>
      <c r="U1000" s="410"/>
      <c r="V1000" s="410"/>
      <c r="W1000" s="410"/>
      <c r="X1000" s="410"/>
      <c r="Y1000" s="410"/>
    </row>
    <row r="1001" spans="1:25" x14ac:dyDescent="0.2">
      <c r="A1001" s="410"/>
      <c r="B1001" s="410"/>
      <c r="C1001" s="410"/>
      <c r="D1001" s="410"/>
      <c r="E1001" s="410"/>
      <c r="F1001" s="410"/>
      <c r="G1001" s="410"/>
      <c r="H1001" s="410"/>
      <c r="I1001" s="410"/>
      <c r="J1001" s="410"/>
      <c r="K1001" s="410"/>
      <c r="L1001" s="410"/>
      <c r="M1001" s="410"/>
      <c r="N1001" s="410"/>
      <c r="R1001" s="410"/>
      <c r="S1001" s="410"/>
      <c r="T1001" s="410"/>
      <c r="U1001" s="410"/>
      <c r="V1001" s="410"/>
      <c r="W1001" s="410"/>
      <c r="X1001" s="410"/>
      <c r="Y1001" s="410"/>
    </row>
    <row r="1002" spans="1:25" x14ac:dyDescent="0.2">
      <c r="A1002" s="410"/>
      <c r="B1002" s="410"/>
      <c r="C1002" s="410"/>
      <c r="D1002" s="410"/>
      <c r="E1002" s="410"/>
      <c r="F1002" s="410"/>
      <c r="G1002" s="410"/>
      <c r="H1002" s="410"/>
      <c r="I1002" s="410"/>
      <c r="J1002" s="410"/>
      <c r="K1002" s="410"/>
      <c r="L1002" s="410"/>
      <c r="M1002" s="410"/>
      <c r="N1002" s="410"/>
      <c r="R1002" s="410"/>
      <c r="S1002" s="410"/>
      <c r="T1002" s="410"/>
      <c r="U1002" s="410"/>
      <c r="V1002" s="410"/>
      <c r="W1002" s="410"/>
      <c r="X1002" s="410"/>
      <c r="Y1002" s="410"/>
    </row>
    <row r="1003" spans="1:25" x14ac:dyDescent="0.2">
      <c r="A1003" s="410"/>
      <c r="B1003" s="410"/>
      <c r="C1003" s="410"/>
      <c r="D1003" s="410"/>
      <c r="E1003" s="410"/>
      <c r="F1003" s="410"/>
      <c r="G1003" s="410"/>
      <c r="H1003" s="410"/>
      <c r="I1003" s="410"/>
      <c r="J1003" s="410"/>
      <c r="K1003" s="410"/>
      <c r="L1003" s="410"/>
      <c r="M1003" s="410"/>
      <c r="N1003" s="410"/>
      <c r="R1003" s="410"/>
      <c r="S1003" s="410"/>
      <c r="T1003" s="410"/>
      <c r="U1003" s="410"/>
      <c r="V1003" s="410"/>
      <c r="W1003" s="410"/>
      <c r="X1003" s="410"/>
      <c r="Y1003" s="410"/>
    </row>
    <row r="1004" spans="1:25" x14ac:dyDescent="0.2">
      <c r="A1004" s="410"/>
      <c r="B1004" s="410"/>
      <c r="C1004" s="410"/>
      <c r="D1004" s="410"/>
      <c r="E1004" s="410"/>
      <c r="F1004" s="410"/>
      <c r="G1004" s="410"/>
      <c r="H1004" s="410"/>
      <c r="I1004" s="410"/>
      <c r="J1004" s="410"/>
      <c r="K1004" s="410"/>
      <c r="L1004" s="410"/>
      <c r="M1004" s="410"/>
      <c r="N1004" s="410"/>
      <c r="R1004" s="410"/>
      <c r="S1004" s="410"/>
      <c r="T1004" s="410"/>
      <c r="U1004" s="410"/>
      <c r="V1004" s="410"/>
      <c r="W1004" s="410"/>
      <c r="X1004" s="410"/>
      <c r="Y1004" s="410"/>
    </row>
    <row r="1005" spans="1:25" x14ac:dyDescent="0.2">
      <c r="A1005" s="410"/>
      <c r="B1005" s="410"/>
      <c r="C1005" s="410"/>
      <c r="D1005" s="410"/>
      <c r="E1005" s="410"/>
      <c r="F1005" s="410"/>
      <c r="G1005" s="410"/>
      <c r="H1005" s="410"/>
      <c r="I1005" s="410"/>
      <c r="J1005" s="410"/>
      <c r="K1005" s="410"/>
      <c r="L1005" s="410"/>
      <c r="M1005" s="410"/>
      <c r="N1005" s="410"/>
      <c r="R1005" s="410"/>
      <c r="S1005" s="410"/>
      <c r="T1005" s="410"/>
      <c r="U1005" s="410"/>
      <c r="V1005" s="410"/>
      <c r="W1005" s="410"/>
      <c r="X1005" s="410"/>
      <c r="Y1005" s="410"/>
    </row>
    <row r="1006" spans="1:25" x14ac:dyDescent="0.2">
      <c r="A1006" s="410"/>
      <c r="B1006" s="410"/>
      <c r="C1006" s="410"/>
      <c r="D1006" s="410"/>
      <c r="E1006" s="410"/>
      <c r="F1006" s="410"/>
      <c r="G1006" s="410"/>
      <c r="H1006" s="410"/>
      <c r="I1006" s="410"/>
      <c r="J1006" s="410"/>
      <c r="K1006" s="410"/>
      <c r="L1006" s="410"/>
      <c r="M1006" s="410"/>
      <c r="N1006" s="410"/>
      <c r="R1006" s="410"/>
      <c r="S1006" s="410"/>
      <c r="T1006" s="410"/>
      <c r="U1006" s="410"/>
      <c r="V1006" s="410"/>
      <c r="W1006" s="410"/>
      <c r="X1006" s="410"/>
      <c r="Y1006" s="410"/>
    </row>
    <row r="1007" spans="1:25" x14ac:dyDescent="0.2">
      <c r="A1007" s="410"/>
      <c r="B1007" s="410"/>
      <c r="C1007" s="410"/>
      <c r="D1007" s="410"/>
      <c r="E1007" s="410"/>
      <c r="F1007" s="410"/>
      <c r="G1007" s="410"/>
      <c r="H1007" s="410"/>
      <c r="I1007" s="410"/>
      <c r="J1007" s="410"/>
      <c r="K1007" s="410"/>
      <c r="L1007" s="410"/>
      <c r="M1007" s="410"/>
      <c r="N1007" s="410"/>
      <c r="R1007" s="410"/>
      <c r="S1007" s="410"/>
      <c r="T1007" s="410"/>
      <c r="U1007" s="410"/>
      <c r="V1007" s="410"/>
      <c r="W1007" s="410"/>
      <c r="X1007" s="410"/>
      <c r="Y1007" s="410"/>
    </row>
    <row r="1008" spans="1:25" x14ac:dyDescent="0.2">
      <c r="A1008" s="410"/>
      <c r="B1008" s="410"/>
      <c r="C1008" s="410"/>
      <c r="D1008" s="410"/>
      <c r="E1008" s="410"/>
      <c r="F1008" s="410"/>
      <c r="G1008" s="410"/>
      <c r="H1008" s="410"/>
      <c r="I1008" s="410"/>
      <c r="J1008" s="410"/>
      <c r="K1008" s="410"/>
      <c r="L1008" s="410"/>
      <c r="M1008" s="410"/>
      <c r="N1008" s="410"/>
      <c r="R1008" s="410"/>
      <c r="S1008" s="410"/>
      <c r="T1008" s="410"/>
      <c r="U1008" s="410"/>
      <c r="V1008" s="410"/>
      <c r="W1008" s="410"/>
      <c r="X1008" s="410"/>
      <c r="Y1008" s="410"/>
    </row>
    <row r="1009" spans="1:25" x14ac:dyDescent="0.2">
      <c r="A1009" s="410"/>
      <c r="B1009" s="410"/>
      <c r="C1009" s="410"/>
      <c r="D1009" s="410"/>
      <c r="E1009" s="410"/>
      <c r="F1009" s="410"/>
      <c r="G1009" s="410"/>
      <c r="H1009" s="410"/>
      <c r="I1009" s="410"/>
      <c r="J1009" s="410"/>
      <c r="K1009" s="410"/>
      <c r="L1009" s="410"/>
      <c r="M1009" s="410"/>
      <c r="N1009" s="410"/>
      <c r="R1009" s="410"/>
      <c r="S1009" s="410"/>
      <c r="T1009" s="410"/>
      <c r="U1009" s="410"/>
      <c r="V1009" s="410"/>
      <c r="W1009" s="410"/>
      <c r="X1009" s="410"/>
      <c r="Y1009" s="410"/>
    </row>
    <row r="1010" spans="1:25" x14ac:dyDescent="0.2">
      <c r="A1010" s="410"/>
      <c r="B1010" s="410"/>
      <c r="C1010" s="410"/>
      <c r="D1010" s="410"/>
      <c r="E1010" s="410"/>
      <c r="F1010" s="410"/>
      <c r="G1010" s="410"/>
      <c r="H1010" s="410"/>
      <c r="I1010" s="410"/>
      <c r="J1010" s="410"/>
      <c r="K1010" s="410"/>
      <c r="L1010" s="410"/>
      <c r="M1010" s="410"/>
      <c r="N1010" s="410"/>
      <c r="R1010" s="410"/>
      <c r="S1010" s="410"/>
      <c r="T1010" s="410"/>
      <c r="U1010" s="410"/>
      <c r="V1010" s="410"/>
      <c r="W1010" s="410"/>
      <c r="X1010" s="410"/>
      <c r="Y1010" s="410"/>
    </row>
    <row r="1011" spans="1:25" x14ac:dyDescent="0.2">
      <c r="A1011" s="410"/>
      <c r="B1011" s="410"/>
      <c r="C1011" s="410"/>
      <c r="D1011" s="410"/>
      <c r="E1011" s="410"/>
      <c r="F1011" s="410"/>
      <c r="G1011" s="410"/>
      <c r="H1011" s="410"/>
      <c r="I1011" s="410"/>
      <c r="J1011" s="410"/>
      <c r="K1011" s="410"/>
      <c r="L1011" s="410"/>
      <c r="M1011" s="410"/>
      <c r="N1011" s="410"/>
      <c r="R1011" s="410"/>
      <c r="S1011" s="410"/>
      <c r="T1011" s="410"/>
      <c r="U1011" s="410"/>
      <c r="V1011" s="410"/>
      <c r="W1011" s="410"/>
      <c r="X1011" s="410"/>
      <c r="Y1011" s="410"/>
    </row>
    <row r="1012" spans="1:25" x14ac:dyDescent="0.2">
      <c r="A1012" s="410"/>
      <c r="B1012" s="410"/>
      <c r="C1012" s="410"/>
      <c r="D1012" s="410"/>
      <c r="E1012" s="410"/>
      <c r="F1012" s="410"/>
      <c r="G1012" s="410"/>
      <c r="H1012" s="410"/>
      <c r="I1012" s="410"/>
      <c r="J1012" s="410"/>
      <c r="K1012" s="410"/>
      <c r="L1012" s="410"/>
      <c r="M1012" s="410"/>
      <c r="N1012" s="410"/>
      <c r="R1012" s="410"/>
      <c r="S1012" s="410"/>
      <c r="T1012" s="410"/>
      <c r="U1012" s="410"/>
      <c r="V1012" s="410"/>
      <c r="W1012" s="410"/>
      <c r="X1012" s="410"/>
      <c r="Y1012" s="410"/>
    </row>
    <row r="1013" spans="1:25" x14ac:dyDescent="0.2">
      <c r="A1013" s="410"/>
      <c r="B1013" s="410"/>
      <c r="C1013" s="410"/>
      <c r="D1013" s="410"/>
      <c r="E1013" s="410"/>
      <c r="F1013" s="410"/>
      <c r="G1013" s="410"/>
      <c r="H1013" s="410"/>
      <c r="I1013" s="410"/>
      <c r="J1013" s="410"/>
      <c r="K1013" s="410"/>
      <c r="L1013" s="410"/>
      <c r="M1013" s="410"/>
      <c r="N1013" s="410"/>
      <c r="R1013" s="410"/>
      <c r="S1013" s="410"/>
      <c r="T1013" s="410"/>
      <c r="U1013" s="410"/>
      <c r="V1013" s="410"/>
      <c r="W1013" s="410"/>
      <c r="X1013" s="410"/>
      <c r="Y1013" s="410"/>
    </row>
    <row r="1014" spans="1:25" x14ac:dyDescent="0.2">
      <c r="A1014" s="410"/>
      <c r="B1014" s="410"/>
      <c r="C1014" s="410"/>
      <c r="D1014" s="410"/>
      <c r="E1014" s="410"/>
      <c r="F1014" s="410"/>
      <c r="G1014" s="410"/>
      <c r="H1014" s="410"/>
      <c r="I1014" s="410"/>
      <c r="J1014" s="410"/>
      <c r="K1014" s="410"/>
      <c r="L1014" s="410"/>
      <c r="M1014" s="410"/>
      <c r="N1014" s="410"/>
      <c r="R1014" s="410"/>
      <c r="S1014" s="410"/>
      <c r="T1014" s="410"/>
      <c r="U1014" s="410"/>
      <c r="V1014" s="410"/>
      <c r="W1014" s="410"/>
      <c r="X1014" s="410"/>
      <c r="Y1014" s="410"/>
    </row>
    <row r="1015" spans="1:25" x14ac:dyDescent="0.2">
      <c r="A1015" s="410"/>
      <c r="B1015" s="410"/>
      <c r="C1015" s="410"/>
      <c r="D1015" s="410"/>
      <c r="E1015" s="410"/>
      <c r="F1015" s="410"/>
      <c r="G1015" s="410"/>
      <c r="H1015" s="410"/>
      <c r="I1015" s="410"/>
      <c r="J1015" s="410"/>
      <c r="K1015" s="410"/>
      <c r="L1015" s="410"/>
      <c r="M1015" s="410"/>
      <c r="N1015" s="410"/>
      <c r="R1015" s="410"/>
      <c r="S1015" s="410"/>
      <c r="T1015" s="410"/>
      <c r="U1015" s="410"/>
      <c r="V1015" s="410"/>
      <c r="W1015" s="410"/>
      <c r="X1015" s="410"/>
      <c r="Y1015" s="410"/>
    </row>
    <row r="1016" spans="1:25" x14ac:dyDescent="0.2">
      <c r="A1016" s="410"/>
      <c r="B1016" s="410"/>
      <c r="C1016" s="410"/>
      <c r="D1016" s="410"/>
      <c r="E1016" s="410"/>
      <c r="F1016" s="410"/>
      <c r="G1016" s="410"/>
      <c r="H1016" s="410"/>
      <c r="I1016" s="410"/>
      <c r="J1016" s="410"/>
      <c r="K1016" s="410"/>
      <c r="L1016" s="410"/>
      <c r="M1016" s="410"/>
      <c r="N1016" s="410"/>
      <c r="R1016" s="410"/>
      <c r="S1016" s="410"/>
      <c r="T1016" s="410"/>
      <c r="U1016" s="410"/>
      <c r="V1016" s="410"/>
      <c r="W1016" s="410"/>
      <c r="X1016" s="410"/>
      <c r="Y1016" s="410"/>
    </row>
    <row r="1017" spans="1:25" x14ac:dyDescent="0.2">
      <c r="A1017" s="410"/>
      <c r="B1017" s="410"/>
      <c r="C1017" s="410"/>
      <c r="D1017" s="410"/>
      <c r="E1017" s="410"/>
      <c r="F1017" s="410"/>
      <c r="G1017" s="410"/>
      <c r="H1017" s="410"/>
      <c r="I1017" s="410"/>
      <c r="J1017" s="410"/>
      <c r="K1017" s="410"/>
      <c r="L1017" s="410"/>
      <c r="M1017" s="410"/>
      <c r="N1017" s="410"/>
      <c r="R1017" s="410"/>
      <c r="S1017" s="410"/>
      <c r="T1017" s="410"/>
      <c r="U1017" s="410"/>
      <c r="V1017" s="410"/>
      <c r="W1017" s="410"/>
      <c r="X1017" s="410"/>
      <c r="Y1017" s="410"/>
    </row>
    <row r="1018" spans="1:25" x14ac:dyDescent="0.2">
      <c r="A1018" s="410"/>
      <c r="B1018" s="410"/>
      <c r="C1018" s="410"/>
      <c r="D1018" s="410"/>
      <c r="E1018" s="410"/>
      <c r="F1018" s="410"/>
      <c r="G1018" s="410"/>
      <c r="H1018" s="410"/>
      <c r="I1018" s="410"/>
      <c r="J1018" s="410"/>
      <c r="K1018" s="410"/>
      <c r="L1018" s="410"/>
      <c r="M1018" s="410"/>
      <c r="N1018" s="410"/>
      <c r="R1018" s="410"/>
      <c r="S1018" s="410"/>
      <c r="T1018" s="410"/>
      <c r="U1018" s="410"/>
      <c r="V1018" s="410"/>
      <c r="W1018" s="410"/>
      <c r="X1018" s="410"/>
      <c r="Y1018" s="410"/>
    </row>
    <row r="1019" spans="1:25" x14ac:dyDescent="0.2">
      <c r="A1019" s="410"/>
      <c r="B1019" s="410"/>
      <c r="C1019" s="410"/>
      <c r="D1019" s="410"/>
      <c r="E1019" s="410"/>
      <c r="F1019" s="410"/>
      <c r="G1019" s="410"/>
      <c r="H1019" s="410"/>
      <c r="I1019" s="410"/>
      <c r="J1019" s="410"/>
      <c r="K1019" s="410"/>
      <c r="L1019" s="410"/>
      <c r="M1019" s="410"/>
      <c r="N1019" s="410"/>
      <c r="R1019" s="410"/>
      <c r="S1019" s="410"/>
      <c r="T1019" s="410"/>
      <c r="U1019" s="410"/>
      <c r="V1019" s="410"/>
      <c r="W1019" s="410"/>
      <c r="X1019" s="410"/>
      <c r="Y1019" s="410"/>
    </row>
    <row r="1020" spans="1:25" x14ac:dyDescent="0.2">
      <c r="A1020" s="410"/>
      <c r="B1020" s="410"/>
      <c r="C1020" s="410"/>
      <c r="D1020" s="410"/>
      <c r="E1020" s="410"/>
      <c r="F1020" s="410"/>
      <c r="G1020" s="410"/>
      <c r="H1020" s="410"/>
      <c r="I1020" s="410"/>
      <c r="J1020" s="410"/>
      <c r="K1020" s="410"/>
      <c r="L1020" s="410"/>
      <c r="M1020" s="410"/>
      <c r="N1020" s="410"/>
      <c r="R1020" s="410"/>
      <c r="S1020" s="410"/>
      <c r="T1020" s="410"/>
      <c r="U1020" s="410"/>
      <c r="V1020" s="410"/>
      <c r="W1020" s="410"/>
      <c r="X1020" s="410"/>
      <c r="Y1020" s="410"/>
    </row>
    <row r="1021" spans="1:25" x14ac:dyDescent="0.2">
      <c r="A1021" s="410"/>
      <c r="B1021" s="410"/>
      <c r="C1021" s="410"/>
      <c r="D1021" s="410"/>
      <c r="E1021" s="410"/>
      <c r="F1021" s="410"/>
      <c r="G1021" s="410"/>
      <c r="H1021" s="410"/>
      <c r="I1021" s="410"/>
      <c r="J1021" s="410"/>
      <c r="K1021" s="410"/>
      <c r="L1021" s="410"/>
      <c r="M1021" s="410"/>
      <c r="N1021" s="410"/>
      <c r="R1021" s="410"/>
      <c r="S1021" s="410"/>
      <c r="T1021" s="410"/>
      <c r="U1021" s="410"/>
      <c r="V1021" s="410"/>
      <c r="W1021" s="410"/>
      <c r="X1021" s="410"/>
      <c r="Y1021" s="410"/>
    </row>
    <row r="1022" spans="1:25" x14ac:dyDescent="0.2">
      <c r="A1022" s="410"/>
      <c r="B1022" s="410"/>
      <c r="C1022" s="410"/>
      <c r="D1022" s="410"/>
      <c r="E1022" s="410"/>
      <c r="F1022" s="410"/>
      <c r="G1022" s="410"/>
      <c r="H1022" s="410"/>
      <c r="I1022" s="410"/>
      <c r="J1022" s="410"/>
      <c r="K1022" s="410"/>
      <c r="L1022" s="410"/>
      <c r="M1022" s="410"/>
      <c r="N1022" s="410"/>
      <c r="R1022" s="410"/>
      <c r="S1022" s="410"/>
      <c r="T1022" s="410"/>
      <c r="U1022" s="410"/>
      <c r="V1022" s="410"/>
      <c r="W1022" s="410"/>
      <c r="X1022" s="410"/>
      <c r="Y1022" s="410"/>
    </row>
    <row r="1023" spans="1:25" x14ac:dyDescent="0.2">
      <c r="A1023" s="410"/>
      <c r="B1023" s="410"/>
      <c r="C1023" s="410"/>
      <c r="D1023" s="410"/>
      <c r="E1023" s="410"/>
      <c r="F1023" s="410"/>
      <c r="G1023" s="410"/>
      <c r="H1023" s="410"/>
      <c r="I1023" s="410"/>
      <c r="J1023" s="410"/>
      <c r="K1023" s="410"/>
      <c r="L1023" s="410"/>
      <c r="M1023" s="410"/>
      <c r="N1023" s="410"/>
      <c r="R1023" s="410"/>
      <c r="S1023" s="410"/>
      <c r="T1023" s="410"/>
      <c r="U1023" s="410"/>
      <c r="V1023" s="410"/>
      <c r="W1023" s="410"/>
      <c r="X1023" s="410"/>
      <c r="Y1023" s="410"/>
    </row>
    <row r="1024" spans="1:25" x14ac:dyDescent="0.2">
      <c r="A1024" s="410"/>
      <c r="B1024" s="410"/>
      <c r="C1024" s="410"/>
      <c r="D1024" s="410"/>
      <c r="E1024" s="410"/>
      <c r="F1024" s="410"/>
      <c r="G1024" s="410"/>
      <c r="H1024" s="410"/>
      <c r="I1024" s="410"/>
      <c r="J1024" s="410"/>
      <c r="K1024" s="410"/>
      <c r="L1024" s="410"/>
      <c r="M1024" s="410"/>
      <c r="N1024" s="410"/>
      <c r="R1024" s="410"/>
      <c r="S1024" s="410"/>
      <c r="T1024" s="410"/>
      <c r="U1024" s="410"/>
      <c r="V1024" s="410"/>
      <c r="W1024" s="410"/>
      <c r="X1024" s="410"/>
      <c r="Y1024" s="410"/>
    </row>
    <row r="1025" spans="1:25" x14ac:dyDescent="0.2">
      <c r="A1025" s="410"/>
      <c r="B1025" s="410"/>
      <c r="C1025" s="410"/>
      <c r="D1025" s="410"/>
      <c r="E1025" s="410"/>
      <c r="F1025" s="410"/>
      <c r="G1025" s="410"/>
      <c r="H1025" s="410"/>
      <c r="I1025" s="410"/>
      <c r="J1025" s="410"/>
      <c r="K1025" s="410"/>
      <c r="L1025" s="410"/>
      <c r="M1025" s="410"/>
      <c r="N1025" s="410"/>
      <c r="R1025" s="410"/>
      <c r="S1025" s="410"/>
      <c r="T1025" s="410"/>
      <c r="U1025" s="410"/>
      <c r="V1025" s="410"/>
      <c r="W1025" s="410"/>
      <c r="X1025" s="410"/>
      <c r="Y1025" s="410"/>
    </row>
    <row r="1026" spans="1:25" x14ac:dyDescent="0.2">
      <c r="A1026" s="410"/>
      <c r="B1026" s="410"/>
      <c r="C1026" s="410"/>
      <c r="D1026" s="410"/>
      <c r="E1026" s="410"/>
      <c r="F1026" s="410"/>
      <c r="G1026" s="410"/>
      <c r="H1026" s="410"/>
      <c r="I1026" s="410"/>
      <c r="J1026" s="410"/>
      <c r="K1026" s="410"/>
      <c r="L1026" s="410"/>
      <c r="M1026" s="410"/>
      <c r="N1026" s="410"/>
      <c r="R1026" s="410"/>
      <c r="S1026" s="410"/>
      <c r="T1026" s="410"/>
      <c r="U1026" s="410"/>
      <c r="V1026" s="410"/>
      <c r="W1026" s="410"/>
      <c r="X1026" s="410"/>
      <c r="Y1026" s="410"/>
    </row>
    <row r="1027" spans="1:25" x14ac:dyDescent="0.2">
      <c r="A1027" s="410"/>
      <c r="B1027" s="410"/>
      <c r="C1027" s="410"/>
      <c r="D1027" s="410"/>
      <c r="E1027" s="410"/>
      <c r="F1027" s="410"/>
      <c r="G1027" s="410"/>
      <c r="H1027" s="410"/>
      <c r="I1027" s="410"/>
      <c r="J1027" s="410"/>
      <c r="K1027" s="410"/>
      <c r="L1027" s="410"/>
      <c r="M1027" s="410"/>
      <c r="N1027" s="410"/>
      <c r="R1027" s="410"/>
      <c r="S1027" s="410"/>
      <c r="T1027" s="410"/>
      <c r="U1027" s="410"/>
      <c r="V1027" s="410"/>
      <c r="W1027" s="410"/>
      <c r="X1027" s="410"/>
      <c r="Y1027" s="410"/>
    </row>
    <row r="1028" spans="1:25" x14ac:dyDescent="0.2">
      <c r="A1028" s="410"/>
      <c r="B1028" s="410"/>
      <c r="C1028" s="410"/>
      <c r="D1028" s="410"/>
      <c r="E1028" s="410"/>
      <c r="F1028" s="410"/>
      <c r="G1028" s="410"/>
      <c r="H1028" s="410"/>
      <c r="I1028" s="410"/>
      <c r="J1028" s="410"/>
      <c r="K1028" s="410"/>
      <c r="L1028" s="410"/>
      <c r="M1028" s="410"/>
      <c r="N1028" s="410"/>
      <c r="R1028" s="410"/>
      <c r="S1028" s="410"/>
      <c r="T1028" s="410"/>
      <c r="U1028" s="410"/>
      <c r="V1028" s="410"/>
      <c r="W1028" s="410"/>
      <c r="X1028" s="410"/>
      <c r="Y1028" s="410"/>
    </row>
    <row r="1029" spans="1:25" x14ac:dyDescent="0.2">
      <c r="A1029" s="410"/>
      <c r="B1029" s="410"/>
      <c r="C1029" s="410"/>
      <c r="D1029" s="410"/>
      <c r="E1029" s="410"/>
      <c r="F1029" s="410"/>
      <c r="G1029" s="410"/>
      <c r="H1029" s="410"/>
      <c r="I1029" s="410"/>
      <c r="J1029" s="410"/>
      <c r="K1029" s="410"/>
      <c r="L1029" s="410"/>
      <c r="M1029" s="410"/>
      <c r="N1029" s="410"/>
      <c r="R1029" s="410"/>
      <c r="S1029" s="410"/>
      <c r="T1029" s="410"/>
      <c r="U1029" s="410"/>
      <c r="V1029" s="410"/>
      <c r="W1029" s="410"/>
      <c r="X1029" s="410"/>
      <c r="Y1029" s="410"/>
    </row>
    <row r="1030" spans="1:25" x14ac:dyDescent="0.2">
      <c r="A1030" s="410"/>
      <c r="B1030" s="410"/>
      <c r="C1030" s="410"/>
      <c r="D1030" s="410"/>
      <c r="E1030" s="410"/>
      <c r="F1030" s="410"/>
      <c r="G1030" s="410"/>
      <c r="H1030" s="410"/>
      <c r="I1030" s="410"/>
      <c r="J1030" s="410"/>
      <c r="K1030" s="410"/>
      <c r="L1030" s="410"/>
      <c r="M1030" s="410"/>
      <c r="N1030" s="410"/>
      <c r="R1030" s="410"/>
      <c r="S1030" s="410"/>
      <c r="T1030" s="410"/>
      <c r="U1030" s="410"/>
      <c r="V1030" s="410"/>
      <c r="W1030" s="410"/>
      <c r="X1030" s="410"/>
      <c r="Y1030" s="410"/>
    </row>
    <row r="1031" spans="1:25" x14ac:dyDescent="0.2">
      <c r="A1031" s="410"/>
      <c r="B1031" s="410"/>
      <c r="C1031" s="410"/>
      <c r="D1031" s="410"/>
      <c r="E1031" s="410"/>
      <c r="F1031" s="410"/>
      <c r="G1031" s="410"/>
      <c r="H1031" s="410"/>
      <c r="I1031" s="410"/>
      <c r="J1031" s="410"/>
      <c r="K1031" s="410"/>
      <c r="L1031" s="410"/>
      <c r="M1031" s="410"/>
      <c r="N1031" s="410"/>
      <c r="R1031" s="410"/>
      <c r="S1031" s="410"/>
      <c r="T1031" s="410"/>
      <c r="U1031" s="410"/>
      <c r="V1031" s="410"/>
      <c r="W1031" s="410"/>
      <c r="X1031" s="410"/>
      <c r="Y1031" s="410"/>
    </row>
    <row r="1032" spans="1:25" x14ac:dyDescent="0.2">
      <c r="A1032" s="410"/>
      <c r="B1032" s="410"/>
      <c r="C1032" s="410"/>
      <c r="D1032" s="410"/>
      <c r="E1032" s="410"/>
      <c r="F1032" s="410"/>
      <c r="G1032" s="410"/>
      <c r="H1032" s="410"/>
      <c r="I1032" s="410"/>
      <c r="J1032" s="410"/>
      <c r="K1032" s="410"/>
      <c r="L1032" s="410"/>
      <c r="M1032" s="410"/>
      <c r="N1032" s="410"/>
      <c r="R1032" s="410"/>
      <c r="S1032" s="410"/>
      <c r="T1032" s="410"/>
      <c r="U1032" s="410"/>
      <c r="V1032" s="410"/>
      <c r="W1032" s="410"/>
      <c r="X1032" s="410"/>
      <c r="Y1032" s="410"/>
    </row>
    <row r="1033" spans="1:25" x14ac:dyDescent="0.2">
      <c r="A1033" s="410"/>
      <c r="B1033" s="410"/>
      <c r="C1033" s="410"/>
      <c r="D1033" s="410"/>
      <c r="E1033" s="410"/>
      <c r="F1033" s="410"/>
      <c r="G1033" s="410"/>
      <c r="H1033" s="410"/>
      <c r="I1033" s="410"/>
      <c r="J1033" s="410"/>
      <c r="K1033" s="410"/>
      <c r="L1033" s="410"/>
      <c r="M1033" s="410"/>
      <c r="N1033" s="410"/>
      <c r="R1033" s="410"/>
      <c r="S1033" s="410"/>
      <c r="T1033" s="410"/>
      <c r="U1033" s="410"/>
      <c r="V1033" s="410"/>
      <c r="W1033" s="410"/>
      <c r="X1033" s="410"/>
      <c r="Y1033" s="410"/>
    </row>
    <row r="1034" spans="1:25" x14ac:dyDescent="0.2">
      <c r="A1034" s="410"/>
      <c r="B1034" s="410"/>
      <c r="C1034" s="410"/>
      <c r="D1034" s="410"/>
      <c r="E1034" s="410"/>
      <c r="F1034" s="410"/>
      <c r="G1034" s="410"/>
      <c r="H1034" s="410"/>
      <c r="I1034" s="410"/>
      <c r="J1034" s="410"/>
      <c r="K1034" s="410"/>
      <c r="L1034" s="410"/>
      <c r="M1034" s="410"/>
      <c r="N1034" s="410"/>
      <c r="R1034" s="410"/>
      <c r="S1034" s="410"/>
      <c r="T1034" s="410"/>
      <c r="U1034" s="410"/>
      <c r="V1034" s="410"/>
      <c r="W1034" s="410"/>
      <c r="X1034" s="410"/>
      <c r="Y1034" s="410"/>
    </row>
    <row r="1035" spans="1:25" x14ac:dyDescent="0.2">
      <c r="A1035" s="410"/>
      <c r="B1035" s="410"/>
      <c r="C1035" s="410"/>
      <c r="D1035" s="410"/>
      <c r="E1035" s="410"/>
      <c r="F1035" s="410"/>
      <c r="G1035" s="410"/>
      <c r="H1035" s="410"/>
      <c r="I1035" s="410"/>
      <c r="J1035" s="410"/>
      <c r="K1035" s="410"/>
      <c r="L1035" s="410"/>
      <c r="M1035" s="410"/>
      <c r="N1035" s="410"/>
      <c r="R1035" s="410"/>
      <c r="S1035" s="410"/>
      <c r="T1035" s="410"/>
      <c r="U1035" s="410"/>
      <c r="V1035" s="410"/>
      <c r="W1035" s="410"/>
      <c r="X1035" s="410"/>
      <c r="Y1035" s="410"/>
    </row>
    <row r="1036" spans="1:25" x14ac:dyDescent="0.2">
      <c r="A1036" s="410"/>
      <c r="B1036" s="410"/>
      <c r="C1036" s="410"/>
      <c r="D1036" s="410"/>
      <c r="E1036" s="410"/>
      <c r="F1036" s="410"/>
      <c r="G1036" s="410"/>
      <c r="H1036" s="410"/>
      <c r="I1036" s="410"/>
      <c r="J1036" s="410"/>
      <c r="K1036" s="410"/>
      <c r="L1036" s="410"/>
      <c r="M1036" s="410"/>
      <c r="N1036" s="410"/>
      <c r="R1036" s="410"/>
      <c r="S1036" s="410"/>
      <c r="T1036" s="410"/>
      <c r="U1036" s="410"/>
      <c r="V1036" s="410"/>
      <c r="W1036" s="410"/>
      <c r="X1036" s="410"/>
      <c r="Y1036" s="410"/>
    </row>
    <row r="1037" spans="1:25" x14ac:dyDescent="0.2">
      <c r="A1037" s="410"/>
      <c r="B1037" s="410"/>
      <c r="C1037" s="410"/>
      <c r="D1037" s="410"/>
      <c r="E1037" s="410"/>
      <c r="F1037" s="410"/>
      <c r="G1037" s="410"/>
      <c r="H1037" s="410"/>
      <c r="I1037" s="410"/>
      <c r="J1037" s="410"/>
      <c r="K1037" s="410"/>
      <c r="L1037" s="410"/>
      <c r="M1037" s="410"/>
      <c r="N1037" s="410"/>
      <c r="R1037" s="410"/>
      <c r="S1037" s="410"/>
      <c r="T1037" s="410"/>
      <c r="U1037" s="410"/>
      <c r="V1037" s="410"/>
      <c r="W1037" s="410"/>
      <c r="X1037" s="410"/>
      <c r="Y1037" s="410"/>
    </row>
    <row r="1038" spans="1:25" x14ac:dyDescent="0.2">
      <c r="A1038" s="410"/>
      <c r="B1038" s="410"/>
      <c r="C1038" s="410"/>
      <c r="D1038" s="410"/>
      <c r="E1038" s="410"/>
      <c r="F1038" s="410"/>
      <c r="G1038" s="410"/>
      <c r="H1038" s="410"/>
      <c r="I1038" s="410"/>
      <c r="J1038" s="410"/>
      <c r="K1038" s="410"/>
      <c r="L1038" s="410"/>
      <c r="M1038" s="410"/>
      <c r="N1038" s="410"/>
      <c r="R1038" s="410"/>
      <c r="S1038" s="410"/>
      <c r="T1038" s="410"/>
      <c r="U1038" s="410"/>
      <c r="V1038" s="410"/>
      <c r="W1038" s="410"/>
      <c r="X1038" s="410"/>
      <c r="Y1038" s="410"/>
    </row>
    <row r="1039" spans="1:25" x14ac:dyDescent="0.2">
      <c r="A1039" s="410"/>
      <c r="B1039" s="410"/>
      <c r="C1039" s="410"/>
      <c r="D1039" s="410"/>
      <c r="E1039" s="410"/>
      <c r="F1039" s="410"/>
      <c r="G1039" s="410"/>
      <c r="H1039" s="410"/>
      <c r="I1039" s="410"/>
      <c r="J1039" s="410"/>
      <c r="K1039" s="410"/>
      <c r="L1039" s="410"/>
      <c r="M1039" s="410"/>
      <c r="N1039" s="410"/>
      <c r="R1039" s="410"/>
      <c r="S1039" s="410"/>
      <c r="T1039" s="410"/>
      <c r="U1039" s="410"/>
      <c r="V1039" s="410"/>
      <c r="W1039" s="410"/>
      <c r="X1039" s="410"/>
      <c r="Y1039" s="410"/>
    </row>
    <row r="1040" spans="1:25" x14ac:dyDescent="0.2">
      <c r="A1040" s="410"/>
      <c r="B1040" s="410"/>
      <c r="C1040" s="410"/>
      <c r="D1040" s="410"/>
      <c r="E1040" s="410"/>
      <c r="F1040" s="410"/>
      <c r="G1040" s="410"/>
      <c r="H1040" s="410"/>
      <c r="I1040" s="410"/>
      <c r="J1040" s="410"/>
      <c r="K1040" s="410"/>
      <c r="L1040" s="410"/>
      <c r="M1040" s="410"/>
      <c r="N1040" s="410"/>
      <c r="R1040" s="410"/>
      <c r="S1040" s="410"/>
      <c r="T1040" s="410"/>
      <c r="U1040" s="410"/>
      <c r="V1040" s="410"/>
      <c r="W1040" s="410"/>
      <c r="X1040" s="410"/>
      <c r="Y1040" s="410"/>
    </row>
    <row r="1041" spans="1:25" x14ac:dyDescent="0.2">
      <c r="A1041" s="410"/>
      <c r="B1041" s="410"/>
      <c r="C1041" s="410"/>
      <c r="D1041" s="410"/>
      <c r="E1041" s="410"/>
      <c r="F1041" s="410"/>
      <c r="G1041" s="410"/>
      <c r="H1041" s="410"/>
      <c r="I1041" s="410"/>
      <c r="J1041" s="410"/>
      <c r="K1041" s="410"/>
      <c r="L1041" s="410"/>
      <c r="M1041" s="410"/>
      <c r="N1041" s="410"/>
      <c r="R1041" s="410"/>
      <c r="S1041" s="410"/>
      <c r="T1041" s="410"/>
      <c r="U1041" s="410"/>
      <c r="V1041" s="410"/>
      <c r="W1041" s="410"/>
      <c r="X1041" s="410"/>
      <c r="Y1041" s="410"/>
    </row>
    <row r="1042" spans="1:25" x14ac:dyDescent="0.2">
      <c r="A1042" s="410"/>
      <c r="B1042" s="410"/>
      <c r="C1042" s="410"/>
      <c r="D1042" s="410"/>
      <c r="E1042" s="410"/>
      <c r="F1042" s="410"/>
      <c r="G1042" s="410"/>
      <c r="H1042" s="410"/>
      <c r="I1042" s="410"/>
      <c r="J1042" s="410"/>
      <c r="K1042" s="410"/>
      <c r="L1042" s="410"/>
      <c r="M1042" s="410"/>
      <c r="N1042" s="410"/>
      <c r="R1042" s="410"/>
      <c r="S1042" s="410"/>
      <c r="T1042" s="410"/>
      <c r="U1042" s="410"/>
      <c r="V1042" s="410"/>
      <c r="W1042" s="410"/>
      <c r="X1042" s="410"/>
      <c r="Y1042" s="410"/>
    </row>
    <row r="1043" spans="1:25" x14ac:dyDescent="0.2">
      <c r="A1043" s="410"/>
      <c r="B1043" s="410"/>
      <c r="C1043" s="410"/>
      <c r="D1043" s="410"/>
      <c r="E1043" s="410"/>
      <c r="F1043" s="410"/>
      <c r="G1043" s="410"/>
      <c r="H1043" s="410"/>
      <c r="I1043" s="410"/>
      <c r="J1043" s="410"/>
      <c r="K1043" s="410"/>
      <c r="L1043" s="410"/>
      <c r="M1043" s="410"/>
      <c r="N1043" s="410"/>
      <c r="R1043" s="410"/>
      <c r="S1043" s="410"/>
      <c r="T1043" s="410"/>
      <c r="U1043" s="410"/>
      <c r="V1043" s="410"/>
      <c r="W1043" s="410"/>
      <c r="X1043" s="410"/>
      <c r="Y1043" s="410"/>
    </row>
    <row r="1044" spans="1:25" x14ac:dyDescent="0.2">
      <c r="A1044" s="410"/>
      <c r="B1044" s="410"/>
      <c r="C1044" s="410"/>
      <c r="D1044" s="410"/>
      <c r="E1044" s="410"/>
      <c r="F1044" s="410"/>
      <c r="G1044" s="410"/>
      <c r="H1044" s="410"/>
      <c r="I1044" s="410"/>
      <c r="J1044" s="410"/>
      <c r="K1044" s="410"/>
      <c r="L1044" s="410"/>
      <c r="M1044" s="410"/>
      <c r="N1044" s="410"/>
      <c r="R1044" s="410"/>
      <c r="S1044" s="410"/>
      <c r="T1044" s="410"/>
      <c r="U1044" s="410"/>
      <c r="V1044" s="410"/>
      <c r="W1044" s="410"/>
      <c r="X1044" s="410"/>
      <c r="Y1044" s="410"/>
    </row>
    <row r="1045" spans="1:25" x14ac:dyDescent="0.2">
      <c r="A1045" s="410"/>
      <c r="B1045" s="410"/>
      <c r="C1045" s="410"/>
      <c r="D1045" s="410"/>
      <c r="E1045" s="410"/>
      <c r="F1045" s="410"/>
      <c r="G1045" s="410"/>
      <c r="H1045" s="410"/>
      <c r="I1045" s="410"/>
      <c r="J1045" s="410"/>
      <c r="K1045" s="410"/>
      <c r="L1045" s="410"/>
      <c r="M1045" s="410"/>
      <c r="N1045" s="410"/>
      <c r="R1045" s="410"/>
      <c r="S1045" s="410"/>
      <c r="T1045" s="410"/>
      <c r="U1045" s="410"/>
      <c r="V1045" s="410"/>
      <c r="W1045" s="410"/>
      <c r="X1045" s="410"/>
      <c r="Y1045" s="410"/>
    </row>
    <row r="1046" spans="1:25" x14ac:dyDescent="0.2">
      <c r="A1046" s="410"/>
      <c r="B1046" s="410"/>
      <c r="C1046" s="410"/>
      <c r="D1046" s="410"/>
      <c r="E1046" s="410"/>
      <c r="F1046" s="410"/>
      <c r="G1046" s="410"/>
      <c r="H1046" s="410"/>
      <c r="I1046" s="410"/>
      <c r="J1046" s="410"/>
      <c r="K1046" s="410"/>
      <c r="L1046" s="410"/>
      <c r="M1046" s="410"/>
      <c r="N1046" s="410"/>
      <c r="R1046" s="410"/>
      <c r="S1046" s="410"/>
      <c r="T1046" s="410"/>
      <c r="U1046" s="410"/>
      <c r="V1046" s="410"/>
      <c r="W1046" s="410"/>
      <c r="X1046" s="410"/>
      <c r="Y1046" s="410"/>
    </row>
    <row r="1047" spans="1:25" x14ac:dyDescent="0.2">
      <c r="A1047" s="410"/>
      <c r="B1047" s="410"/>
      <c r="C1047" s="410"/>
      <c r="D1047" s="410"/>
      <c r="E1047" s="410"/>
      <c r="F1047" s="410"/>
      <c r="G1047" s="410"/>
      <c r="H1047" s="410"/>
      <c r="I1047" s="410"/>
      <c r="J1047" s="410"/>
      <c r="K1047" s="410"/>
      <c r="L1047" s="410"/>
      <c r="M1047" s="410"/>
      <c r="N1047" s="410"/>
      <c r="R1047" s="410"/>
      <c r="S1047" s="410"/>
      <c r="T1047" s="410"/>
      <c r="U1047" s="410"/>
      <c r="V1047" s="410"/>
      <c r="W1047" s="410"/>
      <c r="X1047" s="410"/>
      <c r="Y1047" s="410"/>
    </row>
    <row r="1048" spans="1:25" x14ac:dyDescent="0.2">
      <c r="A1048" s="410"/>
      <c r="B1048" s="410"/>
      <c r="C1048" s="410"/>
      <c r="D1048" s="410"/>
      <c r="E1048" s="410"/>
      <c r="F1048" s="410"/>
      <c r="G1048" s="410"/>
      <c r="H1048" s="410"/>
      <c r="I1048" s="410"/>
      <c r="J1048" s="410"/>
      <c r="K1048" s="410"/>
      <c r="L1048" s="410"/>
      <c r="M1048" s="410"/>
      <c r="N1048" s="410"/>
      <c r="R1048" s="410"/>
      <c r="S1048" s="410"/>
      <c r="T1048" s="410"/>
      <c r="U1048" s="410"/>
      <c r="V1048" s="410"/>
      <c r="W1048" s="410"/>
      <c r="X1048" s="410"/>
      <c r="Y1048" s="410"/>
    </row>
    <row r="1049" spans="1:25" x14ac:dyDescent="0.2">
      <c r="A1049" s="410"/>
      <c r="B1049" s="410"/>
      <c r="C1049" s="410"/>
      <c r="D1049" s="410"/>
      <c r="E1049" s="410"/>
      <c r="F1049" s="410"/>
      <c r="G1049" s="410"/>
      <c r="H1049" s="410"/>
      <c r="I1049" s="410"/>
      <c r="J1049" s="410"/>
      <c r="K1049" s="410"/>
      <c r="L1049" s="410"/>
      <c r="M1049" s="410"/>
      <c r="N1049" s="410"/>
      <c r="R1049" s="410"/>
      <c r="S1049" s="410"/>
      <c r="T1049" s="410"/>
      <c r="U1049" s="410"/>
      <c r="V1049" s="410"/>
      <c r="W1049" s="410"/>
      <c r="X1049" s="410"/>
      <c r="Y1049" s="410"/>
    </row>
    <row r="1050" spans="1:25" x14ac:dyDescent="0.2">
      <c r="A1050" s="410"/>
      <c r="B1050" s="410"/>
      <c r="C1050" s="410"/>
      <c r="D1050" s="410"/>
      <c r="E1050" s="410"/>
      <c r="F1050" s="410"/>
      <c r="G1050" s="410"/>
      <c r="H1050" s="410"/>
      <c r="I1050" s="410"/>
      <c r="J1050" s="410"/>
      <c r="K1050" s="410"/>
      <c r="L1050" s="410"/>
      <c r="M1050" s="410"/>
      <c r="N1050" s="410"/>
      <c r="R1050" s="410"/>
      <c r="S1050" s="410"/>
      <c r="T1050" s="410"/>
      <c r="U1050" s="410"/>
      <c r="V1050" s="410"/>
      <c r="W1050" s="410"/>
      <c r="X1050" s="410"/>
      <c r="Y1050" s="410"/>
    </row>
    <row r="1051" spans="1:25" x14ac:dyDescent="0.2">
      <c r="A1051" s="410"/>
      <c r="B1051" s="410"/>
      <c r="C1051" s="410"/>
      <c r="D1051" s="410"/>
      <c r="E1051" s="410"/>
      <c r="F1051" s="410"/>
      <c r="G1051" s="410"/>
      <c r="H1051" s="410"/>
      <c r="I1051" s="410"/>
      <c r="J1051" s="410"/>
      <c r="K1051" s="410"/>
      <c r="L1051" s="410"/>
      <c r="M1051" s="410"/>
      <c r="N1051" s="410"/>
      <c r="R1051" s="410"/>
      <c r="S1051" s="410"/>
      <c r="T1051" s="410"/>
      <c r="U1051" s="410"/>
      <c r="V1051" s="410"/>
      <c r="W1051" s="410"/>
      <c r="X1051" s="410"/>
      <c r="Y1051" s="410"/>
    </row>
    <row r="1052" spans="1:25" x14ac:dyDescent="0.2">
      <c r="A1052" s="410"/>
      <c r="B1052" s="410"/>
      <c r="C1052" s="410"/>
      <c r="D1052" s="410"/>
      <c r="E1052" s="410"/>
      <c r="F1052" s="410"/>
      <c r="G1052" s="410"/>
      <c r="H1052" s="410"/>
      <c r="I1052" s="410"/>
      <c r="J1052" s="410"/>
      <c r="K1052" s="410"/>
      <c r="L1052" s="410"/>
      <c r="M1052" s="410"/>
      <c r="N1052" s="410"/>
      <c r="R1052" s="410"/>
      <c r="S1052" s="410"/>
      <c r="T1052" s="410"/>
      <c r="U1052" s="410"/>
      <c r="V1052" s="410"/>
      <c r="W1052" s="410"/>
      <c r="X1052" s="410"/>
      <c r="Y1052" s="410"/>
    </row>
    <row r="1053" spans="1:25" x14ac:dyDescent="0.2">
      <c r="A1053" s="410"/>
      <c r="B1053" s="410"/>
      <c r="C1053" s="410"/>
      <c r="D1053" s="410"/>
      <c r="E1053" s="410"/>
      <c r="F1053" s="410"/>
      <c r="G1053" s="410"/>
      <c r="H1053" s="410"/>
      <c r="I1053" s="410"/>
      <c r="J1053" s="410"/>
      <c r="K1053" s="410"/>
      <c r="L1053" s="410"/>
      <c r="M1053" s="410"/>
      <c r="N1053" s="410"/>
      <c r="R1053" s="410"/>
      <c r="S1053" s="410"/>
      <c r="T1053" s="410"/>
      <c r="U1053" s="410"/>
      <c r="V1053" s="410"/>
      <c r="W1053" s="410"/>
      <c r="X1053" s="410"/>
      <c r="Y1053" s="410"/>
    </row>
    <row r="1054" spans="1:25" x14ac:dyDescent="0.2">
      <c r="A1054" s="410"/>
      <c r="B1054" s="410"/>
      <c r="C1054" s="410"/>
      <c r="D1054" s="410"/>
      <c r="E1054" s="410"/>
      <c r="F1054" s="410"/>
      <c r="G1054" s="410"/>
      <c r="H1054" s="410"/>
      <c r="I1054" s="410"/>
      <c r="J1054" s="410"/>
      <c r="K1054" s="410"/>
      <c r="L1054" s="410"/>
      <c r="M1054" s="410"/>
      <c r="N1054" s="410"/>
      <c r="R1054" s="410"/>
      <c r="S1054" s="410"/>
      <c r="T1054" s="410"/>
      <c r="U1054" s="410"/>
      <c r="V1054" s="410"/>
      <c r="W1054" s="410"/>
      <c r="X1054" s="410"/>
      <c r="Y1054" s="410"/>
    </row>
    <row r="1055" spans="1:25" x14ac:dyDescent="0.2">
      <c r="A1055" s="410"/>
      <c r="B1055" s="410"/>
      <c r="C1055" s="410"/>
      <c r="D1055" s="410"/>
      <c r="E1055" s="410"/>
      <c r="F1055" s="410"/>
      <c r="G1055" s="410"/>
      <c r="H1055" s="410"/>
      <c r="I1055" s="410"/>
      <c r="J1055" s="410"/>
      <c r="K1055" s="410"/>
      <c r="L1055" s="410"/>
      <c r="M1055" s="410"/>
      <c r="N1055" s="410"/>
      <c r="R1055" s="410"/>
      <c r="S1055" s="410"/>
      <c r="T1055" s="410"/>
      <c r="U1055" s="410"/>
      <c r="V1055" s="410"/>
      <c r="W1055" s="410"/>
      <c r="X1055" s="410"/>
      <c r="Y1055" s="410"/>
    </row>
    <row r="1056" spans="1:25" x14ac:dyDescent="0.2">
      <c r="A1056" s="410"/>
      <c r="B1056" s="410"/>
      <c r="C1056" s="410"/>
      <c r="D1056" s="410"/>
      <c r="E1056" s="410"/>
      <c r="F1056" s="410"/>
      <c r="G1056" s="410"/>
      <c r="H1056" s="410"/>
      <c r="I1056" s="410"/>
      <c r="J1056" s="410"/>
      <c r="K1056" s="410"/>
      <c r="L1056" s="410"/>
      <c r="M1056" s="410"/>
      <c r="N1056" s="410"/>
      <c r="R1056" s="410"/>
      <c r="S1056" s="410"/>
      <c r="T1056" s="410"/>
      <c r="U1056" s="410"/>
      <c r="V1056" s="410"/>
      <c r="W1056" s="410"/>
      <c r="X1056" s="410"/>
      <c r="Y1056" s="410"/>
    </row>
    <row r="1057" spans="1:25" x14ac:dyDescent="0.2">
      <c r="A1057" s="410"/>
      <c r="B1057" s="410"/>
      <c r="C1057" s="410"/>
      <c r="D1057" s="410"/>
      <c r="E1057" s="410"/>
      <c r="F1057" s="410"/>
      <c r="G1057" s="410"/>
      <c r="H1057" s="410"/>
      <c r="I1057" s="410"/>
      <c r="J1057" s="410"/>
      <c r="K1057" s="410"/>
      <c r="L1057" s="410"/>
      <c r="M1057" s="410"/>
      <c r="N1057" s="410"/>
      <c r="R1057" s="410"/>
      <c r="S1057" s="410"/>
      <c r="T1057" s="410"/>
      <c r="U1057" s="410"/>
      <c r="V1057" s="410"/>
      <c r="W1057" s="410"/>
      <c r="X1057" s="410"/>
      <c r="Y1057" s="410"/>
    </row>
    <row r="1058" spans="1:25" x14ac:dyDescent="0.2">
      <c r="A1058" s="410"/>
      <c r="B1058" s="410"/>
      <c r="C1058" s="410"/>
      <c r="D1058" s="410"/>
      <c r="E1058" s="410"/>
      <c r="F1058" s="410"/>
      <c r="G1058" s="410"/>
      <c r="H1058" s="410"/>
      <c r="I1058" s="410"/>
      <c r="J1058" s="410"/>
      <c r="K1058" s="410"/>
      <c r="L1058" s="410"/>
      <c r="M1058" s="410"/>
      <c r="N1058" s="410"/>
      <c r="R1058" s="410"/>
      <c r="S1058" s="410"/>
      <c r="T1058" s="410"/>
      <c r="U1058" s="410"/>
      <c r="V1058" s="410"/>
      <c r="W1058" s="410"/>
      <c r="X1058" s="410"/>
      <c r="Y1058" s="410"/>
    </row>
    <row r="1059" spans="1:25" x14ac:dyDescent="0.2">
      <c r="A1059" s="410"/>
      <c r="B1059" s="410"/>
      <c r="C1059" s="410"/>
      <c r="D1059" s="410"/>
      <c r="E1059" s="410"/>
      <c r="F1059" s="410"/>
      <c r="G1059" s="410"/>
      <c r="H1059" s="410"/>
      <c r="I1059" s="410"/>
      <c r="J1059" s="410"/>
      <c r="K1059" s="410"/>
      <c r="L1059" s="410"/>
      <c r="M1059" s="410"/>
      <c r="N1059" s="410"/>
      <c r="R1059" s="410"/>
      <c r="S1059" s="410"/>
      <c r="T1059" s="410"/>
      <c r="U1059" s="410"/>
      <c r="V1059" s="410"/>
      <c r="W1059" s="410"/>
      <c r="X1059" s="410"/>
      <c r="Y1059" s="410"/>
    </row>
    <row r="1060" spans="1:25" x14ac:dyDescent="0.2">
      <c r="A1060" s="410"/>
      <c r="B1060" s="410"/>
      <c r="C1060" s="410"/>
      <c r="D1060" s="410"/>
      <c r="E1060" s="410"/>
      <c r="F1060" s="410"/>
      <c r="G1060" s="410"/>
      <c r="H1060" s="410"/>
      <c r="I1060" s="410"/>
      <c r="J1060" s="410"/>
      <c r="K1060" s="410"/>
      <c r="L1060" s="410"/>
      <c r="M1060" s="410"/>
      <c r="N1060" s="410"/>
      <c r="R1060" s="410"/>
      <c r="S1060" s="410"/>
      <c r="T1060" s="410"/>
      <c r="U1060" s="410"/>
      <c r="V1060" s="410"/>
      <c r="W1060" s="410"/>
      <c r="X1060" s="410"/>
      <c r="Y1060" s="410"/>
    </row>
    <row r="1061" spans="1:25" x14ac:dyDescent="0.2">
      <c r="A1061" s="410"/>
      <c r="B1061" s="410"/>
      <c r="C1061" s="410"/>
      <c r="D1061" s="410"/>
      <c r="E1061" s="410"/>
      <c r="F1061" s="410"/>
      <c r="G1061" s="410"/>
      <c r="H1061" s="410"/>
      <c r="I1061" s="410"/>
      <c r="J1061" s="410"/>
      <c r="K1061" s="410"/>
      <c r="L1061" s="410"/>
      <c r="M1061" s="410"/>
      <c r="N1061" s="410"/>
      <c r="R1061" s="410"/>
      <c r="S1061" s="410"/>
      <c r="T1061" s="410"/>
      <c r="U1061" s="410"/>
      <c r="V1061" s="410"/>
      <c r="W1061" s="410"/>
      <c r="X1061" s="410"/>
      <c r="Y1061" s="410"/>
    </row>
    <row r="1062" spans="1:25" x14ac:dyDescent="0.2">
      <c r="A1062" s="410"/>
      <c r="B1062" s="410"/>
      <c r="C1062" s="410"/>
      <c r="D1062" s="410"/>
      <c r="E1062" s="410"/>
      <c r="F1062" s="410"/>
      <c r="G1062" s="410"/>
      <c r="H1062" s="410"/>
      <c r="I1062" s="410"/>
      <c r="J1062" s="410"/>
      <c r="K1062" s="410"/>
      <c r="L1062" s="410"/>
      <c r="M1062" s="410"/>
      <c r="N1062" s="410"/>
      <c r="R1062" s="410"/>
      <c r="S1062" s="410"/>
      <c r="T1062" s="410"/>
      <c r="U1062" s="410"/>
      <c r="V1062" s="410"/>
      <c r="W1062" s="410"/>
      <c r="X1062" s="410"/>
      <c r="Y1062" s="410"/>
    </row>
    <row r="1063" spans="1:25" x14ac:dyDescent="0.2">
      <c r="A1063" s="410"/>
      <c r="B1063" s="410"/>
      <c r="C1063" s="410"/>
      <c r="D1063" s="410"/>
      <c r="E1063" s="410"/>
      <c r="F1063" s="410"/>
      <c r="G1063" s="410"/>
      <c r="H1063" s="410"/>
      <c r="I1063" s="410"/>
      <c r="J1063" s="410"/>
      <c r="K1063" s="410"/>
      <c r="L1063" s="410"/>
      <c r="M1063" s="410"/>
      <c r="N1063" s="410"/>
      <c r="R1063" s="410"/>
      <c r="S1063" s="410"/>
      <c r="T1063" s="410"/>
      <c r="U1063" s="410"/>
      <c r="V1063" s="410"/>
      <c r="W1063" s="410"/>
      <c r="X1063" s="410"/>
      <c r="Y1063" s="410"/>
    </row>
    <row r="1064" spans="1:25" x14ac:dyDescent="0.2">
      <c r="A1064" s="410"/>
      <c r="B1064" s="410"/>
      <c r="C1064" s="410"/>
      <c r="D1064" s="410"/>
      <c r="E1064" s="410"/>
      <c r="F1064" s="410"/>
      <c r="G1064" s="410"/>
      <c r="H1064" s="410"/>
      <c r="I1064" s="410"/>
      <c r="J1064" s="410"/>
      <c r="K1064" s="410"/>
      <c r="L1064" s="410"/>
      <c r="M1064" s="410"/>
      <c r="N1064" s="410"/>
      <c r="R1064" s="410"/>
      <c r="S1064" s="410"/>
      <c r="T1064" s="410"/>
      <c r="U1064" s="410"/>
      <c r="V1064" s="410"/>
      <c r="W1064" s="410"/>
      <c r="X1064" s="410"/>
      <c r="Y1064" s="410"/>
    </row>
    <row r="1065" spans="1:25" x14ac:dyDescent="0.2">
      <c r="A1065" s="410"/>
      <c r="B1065" s="410"/>
      <c r="C1065" s="410"/>
      <c r="D1065" s="410"/>
      <c r="E1065" s="410"/>
      <c r="F1065" s="410"/>
      <c r="G1065" s="410"/>
      <c r="H1065" s="410"/>
      <c r="I1065" s="410"/>
      <c r="J1065" s="410"/>
      <c r="K1065" s="410"/>
      <c r="L1065" s="410"/>
      <c r="M1065" s="410"/>
      <c r="N1065" s="410"/>
      <c r="R1065" s="410"/>
      <c r="S1065" s="410"/>
      <c r="T1065" s="410"/>
      <c r="U1065" s="410"/>
      <c r="V1065" s="410"/>
      <c r="W1065" s="410"/>
      <c r="X1065" s="410"/>
      <c r="Y1065" s="410"/>
    </row>
    <row r="1066" spans="1:25" x14ac:dyDescent="0.2">
      <c r="A1066" s="410"/>
      <c r="B1066" s="410"/>
      <c r="C1066" s="410"/>
      <c r="D1066" s="410"/>
      <c r="E1066" s="410"/>
      <c r="F1066" s="410"/>
      <c r="G1066" s="410"/>
      <c r="H1066" s="410"/>
      <c r="I1066" s="410"/>
      <c r="J1066" s="410"/>
      <c r="K1066" s="410"/>
      <c r="L1066" s="410"/>
      <c r="M1066" s="410"/>
      <c r="N1066" s="410"/>
      <c r="R1066" s="410"/>
      <c r="S1066" s="410"/>
      <c r="T1066" s="410"/>
      <c r="U1066" s="410"/>
      <c r="V1066" s="410"/>
      <c r="W1066" s="410"/>
      <c r="X1066" s="410"/>
      <c r="Y1066" s="410"/>
    </row>
    <row r="1067" spans="1:25" x14ac:dyDescent="0.2">
      <c r="A1067" s="410"/>
      <c r="B1067" s="410"/>
      <c r="C1067" s="410"/>
      <c r="D1067" s="410"/>
      <c r="E1067" s="410"/>
      <c r="F1067" s="410"/>
      <c r="G1067" s="410"/>
      <c r="H1067" s="410"/>
      <c r="I1067" s="410"/>
      <c r="J1067" s="410"/>
      <c r="K1067" s="410"/>
      <c r="L1067" s="410"/>
      <c r="M1067" s="410"/>
      <c r="N1067" s="410"/>
      <c r="R1067" s="410"/>
      <c r="S1067" s="410"/>
      <c r="T1067" s="410"/>
      <c r="U1067" s="410"/>
      <c r="V1067" s="410"/>
      <c r="W1067" s="410"/>
      <c r="X1067" s="410"/>
      <c r="Y1067" s="410"/>
    </row>
    <row r="1068" spans="1:25" x14ac:dyDescent="0.2">
      <c r="A1068" s="410"/>
      <c r="B1068" s="410"/>
      <c r="C1068" s="410"/>
      <c r="D1068" s="410"/>
      <c r="E1068" s="410"/>
      <c r="F1068" s="410"/>
      <c r="G1068" s="410"/>
      <c r="H1068" s="410"/>
      <c r="I1068" s="410"/>
      <c r="J1068" s="410"/>
      <c r="K1068" s="410"/>
      <c r="L1068" s="410"/>
      <c r="M1068" s="410"/>
      <c r="N1068" s="410"/>
      <c r="R1068" s="410"/>
      <c r="S1068" s="410"/>
      <c r="T1068" s="410"/>
      <c r="U1068" s="410"/>
      <c r="V1068" s="410"/>
      <c r="W1068" s="410"/>
      <c r="X1068" s="410"/>
      <c r="Y1068" s="410"/>
    </row>
    <row r="1069" spans="1:25" x14ac:dyDescent="0.2">
      <c r="A1069" s="410"/>
      <c r="B1069" s="410"/>
      <c r="C1069" s="410"/>
      <c r="D1069" s="410"/>
      <c r="E1069" s="410"/>
      <c r="F1069" s="410"/>
      <c r="G1069" s="410"/>
      <c r="H1069" s="410"/>
      <c r="I1069" s="410"/>
      <c r="J1069" s="410"/>
      <c r="K1069" s="410"/>
      <c r="L1069" s="410"/>
      <c r="M1069" s="410"/>
      <c r="N1069" s="410"/>
      <c r="R1069" s="410"/>
      <c r="S1069" s="410"/>
      <c r="T1069" s="410"/>
      <c r="U1069" s="410"/>
      <c r="V1069" s="410"/>
      <c r="W1069" s="410"/>
      <c r="X1069" s="410"/>
      <c r="Y1069" s="410"/>
    </row>
    <row r="1070" spans="1:25" x14ac:dyDescent="0.2">
      <c r="A1070" s="410"/>
      <c r="B1070" s="410"/>
      <c r="C1070" s="410"/>
      <c r="D1070" s="410"/>
      <c r="E1070" s="410"/>
      <c r="F1070" s="410"/>
      <c r="G1070" s="410"/>
      <c r="H1070" s="410"/>
      <c r="I1070" s="410"/>
      <c r="J1070" s="410"/>
      <c r="K1070" s="410"/>
      <c r="L1070" s="410"/>
      <c r="M1070" s="410"/>
      <c r="N1070" s="410"/>
      <c r="R1070" s="410"/>
      <c r="S1070" s="410"/>
      <c r="T1070" s="410"/>
      <c r="U1070" s="410"/>
      <c r="V1070" s="410"/>
      <c r="W1070" s="410"/>
      <c r="X1070" s="410"/>
      <c r="Y1070" s="410"/>
    </row>
    <row r="1071" spans="1:25" x14ac:dyDescent="0.2">
      <c r="A1071" s="410"/>
      <c r="B1071" s="410"/>
      <c r="C1071" s="410"/>
      <c r="D1071" s="410"/>
      <c r="E1071" s="410"/>
      <c r="F1071" s="410"/>
      <c r="G1071" s="410"/>
      <c r="H1071" s="410"/>
      <c r="I1071" s="410"/>
      <c r="J1071" s="410"/>
      <c r="K1071" s="410"/>
      <c r="L1071" s="410"/>
      <c r="M1071" s="410"/>
      <c r="N1071" s="410"/>
      <c r="R1071" s="410"/>
      <c r="S1071" s="410"/>
      <c r="T1071" s="410"/>
      <c r="U1071" s="410"/>
      <c r="V1071" s="410"/>
      <c r="W1071" s="410"/>
      <c r="X1071" s="410"/>
      <c r="Y1071" s="410"/>
    </row>
    <row r="1072" spans="1:25" x14ac:dyDescent="0.2">
      <c r="A1072" s="410"/>
      <c r="B1072" s="410"/>
      <c r="C1072" s="410"/>
      <c r="D1072" s="410"/>
      <c r="E1072" s="410"/>
      <c r="F1072" s="410"/>
      <c r="G1072" s="410"/>
      <c r="H1072" s="410"/>
      <c r="I1072" s="410"/>
      <c r="J1072" s="410"/>
      <c r="K1072" s="410"/>
      <c r="L1072" s="410"/>
      <c r="M1072" s="410"/>
      <c r="N1072" s="410"/>
      <c r="R1072" s="410"/>
      <c r="S1072" s="410"/>
      <c r="T1072" s="410"/>
      <c r="U1072" s="410"/>
      <c r="V1072" s="410"/>
      <c r="W1072" s="410"/>
      <c r="X1072" s="410"/>
      <c r="Y1072" s="410"/>
    </row>
    <row r="1073" spans="1:25" x14ac:dyDescent="0.2">
      <c r="A1073" s="410"/>
      <c r="B1073" s="410"/>
      <c r="C1073" s="410"/>
      <c r="D1073" s="410"/>
      <c r="E1073" s="410"/>
      <c r="F1073" s="410"/>
      <c r="G1073" s="410"/>
      <c r="H1073" s="410"/>
      <c r="I1073" s="410"/>
      <c r="J1073" s="410"/>
      <c r="K1073" s="410"/>
      <c r="L1073" s="410"/>
      <c r="M1073" s="410"/>
      <c r="N1073" s="410"/>
      <c r="R1073" s="410"/>
      <c r="S1073" s="410"/>
      <c r="T1073" s="410"/>
      <c r="U1073" s="410"/>
      <c r="V1073" s="410"/>
      <c r="W1073" s="410"/>
      <c r="X1073" s="410"/>
      <c r="Y1073" s="410"/>
    </row>
    <row r="1074" spans="1:25" x14ac:dyDescent="0.2">
      <c r="A1074" s="410"/>
      <c r="B1074" s="410"/>
      <c r="C1074" s="410"/>
      <c r="D1074" s="410"/>
      <c r="E1074" s="410"/>
      <c r="F1074" s="410"/>
      <c r="G1074" s="410"/>
      <c r="H1074" s="410"/>
      <c r="I1074" s="410"/>
      <c r="J1074" s="410"/>
      <c r="K1074" s="410"/>
      <c r="L1074" s="410"/>
      <c r="M1074" s="410"/>
      <c r="N1074" s="410"/>
      <c r="R1074" s="410"/>
      <c r="S1074" s="410"/>
      <c r="T1074" s="410"/>
      <c r="U1074" s="410"/>
      <c r="V1074" s="410"/>
      <c r="W1074" s="410"/>
      <c r="X1074" s="410"/>
      <c r="Y1074" s="410"/>
    </row>
    <row r="1075" spans="1:25" x14ac:dyDescent="0.2">
      <c r="A1075" s="410"/>
      <c r="B1075" s="410"/>
      <c r="C1075" s="410"/>
      <c r="D1075" s="410"/>
      <c r="E1075" s="410"/>
      <c r="F1075" s="410"/>
      <c r="G1075" s="410"/>
      <c r="H1075" s="410"/>
      <c r="I1075" s="410"/>
      <c r="J1075" s="410"/>
      <c r="K1075" s="410"/>
      <c r="L1075" s="410"/>
      <c r="M1075" s="410"/>
      <c r="N1075" s="410"/>
      <c r="R1075" s="410"/>
      <c r="S1075" s="410"/>
      <c r="T1075" s="410"/>
      <c r="U1075" s="410"/>
      <c r="V1075" s="410"/>
      <c r="W1075" s="410"/>
      <c r="X1075" s="410"/>
      <c r="Y1075" s="410"/>
    </row>
    <row r="1076" spans="1:25" x14ac:dyDescent="0.2">
      <c r="A1076" s="410"/>
      <c r="B1076" s="410"/>
      <c r="C1076" s="410"/>
      <c r="D1076" s="410"/>
      <c r="E1076" s="410"/>
      <c r="F1076" s="410"/>
      <c r="G1076" s="410"/>
      <c r="H1076" s="410"/>
      <c r="I1076" s="410"/>
      <c r="J1076" s="410"/>
      <c r="K1076" s="410"/>
      <c r="L1076" s="410"/>
      <c r="M1076" s="410"/>
      <c r="N1076" s="410"/>
      <c r="R1076" s="410"/>
      <c r="S1076" s="410"/>
      <c r="T1076" s="410"/>
      <c r="U1076" s="410"/>
      <c r="V1076" s="410"/>
      <c r="W1076" s="410"/>
      <c r="X1076" s="410"/>
      <c r="Y1076" s="410"/>
    </row>
    <row r="1077" spans="1:25" x14ac:dyDescent="0.2">
      <c r="A1077" s="410"/>
      <c r="B1077" s="410"/>
      <c r="C1077" s="410"/>
      <c r="D1077" s="410"/>
      <c r="E1077" s="410"/>
      <c r="F1077" s="410"/>
      <c r="G1077" s="410"/>
      <c r="H1077" s="410"/>
      <c r="I1077" s="410"/>
      <c r="J1077" s="410"/>
      <c r="K1077" s="410"/>
      <c r="L1077" s="410"/>
      <c r="M1077" s="410"/>
      <c r="N1077" s="410"/>
      <c r="R1077" s="410"/>
      <c r="S1077" s="410"/>
      <c r="T1077" s="410"/>
      <c r="U1077" s="410"/>
      <c r="V1077" s="410"/>
      <c r="W1077" s="410"/>
      <c r="X1077" s="410"/>
      <c r="Y1077" s="410"/>
    </row>
    <row r="1078" spans="1:25" x14ac:dyDescent="0.2">
      <c r="A1078" s="410"/>
      <c r="B1078" s="410"/>
      <c r="C1078" s="410"/>
      <c r="D1078" s="410"/>
      <c r="E1078" s="410"/>
      <c r="F1078" s="410"/>
      <c r="G1078" s="410"/>
      <c r="H1078" s="410"/>
      <c r="I1078" s="410"/>
      <c r="J1078" s="410"/>
      <c r="K1078" s="410"/>
      <c r="L1078" s="410"/>
      <c r="M1078" s="410"/>
      <c r="N1078" s="410"/>
      <c r="R1078" s="410"/>
      <c r="S1078" s="410"/>
      <c r="T1078" s="410"/>
      <c r="U1078" s="410"/>
      <c r="V1078" s="410"/>
      <c r="W1078" s="410"/>
      <c r="X1078" s="410"/>
      <c r="Y1078" s="410"/>
    </row>
    <row r="1079" spans="1:25" x14ac:dyDescent="0.2">
      <c r="A1079" s="410"/>
      <c r="B1079" s="410"/>
      <c r="C1079" s="410"/>
      <c r="D1079" s="410"/>
      <c r="E1079" s="410"/>
      <c r="F1079" s="410"/>
      <c r="G1079" s="410"/>
      <c r="H1079" s="410"/>
      <c r="I1079" s="410"/>
      <c r="J1079" s="410"/>
      <c r="K1079" s="410"/>
      <c r="L1079" s="410"/>
      <c r="M1079" s="410"/>
      <c r="N1079" s="410"/>
      <c r="R1079" s="410"/>
      <c r="S1079" s="410"/>
      <c r="T1079" s="410"/>
      <c r="U1079" s="410"/>
      <c r="V1079" s="410"/>
      <c r="W1079" s="410"/>
      <c r="X1079" s="410"/>
      <c r="Y1079" s="410"/>
    </row>
    <row r="1080" spans="1:25" x14ac:dyDescent="0.2">
      <c r="A1080" s="410"/>
      <c r="B1080" s="410"/>
      <c r="C1080" s="410"/>
      <c r="D1080" s="410"/>
      <c r="E1080" s="410"/>
      <c r="F1080" s="410"/>
      <c r="G1080" s="410"/>
      <c r="H1080" s="410"/>
      <c r="I1080" s="410"/>
      <c r="J1080" s="410"/>
      <c r="K1080" s="410"/>
      <c r="L1080" s="410"/>
      <c r="M1080" s="410"/>
      <c r="N1080" s="410"/>
      <c r="R1080" s="410"/>
      <c r="S1080" s="410"/>
      <c r="T1080" s="410"/>
      <c r="U1080" s="410"/>
      <c r="V1080" s="410"/>
      <c r="W1080" s="410"/>
      <c r="X1080" s="410"/>
      <c r="Y1080" s="410"/>
    </row>
    <row r="1081" spans="1:25" x14ac:dyDescent="0.2">
      <c r="A1081" s="410"/>
      <c r="B1081" s="410"/>
      <c r="C1081" s="410"/>
      <c r="D1081" s="410"/>
      <c r="E1081" s="410"/>
      <c r="F1081" s="410"/>
      <c r="G1081" s="410"/>
      <c r="H1081" s="410"/>
      <c r="I1081" s="410"/>
      <c r="J1081" s="410"/>
      <c r="K1081" s="410"/>
      <c r="L1081" s="410"/>
      <c r="M1081" s="410"/>
      <c r="N1081" s="410"/>
      <c r="R1081" s="410"/>
      <c r="S1081" s="410"/>
      <c r="T1081" s="410"/>
      <c r="U1081" s="410"/>
      <c r="V1081" s="410"/>
      <c r="W1081" s="410"/>
      <c r="X1081" s="410"/>
      <c r="Y1081" s="410"/>
    </row>
    <row r="1082" spans="1:25" x14ac:dyDescent="0.2">
      <c r="A1082" s="410"/>
      <c r="B1082" s="410"/>
      <c r="C1082" s="410"/>
      <c r="D1082" s="410"/>
      <c r="E1082" s="410"/>
      <c r="F1082" s="410"/>
      <c r="G1082" s="410"/>
      <c r="H1082" s="410"/>
      <c r="I1082" s="410"/>
      <c r="J1082" s="410"/>
      <c r="K1082" s="410"/>
      <c r="L1082" s="410"/>
      <c r="M1082" s="410"/>
      <c r="N1082" s="410"/>
      <c r="R1082" s="410"/>
      <c r="S1082" s="410"/>
      <c r="T1082" s="410"/>
      <c r="U1082" s="410"/>
      <c r="V1082" s="410"/>
      <c r="W1082" s="410"/>
      <c r="X1082" s="410"/>
      <c r="Y1082" s="410"/>
    </row>
    <row r="1083" spans="1:25" x14ac:dyDescent="0.2">
      <c r="A1083" s="410"/>
      <c r="B1083" s="410"/>
      <c r="C1083" s="410"/>
      <c r="D1083" s="410"/>
      <c r="E1083" s="410"/>
      <c r="F1083" s="410"/>
      <c r="G1083" s="410"/>
      <c r="H1083" s="410"/>
      <c r="I1083" s="410"/>
      <c r="J1083" s="410"/>
      <c r="K1083" s="410"/>
      <c r="L1083" s="410"/>
      <c r="M1083" s="410"/>
      <c r="N1083" s="410"/>
      <c r="R1083" s="410"/>
      <c r="S1083" s="410"/>
      <c r="T1083" s="410"/>
      <c r="U1083" s="410"/>
      <c r="V1083" s="410"/>
      <c r="W1083" s="410"/>
      <c r="X1083" s="410"/>
      <c r="Y1083" s="410"/>
    </row>
    <row r="1084" spans="1:25" x14ac:dyDescent="0.2">
      <c r="A1084" s="410"/>
      <c r="B1084" s="410"/>
      <c r="C1084" s="410"/>
      <c r="D1084" s="410"/>
      <c r="E1084" s="410"/>
      <c r="F1084" s="410"/>
      <c r="G1084" s="410"/>
      <c r="H1084" s="410"/>
      <c r="I1084" s="410"/>
      <c r="J1084" s="410"/>
      <c r="K1084" s="410"/>
      <c r="L1084" s="410"/>
      <c r="M1084" s="410"/>
      <c r="N1084" s="410"/>
      <c r="R1084" s="410"/>
      <c r="S1084" s="410"/>
      <c r="T1084" s="410"/>
      <c r="U1084" s="410"/>
      <c r="V1084" s="410"/>
      <c r="W1084" s="410"/>
      <c r="X1084" s="410"/>
      <c r="Y1084" s="410"/>
    </row>
    <row r="1085" spans="1:25" x14ac:dyDescent="0.2">
      <c r="A1085" s="410"/>
      <c r="B1085" s="410"/>
      <c r="C1085" s="410"/>
      <c r="D1085" s="410"/>
      <c r="E1085" s="410"/>
      <c r="F1085" s="410"/>
      <c r="G1085" s="410"/>
      <c r="H1085" s="410"/>
      <c r="I1085" s="410"/>
      <c r="J1085" s="410"/>
      <c r="K1085" s="410"/>
      <c r="L1085" s="410"/>
      <c r="M1085" s="410"/>
      <c r="N1085" s="410"/>
      <c r="R1085" s="410"/>
      <c r="S1085" s="410"/>
      <c r="T1085" s="410"/>
      <c r="U1085" s="410"/>
      <c r="V1085" s="410"/>
      <c r="W1085" s="410"/>
      <c r="X1085" s="410"/>
      <c r="Y1085" s="410"/>
    </row>
    <row r="1086" spans="1:25" x14ac:dyDescent="0.2">
      <c r="A1086" s="410"/>
      <c r="B1086" s="410"/>
      <c r="C1086" s="410"/>
      <c r="D1086" s="410"/>
      <c r="E1086" s="410"/>
      <c r="F1086" s="410"/>
      <c r="G1086" s="410"/>
      <c r="H1086" s="410"/>
      <c r="I1086" s="410"/>
      <c r="J1086" s="410"/>
      <c r="K1086" s="410"/>
      <c r="L1086" s="410"/>
      <c r="M1086" s="410"/>
      <c r="N1086" s="410"/>
      <c r="R1086" s="410"/>
      <c r="S1086" s="410"/>
      <c r="T1086" s="410"/>
      <c r="U1086" s="410"/>
      <c r="V1086" s="410"/>
      <c r="W1086" s="410"/>
      <c r="X1086" s="410"/>
      <c r="Y1086" s="410"/>
    </row>
    <row r="1087" spans="1:25" x14ac:dyDescent="0.2">
      <c r="A1087" s="410"/>
      <c r="B1087" s="410"/>
      <c r="C1087" s="410"/>
      <c r="D1087" s="410"/>
      <c r="E1087" s="410"/>
      <c r="F1087" s="410"/>
      <c r="G1087" s="410"/>
      <c r="H1087" s="410"/>
      <c r="I1087" s="410"/>
      <c r="J1087" s="410"/>
      <c r="K1087" s="410"/>
      <c r="L1087" s="410"/>
      <c r="M1087" s="410"/>
      <c r="N1087" s="410"/>
      <c r="R1087" s="410"/>
      <c r="S1087" s="410"/>
      <c r="T1087" s="410"/>
      <c r="U1087" s="410"/>
      <c r="V1087" s="410"/>
      <c r="W1087" s="410"/>
      <c r="X1087" s="410"/>
      <c r="Y1087" s="410"/>
    </row>
    <row r="1088" spans="1:25" x14ac:dyDescent="0.2">
      <c r="A1088" s="410"/>
      <c r="B1088" s="410"/>
      <c r="C1088" s="410"/>
      <c r="D1088" s="410"/>
      <c r="E1088" s="410"/>
      <c r="F1088" s="410"/>
      <c r="G1088" s="410"/>
      <c r="H1088" s="410"/>
      <c r="I1088" s="410"/>
      <c r="J1088" s="410"/>
      <c r="K1088" s="410"/>
      <c r="L1088" s="410"/>
      <c r="M1088" s="410"/>
      <c r="N1088" s="410"/>
      <c r="R1088" s="410"/>
      <c r="S1088" s="410"/>
      <c r="T1088" s="410"/>
      <c r="U1088" s="410"/>
      <c r="V1088" s="410"/>
      <c r="W1088" s="410"/>
      <c r="X1088" s="410"/>
      <c r="Y1088" s="410"/>
    </row>
    <row r="1089" spans="1:25" x14ac:dyDescent="0.2">
      <c r="A1089" s="410"/>
      <c r="B1089" s="410"/>
      <c r="C1089" s="410"/>
      <c r="D1089" s="410"/>
      <c r="E1089" s="410"/>
      <c r="F1089" s="410"/>
      <c r="G1089" s="410"/>
      <c r="H1089" s="410"/>
      <c r="I1089" s="410"/>
      <c r="J1089" s="410"/>
      <c r="K1089" s="410"/>
      <c r="L1089" s="410"/>
      <c r="M1089" s="410"/>
      <c r="N1089" s="410"/>
      <c r="R1089" s="410"/>
      <c r="S1089" s="410"/>
      <c r="T1089" s="410"/>
      <c r="U1089" s="410"/>
      <c r="V1089" s="410"/>
      <c r="W1089" s="410"/>
      <c r="X1089" s="410"/>
      <c r="Y1089" s="410"/>
    </row>
    <row r="1090" spans="1:25" x14ac:dyDescent="0.2">
      <c r="A1090" s="410"/>
      <c r="B1090" s="410"/>
      <c r="C1090" s="410"/>
      <c r="D1090" s="410"/>
      <c r="E1090" s="410"/>
      <c r="F1090" s="410"/>
      <c r="G1090" s="410"/>
      <c r="H1090" s="410"/>
      <c r="I1090" s="410"/>
      <c r="J1090" s="410"/>
      <c r="K1090" s="410"/>
      <c r="L1090" s="410"/>
      <c r="M1090" s="410"/>
      <c r="N1090" s="410"/>
      <c r="R1090" s="410"/>
      <c r="S1090" s="410"/>
      <c r="T1090" s="410"/>
      <c r="U1090" s="410"/>
      <c r="V1090" s="410"/>
      <c r="W1090" s="410"/>
      <c r="X1090" s="410"/>
      <c r="Y1090" s="410"/>
    </row>
    <row r="1091" spans="1:25" x14ac:dyDescent="0.2">
      <c r="A1091" s="410"/>
      <c r="B1091" s="410"/>
      <c r="C1091" s="410"/>
      <c r="D1091" s="410"/>
      <c r="E1091" s="410"/>
      <c r="F1091" s="410"/>
      <c r="G1091" s="410"/>
      <c r="H1091" s="410"/>
      <c r="I1091" s="410"/>
      <c r="J1091" s="410"/>
      <c r="K1091" s="410"/>
      <c r="L1091" s="410"/>
      <c r="M1091" s="410"/>
      <c r="N1091" s="410"/>
      <c r="R1091" s="410"/>
      <c r="S1091" s="410"/>
      <c r="T1091" s="410"/>
      <c r="U1091" s="410"/>
      <c r="V1091" s="410"/>
      <c r="W1091" s="410"/>
      <c r="X1091" s="410"/>
      <c r="Y1091" s="410"/>
    </row>
    <row r="1092" spans="1:25" x14ac:dyDescent="0.2">
      <c r="A1092" s="410"/>
      <c r="B1092" s="410"/>
      <c r="C1092" s="410"/>
      <c r="D1092" s="410"/>
      <c r="E1092" s="410"/>
      <c r="F1092" s="410"/>
      <c r="G1092" s="410"/>
      <c r="H1092" s="410"/>
      <c r="I1092" s="410"/>
      <c r="J1092" s="410"/>
      <c r="K1092" s="410"/>
      <c r="L1092" s="410"/>
      <c r="M1092" s="410"/>
      <c r="N1092" s="410"/>
      <c r="R1092" s="410"/>
      <c r="S1092" s="410"/>
      <c r="T1092" s="410"/>
      <c r="U1092" s="410"/>
      <c r="V1092" s="410"/>
      <c r="W1092" s="410"/>
      <c r="X1092" s="410"/>
      <c r="Y1092" s="410"/>
    </row>
    <row r="1093" spans="1:25" x14ac:dyDescent="0.2">
      <c r="A1093" s="410"/>
      <c r="B1093" s="410"/>
      <c r="C1093" s="410"/>
      <c r="D1093" s="410"/>
      <c r="E1093" s="410"/>
      <c r="F1093" s="410"/>
      <c r="G1093" s="410"/>
      <c r="H1093" s="410"/>
      <c r="I1093" s="410"/>
      <c r="J1093" s="410"/>
      <c r="K1093" s="410"/>
      <c r="L1093" s="410"/>
      <c r="M1093" s="410"/>
      <c r="N1093" s="410"/>
      <c r="R1093" s="410"/>
      <c r="S1093" s="410"/>
      <c r="T1093" s="410"/>
      <c r="U1093" s="410"/>
      <c r="V1093" s="410"/>
      <c r="W1093" s="410"/>
      <c r="X1093" s="410"/>
      <c r="Y1093" s="410"/>
    </row>
    <row r="1094" spans="1:25" x14ac:dyDescent="0.2">
      <c r="A1094" s="410"/>
      <c r="B1094" s="410"/>
      <c r="C1094" s="410"/>
      <c r="D1094" s="410"/>
      <c r="E1094" s="410"/>
      <c r="F1094" s="410"/>
      <c r="G1094" s="410"/>
      <c r="H1094" s="410"/>
      <c r="I1094" s="410"/>
      <c r="J1094" s="410"/>
      <c r="K1094" s="410"/>
      <c r="L1094" s="410"/>
      <c r="M1094" s="410"/>
      <c r="N1094" s="410"/>
      <c r="R1094" s="410"/>
      <c r="S1094" s="410"/>
      <c r="T1094" s="410"/>
      <c r="U1094" s="410"/>
      <c r="V1094" s="410"/>
      <c r="W1094" s="410"/>
      <c r="X1094" s="410"/>
      <c r="Y1094" s="410"/>
    </row>
    <row r="1095" spans="1:25" x14ac:dyDescent="0.2">
      <c r="A1095" s="410"/>
      <c r="B1095" s="410"/>
      <c r="C1095" s="410"/>
      <c r="D1095" s="410"/>
      <c r="E1095" s="410"/>
      <c r="F1095" s="410"/>
      <c r="G1095" s="410"/>
      <c r="H1095" s="410"/>
      <c r="I1095" s="410"/>
      <c r="J1095" s="410"/>
      <c r="K1095" s="410"/>
      <c r="L1095" s="410"/>
      <c r="M1095" s="410"/>
      <c r="N1095" s="410"/>
      <c r="R1095" s="410"/>
      <c r="S1095" s="410"/>
      <c r="T1095" s="410"/>
      <c r="U1095" s="410"/>
      <c r="V1095" s="410"/>
      <c r="W1095" s="410"/>
      <c r="X1095" s="410"/>
      <c r="Y1095" s="410"/>
    </row>
    <row r="1096" spans="1:25" x14ac:dyDescent="0.2">
      <c r="A1096" s="410"/>
      <c r="B1096" s="410"/>
      <c r="C1096" s="410"/>
      <c r="D1096" s="410"/>
      <c r="E1096" s="410"/>
      <c r="F1096" s="410"/>
      <c r="G1096" s="410"/>
      <c r="H1096" s="410"/>
      <c r="I1096" s="410"/>
      <c r="J1096" s="410"/>
      <c r="K1096" s="410"/>
      <c r="L1096" s="410"/>
      <c r="M1096" s="410"/>
      <c r="N1096" s="410"/>
      <c r="R1096" s="410"/>
      <c r="S1096" s="410"/>
      <c r="T1096" s="410"/>
      <c r="U1096" s="410"/>
      <c r="V1096" s="410"/>
      <c r="W1096" s="410"/>
      <c r="X1096" s="410"/>
      <c r="Y1096" s="410"/>
    </row>
    <row r="1097" spans="1:25" x14ac:dyDescent="0.2">
      <c r="A1097" s="410"/>
      <c r="B1097" s="410"/>
      <c r="C1097" s="410"/>
      <c r="D1097" s="410"/>
      <c r="E1097" s="410"/>
      <c r="F1097" s="410"/>
      <c r="G1097" s="410"/>
      <c r="H1097" s="410"/>
      <c r="I1097" s="410"/>
      <c r="J1097" s="410"/>
      <c r="K1097" s="410"/>
      <c r="L1097" s="410"/>
      <c r="M1097" s="410"/>
      <c r="N1097" s="410"/>
      <c r="R1097" s="410"/>
      <c r="S1097" s="410"/>
      <c r="T1097" s="410"/>
      <c r="U1097" s="410"/>
      <c r="V1097" s="410"/>
      <c r="W1097" s="410"/>
      <c r="X1097" s="410"/>
      <c r="Y1097" s="410"/>
    </row>
    <row r="1098" spans="1:25" x14ac:dyDescent="0.2">
      <c r="A1098" s="410"/>
      <c r="B1098" s="410"/>
      <c r="C1098" s="410"/>
      <c r="D1098" s="410"/>
      <c r="E1098" s="410"/>
      <c r="F1098" s="410"/>
      <c r="G1098" s="410"/>
      <c r="H1098" s="410"/>
      <c r="I1098" s="410"/>
      <c r="J1098" s="410"/>
      <c r="K1098" s="410"/>
      <c r="L1098" s="410"/>
      <c r="M1098" s="410"/>
      <c r="N1098" s="410"/>
      <c r="R1098" s="410"/>
      <c r="S1098" s="410"/>
      <c r="T1098" s="410"/>
      <c r="U1098" s="410"/>
      <c r="V1098" s="410"/>
      <c r="W1098" s="410"/>
      <c r="X1098" s="410"/>
      <c r="Y1098" s="410"/>
    </row>
    <row r="1099" spans="1:25" x14ac:dyDescent="0.2">
      <c r="A1099" s="410"/>
      <c r="B1099" s="410"/>
      <c r="C1099" s="410"/>
      <c r="D1099" s="410"/>
      <c r="E1099" s="410"/>
      <c r="F1099" s="410"/>
      <c r="G1099" s="410"/>
      <c r="H1099" s="410"/>
      <c r="I1099" s="410"/>
      <c r="J1099" s="410"/>
      <c r="K1099" s="410"/>
      <c r="L1099" s="410"/>
      <c r="M1099" s="410"/>
      <c r="N1099" s="410"/>
      <c r="R1099" s="410"/>
      <c r="S1099" s="410"/>
      <c r="T1099" s="410"/>
      <c r="U1099" s="410"/>
      <c r="V1099" s="410"/>
      <c r="W1099" s="410"/>
      <c r="X1099" s="410"/>
      <c r="Y1099" s="410"/>
    </row>
    <row r="1100" spans="1:25" x14ac:dyDescent="0.2">
      <c r="A1100" s="410"/>
      <c r="B1100" s="410"/>
      <c r="C1100" s="410"/>
      <c r="D1100" s="410"/>
      <c r="E1100" s="410"/>
      <c r="F1100" s="410"/>
      <c r="G1100" s="410"/>
      <c r="H1100" s="410"/>
      <c r="I1100" s="410"/>
      <c r="J1100" s="410"/>
      <c r="K1100" s="410"/>
      <c r="L1100" s="410"/>
      <c r="M1100" s="410"/>
      <c r="N1100" s="410"/>
      <c r="R1100" s="410"/>
      <c r="S1100" s="410"/>
      <c r="T1100" s="410"/>
      <c r="U1100" s="410"/>
      <c r="V1100" s="410"/>
      <c r="W1100" s="410"/>
      <c r="X1100" s="410"/>
      <c r="Y1100" s="410"/>
    </row>
    <row r="1101" spans="1:25" x14ac:dyDescent="0.2">
      <c r="A1101" s="410"/>
      <c r="B1101" s="410"/>
      <c r="C1101" s="410"/>
      <c r="D1101" s="410"/>
      <c r="E1101" s="410"/>
      <c r="F1101" s="410"/>
      <c r="G1101" s="410"/>
      <c r="H1101" s="410"/>
      <c r="I1101" s="410"/>
      <c r="J1101" s="410"/>
      <c r="K1101" s="410"/>
      <c r="L1101" s="410"/>
      <c r="M1101" s="410"/>
      <c r="N1101" s="410"/>
      <c r="R1101" s="410"/>
      <c r="S1101" s="410"/>
      <c r="T1101" s="410"/>
      <c r="U1101" s="410"/>
      <c r="V1101" s="410"/>
      <c r="W1101" s="410"/>
      <c r="X1101" s="410"/>
      <c r="Y1101" s="410"/>
    </row>
    <row r="1102" spans="1:25" x14ac:dyDescent="0.2">
      <c r="A1102" s="410"/>
      <c r="B1102" s="410"/>
      <c r="C1102" s="410"/>
      <c r="D1102" s="410"/>
      <c r="E1102" s="410"/>
      <c r="F1102" s="410"/>
      <c r="G1102" s="410"/>
      <c r="H1102" s="410"/>
      <c r="I1102" s="410"/>
      <c r="J1102" s="410"/>
      <c r="K1102" s="410"/>
      <c r="L1102" s="410"/>
      <c r="M1102" s="410"/>
      <c r="N1102" s="410"/>
      <c r="R1102" s="410"/>
      <c r="S1102" s="410"/>
      <c r="T1102" s="410"/>
      <c r="U1102" s="410"/>
      <c r="V1102" s="410"/>
      <c r="W1102" s="410"/>
      <c r="X1102" s="410"/>
      <c r="Y1102" s="410"/>
    </row>
    <row r="1103" spans="1:25" x14ac:dyDescent="0.2">
      <c r="A1103" s="410"/>
      <c r="B1103" s="410"/>
      <c r="C1103" s="410"/>
      <c r="D1103" s="410"/>
      <c r="E1103" s="410"/>
      <c r="F1103" s="410"/>
      <c r="G1103" s="410"/>
      <c r="H1103" s="410"/>
      <c r="I1103" s="410"/>
      <c r="J1103" s="410"/>
      <c r="K1103" s="410"/>
      <c r="L1103" s="410"/>
      <c r="M1103" s="410"/>
      <c r="N1103" s="410"/>
      <c r="R1103" s="410"/>
      <c r="S1103" s="410"/>
      <c r="T1103" s="410"/>
      <c r="U1103" s="410"/>
      <c r="V1103" s="410"/>
      <c r="W1103" s="410"/>
      <c r="X1103" s="410"/>
      <c r="Y1103" s="410"/>
    </row>
    <row r="1104" spans="1:25" x14ac:dyDescent="0.2">
      <c r="A1104" s="410"/>
      <c r="B1104" s="410"/>
      <c r="C1104" s="410"/>
      <c r="D1104" s="410"/>
      <c r="E1104" s="410"/>
      <c r="F1104" s="410"/>
      <c r="G1104" s="410"/>
      <c r="H1104" s="410"/>
      <c r="I1104" s="410"/>
      <c r="J1104" s="410"/>
      <c r="K1104" s="410"/>
      <c r="L1104" s="410"/>
      <c r="M1104" s="410"/>
      <c r="N1104" s="410"/>
      <c r="R1104" s="410"/>
      <c r="S1104" s="410"/>
      <c r="T1104" s="410"/>
      <c r="U1104" s="410"/>
      <c r="V1104" s="410"/>
      <c r="W1104" s="410"/>
      <c r="X1104" s="410"/>
      <c r="Y1104" s="410"/>
    </row>
    <row r="1105" spans="1:25" x14ac:dyDescent="0.2">
      <c r="A1105" s="410"/>
      <c r="B1105" s="410"/>
      <c r="C1105" s="410"/>
      <c r="D1105" s="410"/>
      <c r="E1105" s="410"/>
      <c r="F1105" s="410"/>
      <c r="G1105" s="410"/>
      <c r="H1105" s="410"/>
      <c r="I1105" s="410"/>
      <c r="J1105" s="410"/>
      <c r="K1105" s="410"/>
      <c r="L1105" s="410"/>
      <c r="M1105" s="410"/>
      <c r="N1105" s="410"/>
      <c r="R1105" s="410"/>
      <c r="S1105" s="410"/>
      <c r="T1105" s="410"/>
      <c r="U1105" s="410"/>
      <c r="V1105" s="410"/>
      <c r="W1105" s="410"/>
      <c r="X1105" s="410"/>
      <c r="Y1105" s="410"/>
    </row>
    <row r="1106" spans="1:25" x14ac:dyDescent="0.2">
      <c r="A1106" s="410"/>
      <c r="B1106" s="410"/>
      <c r="C1106" s="410"/>
      <c r="D1106" s="410"/>
      <c r="E1106" s="410"/>
      <c r="F1106" s="410"/>
      <c r="G1106" s="410"/>
      <c r="H1106" s="410"/>
      <c r="I1106" s="410"/>
      <c r="J1106" s="410"/>
      <c r="K1106" s="410"/>
      <c r="L1106" s="410"/>
      <c r="M1106" s="410"/>
      <c r="N1106" s="410"/>
      <c r="R1106" s="410"/>
      <c r="S1106" s="410"/>
      <c r="T1106" s="410"/>
      <c r="U1106" s="410"/>
      <c r="V1106" s="410"/>
      <c r="W1106" s="410"/>
      <c r="X1106" s="410"/>
      <c r="Y1106" s="410"/>
    </row>
    <row r="1107" spans="1:25" x14ac:dyDescent="0.2">
      <c r="A1107" s="410"/>
      <c r="B1107" s="410"/>
      <c r="C1107" s="410"/>
      <c r="D1107" s="410"/>
      <c r="E1107" s="410"/>
      <c r="F1107" s="410"/>
      <c r="G1107" s="410"/>
      <c r="H1107" s="410"/>
      <c r="I1107" s="410"/>
      <c r="J1107" s="410"/>
      <c r="K1107" s="410"/>
      <c r="L1107" s="410"/>
      <c r="M1107" s="410"/>
      <c r="N1107" s="410"/>
      <c r="R1107" s="410"/>
      <c r="S1107" s="410"/>
      <c r="T1107" s="410"/>
      <c r="U1107" s="410"/>
      <c r="V1107" s="410"/>
      <c r="W1107" s="410"/>
      <c r="X1107" s="410"/>
      <c r="Y1107" s="410"/>
    </row>
    <row r="1108" spans="1:25" x14ac:dyDescent="0.2">
      <c r="A1108" s="410"/>
      <c r="B1108" s="410"/>
      <c r="C1108" s="410"/>
      <c r="D1108" s="410"/>
      <c r="E1108" s="410"/>
      <c r="F1108" s="410"/>
      <c r="G1108" s="410"/>
      <c r="H1108" s="410"/>
      <c r="I1108" s="410"/>
      <c r="J1108" s="410"/>
      <c r="K1108" s="410"/>
      <c r="L1108" s="410"/>
      <c r="M1108" s="410"/>
      <c r="N1108" s="410"/>
      <c r="R1108" s="410"/>
      <c r="S1108" s="410"/>
      <c r="T1108" s="410"/>
      <c r="U1108" s="410"/>
      <c r="V1108" s="410"/>
      <c r="W1108" s="410"/>
      <c r="X1108" s="410"/>
      <c r="Y1108" s="410"/>
    </row>
    <row r="1109" spans="1:25" x14ac:dyDescent="0.2">
      <c r="A1109" s="410"/>
      <c r="B1109" s="410"/>
      <c r="C1109" s="410"/>
      <c r="D1109" s="410"/>
      <c r="E1109" s="410"/>
      <c r="F1109" s="410"/>
      <c r="G1109" s="410"/>
      <c r="H1109" s="410"/>
      <c r="I1109" s="410"/>
      <c r="J1109" s="410"/>
      <c r="K1109" s="410"/>
      <c r="L1109" s="410"/>
      <c r="M1109" s="410"/>
      <c r="N1109" s="410"/>
      <c r="R1109" s="410"/>
      <c r="S1109" s="410"/>
      <c r="T1109" s="410"/>
      <c r="U1109" s="410"/>
      <c r="V1109" s="410"/>
      <c r="W1109" s="410"/>
      <c r="X1109" s="410"/>
      <c r="Y1109" s="410"/>
    </row>
    <row r="1110" spans="1:25" x14ac:dyDescent="0.2">
      <c r="A1110" s="410"/>
      <c r="B1110" s="410"/>
      <c r="C1110" s="410"/>
      <c r="D1110" s="410"/>
      <c r="E1110" s="410"/>
      <c r="F1110" s="410"/>
      <c r="G1110" s="410"/>
      <c r="H1110" s="410"/>
      <c r="I1110" s="410"/>
      <c r="J1110" s="410"/>
      <c r="K1110" s="410"/>
      <c r="L1110" s="410"/>
      <c r="M1110" s="410"/>
      <c r="N1110" s="410"/>
      <c r="R1110" s="410"/>
      <c r="S1110" s="410"/>
      <c r="T1110" s="410"/>
      <c r="U1110" s="410"/>
      <c r="V1110" s="410"/>
      <c r="W1110" s="410"/>
      <c r="X1110" s="410"/>
      <c r="Y1110" s="410"/>
    </row>
    <row r="1111" spans="1:25" x14ac:dyDescent="0.2">
      <c r="A1111" s="410"/>
      <c r="B1111" s="410"/>
      <c r="C1111" s="410"/>
      <c r="D1111" s="410"/>
      <c r="E1111" s="410"/>
      <c r="F1111" s="410"/>
      <c r="G1111" s="410"/>
      <c r="H1111" s="410"/>
      <c r="I1111" s="410"/>
      <c r="J1111" s="410"/>
      <c r="K1111" s="410"/>
      <c r="L1111" s="410"/>
      <c r="M1111" s="410"/>
      <c r="N1111" s="410"/>
      <c r="R1111" s="410"/>
      <c r="S1111" s="410"/>
      <c r="T1111" s="410"/>
      <c r="U1111" s="410"/>
      <c r="V1111" s="410"/>
      <c r="W1111" s="410"/>
      <c r="X1111" s="410"/>
      <c r="Y1111" s="410"/>
    </row>
    <row r="1112" spans="1:25" x14ac:dyDescent="0.2">
      <c r="A1112" s="410"/>
      <c r="B1112" s="410"/>
      <c r="C1112" s="410"/>
      <c r="D1112" s="410"/>
      <c r="E1112" s="410"/>
      <c r="F1112" s="410"/>
      <c r="G1112" s="410"/>
      <c r="H1112" s="410"/>
      <c r="I1112" s="410"/>
      <c r="J1112" s="410"/>
      <c r="K1112" s="410"/>
      <c r="L1112" s="410"/>
      <c r="M1112" s="410"/>
      <c r="N1112" s="410"/>
      <c r="R1112" s="410"/>
      <c r="S1112" s="410"/>
      <c r="T1112" s="410"/>
      <c r="U1112" s="410"/>
      <c r="V1112" s="410"/>
      <c r="W1112" s="410"/>
      <c r="X1112" s="410"/>
      <c r="Y1112" s="410"/>
    </row>
    <row r="1113" spans="1:25" x14ac:dyDescent="0.2">
      <c r="A1113" s="410"/>
      <c r="B1113" s="410"/>
      <c r="C1113" s="410"/>
      <c r="D1113" s="410"/>
      <c r="E1113" s="410"/>
      <c r="F1113" s="410"/>
      <c r="G1113" s="410"/>
      <c r="H1113" s="410"/>
      <c r="I1113" s="410"/>
      <c r="J1113" s="410"/>
      <c r="K1113" s="410"/>
      <c r="L1113" s="410"/>
      <c r="M1113" s="410"/>
      <c r="N1113" s="410"/>
      <c r="R1113" s="410"/>
      <c r="S1113" s="410"/>
      <c r="T1113" s="410"/>
      <c r="U1113" s="410"/>
      <c r="V1113" s="410"/>
      <c r="W1113" s="410"/>
      <c r="X1113" s="410"/>
      <c r="Y1113" s="410"/>
    </row>
    <row r="1114" spans="1:25" x14ac:dyDescent="0.2">
      <c r="A1114" s="410"/>
      <c r="B1114" s="410"/>
      <c r="C1114" s="410"/>
      <c r="D1114" s="410"/>
      <c r="E1114" s="410"/>
      <c r="F1114" s="410"/>
      <c r="G1114" s="410"/>
      <c r="H1114" s="410"/>
      <c r="I1114" s="410"/>
      <c r="J1114" s="410"/>
      <c r="K1114" s="410"/>
      <c r="L1114" s="410"/>
      <c r="M1114" s="410"/>
      <c r="N1114" s="410"/>
      <c r="R1114" s="410"/>
      <c r="S1114" s="410"/>
      <c r="T1114" s="410"/>
      <c r="U1114" s="410"/>
      <c r="V1114" s="410"/>
      <c r="W1114" s="410"/>
      <c r="X1114" s="410"/>
      <c r="Y1114" s="410"/>
    </row>
    <row r="1115" spans="1:25" x14ac:dyDescent="0.2">
      <c r="A1115" s="410"/>
      <c r="B1115" s="410"/>
      <c r="C1115" s="410"/>
      <c r="D1115" s="410"/>
      <c r="E1115" s="410"/>
      <c r="F1115" s="410"/>
      <c r="G1115" s="410"/>
      <c r="H1115" s="410"/>
      <c r="I1115" s="410"/>
      <c r="J1115" s="410"/>
      <c r="K1115" s="410"/>
      <c r="L1115" s="410"/>
      <c r="M1115" s="410"/>
      <c r="N1115" s="410"/>
      <c r="R1115" s="410"/>
      <c r="S1115" s="410"/>
      <c r="T1115" s="410"/>
      <c r="U1115" s="410"/>
      <c r="V1115" s="410"/>
      <c r="W1115" s="410"/>
      <c r="X1115" s="410"/>
      <c r="Y1115" s="410"/>
    </row>
    <row r="1116" spans="1:25" x14ac:dyDescent="0.2">
      <c r="A1116" s="410"/>
      <c r="B1116" s="410"/>
      <c r="C1116" s="410"/>
      <c r="D1116" s="410"/>
      <c r="E1116" s="410"/>
      <c r="F1116" s="410"/>
      <c r="G1116" s="410"/>
      <c r="H1116" s="410"/>
      <c r="I1116" s="410"/>
      <c r="J1116" s="410"/>
      <c r="K1116" s="410"/>
      <c r="L1116" s="410"/>
      <c r="M1116" s="410"/>
      <c r="N1116" s="410"/>
      <c r="R1116" s="410"/>
      <c r="S1116" s="410"/>
      <c r="T1116" s="410"/>
      <c r="U1116" s="410"/>
      <c r="V1116" s="410"/>
      <c r="W1116" s="410"/>
      <c r="X1116" s="410"/>
      <c r="Y1116" s="410"/>
    </row>
    <row r="1117" spans="1:25" x14ac:dyDescent="0.2">
      <c r="A1117" s="410"/>
      <c r="B1117" s="410"/>
      <c r="C1117" s="410"/>
      <c r="D1117" s="410"/>
      <c r="E1117" s="410"/>
      <c r="F1117" s="410"/>
      <c r="G1117" s="410"/>
      <c r="H1117" s="410"/>
      <c r="I1117" s="410"/>
      <c r="J1117" s="410"/>
      <c r="K1117" s="410"/>
      <c r="L1117" s="410"/>
      <c r="M1117" s="410"/>
      <c r="N1117" s="410"/>
      <c r="R1117" s="410"/>
      <c r="S1117" s="410"/>
      <c r="T1117" s="410"/>
      <c r="U1117" s="410"/>
      <c r="V1117" s="410"/>
      <c r="W1117" s="410"/>
      <c r="X1117" s="410"/>
      <c r="Y1117" s="410"/>
    </row>
    <row r="1118" spans="1:25" x14ac:dyDescent="0.2">
      <c r="A1118" s="410"/>
      <c r="B1118" s="410"/>
      <c r="C1118" s="410"/>
      <c r="D1118" s="410"/>
      <c r="E1118" s="410"/>
      <c r="F1118" s="410"/>
      <c r="G1118" s="410"/>
      <c r="H1118" s="410"/>
      <c r="I1118" s="410"/>
      <c r="J1118" s="410"/>
      <c r="K1118" s="410"/>
      <c r="L1118" s="410"/>
      <c r="M1118" s="410"/>
      <c r="N1118" s="410"/>
      <c r="R1118" s="410"/>
      <c r="S1118" s="410"/>
      <c r="T1118" s="410"/>
      <c r="U1118" s="410"/>
      <c r="V1118" s="410"/>
      <c r="W1118" s="410"/>
      <c r="X1118" s="410"/>
      <c r="Y1118" s="410"/>
    </row>
    <row r="1119" spans="1:25" x14ac:dyDescent="0.2">
      <c r="A1119" s="410"/>
      <c r="B1119" s="410"/>
      <c r="C1119" s="410"/>
      <c r="D1119" s="410"/>
      <c r="E1119" s="410"/>
      <c r="F1119" s="410"/>
      <c r="G1119" s="410"/>
      <c r="H1119" s="410"/>
      <c r="I1119" s="410"/>
      <c r="J1119" s="410"/>
      <c r="K1119" s="410"/>
      <c r="L1119" s="410"/>
      <c r="M1119" s="410"/>
      <c r="N1119" s="410"/>
      <c r="R1119" s="410"/>
      <c r="S1119" s="410"/>
      <c r="T1119" s="410"/>
      <c r="U1119" s="410"/>
      <c r="V1119" s="410"/>
      <c r="W1119" s="410"/>
      <c r="X1119" s="410"/>
      <c r="Y1119" s="410"/>
    </row>
    <row r="1120" spans="1:25" x14ac:dyDescent="0.2">
      <c r="A1120" s="410"/>
      <c r="B1120" s="410"/>
      <c r="C1120" s="410"/>
      <c r="D1120" s="410"/>
      <c r="E1120" s="410"/>
      <c r="F1120" s="410"/>
      <c r="G1120" s="410"/>
      <c r="H1120" s="410"/>
      <c r="I1120" s="410"/>
      <c r="J1120" s="410"/>
      <c r="K1120" s="410"/>
      <c r="L1120" s="410"/>
      <c r="M1120" s="410"/>
      <c r="N1120" s="410"/>
      <c r="R1120" s="410"/>
      <c r="S1120" s="410"/>
      <c r="T1120" s="410"/>
      <c r="U1120" s="410"/>
      <c r="V1120" s="410"/>
      <c r="W1120" s="410"/>
      <c r="X1120" s="410"/>
      <c r="Y1120" s="410"/>
    </row>
    <row r="1121" spans="1:25" x14ac:dyDescent="0.2">
      <c r="A1121" s="410"/>
      <c r="B1121" s="410"/>
      <c r="C1121" s="410"/>
      <c r="D1121" s="410"/>
      <c r="E1121" s="410"/>
      <c r="F1121" s="410"/>
      <c r="G1121" s="410"/>
      <c r="H1121" s="410"/>
      <c r="I1121" s="410"/>
      <c r="J1121" s="410"/>
      <c r="K1121" s="410"/>
      <c r="L1121" s="410"/>
      <c r="M1121" s="410"/>
      <c r="N1121" s="410"/>
      <c r="R1121" s="410"/>
      <c r="S1121" s="410"/>
      <c r="T1121" s="410"/>
      <c r="U1121" s="410"/>
      <c r="V1121" s="410"/>
      <c r="W1121" s="410"/>
      <c r="X1121" s="410"/>
      <c r="Y1121" s="410"/>
    </row>
    <row r="1122" spans="1:25" x14ac:dyDescent="0.2">
      <c r="A1122" s="410"/>
      <c r="B1122" s="410"/>
      <c r="C1122" s="410"/>
      <c r="D1122" s="410"/>
      <c r="E1122" s="410"/>
      <c r="F1122" s="410"/>
      <c r="G1122" s="410"/>
      <c r="H1122" s="410"/>
      <c r="I1122" s="410"/>
      <c r="J1122" s="410"/>
      <c r="K1122" s="410"/>
      <c r="L1122" s="410"/>
      <c r="M1122" s="410"/>
      <c r="N1122" s="410"/>
      <c r="R1122" s="410"/>
      <c r="S1122" s="410"/>
      <c r="T1122" s="410"/>
      <c r="U1122" s="410"/>
      <c r="V1122" s="410"/>
      <c r="W1122" s="410"/>
      <c r="X1122" s="410"/>
      <c r="Y1122" s="410"/>
    </row>
    <row r="1123" spans="1:25" x14ac:dyDescent="0.2">
      <c r="A1123" s="410"/>
      <c r="B1123" s="410"/>
      <c r="C1123" s="410"/>
      <c r="D1123" s="410"/>
      <c r="E1123" s="410"/>
      <c r="F1123" s="410"/>
      <c r="G1123" s="410"/>
      <c r="H1123" s="410"/>
      <c r="I1123" s="410"/>
      <c r="J1123" s="410"/>
      <c r="K1123" s="410"/>
      <c r="L1123" s="410"/>
      <c r="M1123" s="410"/>
      <c r="N1123" s="410"/>
      <c r="R1123" s="410"/>
      <c r="S1123" s="410"/>
      <c r="T1123" s="410"/>
      <c r="U1123" s="410"/>
      <c r="V1123" s="410"/>
      <c r="W1123" s="410"/>
      <c r="X1123" s="410"/>
      <c r="Y1123" s="410"/>
    </row>
    <row r="1124" spans="1:25" x14ac:dyDescent="0.2">
      <c r="A1124" s="410"/>
      <c r="B1124" s="410"/>
      <c r="C1124" s="410"/>
      <c r="D1124" s="410"/>
      <c r="E1124" s="410"/>
      <c r="F1124" s="410"/>
      <c r="G1124" s="410"/>
      <c r="H1124" s="410"/>
      <c r="I1124" s="410"/>
      <c r="J1124" s="410"/>
      <c r="K1124" s="410"/>
      <c r="L1124" s="410"/>
      <c r="M1124" s="410"/>
      <c r="N1124" s="410"/>
      <c r="R1124" s="410"/>
      <c r="S1124" s="410"/>
      <c r="T1124" s="410"/>
      <c r="U1124" s="410"/>
      <c r="V1124" s="410"/>
      <c r="W1124" s="410"/>
      <c r="X1124" s="410"/>
      <c r="Y1124" s="410"/>
    </row>
    <row r="1125" spans="1:25" x14ac:dyDescent="0.2">
      <c r="A1125" s="410"/>
      <c r="B1125" s="410"/>
      <c r="C1125" s="410"/>
      <c r="D1125" s="410"/>
      <c r="E1125" s="410"/>
      <c r="F1125" s="410"/>
      <c r="G1125" s="410"/>
      <c r="H1125" s="410"/>
      <c r="I1125" s="410"/>
      <c r="J1125" s="410"/>
      <c r="K1125" s="410"/>
      <c r="L1125" s="410"/>
      <c r="M1125" s="410"/>
      <c r="N1125" s="410"/>
      <c r="R1125" s="410"/>
      <c r="S1125" s="410"/>
      <c r="T1125" s="410"/>
      <c r="U1125" s="410"/>
      <c r="V1125" s="410"/>
      <c r="W1125" s="410"/>
      <c r="X1125" s="410"/>
      <c r="Y1125" s="410"/>
    </row>
    <row r="1126" spans="1:25" x14ac:dyDescent="0.2">
      <c r="A1126" s="410"/>
      <c r="B1126" s="410"/>
      <c r="C1126" s="410"/>
      <c r="D1126" s="410"/>
      <c r="E1126" s="410"/>
      <c r="F1126" s="410"/>
      <c r="G1126" s="410"/>
      <c r="H1126" s="410"/>
      <c r="I1126" s="410"/>
      <c r="J1126" s="410"/>
      <c r="K1126" s="410"/>
      <c r="L1126" s="410"/>
      <c r="M1126" s="410"/>
      <c r="N1126" s="410"/>
      <c r="R1126" s="410"/>
      <c r="S1126" s="410"/>
      <c r="T1126" s="410"/>
      <c r="U1126" s="410"/>
      <c r="V1126" s="410"/>
      <c r="W1126" s="410"/>
      <c r="X1126" s="410"/>
      <c r="Y1126" s="410"/>
    </row>
    <row r="1127" spans="1:25" x14ac:dyDescent="0.2">
      <c r="A1127" s="410"/>
      <c r="B1127" s="410"/>
      <c r="C1127" s="410"/>
      <c r="D1127" s="410"/>
      <c r="E1127" s="410"/>
      <c r="F1127" s="410"/>
      <c r="G1127" s="410"/>
      <c r="H1127" s="410"/>
      <c r="I1127" s="410"/>
      <c r="J1127" s="410"/>
      <c r="K1127" s="410"/>
      <c r="L1127" s="410"/>
      <c r="M1127" s="410"/>
      <c r="N1127" s="410"/>
      <c r="R1127" s="410"/>
      <c r="S1127" s="410"/>
      <c r="T1127" s="410"/>
      <c r="U1127" s="410"/>
      <c r="V1127" s="410"/>
      <c r="W1127" s="410"/>
      <c r="X1127" s="410"/>
      <c r="Y1127" s="410"/>
    </row>
    <row r="1128" spans="1:25" x14ac:dyDescent="0.2">
      <c r="A1128" s="410"/>
      <c r="B1128" s="410"/>
      <c r="C1128" s="410"/>
      <c r="D1128" s="410"/>
      <c r="E1128" s="410"/>
      <c r="F1128" s="410"/>
      <c r="G1128" s="410"/>
      <c r="H1128" s="410"/>
      <c r="I1128" s="410"/>
      <c r="J1128" s="410"/>
      <c r="K1128" s="410"/>
      <c r="L1128" s="410"/>
      <c r="M1128" s="410"/>
      <c r="N1128" s="410"/>
      <c r="R1128" s="410"/>
      <c r="S1128" s="410"/>
      <c r="T1128" s="410"/>
      <c r="U1128" s="410"/>
      <c r="V1128" s="410"/>
      <c r="W1128" s="410"/>
      <c r="X1128" s="410"/>
      <c r="Y1128" s="410"/>
    </row>
    <row r="1129" spans="1:25" x14ac:dyDescent="0.2">
      <c r="A1129" s="410"/>
      <c r="B1129" s="410"/>
      <c r="C1129" s="410"/>
      <c r="D1129" s="410"/>
      <c r="E1129" s="410"/>
      <c r="F1129" s="410"/>
      <c r="G1129" s="410"/>
      <c r="H1129" s="410"/>
      <c r="I1129" s="410"/>
      <c r="J1129" s="410"/>
      <c r="K1129" s="410"/>
      <c r="L1129" s="410"/>
      <c r="M1129" s="410"/>
      <c r="N1129" s="410"/>
      <c r="R1129" s="410"/>
      <c r="S1129" s="410"/>
      <c r="T1129" s="410"/>
      <c r="U1129" s="410"/>
      <c r="V1129" s="410"/>
      <c r="W1129" s="410"/>
      <c r="X1129" s="410"/>
      <c r="Y1129" s="410"/>
    </row>
    <row r="1130" spans="1:25" x14ac:dyDescent="0.2">
      <c r="A1130" s="410"/>
      <c r="B1130" s="410"/>
      <c r="C1130" s="410"/>
      <c r="D1130" s="410"/>
      <c r="E1130" s="410"/>
      <c r="F1130" s="410"/>
      <c r="G1130" s="410"/>
      <c r="H1130" s="410"/>
      <c r="I1130" s="410"/>
      <c r="J1130" s="410"/>
      <c r="K1130" s="410"/>
      <c r="L1130" s="410"/>
      <c r="M1130" s="410"/>
      <c r="N1130" s="410"/>
      <c r="R1130" s="410"/>
      <c r="S1130" s="410"/>
      <c r="T1130" s="410"/>
      <c r="U1130" s="410"/>
      <c r="V1130" s="410"/>
      <c r="W1130" s="410"/>
      <c r="X1130" s="410"/>
      <c r="Y1130" s="410"/>
    </row>
    <row r="1131" spans="1:25" x14ac:dyDescent="0.2">
      <c r="A1131" s="410"/>
      <c r="B1131" s="410"/>
      <c r="C1131" s="410"/>
      <c r="D1131" s="410"/>
      <c r="E1131" s="410"/>
      <c r="F1131" s="410"/>
      <c r="G1131" s="410"/>
      <c r="H1131" s="410"/>
      <c r="I1131" s="410"/>
      <c r="J1131" s="410"/>
      <c r="K1131" s="410"/>
      <c r="L1131" s="410"/>
      <c r="M1131" s="410"/>
      <c r="N1131" s="410"/>
      <c r="R1131" s="410"/>
      <c r="S1131" s="410"/>
      <c r="T1131" s="410"/>
      <c r="U1131" s="410"/>
      <c r="V1131" s="410"/>
      <c r="W1131" s="410"/>
      <c r="X1131" s="410"/>
      <c r="Y1131" s="410"/>
    </row>
    <row r="1132" spans="1:25" x14ac:dyDescent="0.2">
      <c r="A1132" s="410"/>
      <c r="B1132" s="410"/>
      <c r="C1132" s="410"/>
      <c r="D1132" s="410"/>
      <c r="E1132" s="410"/>
      <c r="F1132" s="410"/>
      <c r="G1132" s="410"/>
      <c r="H1132" s="410"/>
      <c r="I1132" s="410"/>
      <c r="J1132" s="410"/>
      <c r="K1132" s="410"/>
      <c r="L1132" s="410"/>
      <c r="M1132" s="410"/>
      <c r="N1132" s="410"/>
      <c r="R1132" s="410"/>
      <c r="S1132" s="410"/>
      <c r="T1132" s="410"/>
      <c r="U1132" s="410"/>
      <c r="V1132" s="410"/>
      <c r="W1132" s="410"/>
      <c r="X1132" s="410"/>
      <c r="Y1132" s="410"/>
    </row>
    <row r="1133" spans="1:25" x14ac:dyDescent="0.2">
      <c r="A1133" s="410"/>
      <c r="B1133" s="410"/>
      <c r="C1133" s="410"/>
      <c r="D1133" s="410"/>
      <c r="E1133" s="410"/>
      <c r="F1133" s="410"/>
      <c r="G1133" s="410"/>
      <c r="H1133" s="410"/>
      <c r="I1133" s="410"/>
      <c r="J1133" s="410"/>
      <c r="K1133" s="410"/>
      <c r="L1133" s="410"/>
      <c r="M1133" s="410"/>
      <c r="N1133" s="410"/>
      <c r="R1133" s="410"/>
      <c r="S1133" s="410"/>
      <c r="T1133" s="410"/>
      <c r="U1133" s="410"/>
      <c r="V1133" s="410"/>
      <c r="W1133" s="410"/>
      <c r="X1133" s="410"/>
      <c r="Y1133" s="410"/>
    </row>
    <row r="1134" spans="1:25" x14ac:dyDescent="0.2">
      <c r="A1134" s="410"/>
      <c r="B1134" s="410"/>
      <c r="C1134" s="410"/>
      <c r="D1134" s="410"/>
      <c r="E1134" s="410"/>
      <c r="F1134" s="410"/>
      <c r="G1134" s="410"/>
      <c r="H1134" s="410"/>
      <c r="I1134" s="410"/>
      <c r="J1134" s="410"/>
      <c r="K1134" s="410"/>
      <c r="L1134" s="410"/>
      <c r="M1134" s="410"/>
      <c r="N1134" s="410"/>
      <c r="R1134" s="410"/>
      <c r="S1134" s="410"/>
      <c r="T1134" s="410"/>
      <c r="U1134" s="410"/>
      <c r="V1134" s="410"/>
      <c r="W1134" s="410"/>
      <c r="X1134" s="410"/>
      <c r="Y1134" s="410"/>
    </row>
    <row r="1135" spans="1:25" x14ac:dyDescent="0.2">
      <c r="A1135" s="410"/>
      <c r="B1135" s="410"/>
      <c r="C1135" s="410"/>
      <c r="D1135" s="410"/>
      <c r="E1135" s="410"/>
      <c r="F1135" s="410"/>
      <c r="G1135" s="410"/>
      <c r="H1135" s="410"/>
      <c r="I1135" s="410"/>
      <c r="J1135" s="410"/>
      <c r="K1135" s="410"/>
      <c r="L1135" s="410"/>
      <c r="M1135" s="410"/>
      <c r="N1135" s="410"/>
      <c r="R1135" s="410"/>
      <c r="S1135" s="410"/>
      <c r="T1135" s="410"/>
      <c r="U1135" s="410"/>
      <c r="V1135" s="410"/>
      <c r="W1135" s="410"/>
      <c r="X1135" s="410"/>
      <c r="Y1135" s="410"/>
    </row>
    <row r="1136" spans="1:25" x14ac:dyDescent="0.2">
      <c r="A1136" s="410"/>
      <c r="B1136" s="410"/>
      <c r="C1136" s="410"/>
      <c r="D1136" s="410"/>
      <c r="E1136" s="410"/>
      <c r="F1136" s="410"/>
      <c r="G1136" s="410"/>
      <c r="H1136" s="410"/>
      <c r="I1136" s="410"/>
      <c r="J1136" s="410"/>
      <c r="K1136" s="410"/>
      <c r="L1136" s="410"/>
      <c r="M1136" s="410"/>
      <c r="N1136" s="410"/>
      <c r="R1136" s="410"/>
      <c r="S1136" s="410"/>
      <c r="T1136" s="410"/>
      <c r="U1136" s="410"/>
      <c r="V1136" s="410"/>
      <c r="W1136" s="410"/>
      <c r="X1136" s="410"/>
      <c r="Y1136" s="410"/>
    </row>
    <row r="1137" spans="1:25" x14ac:dyDescent="0.2">
      <c r="A1137" s="410"/>
      <c r="B1137" s="410"/>
      <c r="C1137" s="410"/>
      <c r="D1137" s="410"/>
      <c r="E1137" s="410"/>
      <c r="F1137" s="410"/>
      <c r="G1137" s="410"/>
      <c r="H1137" s="410"/>
      <c r="I1137" s="410"/>
      <c r="J1137" s="410"/>
      <c r="K1137" s="410"/>
      <c r="L1137" s="410"/>
      <c r="M1137" s="410"/>
      <c r="N1137" s="410"/>
      <c r="R1137" s="410"/>
      <c r="S1137" s="410"/>
      <c r="T1137" s="410"/>
      <c r="U1137" s="410"/>
      <c r="V1137" s="410"/>
      <c r="W1137" s="410"/>
      <c r="X1137" s="410"/>
      <c r="Y1137" s="410"/>
    </row>
    <row r="1138" spans="1:25" x14ac:dyDescent="0.2">
      <c r="A1138" s="410"/>
      <c r="B1138" s="410"/>
      <c r="C1138" s="410"/>
      <c r="D1138" s="410"/>
      <c r="E1138" s="410"/>
      <c r="F1138" s="410"/>
      <c r="G1138" s="410"/>
      <c r="H1138" s="410"/>
      <c r="I1138" s="410"/>
      <c r="J1138" s="410"/>
      <c r="K1138" s="410"/>
      <c r="L1138" s="410"/>
      <c r="M1138" s="410"/>
      <c r="N1138" s="410"/>
      <c r="R1138" s="410"/>
      <c r="S1138" s="410"/>
      <c r="T1138" s="410"/>
      <c r="U1138" s="410"/>
      <c r="V1138" s="410"/>
      <c r="W1138" s="410"/>
      <c r="X1138" s="410"/>
      <c r="Y1138" s="410"/>
    </row>
    <row r="1139" spans="1:25" x14ac:dyDescent="0.2">
      <c r="A1139" s="410"/>
      <c r="B1139" s="410"/>
      <c r="C1139" s="410"/>
      <c r="D1139" s="410"/>
      <c r="E1139" s="410"/>
      <c r="F1139" s="410"/>
      <c r="G1139" s="410"/>
      <c r="H1139" s="410"/>
      <c r="I1139" s="410"/>
      <c r="J1139" s="410"/>
      <c r="K1139" s="410"/>
      <c r="L1139" s="410"/>
      <c r="M1139" s="410"/>
      <c r="N1139" s="410"/>
      <c r="R1139" s="410"/>
      <c r="S1139" s="410"/>
      <c r="T1139" s="410"/>
      <c r="U1139" s="410"/>
      <c r="V1139" s="410"/>
      <c r="W1139" s="410"/>
      <c r="X1139" s="410"/>
      <c r="Y1139" s="410"/>
    </row>
    <row r="1140" spans="1:25" x14ac:dyDescent="0.2">
      <c r="A1140" s="410"/>
      <c r="B1140" s="410"/>
      <c r="C1140" s="410"/>
      <c r="D1140" s="410"/>
      <c r="E1140" s="410"/>
      <c r="F1140" s="410"/>
      <c r="G1140" s="410"/>
      <c r="H1140" s="410"/>
      <c r="I1140" s="410"/>
      <c r="J1140" s="410"/>
      <c r="K1140" s="410"/>
      <c r="L1140" s="410"/>
      <c r="M1140" s="410"/>
      <c r="N1140" s="410"/>
      <c r="R1140" s="410"/>
      <c r="S1140" s="410"/>
      <c r="T1140" s="410"/>
      <c r="U1140" s="410"/>
      <c r="V1140" s="410"/>
      <c r="W1140" s="410"/>
      <c r="X1140" s="410"/>
      <c r="Y1140" s="410"/>
    </row>
    <row r="1141" spans="1:25" x14ac:dyDescent="0.2">
      <c r="A1141" s="410"/>
      <c r="B1141" s="410"/>
      <c r="C1141" s="410"/>
      <c r="D1141" s="410"/>
      <c r="E1141" s="410"/>
      <c r="F1141" s="410"/>
      <c r="G1141" s="410"/>
      <c r="H1141" s="410"/>
      <c r="I1141" s="410"/>
      <c r="J1141" s="410"/>
      <c r="K1141" s="410"/>
      <c r="L1141" s="410"/>
      <c r="M1141" s="410"/>
      <c r="N1141" s="410"/>
      <c r="R1141" s="410"/>
      <c r="S1141" s="410"/>
      <c r="T1141" s="410"/>
      <c r="U1141" s="410"/>
      <c r="V1141" s="410"/>
      <c r="W1141" s="410"/>
      <c r="X1141" s="410"/>
      <c r="Y1141" s="410"/>
    </row>
    <row r="1142" spans="1:25" x14ac:dyDescent="0.2">
      <c r="A1142" s="410"/>
      <c r="B1142" s="410"/>
      <c r="C1142" s="410"/>
      <c r="D1142" s="410"/>
      <c r="E1142" s="410"/>
      <c r="F1142" s="410"/>
      <c r="G1142" s="410"/>
      <c r="H1142" s="410"/>
      <c r="I1142" s="410"/>
      <c r="J1142" s="410"/>
      <c r="K1142" s="410"/>
      <c r="L1142" s="410"/>
      <c r="M1142" s="410"/>
      <c r="N1142" s="410"/>
      <c r="R1142" s="410"/>
      <c r="S1142" s="410"/>
      <c r="T1142" s="410"/>
      <c r="U1142" s="410"/>
      <c r="V1142" s="410"/>
      <c r="W1142" s="410"/>
      <c r="X1142" s="410"/>
      <c r="Y1142" s="410"/>
    </row>
    <row r="1143" spans="1:25" x14ac:dyDescent="0.2">
      <c r="A1143" s="410"/>
      <c r="B1143" s="410"/>
      <c r="C1143" s="410"/>
      <c r="D1143" s="410"/>
      <c r="E1143" s="410"/>
      <c r="F1143" s="410"/>
      <c r="G1143" s="410"/>
      <c r="H1143" s="410"/>
      <c r="I1143" s="410"/>
      <c r="J1143" s="410"/>
      <c r="K1143" s="410"/>
      <c r="L1143" s="410"/>
      <c r="M1143" s="410"/>
      <c r="N1143" s="410"/>
      <c r="R1143" s="410"/>
      <c r="S1143" s="410"/>
      <c r="T1143" s="410"/>
      <c r="U1143" s="410"/>
      <c r="V1143" s="410"/>
      <c r="W1143" s="410"/>
      <c r="X1143" s="410"/>
      <c r="Y1143" s="410"/>
    </row>
    <row r="1144" spans="1:25" x14ac:dyDescent="0.2">
      <c r="A1144" s="410"/>
      <c r="B1144" s="410"/>
      <c r="C1144" s="410"/>
      <c r="D1144" s="410"/>
      <c r="E1144" s="410"/>
      <c r="F1144" s="410"/>
      <c r="G1144" s="410"/>
      <c r="H1144" s="410"/>
      <c r="I1144" s="410"/>
      <c r="J1144" s="410"/>
      <c r="K1144" s="410"/>
      <c r="L1144" s="410"/>
      <c r="M1144" s="410"/>
      <c r="N1144" s="410"/>
      <c r="R1144" s="410"/>
      <c r="S1144" s="410"/>
      <c r="T1144" s="410"/>
      <c r="U1144" s="410"/>
      <c r="V1144" s="410"/>
      <c r="W1144" s="410"/>
      <c r="X1144" s="410"/>
      <c r="Y1144" s="410"/>
    </row>
    <row r="1145" spans="1:25" x14ac:dyDescent="0.2">
      <c r="A1145" s="410"/>
      <c r="B1145" s="410"/>
      <c r="C1145" s="410"/>
      <c r="D1145" s="410"/>
      <c r="E1145" s="410"/>
      <c r="F1145" s="410"/>
      <c r="G1145" s="410"/>
      <c r="H1145" s="410"/>
      <c r="I1145" s="410"/>
      <c r="J1145" s="410"/>
      <c r="K1145" s="410"/>
      <c r="L1145" s="410"/>
      <c r="M1145" s="410"/>
      <c r="N1145" s="410"/>
      <c r="R1145" s="410"/>
      <c r="S1145" s="410"/>
      <c r="T1145" s="410"/>
      <c r="U1145" s="410"/>
      <c r="V1145" s="410"/>
      <c r="W1145" s="410"/>
      <c r="X1145" s="410"/>
      <c r="Y1145" s="410"/>
    </row>
    <row r="1146" spans="1:25" x14ac:dyDescent="0.2">
      <c r="A1146" s="410"/>
      <c r="B1146" s="410"/>
      <c r="C1146" s="410"/>
      <c r="D1146" s="410"/>
      <c r="E1146" s="410"/>
      <c r="F1146" s="410"/>
      <c r="G1146" s="410"/>
      <c r="H1146" s="410"/>
      <c r="I1146" s="410"/>
      <c r="J1146" s="410"/>
      <c r="K1146" s="410"/>
      <c r="L1146" s="410"/>
      <c r="M1146" s="410"/>
      <c r="N1146" s="410"/>
      <c r="R1146" s="410"/>
      <c r="S1146" s="410"/>
      <c r="T1146" s="410"/>
      <c r="U1146" s="410"/>
      <c r="V1146" s="410"/>
      <c r="W1146" s="410"/>
      <c r="X1146" s="410"/>
      <c r="Y1146" s="410"/>
    </row>
    <row r="1147" spans="1:25" x14ac:dyDescent="0.2">
      <c r="A1147" s="410"/>
      <c r="B1147" s="410"/>
      <c r="C1147" s="410"/>
      <c r="D1147" s="410"/>
      <c r="E1147" s="410"/>
      <c r="F1147" s="410"/>
      <c r="G1147" s="410"/>
      <c r="H1147" s="410"/>
      <c r="I1147" s="410"/>
      <c r="J1147" s="410"/>
      <c r="K1147" s="410"/>
      <c r="L1147" s="410"/>
      <c r="M1147" s="410"/>
      <c r="N1147" s="410"/>
      <c r="R1147" s="410"/>
      <c r="S1147" s="410"/>
      <c r="T1147" s="410"/>
      <c r="U1147" s="410"/>
      <c r="V1147" s="410"/>
      <c r="W1147" s="410"/>
      <c r="X1147" s="410"/>
      <c r="Y1147" s="410"/>
    </row>
    <row r="1148" spans="1:25" x14ac:dyDescent="0.2">
      <c r="A1148" s="410"/>
      <c r="B1148" s="410"/>
      <c r="C1148" s="410"/>
      <c r="D1148" s="410"/>
      <c r="E1148" s="410"/>
      <c r="F1148" s="410"/>
      <c r="G1148" s="410"/>
      <c r="H1148" s="410"/>
      <c r="I1148" s="410"/>
      <c r="J1148" s="410"/>
      <c r="K1148" s="410"/>
      <c r="L1148" s="410"/>
      <c r="M1148" s="410"/>
      <c r="N1148" s="410"/>
      <c r="R1148" s="410"/>
      <c r="S1148" s="410"/>
      <c r="T1148" s="410"/>
      <c r="U1148" s="410"/>
      <c r="V1148" s="410"/>
      <c r="W1148" s="410"/>
      <c r="X1148" s="410"/>
      <c r="Y1148" s="410"/>
    </row>
    <row r="1149" spans="1:25" x14ac:dyDescent="0.2">
      <c r="A1149" s="410"/>
      <c r="B1149" s="410"/>
      <c r="C1149" s="410"/>
      <c r="D1149" s="410"/>
      <c r="E1149" s="410"/>
      <c r="F1149" s="410"/>
      <c r="G1149" s="410"/>
      <c r="H1149" s="410"/>
      <c r="I1149" s="410"/>
      <c r="J1149" s="410"/>
      <c r="K1149" s="410"/>
      <c r="L1149" s="410"/>
      <c r="M1149" s="410"/>
      <c r="N1149" s="410"/>
      <c r="R1149" s="410"/>
      <c r="S1149" s="410"/>
      <c r="T1149" s="410"/>
      <c r="U1149" s="410"/>
      <c r="V1149" s="410"/>
      <c r="W1149" s="410"/>
      <c r="X1149" s="410"/>
      <c r="Y1149" s="410"/>
    </row>
    <row r="1150" spans="1:25" x14ac:dyDescent="0.2">
      <c r="A1150" s="410"/>
      <c r="B1150" s="410"/>
      <c r="C1150" s="410"/>
      <c r="D1150" s="410"/>
      <c r="E1150" s="410"/>
      <c r="F1150" s="410"/>
      <c r="G1150" s="410"/>
      <c r="H1150" s="410"/>
      <c r="I1150" s="410"/>
      <c r="J1150" s="410"/>
      <c r="K1150" s="410"/>
      <c r="L1150" s="410"/>
      <c r="M1150" s="410"/>
      <c r="N1150" s="410"/>
      <c r="R1150" s="410"/>
      <c r="S1150" s="410"/>
      <c r="T1150" s="410"/>
      <c r="U1150" s="410"/>
      <c r="V1150" s="410"/>
      <c r="W1150" s="410"/>
      <c r="X1150" s="410"/>
      <c r="Y1150" s="410"/>
    </row>
    <row r="1151" spans="1:25" x14ac:dyDescent="0.2">
      <c r="A1151" s="410"/>
      <c r="B1151" s="410"/>
      <c r="C1151" s="410"/>
      <c r="D1151" s="410"/>
      <c r="E1151" s="410"/>
      <c r="F1151" s="410"/>
      <c r="G1151" s="410"/>
      <c r="H1151" s="410"/>
      <c r="I1151" s="410"/>
      <c r="J1151" s="410"/>
      <c r="K1151" s="410"/>
      <c r="L1151" s="410"/>
      <c r="M1151" s="410"/>
      <c r="N1151" s="410"/>
      <c r="R1151" s="410"/>
      <c r="S1151" s="410"/>
      <c r="T1151" s="410"/>
      <c r="U1151" s="410"/>
      <c r="V1151" s="410"/>
      <c r="W1151" s="410"/>
      <c r="X1151" s="410"/>
      <c r="Y1151" s="410"/>
    </row>
    <row r="1152" spans="1:25" x14ac:dyDescent="0.2">
      <c r="A1152" s="410"/>
      <c r="B1152" s="410"/>
      <c r="C1152" s="410"/>
      <c r="D1152" s="410"/>
      <c r="E1152" s="410"/>
      <c r="F1152" s="410"/>
      <c r="G1152" s="410"/>
      <c r="H1152" s="410"/>
      <c r="I1152" s="410"/>
      <c r="J1152" s="410"/>
      <c r="K1152" s="410"/>
      <c r="L1152" s="410"/>
      <c r="M1152" s="410"/>
      <c r="N1152" s="410"/>
      <c r="R1152" s="410"/>
      <c r="S1152" s="410"/>
      <c r="T1152" s="410"/>
      <c r="U1152" s="410"/>
      <c r="V1152" s="410"/>
      <c r="W1152" s="410"/>
      <c r="X1152" s="410"/>
      <c r="Y1152" s="410"/>
    </row>
    <row r="1153" spans="1:25" x14ac:dyDescent="0.2">
      <c r="A1153" s="410"/>
      <c r="B1153" s="410"/>
      <c r="C1153" s="410"/>
      <c r="D1153" s="410"/>
      <c r="E1153" s="410"/>
      <c r="F1153" s="410"/>
      <c r="G1153" s="410"/>
      <c r="H1153" s="410"/>
      <c r="I1153" s="410"/>
      <c r="J1153" s="410"/>
      <c r="K1153" s="410"/>
      <c r="L1153" s="410"/>
      <c r="M1153" s="410"/>
      <c r="N1153" s="410"/>
      <c r="R1153" s="410"/>
      <c r="S1153" s="410"/>
      <c r="T1153" s="410"/>
      <c r="U1153" s="410"/>
      <c r="V1153" s="410"/>
      <c r="W1153" s="410"/>
      <c r="X1153" s="410"/>
      <c r="Y1153" s="410"/>
    </row>
    <row r="1154" spans="1:25" x14ac:dyDescent="0.2">
      <c r="A1154" s="410"/>
      <c r="B1154" s="410"/>
      <c r="C1154" s="410"/>
      <c r="D1154" s="410"/>
      <c r="E1154" s="410"/>
      <c r="F1154" s="410"/>
      <c r="G1154" s="410"/>
      <c r="H1154" s="410"/>
      <c r="I1154" s="410"/>
      <c r="J1154" s="410"/>
      <c r="K1154" s="410"/>
      <c r="L1154" s="410"/>
      <c r="M1154" s="410"/>
      <c r="N1154" s="410"/>
      <c r="R1154" s="410"/>
      <c r="S1154" s="410"/>
      <c r="T1154" s="410"/>
      <c r="U1154" s="410"/>
      <c r="V1154" s="410"/>
      <c r="W1154" s="410"/>
      <c r="X1154" s="410"/>
      <c r="Y1154" s="410"/>
    </row>
    <row r="1155" spans="1:25" x14ac:dyDescent="0.2">
      <c r="A1155" s="410"/>
      <c r="B1155" s="410"/>
      <c r="C1155" s="410"/>
      <c r="D1155" s="410"/>
      <c r="E1155" s="410"/>
      <c r="F1155" s="410"/>
      <c r="G1155" s="410"/>
      <c r="H1155" s="410"/>
      <c r="I1155" s="410"/>
      <c r="J1155" s="410"/>
      <c r="K1155" s="410"/>
      <c r="L1155" s="410"/>
      <c r="M1155" s="410"/>
      <c r="N1155" s="410"/>
      <c r="R1155" s="410"/>
      <c r="S1155" s="410"/>
      <c r="T1155" s="410"/>
      <c r="U1155" s="410"/>
      <c r="V1155" s="410"/>
      <c r="W1155" s="410"/>
      <c r="X1155" s="410"/>
      <c r="Y1155" s="410"/>
    </row>
    <row r="1156" spans="1:25" x14ac:dyDescent="0.2">
      <c r="A1156" s="410"/>
      <c r="B1156" s="410"/>
      <c r="C1156" s="410"/>
      <c r="D1156" s="410"/>
      <c r="E1156" s="410"/>
      <c r="F1156" s="410"/>
      <c r="G1156" s="410"/>
      <c r="H1156" s="410"/>
      <c r="I1156" s="410"/>
      <c r="J1156" s="410"/>
      <c r="K1156" s="410"/>
      <c r="L1156" s="410"/>
      <c r="M1156" s="410"/>
      <c r="N1156" s="410"/>
      <c r="R1156" s="410"/>
      <c r="S1156" s="410"/>
      <c r="T1156" s="410"/>
      <c r="U1156" s="410"/>
      <c r="V1156" s="410"/>
      <c r="W1156" s="410"/>
      <c r="X1156" s="410"/>
      <c r="Y1156" s="410"/>
    </row>
    <row r="1157" spans="1:25" x14ac:dyDescent="0.2">
      <c r="A1157" s="410"/>
      <c r="B1157" s="410"/>
      <c r="C1157" s="410"/>
      <c r="D1157" s="410"/>
      <c r="E1157" s="410"/>
      <c r="F1157" s="410"/>
      <c r="G1157" s="410"/>
      <c r="H1157" s="410"/>
      <c r="I1157" s="410"/>
      <c r="J1157" s="410"/>
      <c r="K1157" s="410"/>
      <c r="L1157" s="410"/>
      <c r="M1157" s="410"/>
      <c r="N1157" s="410"/>
      <c r="R1157" s="410"/>
      <c r="S1157" s="410"/>
      <c r="T1157" s="410"/>
      <c r="U1157" s="410"/>
      <c r="V1157" s="410"/>
      <c r="W1157" s="410"/>
      <c r="X1157" s="410"/>
      <c r="Y1157" s="410"/>
    </row>
    <row r="1158" spans="1:25" x14ac:dyDescent="0.2">
      <c r="A1158" s="410"/>
      <c r="B1158" s="410"/>
      <c r="C1158" s="410"/>
      <c r="D1158" s="410"/>
      <c r="E1158" s="410"/>
      <c r="F1158" s="410"/>
      <c r="G1158" s="410"/>
      <c r="H1158" s="410"/>
      <c r="I1158" s="410"/>
      <c r="J1158" s="410"/>
      <c r="K1158" s="410"/>
      <c r="L1158" s="410"/>
      <c r="M1158" s="410"/>
      <c r="N1158" s="410"/>
      <c r="R1158" s="410"/>
      <c r="S1158" s="410"/>
      <c r="T1158" s="410"/>
      <c r="U1158" s="410"/>
      <c r="V1158" s="410"/>
      <c r="W1158" s="410"/>
      <c r="X1158" s="410"/>
      <c r="Y1158" s="410"/>
    </row>
    <row r="1159" spans="1:25" x14ac:dyDescent="0.2">
      <c r="A1159" s="410"/>
      <c r="B1159" s="410"/>
      <c r="C1159" s="410"/>
      <c r="D1159" s="410"/>
      <c r="E1159" s="410"/>
      <c r="F1159" s="410"/>
      <c r="G1159" s="410"/>
      <c r="H1159" s="410"/>
      <c r="I1159" s="410"/>
      <c r="J1159" s="410"/>
      <c r="K1159" s="410"/>
      <c r="L1159" s="410"/>
      <c r="M1159" s="410"/>
      <c r="N1159" s="410"/>
      <c r="R1159" s="410"/>
      <c r="S1159" s="410"/>
      <c r="T1159" s="410"/>
      <c r="U1159" s="410"/>
      <c r="V1159" s="410"/>
      <c r="W1159" s="410"/>
      <c r="X1159" s="410"/>
      <c r="Y1159" s="410"/>
    </row>
    <row r="1160" spans="1:25" x14ac:dyDescent="0.2">
      <c r="A1160" s="410"/>
      <c r="B1160" s="410"/>
      <c r="C1160" s="410"/>
      <c r="D1160" s="410"/>
      <c r="E1160" s="410"/>
      <c r="F1160" s="410"/>
      <c r="G1160" s="410"/>
      <c r="H1160" s="410"/>
      <c r="I1160" s="410"/>
      <c r="J1160" s="410"/>
      <c r="K1160" s="410"/>
      <c r="L1160" s="410"/>
      <c r="M1160" s="410"/>
      <c r="N1160" s="410"/>
      <c r="R1160" s="410"/>
      <c r="S1160" s="410"/>
      <c r="T1160" s="410"/>
      <c r="U1160" s="410"/>
      <c r="V1160" s="410"/>
      <c r="W1160" s="410"/>
      <c r="X1160" s="410"/>
      <c r="Y1160" s="410"/>
    </row>
    <row r="1161" spans="1:25" x14ac:dyDescent="0.2">
      <c r="A1161" s="410"/>
      <c r="B1161" s="410"/>
      <c r="C1161" s="410"/>
      <c r="D1161" s="410"/>
      <c r="E1161" s="410"/>
      <c r="F1161" s="410"/>
      <c r="G1161" s="410"/>
      <c r="H1161" s="410"/>
      <c r="I1161" s="410"/>
      <c r="J1161" s="410"/>
      <c r="K1161" s="410"/>
      <c r="L1161" s="410"/>
      <c r="M1161" s="410"/>
      <c r="N1161" s="410"/>
      <c r="R1161" s="410"/>
      <c r="S1161" s="410"/>
      <c r="T1161" s="410"/>
      <c r="U1161" s="410"/>
      <c r="V1161" s="410"/>
      <c r="W1161" s="410"/>
      <c r="X1161" s="410"/>
      <c r="Y1161" s="410"/>
    </row>
    <row r="1162" spans="1:25" x14ac:dyDescent="0.2">
      <c r="A1162" s="410"/>
      <c r="B1162" s="410"/>
      <c r="C1162" s="410"/>
      <c r="D1162" s="410"/>
      <c r="E1162" s="410"/>
      <c r="F1162" s="410"/>
      <c r="G1162" s="410"/>
      <c r="H1162" s="410"/>
      <c r="I1162" s="410"/>
      <c r="J1162" s="410"/>
      <c r="K1162" s="410"/>
      <c r="L1162" s="410"/>
      <c r="M1162" s="410"/>
      <c r="N1162" s="410"/>
      <c r="R1162" s="410"/>
      <c r="S1162" s="410"/>
      <c r="T1162" s="410"/>
      <c r="U1162" s="410"/>
      <c r="V1162" s="410"/>
      <c r="W1162" s="410"/>
      <c r="X1162" s="410"/>
      <c r="Y1162" s="410"/>
    </row>
    <row r="1163" spans="1:25" x14ac:dyDescent="0.2">
      <c r="A1163" s="410"/>
      <c r="B1163" s="410"/>
      <c r="C1163" s="410"/>
      <c r="D1163" s="410"/>
      <c r="E1163" s="410"/>
      <c r="F1163" s="410"/>
      <c r="G1163" s="410"/>
      <c r="H1163" s="410"/>
      <c r="I1163" s="410"/>
      <c r="J1163" s="410"/>
      <c r="K1163" s="410"/>
      <c r="L1163" s="410"/>
      <c r="M1163" s="410"/>
      <c r="N1163" s="410"/>
      <c r="R1163" s="410"/>
      <c r="S1163" s="410"/>
      <c r="T1163" s="410"/>
      <c r="U1163" s="410"/>
      <c r="V1163" s="410"/>
      <c r="W1163" s="410"/>
      <c r="X1163" s="410"/>
      <c r="Y1163" s="410"/>
    </row>
    <row r="1164" spans="1:25" x14ac:dyDescent="0.2">
      <c r="A1164" s="410"/>
      <c r="B1164" s="410"/>
      <c r="C1164" s="410"/>
      <c r="D1164" s="410"/>
      <c r="E1164" s="410"/>
      <c r="F1164" s="410"/>
      <c r="G1164" s="410"/>
      <c r="H1164" s="410"/>
      <c r="I1164" s="410"/>
      <c r="J1164" s="410"/>
      <c r="K1164" s="410"/>
      <c r="L1164" s="410"/>
      <c r="M1164" s="410"/>
      <c r="N1164" s="410"/>
      <c r="R1164" s="410"/>
      <c r="S1164" s="410"/>
      <c r="T1164" s="410"/>
      <c r="U1164" s="410"/>
      <c r="V1164" s="410"/>
      <c r="W1164" s="410"/>
      <c r="X1164" s="410"/>
      <c r="Y1164" s="410"/>
    </row>
    <row r="1165" spans="1:25" x14ac:dyDescent="0.2">
      <c r="A1165" s="410"/>
      <c r="B1165" s="410"/>
      <c r="C1165" s="410"/>
      <c r="D1165" s="410"/>
      <c r="E1165" s="410"/>
      <c r="F1165" s="410"/>
      <c r="G1165" s="410"/>
      <c r="H1165" s="410"/>
      <c r="I1165" s="410"/>
      <c r="J1165" s="410"/>
      <c r="K1165" s="410"/>
      <c r="L1165" s="410"/>
      <c r="M1165" s="410"/>
      <c r="N1165" s="410"/>
      <c r="R1165" s="410"/>
      <c r="S1165" s="410"/>
      <c r="T1165" s="410"/>
      <c r="U1165" s="410"/>
      <c r="V1165" s="410"/>
      <c r="W1165" s="410"/>
      <c r="X1165" s="410"/>
      <c r="Y1165" s="410"/>
    </row>
    <row r="1166" spans="1:25" x14ac:dyDescent="0.2">
      <c r="A1166" s="410"/>
      <c r="B1166" s="410"/>
      <c r="C1166" s="410"/>
      <c r="D1166" s="410"/>
      <c r="E1166" s="410"/>
      <c r="F1166" s="410"/>
      <c r="G1166" s="410"/>
      <c r="H1166" s="410"/>
      <c r="I1166" s="410"/>
      <c r="J1166" s="410"/>
      <c r="K1166" s="410"/>
      <c r="L1166" s="410"/>
      <c r="M1166" s="410"/>
      <c r="N1166" s="410"/>
      <c r="R1166" s="410"/>
      <c r="S1166" s="410"/>
      <c r="T1166" s="410"/>
      <c r="U1166" s="410"/>
      <c r="V1166" s="410"/>
      <c r="W1166" s="410"/>
      <c r="X1166" s="410"/>
      <c r="Y1166" s="410"/>
    </row>
    <row r="1167" spans="1:25" x14ac:dyDescent="0.2">
      <c r="A1167" s="410"/>
      <c r="B1167" s="410"/>
      <c r="C1167" s="410"/>
      <c r="D1167" s="410"/>
      <c r="E1167" s="410"/>
      <c r="F1167" s="410"/>
      <c r="G1167" s="410"/>
      <c r="H1167" s="410"/>
      <c r="I1167" s="410"/>
      <c r="J1167" s="410"/>
      <c r="K1167" s="410"/>
      <c r="L1167" s="410"/>
      <c r="M1167" s="410"/>
      <c r="N1167" s="410"/>
      <c r="R1167" s="410"/>
      <c r="S1167" s="410"/>
      <c r="T1167" s="410"/>
      <c r="U1167" s="410"/>
      <c r="V1167" s="410"/>
      <c r="W1167" s="410"/>
      <c r="X1167" s="410"/>
      <c r="Y1167" s="410"/>
    </row>
    <row r="1168" spans="1:25" x14ac:dyDescent="0.2">
      <c r="A1168" s="410"/>
      <c r="B1168" s="410"/>
      <c r="C1168" s="410"/>
      <c r="D1168" s="410"/>
      <c r="E1168" s="410"/>
      <c r="F1168" s="410"/>
      <c r="G1168" s="410"/>
      <c r="H1168" s="410"/>
      <c r="I1168" s="410"/>
      <c r="J1168" s="410"/>
      <c r="K1168" s="410"/>
      <c r="L1168" s="410"/>
      <c r="M1168" s="410"/>
      <c r="N1168" s="410"/>
      <c r="R1168" s="410"/>
      <c r="S1168" s="410"/>
      <c r="T1168" s="410"/>
      <c r="U1168" s="410"/>
      <c r="V1168" s="410"/>
      <c r="W1168" s="410"/>
      <c r="X1168" s="410"/>
      <c r="Y1168" s="410"/>
    </row>
    <row r="1169" spans="1:25" x14ac:dyDescent="0.2">
      <c r="A1169" s="410"/>
      <c r="B1169" s="410"/>
      <c r="C1169" s="410"/>
      <c r="D1169" s="410"/>
      <c r="E1169" s="410"/>
      <c r="F1169" s="410"/>
      <c r="G1169" s="410"/>
      <c r="H1169" s="410"/>
      <c r="I1169" s="410"/>
      <c r="J1169" s="410"/>
      <c r="K1169" s="410"/>
      <c r="L1169" s="410"/>
      <c r="M1169" s="410"/>
      <c r="N1169" s="410"/>
      <c r="R1169" s="410"/>
      <c r="S1169" s="410"/>
      <c r="T1169" s="410"/>
      <c r="U1169" s="410"/>
      <c r="V1169" s="410"/>
      <c r="W1169" s="410"/>
      <c r="X1169" s="410"/>
      <c r="Y1169" s="410"/>
    </row>
    <row r="1170" spans="1:25" x14ac:dyDescent="0.2">
      <c r="A1170" s="410"/>
      <c r="B1170" s="410"/>
      <c r="C1170" s="410"/>
      <c r="D1170" s="410"/>
      <c r="E1170" s="410"/>
      <c r="F1170" s="410"/>
      <c r="G1170" s="410"/>
      <c r="H1170" s="410"/>
      <c r="I1170" s="410"/>
      <c r="J1170" s="410"/>
      <c r="K1170" s="410"/>
      <c r="L1170" s="410"/>
      <c r="M1170" s="410"/>
      <c r="N1170" s="410"/>
      <c r="R1170" s="410"/>
      <c r="S1170" s="410"/>
      <c r="T1170" s="410"/>
      <c r="U1170" s="410"/>
      <c r="V1170" s="410"/>
      <c r="W1170" s="410"/>
      <c r="X1170" s="410"/>
      <c r="Y1170" s="410"/>
    </row>
    <row r="1171" spans="1:25" x14ac:dyDescent="0.2">
      <c r="A1171" s="410"/>
      <c r="B1171" s="410"/>
      <c r="C1171" s="410"/>
      <c r="D1171" s="410"/>
      <c r="E1171" s="410"/>
      <c r="F1171" s="410"/>
      <c r="G1171" s="410"/>
      <c r="H1171" s="410"/>
      <c r="I1171" s="410"/>
      <c r="J1171" s="410"/>
      <c r="K1171" s="410"/>
      <c r="L1171" s="410"/>
      <c r="M1171" s="410"/>
      <c r="N1171" s="410"/>
      <c r="R1171" s="410"/>
      <c r="S1171" s="410"/>
      <c r="T1171" s="410"/>
      <c r="U1171" s="410"/>
      <c r="V1171" s="410"/>
      <c r="W1171" s="410"/>
      <c r="X1171" s="410"/>
      <c r="Y1171" s="410"/>
    </row>
    <row r="1172" spans="1:25" x14ac:dyDescent="0.2">
      <c r="A1172" s="410"/>
      <c r="B1172" s="410"/>
      <c r="C1172" s="410"/>
      <c r="D1172" s="410"/>
      <c r="E1172" s="410"/>
      <c r="F1172" s="410"/>
      <c r="G1172" s="410"/>
      <c r="H1172" s="410"/>
      <c r="I1172" s="410"/>
      <c r="J1172" s="410"/>
      <c r="K1172" s="410"/>
      <c r="L1172" s="410"/>
      <c r="M1172" s="410"/>
      <c r="N1172" s="410"/>
      <c r="R1172" s="410"/>
      <c r="S1172" s="410"/>
      <c r="T1172" s="410"/>
      <c r="U1172" s="410"/>
      <c r="V1172" s="410"/>
      <c r="W1172" s="410"/>
      <c r="X1172" s="410"/>
      <c r="Y1172" s="410"/>
    </row>
    <row r="1173" spans="1:25" x14ac:dyDescent="0.2">
      <c r="A1173" s="410"/>
      <c r="B1173" s="410"/>
      <c r="C1173" s="410"/>
      <c r="D1173" s="410"/>
      <c r="E1173" s="410"/>
      <c r="F1173" s="410"/>
      <c r="G1173" s="410"/>
      <c r="H1173" s="410"/>
      <c r="I1173" s="410"/>
      <c r="J1173" s="410"/>
      <c r="K1173" s="410"/>
      <c r="L1173" s="410"/>
      <c r="M1173" s="410"/>
      <c r="N1173" s="410"/>
      <c r="R1173" s="410"/>
      <c r="S1173" s="410"/>
      <c r="T1173" s="410"/>
      <c r="U1173" s="410"/>
      <c r="V1173" s="410"/>
      <c r="W1173" s="410"/>
      <c r="X1173" s="410"/>
      <c r="Y1173" s="410"/>
    </row>
    <row r="1174" spans="1:25" x14ac:dyDescent="0.2">
      <c r="A1174" s="410"/>
      <c r="B1174" s="410"/>
      <c r="C1174" s="410"/>
      <c r="D1174" s="410"/>
      <c r="E1174" s="410"/>
      <c r="F1174" s="410"/>
      <c r="G1174" s="410"/>
      <c r="H1174" s="410"/>
      <c r="I1174" s="410"/>
      <c r="J1174" s="410"/>
      <c r="K1174" s="410"/>
      <c r="L1174" s="410"/>
      <c r="M1174" s="410"/>
      <c r="N1174" s="410"/>
      <c r="R1174" s="410"/>
      <c r="S1174" s="410"/>
      <c r="T1174" s="410"/>
      <c r="U1174" s="410"/>
      <c r="V1174" s="410"/>
      <c r="W1174" s="410"/>
      <c r="X1174" s="410"/>
      <c r="Y1174" s="410"/>
    </row>
    <row r="1175" spans="1:25" x14ac:dyDescent="0.2">
      <c r="A1175" s="410"/>
      <c r="B1175" s="410"/>
      <c r="C1175" s="410"/>
      <c r="D1175" s="410"/>
      <c r="E1175" s="410"/>
      <c r="F1175" s="410"/>
      <c r="G1175" s="410"/>
      <c r="H1175" s="410"/>
      <c r="I1175" s="410"/>
      <c r="J1175" s="410"/>
      <c r="K1175" s="410"/>
      <c r="L1175" s="410"/>
      <c r="M1175" s="410"/>
      <c r="N1175" s="410"/>
      <c r="R1175" s="410"/>
      <c r="S1175" s="410"/>
      <c r="T1175" s="410"/>
      <c r="U1175" s="410"/>
      <c r="V1175" s="410"/>
      <c r="W1175" s="410"/>
      <c r="X1175" s="410"/>
      <c r="Y1175" s="410"/>
    </row>
    <row r="1176" spans="1:25" x14ac:dyDescent="0.2">
      <c r="A1176" s="410"/>
      <c r="B1176" s="410"/>
      <c r="C1176" s="410"/>
      <c r="D1176" s="410"/>
      <c r="E1176" s="410"/>
      <c r="F1176" s="410"/>
      <c r="G1176" s="410"/>
      <c r="H1176" s="410"/>
      <c r="I1176" s="410"/>
      <c r="J1176" s="410"/>
      <c r="K1176" s="410"/>
      <c r="L1176" s="410"/>
      <c r="M1176" s="410"/>
      <c r="N1176" s="410"/>
      <c r="R1176" s="410"/>
      <c r="S1176" s="410"/>
      <c r="T1176" s="410"/>
      <c r="U1176" s="410"/>
      <c r="V1176" s="410"/>
      <c r="W1176" s="410"/>
      <c r="X1176" s="410"/>
      <c r="Y1176" s="410"/>
    </row>
    <row r="1177" spans="1:25" x14ac:dyDescent="0.2">
      <c r="A1177" s="410"/>
      <c r="B1177" s="410"/>
      <c r="C1177" s="410"/>
      <c r="D1177" s="410"/>
      <c r="E1177" s="410"/>
      <c r="F1177" s="410"/>
      <c r="G1177" s="410"/>
      <c r="H1177" s="410"/>
      <c r="I1177" s="410"/>
      <c r="J1177" s="410"/>
      <c r="K1177" s="410"/>
      <c r="L1177" s="410"/>
      <c r="M1177" s="410"/>
      <c r="N1177" s="410"/>
      <c r="R1177" s="410"/>
      <c r="S1177" s="410"/>
      <c r="T1177" s="410"/>
      <c r="U1177" s="410"/>
      <c r="V1177" s="410"/>
      <c r="W1177" s="410"/>
      <c r="X1177" s="410"/>
      <c r="Y1177" s="410"/>
    </row>
    <row r="1178" spans="1:25" x14ac:dyDescent="0.2">
      <c r="A1178" s="410"/>
      <c r="B1178" s="410"/>
      <c r="C1178" s="410"/>
      <c r="D1178" s="410"/>
      <c r="E1178" s="410"/>
      <c r="F1178" s="410"/>
      <c r="G1178" s="410"/>
      <c r="H1178" s="410"/>
      <c r="I1178" s="410"/>
      <c r="J1178" s="410"/>
      <c r="K1178" s="410"/>
      <c r="L1178" s="410"/>
      <c r="M1178" s="410"/>
      <c r="N1178" s="410"/>
      <c r="R1178" s="410"/>
      <c r="S1178" s="410"/>
      <c r="T1178" s="410"/>
      <c r="U1178" s="410"/>
      <c r="V1178" s="410"/>
      <c r="W1178" s="410"/>
      <c r="X1178" s="410"/>
      <c r="Y1178" s="410"/>
    </row>
    <row r="1179" spans="1:25" x14ac:dyDescent="0.2">
      <c r="A1179" s="410"/>
      <c r="B1179" s="410"/>
      <c r="C1179" s="410"/>
      <c r="D1179" s="410"/>
      <c r="E1179" s="410"/>
      <c r="F1179" s="410"/>
      <c r="G1179" s="410"/>
      <c r="H1179" s="410"/>
      <c r="I1179" s="410"/>
      <c r="J1179" s="410"/>
      <c r="K1179" s="410"/>
      <c r="L1179" s="410"/>
      <c r="M1179" s="410"/>
      <c r="N1179" s="410"/>
      <c r="R1179" s="410"/>
      <c r="S1179" s="410"/>
      <c r="T1179" s="410"/>
      <c r="U1179" s="410"/>
      <c r="V1179" s="410"/>
      <c r="W1179" s="410"/>
      <c r="X1179" s="410"/>
      <c r="Y1179" s="410"/>
    </row>
    <row r="1180" spans="1:25" x14ac:dyDescent="0.2">
      <c r="A1180" s="410"/>
      <c r="B1180" s="410"/>
      <c r="C1180" s="410"/>
      <c r="D1180" s="410"/>
      <c r="E1180" s="410"/>
      <c r="F1180" s="410"/>
      <c r="G1180" s="410"/>
      <c r="H1180" s="410"/>
      <c r="I1180" s="410"/>
      <c r="J1180" s="410"/>
      <c r="K1180" s="410"/>
      <c r="L1180" s="410"/>
      <c r="M1180" s="410"/>
      <c r="N1180" s="410"/>
      <c r="R1180" s="410"/>
      <c r="S1180" s="410"/>
      <c r="T1180" s="410"/>
      <c r="U1180" s="410"/>
      <c r="V1180" s="410"/>
      <c r="W1180" s="410"/>
      <c r="X1180" s="410"/>
      <c r="Y1180" s="410"/>
    </row>
    <row r="1181" spans="1:25" x14ac:dyDescent="0.2">
      <c r="A1181" s="410"/>
      <c r="B1181" s="410"/>
      <c r="C1181" s="410"/>
      <c r="D1181" s="410"/>
      <c r="E1181" s="410"/>
      <c r="F1181" s="410"/>
      <c r="G1181" s="410"/>
      <c r="H1181" s="410"/>
      <c r="I1181" s="410"/>
      <c r="J1181" s="410"/>
      <c r="K1181" s="410"/>
      <c r="L1181" s="410"/>
      <c r="M1181" s="410"/>
      <c r="N1181" s="410"/>
      <c r="R1181" s="410"/>
      <c r="S1181" s="410"/>
      <c r="T1181" s="410"/>
      <c r="U1181" s="410"/>
      <c r="V1181" s="410"/>
      <c r="W1181" s="410"/>
      <c r="X1181" s="410"/>
      <c r="Y1181" s="410"/>
    </row>
    <row r="1182" spans="1:25" x14ac:dyDescent="0.2">
      <c r="A1182" s="410"/>
      <c r="B1182" s="410"/>
      <c r="C1182" s="410"/>
      <c r="D1182" s="410"/>
      <c r="E1182" s="410"/>
      <c r="F1182" s="410"/>
      <c r="G1182" s="410"/>
      <c r="H1182" s="410"/>
      <c r="I1182" s="410"/>
      <c r="J1182" s="410"/>
      <c r="K1182" s="410"/>
      <c r="L1182" s="410"/>
      <c r="M1182" s="410"/>
      <c r="N1182" s="410"/>
      <c r="R1182" s="410"/>
      <c r="S1182" s="410"/>
      <c r="T1182" s="410"/>
      <c r="U1182" s="410"/>
      <c r="V1182" s="410"/>
      <c r="W1182" s="410"/>
      <c r="X1182" s="410"/>
      <c r="Y1182" s="410"/>
    </row>
    <row r="1183" spans="1:25" x14ac:dyDescent="0.2">
      <c r="A1183" s="410"/>
      <c r="B1183" s="410"/>
      <c r="C1183" s="410"/>
      <c r="D1183" s="410"/>
      <c r="E1183" s="410"/>
      <c r="F1183" s="410"/>
      <c r="G1183" s="410"/>
      <c r="H1183" s="410"/>
      <c r="I1183" s="410"/>
      <c r="J1183" s="410"/>
      <c r="K1183" s="410"/>
      <c r="L1183" s="410"/>
      <c r="M1183" s="410"/>
      <c r="N1183" s="410"/>
      <c r="R1183" s="410"/>
      <c r="S1183" s="410"/>
      <c r="T1183" s="410"/>
      <c r="U1183" s="410"/>
      <c r="V1183" s="410"/>
      <c r="W1183" s="410"/>
      <c r="X1183" s="410"/>
      <c r="Y1183" s="410"/>
    </row>
    <row r="1184" spans="1:25" x14ac:dyDescent="0.2">
      <c r="A1184" s="410"/>
      <c r="B1184" s="410"/>
      <c r="C1184" s="410"/>
      <c r="D1184" s="410"/>
      <c r="E1184" s="410"/>
      <c r="F1184" s="410"/>
      <c r="G1184" s="410"/>
      <c r="H1184" s="410"/>
      <c r="I1184" s="410"/>
      <c r="J1184" s="410"/>
      <c r="K1184" s="410"/>
      <c r="L1184" s="410"/>
      <c r="M1184" s="410"/>
      <c r="N1184" s="410"/>
      <c r="R1184" s="410"/>
      <c r="S1184" s="410"/>
      <c r="T1184" s="410"/>
      <c r="U1184" s="410"/>
      <c r="V1184" s="410"/>
      <c r="W1184" s="410"/>
      <c r="X1184" s="410"/>
      <c r="Y1184" s="410"/>
    </row>
    <row r="1185" spans="1:25" x14ac:dyDescent="0.2">
      <c r="A1185" s="410"/>
      <c r="B1185" s="410"/>
      <c r="C1185" s="410"/>
      <c r="D1185" s="410"/>
      <c r="E1185" s="410"/>
      <c r="F1185" s="410"/>
      <c r="G1185" s="410"/>
      <c r="H1185" s="410"/>
      <c r="I1185" s="410"/>
      <c r="J1185" s="410"/>
      <c r="K1185" s="410"/>
      <c r="L1185" s="410"/>
      <c r="M1185" s="410"/>
      <c r="N1185" s="410"/>
      <c r="R1185" s="410"/>
      <c r="S1185" s="410"/>
      <c r="T1185" s="410"/>
      <c r="U1185" s="410"/>
      <c r="V1185" s="410"/>
      <c r="W1185" s="410"/>
      <c r="X1185" s="410"/>
      <c r="Y1185" s="410"/>
    </row>
    <row r="1186" spans="1:25" x14ac:dyDescent="0.2">
      <c r="A1186" s="410"/>
      <c r="B1186" s="410"/>
      <c r="C1186" s="410"/>
      <c r="D1186" s="410"/>
      <c r="E1186" s="410"/>
      <c r="F1186" s="410"/>
      <c r="G1186" s="410"/>
      <c r="H1186" s="410"/>
      <c r="I1186" s="410"/>
      <c r="J1186" s="410"/>
      <c r="K1186" s="410"/>
      <c r="L1186" s="410"/>
      <c r="M1186" s="410"/>
      <c r="N1186" s="410"/>
      <c r="R1186" s="410"/>
      <c r="S1186" s="410"/>
      <c r="T1186" s="410"/>
      <c r="U1186" s="410"/>
      <c r="V1186" s="410"/>
      <c r="W1186" s="410"/>
      <c r="X1186" s="410"/>
      <c r="Y1186" s="410"/>
    </row>
    <row r="1187" spans="1:25" x14ac:dyDescent="0.2">
      <c r="A1187" s="410"/>
      <c r="B1187" s="410"/>
      <c r="C1187" s="410"/>
      <c r="D1187" s="410"/>
      <c r="E1187" s="410"/>
      <c r="F1187" s="410"/>
      <c r="G1187" s="410"/>
      <c r="H1187" s="410"/>
      <c r="I1187" s="410"/>
      <c r="J1187" s="410"/>
      <c r="K1187" s="410"/>
      <c r="L1187" s="410"/>
      <c r="M1187" s="410"/>
      <c r="N1187" s="410"/>
      <c r="R1187" s="410"/>
      <c r="S1187" s="410"/>
      <c r="T1187" s="410"/>
      <c r="U1187" s="410"/>
      <c r="V1187" s="410"/>
      <c r="W1187" s="410"/>
      <c r="X1187" s="410"/>
      <c r="Y1187" s="410"/>
    </row>
    <row r="1188" spans="1:25" x14ac:dyDescent="0.2">
      <c r="A1188" s="410"/>
      <c r="B1188" s="410"/>
      <c r="C1188" s="410"/>
      <c r="D1188" s="410"/>
      <c r="E1188" s="410"/>
      <c r="F1188" s="410"/>
      <c r="G1188" s="410"/>
      <c r="H1188" s="410"/>
      <c r="I1188" s="410"/>
      <c r="J1188" s="410"/>
      <c r="K1188" s="410"/>
      <c r="L1188" s="410"/>
      <c r="M1188" s="410"/>
      <c r="N1188" s="410"/>
      <c r="R1188" s="410"/>
      <c r="S1188" s="410"/>
      <c r="T1188" s="410"/>
      <c r="U1188" s="410"/>
      <c r="V1188" s="410"/>
      <c r="W1188" s="410"/>
      <c r="X1188" s="410"/>
      <c r="Y1188" s="410"/>
    </row>
    <row r="1189" spans="1:25" x14ac:dyDescent="0.2">
      <c r="A1189" s="410"/>
      <c r="B1189" s="410"/>
      <c r="C1189" s="410"/>
      <c r="D1189" s="410"/>
      <c r="E1189" s="410"/>
      <c r="F1189" s="410"/>
      <c r="G1189" s="410"/>
      <c r="H1189" s="410"/>
      <c r="I1189" s="410"/>
      <c r="J1189" s="410"/>
      <c r="K1189" s="410"/>
      <c r="L1189" s="410"/>
      <c r="M1189" s="410"/>
      <c r="N1189" s="410"/>
      <c r="R1189" s="410"/>
      <c r="S1189" s="410"/>
      <c r="T1189" s="410"/>
      <c r="U1189" s="410"/>
      <c r="V1189" s="410"/>
      <c r="W1189" s="410"/>
      <c r="X1189" s="410"/>
      <c r="Y1189" s="410"/>
    </row>
    <row r="1190" spans="1:25" x14ac:dyDescent="0.2">
      <c r="A1190" s="410"/>
      <c r="B1190" s="410"/>
      <c r="C1190" s="410"/>
      <c r="D1190" s="410"/>
      <c r="E1190" s="410"/>
      <c r="F1190" s="410"/>
      <c r="G1190" s="410"/>
      <c r="H1190" s="410"/>
      <c r="I1190" s="410"/>
      <c r="J1190" s="410"/>
      <c r="K1190" s="410"/>
      <c r="L1190" s="410"/>
      <c r="M1190" s="410"/>
      <c r="N1190" s="410"/>
      <c r="R1190" s="410"/>
      <c r="S1190" s="410"/>
      <c r="T1190" s="410"/>
      <c r="U1190" s="410"/>
      <c r="V1190" s="410"/>
      <c r="W1190" s="410"/>
      <c r="X1190" s="410"/>
      <c r="Y1190" s="410"/>
    </row>
    <row r="1191" spans="1:25" x14ac:dyDescent="0.2">
      <c r="A1191" s="410"/>
      <c r="B1191" s="410"/>
      <c r="C1191" s="410"/>
      <c r="D1191" s="410"/>
      <c r="E1191" s="410"/>
      <c r="F1191" s="410"/>
      <c r="G1191" s="410"/>
      <c r="H1191" s="410"/>
      <c r="I1191" s="410"/>
      <c r="J1191" s="410"/>
      <c r="K1191" s="410"/>
      <c r="L1191" s="410"/>
      <c r="M1191" s="410"/>
      <c r="N1191" s="410"/>
      <c r="R1191" s="410"/>
      <c r="S1191" s="410"/>
      <c r="T1191" s="410"/>
      <c r="U1191" s="410"/>
      <c r="V1191" s="410"/>
      <c r="W1191" s="410"/>
      <c r="X1191" s="410"/>
      <c r="Y1191" s="410"/>
    </row>
    <row r="1192" spans="1:25" x14ac:dyDescent="0.2">
      <c r="A1192" s="410"/>
      <c r="B1192" s="410"/>
      <c r="C1192" s="410"/>
      <c r="D1192" s="410"/>
      <c r="E1192" s="410"/>
      <c r="F1192" s="410"/>
      <c r="G1192" s="410"/>
      <c r="H1192" s="410"/>
      <c r="I1192" s="410"/>
      <c r="J1192" s="410"/>
      <c r="K1192" s="410"/>
      <c r="L1192" s="410"/>
      <c r="M1192" s="410"/>
      <c r="N1192" s="410"/>
      <c r="R1192" s="410"/>
      <c r="S1192" s="410"/>
      <c r="T1192" s="410"/>
      <c r="U1192" s="410"/>
      <c r="V1192" s="410"/>
      <c r="W1192" s="410"/>
      <c r="X1192" s="410"/>
      <c r="Y1192" s="410"/>
    </row>
    <row r="1193" spans="1:25" x14ac:dyDescent="0.2">
      <c r="A1193" s="410"/>
      <c r="B1193" s="410"/>
      <c r="C1193" s="410"/>
      <c r="D1193" s="410"/>
      <c r="E1193" s="410"/>
      <c r="F1193" s="410"/>
      <c r="G1193" s="410"/>
      <c r="H1193" s="410"/>
      <c r="I1193" s="410"/>
      <c r="J1193" s="410"/>
      <c r="K1193" s="410"/>
      <c r="L1193" s="410"/>
      <c r="M1193" s="410"/>
      <c r="N1193" s="410"/>
      <c r="R1193" s="410"/>
      <c r="S1193" s="410"/>
      <c r="T1193" s="410"/>
      <c r="U1193" s="410"/>
      <c r="V1193" s="410"/>
      <c r="W1193" s="410"/>
      <c r="X1193" s="410"/>
      <c r="Y1193" s="410"/>
    </row>
    <row r="1194" spans="1:25" x14ac:dyDescent="0.2">
      <c r="A1194" s="410"/>
      <c r="B1194" s="410"/>
      <c r="C1194" s="410"/>
      <c r="D1194" s="410"/>
      <c r="E1194" s="410"/>
      <c r="F1194" s="410"/>
      <c r="G1194" s="410"/>
      <c r="H1194" s="410"/>
      <c r="I1194" s="410"/>
      <c r="J1194" s="410"/>
      <c r="K1194" s="410"/>
      <c r="L1194" s="410"/>
      <c r="M1194" s="410"/>
      <c r="N1194" s="410"/>
      <c r="R1194" s="410"/>
      <c r="S1194" s="410"/>
      <c r="T1194" s="410"/>
      <c r="U1194" s="410"/>
      <c r="V1194" s="410"/>
      <c r="W1194" s="410"/>
      <c r="X1194" s="410"/>
      <c r="Y1194" s="410"/>
    </row>
    <row r="1195" spans="1:25" x14ac:dyDescent="0.2">
      <c r="A1195" s="410"/>
      <c r="B1195" s="410"/>
      <c r="C1195" s="410"/>
      <c r="D1195" s="410"/>
      <c r="E1195" s="410"/>
      <c r="F1195" s="410"/>
      <c r="G1195" s="410"/>
      <c r="H1195" s="410"/>
      <c r="I1195" s="410"/>
      <c r="J1195" s="410"/>
      <c r="K1195" s="410"/>
      <c r="L1195" s="410"/>
      <c r="M1195" s="410"/>
      <c r="N1195" s="410"/>
      <c r="R1195" s="410"/>
      <c r="S1195" s="410"/>
      <c r="T1195" s="410"/>
      <c r="U1195" s="410"/>
      <c r="V1195" s="410"/>
      <c r="W1195" s="410"/>
      <c r="X1195" s="410"/>
      <c r="Y1195" s="410"/>
    </row>
    <row r="1196" spans="1:25" x14ac:dyDescent="0.2">
      <c r="A1196" s="410"/>
      <c r="B1196" s="410"/>
      <c r="C1196" s="410"/>
      <c r="D1196" s="410"/>
      <c r="E1196" s="410"/>
      <c r="F1196" s="410"/>
      <c r="G1196" s="410"/>
      <c r="H1196" s="410"/>
      <c r="I1196" s="410"/>
      <c r="J1196" s="410"/>
      <c r="K1196" s="410"/>
      <c r="L1196" s="410"/>
      <c r="M1196" s="410"/>
      <c r="N1196" s="410"/>
      <c r="R1196" s="410"/>
      <c r="S1196" s="410"/>
      <c r="T1196" s="410"/>
      <c r="U1196" s="410"/>
      <c r="V1196" s="410"/>
      <c r="W1196" s="410"/>
      <c r="X1196" s="410"/>
      <c r="Y1196" s="410"/>
    </row>
    <row r="1197" spans="1:25" x14ac:dyDescent="0.2">
      <c r="A1197" s="410"/>
      <c r="B1197" s="410"/>
      <c r="C1197" s="410"/>
      <c r="D1197" s="410"/>
      <c r="E1197" s="410"/>
      <c r="F1197" s="410"/>
      <c r="G1197" s="410"/>
      <c r="H1197" s="410"/>
      <c r="I1197" s="410"/>
      <c r="J1197" s="410"/>
      <c r="K1197" s="410"/>
      <c r="L1197" s="410"/>
      <c r="M1197" s="410"/>
      <c r="N1197" s="410"/>
      <c r="R1197" s="410"/>
      <c r="S1197" s="410"/>
      <c r="T1197" s="410"/>
      <c r="U1197" s="410"/>
      <c r="V1197" s="410"/>
      <c r="W1197" s="410"/>
      <c r="X1197" s="410"/>
      <c r="Y1197" s="410"/>
    </row>
    <row r="1198" spans="1:25" x14ac:dyDescent="0.2">
      <c r="A1198" s="410"/>
      <c r="B1198" s="410"/>
      <c r="C1198" s="410"/>
      <c r="D1198" s="410"/>
      <c r="E1198" s="410"/>
      <c r="F1198" s="410"/>
      <c r="G1198" s="410"/>
      <c r="H1198" s="410"/>
      <c r="I1198" s="410"/>
      <c r="J1198" s="410"/>
      <c r="K1198" s="410"/>
      <c r="L1198" s="410"/>
      <c r="M1198" s="410"/>
      <c r="N1198" s="410"/>
      <c r="R1198" s="410"/>
      <c r="S1198" s="410"/>
      <c r="T1198" s="410"/>
      <c r="U1198" s="410"/>
      <c r="V1198" s="410"/>
      <c r="W1198" s="410"/>
      <c r="X1198" s="410"/>
      <c r="Y1198" s="410"/>
    </row>
    <row r="1199" spans="1:25" x14ac:dyDescent="0.2">
      <c r="A1199" s="410"/>
      <c r="B1199" s="410"/>
      <c r="C1199" s="410"/>
      <c r="D1199" s="410"/>
      <c r="E1199" s="410"/>
      <c r="F1199" s="410"/>
      <c r="G1199" s="410"/>
      <c r="H1199" s="410"/>
      <c r="I1199" s="410"/>
      <c r="J1199" s="410"/>
      <c r="K1199" s="410"/>
      <c r="L1199" s="410"/>
      <c r="M1199" s="410"/>
      <c r="N1199" s="410"/>
      <c r="R1199" s="410"/>
      <c r="S1199" s="410"/>
      <c r="T1199" s="410"/>
      <c r="U1199" s="410"/>
      <c r="V1199" s="410"/>
      <c r="W1199" s="410"/>
      <c r="X1199" s="410"/>
      <c r="Y1199" s="410"/>
    </row>
    <row r="1200" spans="1:25" x14ac:dyDescent="0.2">
      <c r="A1200" s="410"/>
      <c r="B1200" s="410"/>
      <c r="C1200" s="410"/>
      <c r="D1200" s="410"/>
      <c r="E1200" s="410"/>
      <c r="F1200" s="410"/>
      <c r="G1200" s="410"/>
      <c r="H1200" s="410"/>
      <c r="I1200" s="410"/>
      <c r="J1200" s="410"/>
      <c r="K1200" s="410"/>
      <c r="L1200" s="410"/>
      <c r="M1200" s="410"/>
      <c r="N1200" s="410"/>
      <c r="R1200" s="410"/>
      <c r="S1200" s="410"/>
      <c r="T1200" s="410"/>
      <c r="U1200" s="410"/>
      <c r="V1200" s="410"/>
      <c r="W1200" s="410"/>
      <c r="X1200" s="410"/>
      <c r="Y1200" s="410"/>
    </row>
    <row r="1201" spans="1:25" x14ac:dyDescent="0.2">
      <c r="A1201" s="410"/>
      <c r="B1201" s="410"/>
      <c r="C1201" s="410"/>
      <c r="D1201" s="410"/>
      <c r="E1201" s="410"/>
      <c r="F1201" s="410"/>
      <c r="G1201" s="410"/>
      <c r="H1201" s="410"/>
      <c r="I1201" s="410"/>
      <c r="J1201" s="410"/>
      <c r="K1201" s="410"/>
      <c r="L1201" s="410"/>
      <c r="M1201" s="410"/>
      <c r="N1201" s="410"/>
      <c r="R1201" s="410"/>
      <c r="S1201" s="410"/>
      <c r="T1201" s="410"/>
      <c r="U1201" s="410"/>
      <c r="V1201" s="410"/>
      <c r="W1201" s="410"/>
      <c r="X1201" s="410"/>
      <c r="Y1201" s="410"/>
    </row>
    <row r="1202" spans="1:25" x14ac:dyDescent="0.2">
      <c r="A1202" s="410"/>
      <c r="B1202" s="410"/>
      <c r="C1202" s="410"/>
      <c r="D1202" s="410"/>
      <c r="E1202" s="410"/>
      <c r="F1202" s="410"/>
      <c r="G1202" s="410"/>
      <c r="H1202" s="410"/>
      <c r="I1202" s="410"/>
      <c r="J1202" s="410"/>
      <c r="K1202" s="410"/>
      <c r="L1202" s="410"/>
      <c r="M1202" s="410"/>
      <c r="N1202" s="410"/>
      <c r="R1202" s="410"/>
      <c r="S1202" s="410"/>
      <c r="T1202" s="410"/>
      <c r="U1202" s="410"/>
      <c r="V1202" s="410"/>
      <c r="W1202" s="410"/>
      <c r="X1202" s="410"/>
      <c r="Y1202" s="410"/>
    </row>
    <row r="1203" spans="1:25" x14ac:dyDescent="0.2">
      <c r="A1203" s="410"/>
      <c r="B1203" s="410"/>
      <c r="C1203" s="410"/>
      <c r="D1203" s="410"/>
      <c r="E1203" s="410"/>
      <c r="F1203" s="410"/>
      <c r="G1203" s="410"/>
      <c r="H1203" s="410"/>
      <c r="I1203" s="410"/>
      <c r="J1203" s="410"/>
      <c r="K1203" s="410"/>
      <c r="L1203" s="410"/>
      <c r="M1203" s="410"/>
      <c r="N1203" s="410"/>
      <c r="R1203" s="410"/>
      <c r="S1203" s="410"/>
      <c r="T1203" s="410"/>
      <c r="U1203" s="410"/>
      <c r="V1203" s="410"/>
      <c r="W1203" s="410"/>
      <c r="X1203" s="410"/>
      <c r="Y1203" s="410"/>
    </row>
    <row r="1204" spans="1:25" x14ac:dyDescent="0.2">
      <c r="A1204" s="410"/>
      <c r="B1204" s="410"/>
      <c r="C1204" s="410"/>
      <c r="D1204" s="410"/>
      <c r="E1204" s="410"/>
      <c r="F1204" s="410"/>
      <c r="G1204" s="410"/>
      <c r="H1204" s="410"/>
      <c r="I1204" s="410"/>
      <c r="J1204" s="410"/>
      <c r="K1204" s="410"/>
      <c r="L1204" s="410"/>
      <c r="M1204" s="410"/>
      <c r="N1204" s="410"/>
      <c r="R1204" s="410"/>
      <c r="S1204" s="410"/>
      <c r="T1204" s="410"/>
      <c r="U1204" s="410"/>
      <c r="V1204" s="410"/>
      <c r="W1204" s="410"/>
      <c r="X1204" s="410"/>
      <c r="Y1204" s="410"/>
    </row>
    <row r="1205" spans="1:25" x14ac:dyDescent="0.2">
      <c r="A1205" s="410"/>
      <c r="B1205" s="410"/>
      <c r="C1205" s="410"/>
      <c r="D1205" s="410"/>
      <c r="E1205" s="410"/>
      <c r="F1205" s="410"/>
      <c r="G1205" s="410"/>
      <c r="H1205" s="410"/>
      <c r="I1205" s="410"/>
      <c r="J1205" s="410"/>
      <c r="K1205" s="410"/>
      <c r="L1205" s="410"/>
      <c r="M1205" s="410"/>
      <c r="N1205" s="410"/>
      <c r="R1205" s="410"/>
      <c r="S1205" s="410"/>
      <c r="T1205" s="410"/>
      <c r="U1205" s="410"/>
      <c r="V1205" s="410"/>
      <c r="W1205" s="410"/>
      <c r="X1205" s="410"/>
      <c r="Y1205" s="410"/>
    </row>
    <row r="1206" spans="1:25" x14ac:dyDescent="0.2">
      <c r="A1206" s="410"/>
      <c r="B1206" s="410"/>
      <c r="C1206" s="410"/>
      <c r="D1206" s="410"/>
      <c r="E1206" s="410"/>
      <c r="F1206" s="410"/>
      <c r="G1206" s="410"/>
      <c r="H1206" s="410"/>
      <c r="I1206" s="410"/>
      <c r="J1206" s="410"/>
      <c r="K1206" s="410"/>
      <c r="L1206" s="410"/>
      <c r="M1206" s="410"/>
      <c r="N1206" s="410"/>
      <c r="R1206" s="410"/>
      <c r="S1206" s="410"/>
      <c r="T1206" s="410"/>
      <c r="U1206" s="410"/>
      <c r="V1206" s="410"/>
      <c r="W1206" s="410"/>
      <c r="X1206" s="410"/>
      <c r="Y1206" s="410"/>
    </row>
    <row r="1207" spans="1:25" x14ac:dyDescent="0.2">
      <c r="A1207" s="410"/>
      <c r="B1207" s="410"/>
      <c r="C1207" s="410"/>
      <c r="D1207" s="410"/>
      <c r="E1207" s="410"/>
      <c r="F1207" s="410"/>
      <c r="G1207" s="410"/>
      <c r="H1207" s="410"/>
      <c r="I1207" s="410"/>
      <c r="J1207" s="410"/>
      <c r="K1207" s="410"/>
      <c r="L1207" s="410"/>
      <c r="M1207" s="410"/>
      <c r="N1207" s="410"/>
      <c r="R1207" s="410"/>
      <c r="S1207" s="410"/>
      <c r="T1207" s="410"/>
      <c r="U1207" s="410"/>
      <c r="V1207" s="410"/>
      <c r="W1207" s="410"/>
      <c r="X1207" s="410"/>
      <c r="Y1207" s="410"/>
    </row>
    <row r="1208" spans="1:25" x14ac:dyDescent="0.2">
      <c r="A1208" s="410"/>
      <c r="B1208" s="410"/>
      <c r="C1208" s="410"/>
      <c r="D1208" s="410"/>
      <c r="E1208" s="410"/>
      <c r="F1208" s="410"/>
      <c r="G1208" s="410"/>
      <c r="H1208" s="410"/>
      <c r="I1208" s="410"/>
      <c r="J1208" s="410"/>
      <c r="K1208" s="410"/>
      <c r="L1208" s="410"/>
      <c r="M1208" s="410"/>
      <c r="N1208" s="410"/>
      <c r="R1208" s="410"/>
      <c r="S1208" s="410"/>
      <c r="T1208" s="410"/>
      <c r="U1208" s="410"/>
      <c r="V1208" s="410"/>
      <c r="W1208" s="410"/>
      <c r="X1208" s="410"/>
      <c r="Y1208" s="410"/>
    </row>
    <row r="1209" spans="1:25" x14ac:dyDescent="0.2">
      <c r="A1209" s="410"/>
      <c r="B1209" s="410"/>
      <c r="C1209" s="410"/>
      <c r="D1209" s="410"/>
      <c r="E1209" s="410"/>
      <c r="F1209" s="410"/>
      <c r="G1209" s="410"/>
      <c r="H1209" s="410"/>
      <c r="I1209" s="410"/>
      <c r="J1209" s="410"/>
      <c r="K1209" s="410"/>
      <c r="L1209" s="410"/>
      <c r="M1209" s="410"/>
      <c r="N1209" s="410"/>
      <c r="R1209" s="410"/>
      <c r="S1209" s="410"/>
      <c r="T1209" s="410"/>
      <c r="U1209" s="410"/>
      <c r="V1209" s="410"/>
      <c r="W1209" s="410"/>
      <c r="X1209" s="410"/>
      <c r="Y1209" s="410"/>
    </row>
    <row r="1210" spans="1:25" x14ac:dyDescent="0.2">
      <c r="A1210" s="410"/>
      <c r="B1210" s="410"/>
      <c r="C1210" s="410"/>
      <c r="D1210" s="410"/>
      <c r="E1210" s="410"/>
      <c r="F1210" s="410"/>
      <c r="G1210" s="410"/>
      <c r="H1210" s="410"/>
      <c r="I1210" s="410"/>
      <c r="J1210" s="410"/>
      <c r="K1210" s="410"/>
      <c r="L1210" s="410"/>
      <c r="M1210" s="410"/>
      <c r="N1210" s="410"/>
      <c r="R1210" s="410"/>
      <c r="S1210" s="410"/>
      <c r="T1210" s="410"/>
      <c r="U1210" s="410"/>
      <c r="V1210" s="410"/>
      <c r="W1210" s="410"/>
      <c r="X1210" s="410"/>
      <c r="Y1210" s="410"/>
    </row>
    <row r="1211" spans="1:25" x14ac:dyDescent="0.2">
      <c r="A1211" s="410"/>
      <c r="B1211" s="410"/>
      <c r="C1211" s="410"/>
      <c r="D1211" s="410"/>
      <c r="E1211" s="410"/>
      <c r="F1211" s="410"/>
      <c r="G1211" s="410"/>
      <c r="H1211" s="410"/>
      <c r="I1211" s="410"/>
      <c r="J1211" s="410"/>
      <c r="K1211" s="410"/>
      <c r="L1211" s="410"/>
      <c r="M1211" s="410"/>
      <c r="N1211" s="410"/>
      <c r="R1211" s="410"/>
      <c r="S1211" s="410"/>
      <c r="T1211" s="410"/>
      <c r="U1211" s="410"/>
      <c r="V1211" s="410"/>
      <c r="W1211" s="410"/>
      <c r="X1211" s="410"/>
      <c r="Y1211" s="410"/>
    </row>
    <row r="1212" spans="1:25" x14ac:dyDescent="0.2">
      <c r="A1212" s="410"/>
      <c r="B1212" s="410"/>
      <c r="C1212" s="410"/>
      <c r="D1212" s="410"/>
      <c r="E1212" s="410"/>
      <c r="F1212" s="410"/>
      <c r="G1212" s="410"/>
      <c r="H1212" s="410"/>
      <c r="I1212" s="410"/>
      <c r="J1212" s="410"/>
      <c r="K1212" s="410"/>
      <c r="L1212" s="410"/>
      <c r="M1212" s="410"/>
      <c r="N1212" s="410"/>
      <c r="R1212" s="410"/>
      <c r="S1212" s="410"/>
      <c r="T1212" s="410"/>
      <c r="U1212" s="410"/>
      <c r="V1212" s="410"/>
      <c r="W1212" s="410"/>
      <c r="X1212" s="410"/>
      <c r="Y1212" s="410"/>
    </row>
    <row r="1213" spans="1:25" x14ac:dyDescent="0.2">
      <c r="A1213" s="410"/>
      <c r="B1213" s="410"/>
      <c r="C1213" s="410"/>
      <c r="D1213" s="410"/>
      <c r="E1213" s="410"/>
      <c r="F1213" s="410"/>
      <c r="G1213" s="410"/>
      <c r="H1213" s="410"/>
      <c r="I1213" s="410"/>
      <c r="J1213" s="410"/>
      <c r="K1213" s="410"/>
      <c r="L1213" s="410"/>
      <c r="M1213" s="410"/>
      <c r="N1213" s="410"/>
      <c r="R1213" s="410"/>
      <c r="S1213" s="410"/>
      <c r="T1213" s="410"/>
      <c r="U1213" s="410"/>
      <c r="V1213" s="410"/>
      <c r="W1213" s="410"/>
      <c r="X1213" s="410"/>
      <c r="Y1213" s="410"/>
    </row>
    <row r="1214" spans="1:25" x14ac:dyDescent="0.2">
      <c r="A1214" s="410"/>
      <c r="B1214" s="410"/>
      <c r="C1214" s="410"/>
      <c r="D1214" s="410"/>
      <c r="E1214" s="410"/>
      <c r="F1214" s="410"/>
      <c r="G1214" s="410"/>
      <c r="H1214" s="410"/>
      <c r="I1214" s="410"/>
      <c r="J1214" s="410"/>
      <c r="K1214" s="410"/>
      <c r="L1214" s="410"/>
      <c r="M1214" s="410"/>
      <c r="N1214" s="410"/>
      <c r="R1214" s="410"/>
      <c r="S1214" s="410"/>
      <c r="T1214" s="410"/>
      <c r="U1214" s="410"/>
      <c r="V1214" s="410"/>
      <c r="W1214" s="410"/>
      <c r="X1214" s="410"/>
      <c r="Y1214" s="410"/>
    </row>
    <row r="1215" spans="1:25" x14ac:dyDescent="0.2">
      <c r="A1215" s="410"/>
      <c r="B1215" s="410"/>
      <c r="C1215" s="410"/>
      <c r="D1215" s="410"/>
      <c r="E1215" s="410"/>
      <c r="F1215" s="410"/>
      <c r="G1215" s="410"/>
      <c r="H1215" s="410"/>
      <c r="I1215" s="410"/>
      <c r="J1215" s="410"/>
      <c r="K1215" s="410"/>
      <c r="L1215" s="410"/>
      <c r="M1215" s="410"/>
      <c r="N1215" s="410"/>
      <c r="R1215" s="410"/>
      <c r="S1215" s="410"/>
      <c r="T1215" s="410"/>
      <c r="U1215" s="410"/>
      <c r="V1215" s="410"/>
      <c r="W1215" s="410"/>
      <c r="X1215" s="410"/>
      <c r="Y1215" s="410"/>
    </row>
    <row r="1216" spans="1:25" x14ac:dyDescent="0.2">
      <c r="A1216" s="410"/>
      <c r="B1216" s="410"/>
      <c r="C1216" s="410"/>
      <c r="D1216" s="410"/>
      <c r="E1216" s="410"/>
      <c r="F1216" s="410"/>
      <c r="G1216" s="410"/>
      <c r="H1216" s="410"/>
      <c r="I1216" s="410"/>
      <c r="J1216" s="410"/>
      <c r="K1216" s="410"/>
      <c r="L1216" s="410"/>
      <c r="M1216" s="410"/>
      <c r="N1216" s="410"/>
      <c r="R1216" s="410"/>
      <c r="S1216" s="410"/>
      <c r="T1216" s="410"/>
      <c r="U1216" s="410"/>
      <c r="V1216" s="410"/>
      <c r="W1216" s="410"/>
      <c r="X1216" s="410"/>
      <c r="Y1216" s="410"/>
    </row>
    <row r="1217" spans="1:25" x14ac:dyDescent="0.2">
      <c r="A1217" s="410"/>
      <c r="B1217" s="410"/>
      <c r="C1217" s="410"/>
      <c r="D1217" s="410"/>
      <c r="E1217" s="410"/>
      <c r="F1217" s="410"/>
      <c r="G1217" s="410"/>
      <c r="H1217" s="410"/>
      <c r="I1217" s="410"/>
      <c r="J1217" s="410"/>
      <c r="K1217" s="410"/>
      <c r="L1217" s="410"/>
      <c r="M1217" s="410"/>
      <c r="N1217" s="410"/>
      <c r="R1217" s="410"/>
      <c r="S1217" s="410"/>
      <c r="T1217" s="410"/>
      <c r="U1217" s="410"/>
      <c r="V1217" s="410"/>
      <c r="W1217" s="410"/>
      <c r="X1217" s="410"/>
      <c r="Y1217" s="410"/>
    </row>
    <row r="1218" spans="1:25" x14ac:dyDescent="0.2">
      <c r="A1218" s="410"/>
      <c r="B1218" s="410"/>
      <c r="C1218" s="410"/>
      <c r="D1218" s="410"/>
      <c r="E1218" s="410"/>
      <c r="F1218" s="410"/>
      <c r="G1218" s="410"/>
      <c r="H1218" s="410"/>
      <c r="I1218" s="410"/>
      <c r="J1218" s="410"/>
      <c r="K1218" s="410"/>
      <c r="L1218" s="410"/>
      <c r="M1218" s="410"/>
      <c r="N1218" s="410"/>
      <c r="R1218" s="410"/>
      <c r="S1218" s="410"/>
      <c r="T1218" s="410"/>
      <c r="U1218" s="410"/>
      <c r="V1218" s="410"/>
      <c r="W1218" s="410"/>
      <c r="X1218" s="410"/>
      <c r="Y1218" s="410"/>
    </row>
    <row r="1219" spans="1:25" x14ac:dyDescent="0.2">
      <c r="A1219" s="410"/>
      <c r="B1219" s="410"/>
      <c r="C1219" s="410"/>
      <c r="D1219" s="410"/>
      <c r="E1219" s="410"/>
      <c r="F1219" s="410"/>
      <c r="G1219" s="410"/>
      <c r="H1219" s="410"/>
      <c r="I1219" s="410"/>
      <c r="J1219" s="410"/>
      <c r="K1219" s="410"/>
      <c r="L1219" s="410"/>
      <c r="M1219" s="410"/>
      <c r="N1219" s="410"/>
      <c r="R1219" s="410"/>
      <c r="S1219" s="410"/>
      <c r="T1219" s="410"/>
      <c r="U1219" s="410"/>
      <c r="V1219" s="410"/>
      <c r="W1219" s="410"/>
      <c r="X1219" s="410"/>
      <c r="Y1219" s="410"/>
    </row>
    <row r="1220" spans="1:25" x14ac:dyDescent="0.2">
      <c r="A1220" s="410"/>
      <c r="B1220" s="410"/>
      <c r="C1220" s="410"/>
      <c r="D1220" s="410"/>
      <c r="E1220" s="410"/>
      <c r="F1220" s="410"/>
      <c r="G1220" s="410"/>
      <c r="H1220" s="410"/>
      <c r="I1220" s="410"/>
      <c r="J1220" s="410"/>
      <c r="K1220" s="410"/>
      <c r="L1220" s="410"/>
      <c r="M1220" s="410"/>
      <c r="N1220" s="410"/>
      <c r="R1220" s="410"/>
      <c r="S1220" s="410"/>
      <c r="T1220" s="410"/>
      <c r="U1220" s="410"/>
      <c r="V1220" s="410"/>
      <c r="W1220" s="410"/>
      <c r="X1220" s="410"/>
      <c r="Y1220" s="410"/>
    </row>
    <row r="1221" spans="1:25" x14ac:dyDescent="0.2">
      <c r="A1221" s="410"/>
      <c r="B1221" s="410"/>
      <c r="C1221" s="410"/>
      <c r="D1221" s="410"/>
      <c r="E1221" s="410"/>
      <c r="F1221" s="410"/>
      <c r="G1221" s="410"/>
      <c r="H1221" s="410"/>
      <c r="I1221" s="410"/>
      <c r="J1221" s="410"/>
      <c r="K1221" s="410"/>
      <c r="L1221" s="410"/>
      <c r="M1221" s="410"/>
      <c r="N1221" s="410"/>
      <c r="R1221" s="410"/>
      <c r="S1221" s="410"/>
      <c r="T1221" s="410"/>
      <c r="U1221" s="410"/>
      <c r="V1221" s="410"/>
      <c r="W1221" s="410"/>
      <c r="X1221" s="410"/>
      <c r="Y1221" s="410"/>
    </row>
    <row r="1222" spans="1:25" x14ac:dyDescent="0.2">
      <c r="A1222" s="410"/>
      <c r="B1222" s="410"/>
      <c r="C1222" s="410"/>
      <c r="D1222" s="410"/>
      <c r="E1222" s="410"/>
      <c r="F1222" s="410"/>
      <c r="G1222" s="410"/>
      <c r="H1222" s="410"/>
      <c r="I1222" s="410"/>
      <c r="J1222" s="410"/>
      <c r="K1222" s="410"/>
      <c r="L1222" s="410"/>
      <c r="M1222" s="410"/>
      <c r="N1222" s="410"/>
      <c r="R1222" s="410"/>
      <c r="S1222" s="410"/>
      <c r="T1222" s="410"/>
      <c r="U1222" s="410"/>
      <c r="V1222" s="410"/>
      <c r="W1222" s="410"/>
      <c r="X1222" s="410"/>
      <c r="Y1222" s="410"/>
    </row>
    <row r="1223" spans="1:25" x14ac:dyDescent="0.2">
      <c r="A1223" s="410"/>
      <c r="B1223" s="410"/>
      <c r="C1223" s="410"/>
      <c r="D1223" s="410"/>
      <c r="E1223" s="410"/>
      <c r="F1223" s="410"/>
      <c r="G1223" s="410"/>
      <c r="H1223" s="410"/>
      <c r="I1223" s="410"/>
      <c r="J1223" s="410"/>
      <c r="K1223" s="410"/>
      <c r="L1223" s="410"/>
      <c r="M1223" s="410"/>
      <c r="N1223" s="410"/>
      <c r="R1223" s="410"/>
      <c r="S1223" s="410"/>
      <c r="T1223" s="410"/>
      <c r="U1223" s="410"/>
      <c r="V1223" s="410"/>
      <c r="W1223" s="410"/>
      <c r="X1223" s="410"/>
      <c r="Y1223" s="410"/>
    </row>
    <row r="1224" spans="1:25" x14ac:dyDescent="0.2">
      <c r="A1224" s="410"/>
      <c r="B1224" s="410"/>
      <c r="C1224" s="410"/>
      <c r="D1224" s="410"/>
      <c r="E1224" s="410"/>
      <c r="F1224" s="410"/>
      <c r="G1224" s="410"/>
      <c r="H1224" s="410"/>
      <c r="I1224" s="410"/>
      <c r="J1224" s="410"/>
      <c r="K1224" s="410"/>
      <c r="L1224" s="410"/>
      <c r="M1224" s="410"/>
      <c r="N1224" s="410"/>
      <c r="R1224" s="410"/>
      <c r="S1224" s="410"/>
      <c r="T1224" s="410"/>
      <c r="U1224" s="410"/>
      <c r="V1224" s="410"/>
      <c r="W1224" s="410"/>
      <c r="X1224" s="410"/>
      <c r="Y1224" s="410"/>
    </row>
    <row r="1225" spans="1:25" x14ac:dyDescent="0.2">
      <c r="A1225" s="410"/>
      <c r="B1225" s="410"/>
      <c r="C1225" s="410"/>
      <c r="D1225" s="410"/>
      <c r="E1225" s="410"/>
      <c r="F1225" s="410"/>
      <c r="G1225" s="410"/>
      <c r="H1225" s="410"/>
      <c r="I1225" s="410"/>
      <c r="J1225" s="410"/>
      <c r="K1225" s="410"/>
      <c r="L1225" s="410"/>
      <c r="M1225" s="410"/>
      <c r="N1225" s="410"/>
      <c r="R1225" s="410"/>
      <c r="S1225" s="410"/>
      <c r="T1225" s="410"/>
      <c r="U1225" s="410"/>
      <c r="V1225" s="410"/>
      <c r="W1225" s="410"/>
      <c r="X1225" s="410"/>
      <c r="Y1225" s="410"/>
    </row>
    <row r="1226" spans="1:25" x14ac:dyDescent="0.2">
      <c r="A1226" s="410"/>
      <c r="B1226" s="410"/>
      <c r="C1226" s="410"/>
      <c r="D1226" s="410"/>
      <c r="E1226" s="410"/>
      <c r="F1226" s="410"/>
      <c r="G1226" s="410"/>
      <c r="H1226" s="410"/>
      <c r="I1226" s="410"/>
      <c r="J1226" s="410"/>
      <c r="K1226" s="410"/>
      <c r="L1226" s="410"/>
      <c r="M1226" s="410"/>
      <c r="N1226" s="410"/>
      <c r="R1226" s="410"/>
      <c r="S1226" s="410"/>
      <c r="T1226" s="410"/>
      <c r="U1226" s="410"/>
      <c r="V1226" s="410"/>
      <c r="W1226" s="410"/>
      <c r="X1226" s="410"/>
      <c r="Y1226" s="410"/>
    </row>
    <row r="1227" spans="1:25" x14ac:dyDescent="0.2">
      <c r="A1227" s="410"/>
      <c r="B1227" s="410"/>
      <c r="C1227" s="410"/>
      <c r="D1227" s="410"/>
      <c r="E1227" s="410"/>
      <c r="F1227" s="410"/>
      <c r="G1227" s="410"/>
      <c r="H1227" s="410"/>
      <c r="I1227" s="410"/>
      <c r="J1227" s="410"/>
      <c r="K1227" s="410"/>
      <c r="L1227" s="410"/>
      <c r="M1227" s="410"/>
      <c r="N1227" s="410"/>
      <c r="R1227" s="410"/>
      <c r="S1227" s="410"/>
      <c r="T1227" s="410"/>
      <c r="U1227" s="410"/>
      <c r="V1227" s="410"/>
      <c r="W1227" s="410"/>
      <c r="X1227" s="410"/>
      <c r="Y1227" s="410"/>
    </row>
    <row r="1228" spans="1:25" x14ac:dyDescent="0.2">
      <c r="A1228" s="410"/>
      <c r="B1228" s="410"/>
      <c r="C1228" s="410"/>
      <c r="D1228" s="410"/>
      <c r="E1228" s="410"/>
      <c r="F1228" s="410"/>
      <c r="G1228" s="410"/>
      <c r="H1228" s="410"/>
      <c r="I1228" s="410"/>
      <c r="J1228" s="410"/>
      <c r="K1228" s="410"/>
      <c r="L1228" s="410"/>
      <c r="M1228" s="410"/>
      <c r="N1228" s="410"/>
      <c r="R1228" s="410"/>
      <c r="S1228" s="410"/>
      <c r="T1228" s="410"/>
      <c r="U1228" s="410"/>
      <c r="V1228" s="410"/>
      <c r="W1228" s="410"/>
      <c r="X1228" s="410"/>
      <c r="Y1228" s="410"/>
    </row>
    <row r="1229" spans="1:25" x14ac:dyDescent="0.2">
      <c r="A1229" s="410"/>
      <c r="B1229" s="410"/>
      <c r="C1229" s="410"/>
      <c r="D1229" s="410"/>
      <c r="E1229" s="410"/>
      <c r="F1229" s="410"/>
      <c r="G1229" s="410"/>
      <c r="H1229" s="410"/>
      <c r="I1229" s="410"/>
      <c r="J1229" s="410"/>
      <c r="K1229" s="410"/>
      <c r="L1229" s="410"/>
      <c r="M1229" s="410"/>
      <c r="N1229" s="410"/>
      <c r="R1229" s="410"/>
      <c r="S1229" s="410"/>
      <c r="T1229" s="410"/>
      <c r="U1229" s="410"/>
      <c r="V1229" s="410"/>
      <c r="W1229" s="410"/>
      <c r="X1229" s="410"/>
      <c r="Y1229" s="410"/>
    </row>
    <row r="1230" spans="1:25" x14ac:dyDescent="0.2">
      <c r="A1230" s="410"/>
      <c r="B1230" s="410"/>
      <c r="C1230" s="410"/>
      <c r="D1230" s="410"/>
      <c r="E1230" s="410"/>
      <c r="F1230" s="410"/>
      <c r="G1230" s="410"/>
      <c r="H1230" s="410"/>
      <c r="I1230" s="410"/>
      <c r="J1230" s="410"/>
      <c r="K1230" s="410"/>
      <c r="L1230" s="410"/>
      <c r="M1230" s="410"/>
      <c r="N1230" s="410"/>
      <c r="R1230" s="410"/>
      <c r="S1230" s="410"/>
      <c r="T1230" s="410"/>
      <c r="U1230" s="410"/>
      <c r="V1230" s="410"/>
      <c r="W1230" s="410"/>
      <c r="X1230" s="410"/>
      <c r="Y1230" s="410"/>
    </row>
    <row r="1231" spans="1:25" x14ac:dyDescent="0.2">
      <c r="A1231" s="410"/>
      <c r="B1231" s="410"/>
      <c r="C1231" s="410"/>
      <c r="D1231" s="410"/>
      <c r="E1231" s="410"/>
      <c r="F1231" s="410"/>
      <c r="G1231" s="410"/>
      <c r="H1231" s="410"/>
      <c r="I1231" s="410"/>
      <c r="J1231" s="410"/>
      <c r="K1231" s="410"/>
      <c r="L1231" s="410"/>
      <c r="M1231" s="410"/>
      <c r="N1231" s="410"/>
      <c r="R1231" s="410"/>
      <c r="S1231" s="410"/>
      <c r="T1231" s="410"/>
      <c r="U1231" s="410"/>
      <c r="V1231" s="410"/>
      <c r="W1231" s="410"/>
      <c r="X1231" s="410"/>
      <c r="Y1231" s="410"/>
    </row>
    <row r="1232" spans="1:25" x14ac:dyDescent="0.2">
      <c r="A1232" s="410"/>
      <c r="B1232" s="410"/>
      <c r="C1232" s="410"/>
      <c r="D1232" s="410"/>
      <c r="E1232" s="410"/>
      <c r="F1232" s="410"/>
      <c r="G1232" s="410"/>
      <c r="H1232" s="410"/>
      <c r="I1232" s="410"/>
      <c r="J1232" s="410"/>
      <c r="K1232" s="410"/>
      <c r="L1232" s="410"/>
      <c r="M1232" s="410"/>
      <c r="N1232" s="410"/>
      <c r="R1232" s="410"/>
      <c r="S1232" s="410"/>
      <c r="T1232" s="410"/>
      <c r="U1232" s="410"/>
      <c r="V1232" s="410"/>
      <c r="W1232" s="410"/>
      <c r="X1232" s="410"/>
      <c r="Y1232" s="410"/>
    </row>
    <row r="1233" spans="1:25" x14ac:dyDescent="0.2">
      <c r="A1233" s="410"/>
      <c r="B1233" s="410"/>
      <c r="C1233" s="410"/>
      <c r="D1233" s="410"/>
      <c r="E1233" s="410"/>
      <c r="F1233" s="410"/>
      <c r="G1233" s="410"/>
      <c r="H1233" s="410"/>
      <c r="I1233" s="410"/>
      <c r="J1233" s="410"/>
      <c r="K1233" s="410"/>
      <c r="L1233" s="410"/>
      <c r="M1233" s="410"/>
      <c r="N1233" s="410"/>
      <c r="R1233" s="410"/>
      <c r="S1233" s="410"/>
      <c r="T1233" s="410"/>
      <c r="U1233" s="410"/>
      <c r="V1233" s="410"/>
      <c r="W1233" s="410"/>
      <c r="X1233" s="410"/>
      <c r="Y1233" s="410"/>
    </row>
    <row r="1234" spans="1:25" x14ac:dyDescent="0.2">
      <c r="A1234" s="410"/>
      <c r="B1234" s="410"/>
      <c r="C1234" s="410"/>
      <c r="D1234" s="410"/>
      <c r="E1234" s="410"/>
      <c r="F1234" s="410"/>
      <c r="G1234" s="410"/>
      <c r="H1234" s="410"/>
      <c r="I1234" s="410"/>
      <c r="J1234" s="410"/>
      <c r="K1234" s="410"/>
      <c r="L1234" s="410"/>
      <c r="M1234" s="410"/>
      <c r="N1234" s="410"/>
      <c r="R1234" s="410"/>
      <c r="S1234" s="410"/>
      <c r="T1234" s="410"/>
      <c r="U1234" s="410"/>
      <c r="V1234" s="410"/>
      <c r="W1234" s="410"/>
      <c r="X1234" s="410"/>
      <c r="Y1234" s="410"/>
    </row>
    <row r="1235" spans="1:25" x14ac:dyDescent="0.2">
      <c r="A1235" s="410"/>
      <c r="B1235" s="410"/>
      <c r="C1235" s="410"/>
      <c r="D1235" s="410"/>
      <c r="E1235" s="410"/>
      <c r="F1235" s="410"/>
      <c r="G1235" s="410"/>
      <c r="H1235" s="410"/>
      <c r="I1235" s="410"/>
      <c r="J1235" s="410"/>
      <c r="K1235" s="410"/>
      <c r="L1235" s="410"/>
      <c r="M1235" s="410"/>
      <c r="N1235" s="410"/>
      <c r="R1235" s="410"/>
      <c r="S1235" s="410"/>
      <c r="T1235" s="410"/>
      <c r="U1235" s="410"/>
      <c r="V1235" s="410"/>
      <c r="W1235" s="410"/>
      <c r="X1235" s="410"/>
      <c r="Y1235" s="410"/>
    </row>
    <row r="1236" spans="1:25" x14ac:dyDescent="0.2">
      <c r="A1236" s="410"/>
      <c r="B1236" s="410"/>
      <c r="C1236" s="410"/>
      <c r="D1236" s="410"/>
      <c r="E1236" s="410"/>
      <c r="F1236" s="410"/>
      <c r="G1236" s="410"/>
      <c r="H1236" s="410"/>
      <c r="I1236" s="410"/>
      <c r="J1236" s="410"/>
      <c r="K1236" s="410"/>
      <c r="L1236" s="410"/>
      <c r="M1236" s="410"/>
      <c r="N1236" s="410"/>
      <c r="R1236" s="410"/>
      <c r="S1236" s="410"/>
      <c r="T1236" s="410"/>
      <c r="U1236" s="410"/>
      <c r="V1236" s="410"/>
      <c r="W1236" s="410"/>
      <c r="X1236" s="410"/>
      <c r="Y1236" s="410"/>
    </row>
    <row r="1237" spans="1:25" x14ac:dyDescent="0.2">
      <c r="A1237" s="410"/>
      <c r="B1237" s="410"/>
      <c r="C1237" s="410"/>
      <c r="D1237" s="410"/>
      <c r="E1237" s="410"/>
      <c r="F1237" s="410"/>
      <c r="G1237" s="410"/>
      <c r="H1237" s="410"/>
      <c r="I1237" s="410"/>
      <c r="J1237" s="410"/>
      <c r="K1237" s="410"/>
      <c r="L1237" s="410"/>
      <c r="M1237" s="410"/>
      <c r="N1237" s="410"/>
      <c r="R1237" s="410"/>
      <c r="S1237" s="410"/>
      <c r="T1237" s="410"/>
      <c r="U1237" s="410"/>
      <c r="V1237" s="410"/>
      <c r="W1237" s="410"/>
      <c r="X1237" s="410"/>
      <c r="Y1237" s="410"/>
    </row>
    <row r="1238" spans="1:25" x14ac:dyDescent="0.2">
      <c r="A1238" s="410"/>
      <c r="B1238" s="410"/>
      <c r="C1238" s="410"/>
      <c r="D1238" s="410"/>
      <c r="E1238" s="410"/>
      <c r="F1238" s="410"/>
      <c r="G1238" s="410"/>
      <c r="H1238" s="410"/>
      <c r="I1238" s="410"/>
      <c r="J1238" s="410"/>
      <c r="K1238" s="410"/>
      <c r="L1238" s="410"/>
      <c r="M1238" s="410"/>
      <c r="N1238" s="410"/>
      <c r="R1238" s="410"/>
      <c r="S1238" s="410"/>
      <c r="T1238" s="410"/>
      <c r="U1238" s="410"/>
      <c r="V1238" s="410"/>
      <c r="W1238" s="410"/>
      <c r="X1238" s="410"/>
      <c r="Y1238" s="410"/>
    </row>
    <row r="1239" spans="1:25" x14ac:dyDescent="0.2">
      <c r="A1239" s="410"/>
      <c r="B1239" s="410"/>
      <c r="C1239" s="410"/>
      <c r="D1239" s="410"/>
      <c r="E1239" s="410"/>
      <c r="F1239" s="410"/>
      <c r="G1239" s="410"/>
      <c r="H1239" s="410"/>
      <c r="I1239" s="410"/>
      <c r="J1239" s="410"/>
      <c r="K1239" s="410"/>
      <c r="L1239" s="410"/>
      <c r="M1239" s="410"/>
      <c r="N1239" s="410"/>
      <c r="R1239" s="410"/>
      <c r="S1239" s="410"/>
      <c r="T1239" s="410"/>
      <c r="U1239" s="410"/>
      <c r="V1239" s="410"/>
      <c r="W1239" s="410"/>
      <c r="X1239" s="410"/>
      <c r="Y1239" s="410"/>
    </row>
    <row r="1240" spans="1:25" x14ac:dyDescent="0.2">
      <c r="A1240" s="410"/>
      <c r="B1240" s="410"/>
      <c r="C1240" s="410"/>
      <c r="D1240" s="410"/>
      <c r="E1240" s="410"/>
      <c r="F1240" s="410"/>
      <c r="G1240" s="410"/>
      <c r="H1240" s="410"/>
      <c r="I1240" s="410"/>
      <c r="J1240" s="410"/>
      <c r="K1240" s="410"/>
      <c r="L1240" s="410"/>
      <c r="M1240" s="410"/>
      <c r="N1240" s="410"/>
      <c r="R1240" s="410"/>
      <c r="S1240" s="410"/>
      <c r="T1240" s="410"/>
      <c r="U1240" s="410"/>
      <c r="V1240" s="410"/>
      <c r="W1240" s="410"/>
      <c r="X1240" s="410"/>
      <c r="Y1240" s="410"/>
    </row>
    <row r="1241" spans="1:25" x14ac:dyDescent="0.2">
      <c r="A1241" s="410"/>
      <c r="B1241" s="410"/>
      <c r="C1241" s="410"/>
      <c r="D1241" s="410"/>
      <c r="E1241" s="410"/>
      <c r="F1241" s="410"/>
      <c r="G1241" s="410"/>
      <c r="H1241" s="410"/>
      <c r="I1241" s="410"/>
      <c r="J1241" s="410"/>
      <c r="K1241" s="410"/>
      <c r="L1241" s="410"/>
      <c r="M1241" s="410"/>
      <c r="N1241" s="410"/>
      <c r="R1241" s="410"/>
      <c r="S1241" s="410"/>
      <c r="T1241" s="410"/>
      <c r="U1241" s="410"/>
      <c r="V1241" s="410"/>
      <c r="W1241" s="410"/>
      <c r="X1241" s="410"/>
      <c r="Y1241" s="410"/>
    </row>
    <row r="1242" spans="1:25" x14ac:dyDescent="0.2">
      <c r="A1242" s="410"/>
      <c r="B1242" s="410"/>
      <c r="C1242" s="410"/>
      <c r="D1242" s="410"/>
      <c r="E1242" s="410"/>
      <c r="F1242" s="410"/>
      <c r="G1242" s="410"/>
      <c r="H1242" s="410"/>
      <c r="I1242" s="410"/>
      <c r="J1242" s="410"/>
      <c r="K1242" s="410"/>
      <c r="L1242" s="410"/>
      <c r="M1242" s="410"/>
      <c r="N1242" s="410"/>
      <c r="R1242" s="410"/>
      <c r="S1242" s="410"/>
      <c r="T1242" s="410"/>
      <c r="U1242" s="410"/>
      <c r="V1242" s="410"/>
      <c r="W1242" s="410"/>
      <c r="X1242" s="410"/>
      <c r="Y1242" s="410"/>
    </row>
    <row r="1243" spans="1:25" x14ac:dyDescent="0.2">
      <c r="A1243" s="410"/>
      <c r="B1243" s="410"/>
      <c r="C1243" s="410"/>
      <c r="D1243" s="410"/>
      <c r="E1243" s="410"/>
      <c r="F1243" s="410"/>
      <c r="G1243" s="410"/>
      <c r="H1243" s="410"/>
      <c r="I1243" s="410"/>
      <c r="J1243" s="410"/>
      <c r="K1243" s="410"/>
      <c r="L1243" s="410"/>
      <c r="M1243" s="410"/>
      <c r="N1243" s="410"/>
      <c r="R1243" s="410"/>
      <c r="S1243" s="410"/>
      <c r="T1243" s="410"/>
      <c r="U1243" s="410"/>
      <c r="V1243" s="410"/>
      <c r="W1243" s="410"/>
      <c r="X1243" s="410"/>
      <c r="Y1243" s="410"/>
    </row>
    <row r="1244" spans="1:25" x14ac:dyDescent="0.2">
      <c r="A1244" s="410"/>
      <c r="B1244" s="410"/>
      <c r="C1244" s="410"/>
      <c r="D1244" s="410"/>
      <c r="E1244" s="410"/>
      <c r="F1244" s="410"/>
      <c r="G1244" s="410"/>
      <c r="H1244" s="410"/>
      <c r="I1244" s="410"/>
      <c r="J1244" s="410"/>
      <c r="K1244" s="410"/>
      <c r="L1244" s="410"/>
      <c r="M1244" s="410"/>
      <c r="N1244" s="410"/>
      <c r="R1244" s="410"/>
      <c r="S1244" s="410"/>
      <c r="T1244" s="410"/>
      <c r="U1244" s="410"/>
      <c r="V1244" s="410"/>
      <c r="W1244" s="410"/>
      <c r="X1244" s="410"/>
      <c r="Y1244" s="410"/>
    </row>
    <row r="1245" spans="1:25" x14ac:dyDescent="0.2">
      <c r="A1245" s="410"/>
      <c r="B1245" s="410"/>
      <c r="C1245" s="410"/>
      <c r="D1245" s="410"/>
      <c r="E1245" s="410"/>
      <c r="F1245" s="410"/>
      <c r="G1245" s="410"/>
      <c r="H1245" s="410"/>
      <c r="I1245" s="410"/>
      <c r="J1245" s="410"/>
      <c r="K1245" s="410"/>
      <c r="L1245" s="410"/>
      <c r="M1245" s="410"/>
      <c r="N1245" s="410"/>
      <c r="R1245" s="410"/>
      <c r="S1245" s="410"/>
      <c r="T1245" s="410"/>
      <c r="U1245" s="410"/>
      <c r="V1245" s="410"/>
      <c r="W1245" s="410"/>
      <c r="X1245" s="410"/>
      <c r="Y1245" s="410"/>
    </row>
    <row r="1246" spans="1:25" x14ac:dyDescent="0.2">
      <c r="A1246" s="410"/>
      <c r="B1246" s="410"/>
      <c r="C1246" s="410"/>
      <c r="D1246" s="410"/>
      <c r="E1246" s="410"/>
      <c r="F1246" s="410"/>
      <c r="G1246" s="410"/>
      <c r="H1246" s="410"/>
      <c r="I1246" s="410"/>
      <c r="J1246" s="410"/>
      <c r="K1246" s="410"/>
      <c r="L1246" s="410"/>
      <c r="M1246" s="410"/>
      <c r="N1246" s="410"/>
      <c r="R1246" s="410"/>
      <c r="S1246" s="410"/>
      <c r="T1246" s="410"/>
      <c r="U1246" s="410"/>
      <c r="V1246" s="410"/>
      <c r="W1246" s="410"/>
      <c r="X1246" s="410"/>
      <c r="Y1246" s="410"/>
    </row>
    <row r="1247" spans="1:25" x14ac:dyDescent="0.2">
      <c r="A1247" s="410"/>
      <c r="B1247" s="410"/>
      <c r="C1247" s="410"/>
      <c r="D1247" s="410"/>
      <c r="E1247" s="410"/>
      <c r="F1247" s="410"/>
      <c r="G1247" s="410"/>
      <c r="H1247" s="410"/>
      <c r="I1247" s="410"/>
      <c r="J1247" s="410"/>
      <c r="K1247" s="410"/>
      <c r="L1247" s="410"/>
      <c r="M1247" s="410"/>
      <c r="N1247" s="410"/>
      <c r="R1247" s="410"/>
      <c r="S1247" s="410"/>
      <c r="T1247" s="410"/>
      <c r="U1247" s="410"/>
      <c r="V1247" s="410"/>
      <c r="W1247" s="410"/>
      <c r="X1247" s="410"/>
      <c r="Y1247" s="410"/>
    </row>
    <row r="1248" spans="1:25" x14ac:dyDescent="0.2">
      <c r="A1248" s="410"/>
      <c r="B1248" s="410"/>
      <c r="C1248" s="410"/>
      <c r="D1248" s="410"/>
      <c r="E1248" s="410"/>
      <c r="F1248" s="410"/>
      <c r="G1248" s="410"/>
      <c r="H1248" s="410"/>
      <c r="I1248" s="410"/>
      <c r="J1248" s="410"/>
      <c r="K1248" s="410"/>
      <c r="L1248" s="410"/>
      <c r="M1248" s="410"/>
      <c r="N1248" s="410"/>
      <c r="R1248" s="410"/>
      <c r="S1248" s="410"/>
      <c r="T1248" s="410"/>
      <c r="U1248" s="410"/>
      <c r="V1248" s="410"/>
      <c r="W1248" s="410"/>
      <c r="X1248" s="410"/>
      <c r="Y1248" s="410"/>
    </row>
    <row r="1249" spans="1:25" x14ac:dyDescent="0.2">
      <c r="A1249" s="410"/>
      <c r="B1249" s="410"/>
      <c r="C1249" s="410"/>
      <c r="D1249" s="410"/>
      <c r="E1249" s="410"/>
      <c r="F1249" s="410"/>
      <c r="G1249" s="410"/>
      <c r="H1249" s="410"/>
      <c r="I1249" s="410"/>
      <c r="J1249" s="410"/>
      <c r="K1249" s="410"/>
      <c r="L1249" s="410"/>
      <c r="M1249" s="410"/>
      <c r="N1249" s="410"/>
      <c r="R1249" s="410"/>
      <c r="S1249" s="410"/>
      <c r="T1249" s="410"/>
      <c r="U1249" s="410"/>
      <c r="V1249" s="410"/>
      <c r="W1249" s="410"/>
      <c r="X1249" s="410"/>
      <c r="Y1249" s="410"/>
    </row>
    <row r="1250" spans="1:25" x14ac:dyDescent="0.2">
      <c r="A1250" s="410"/>
      <c r="B1250" s="410"/>
      <c r="C1250" s="410"/>
      <c r="D1250" s="410"/>
      <c r="E1250" s="410"/>
      <c r="F1250" s="410"/>
      <c r="G1250" s="410"/>
      <c r="H1250" s="410"/>
      <c r="I1250" s="410"/>
      <c r="J1250" s="410"/>
      <c r="K1250" s="410"/>
      <c r="L1250" s="410"/>
      <c r="M1250" s="410"/>
      <c r="N1250" s="410"/>
      <c r="R1250" s="410"/>
      <c r="S1250" s="410"/>
      <c r="T1250" s="410"/>
      <c r="U1250" s="410"/>
      <c r="V1250" s="410"/>
      <c r="W1250" s="410"/>
      <c r="X1250" s="410"/>
      <c r="Y1250" s="410"/>
    </row>
    <row r="1251" spans="1:25" x14ac:dyDescent="0.2">
      <c r="A1251" s="410"/>
      <c r="B1251" s="410"/>
      <c r="C1251" s="410"/>
      <c r="D1251" s="410"/>
      <c r="E1251" s="410"/>
      <c r="F1251" s="410"/>
      <c r="G1251" s="410"/>
      <c r="H1251" s="410"/>
      <c r="I1251" s="410"/>
      <c r="J1251" s="410"/>
      <c r="K1251" s="410"/>
      <c r="L1251" s="410"/>
      <c r="M1251" s="410"/>
      <c r="N1251" s="410"/>
      <c r="R1251" s="410"/>
      <c r="S1251" s="410"/>
      <c r="T1251" s="410"/>
      <c r="U1251" s="410"/>
      <c r="V1251" s="410"/>
      <c r="W1251" s="410"/>
      <c r="X1251" s="410"/>
      <c r="Y1251" s="410"/>
    </row>
    <row r="1252" spans="1:25" x14ac:dyDescent="0.2">
      <c r="A1252" s="410"/>
      <c r="B1252" s="410"/>
      <c r="C1252" s="410"/>
      <c r="D1252" s="410"/>
      <c r="E1252" s="410"/>
      <c r="F1252" s="410"/>
      <c r="G1252" s="410"/>
      <c r="H1252" s="410"/>
      <c r="I1252" s="410"/>
      <c r="J1252" s="410"/>
      <c r="K1252" s="410"/>
      <c r="L1252" s="410"/>
      <c r="M1252" s="410"/>
      <c r="N1252" s="410"/>
      <c r="R1252" s="410"/>
      <c r="S1252" s="410"/>
      <c r="T1252" s="410"/>
      <c r="U1252" s="410"/>
      <c r="V1252" s="410"/>
      <c r="W1252" s="410"/>
      <c r="X1252" s="410"/>
      <c r="Y1252" s="410"/>
    </row>
    <row r="1253" spans="1:25" x14ac:dyDescent="0.2">
      <c r="A1253" s="410"/>
      <c r="B1253" s="410"/>
      <c r="C1253" s="410"/>
      <c r="D1253" s="410"/>
      <c r="E1253" s="410"/>
      <c r="F1253" s="410"/>
      <c r="G1253" s="410"/>
      <c r="H1253" s="410"/>
      <c r="I1253" s="410"/>
      <c r="J1253" s="410"/>
      <c r="K1253" s="410"/>
      <c r="L1253" s="410"/>
      <c r="M1253" s="410"/>
      <c r="N1253" s="410"/>
      <c r="R1253" s="410"/>
      <c r="S1253" s="410"/>
      <c r="T1253" s="410"/>
      <c r="U1253" s="410"/>
      <c r="V1253" s="410"/>
      <c r="W1253" s="410"/>
      <c r="X1253" s="410"/>
      <c r="Y1253" s="410"/>
    </row>
    <row r="1254" spans="1:25" x14ac:dyDescent="0.2">
      <c r="A1254" s="410"/>
      <c r="B1254" s="410"/>
      <c r="C1254" s="410"/>
      <c r="D1254" s="410"/>
      <c r="E1254" s="410"/>
      <c r="F1254" s="410"/>
      <c r="G1254" s="410"/>
      <c r="H1254" s="410"/>
      <c r="I1254" s="410"/>
      <c r="J1254" s="410"/>
      <c r="K1254" s="410"/>
      <c r="L1254" s="410"/>
      <c r="M1254" s="410"/>
      <c r="N1254" s="410"/>
      <c r="R1254" s="410"/>
      <c r="S1254" s="410"/>
      <c r="T1254" s="410"/>
      <c r="U1254" s="410"/>
      <c r="V1254" s="410"/>
      <c r="W1254" s="410"/>
      <c r="X1254" s="410"/>
      <c r="Y1254" s="410"/>
    </row>
    <row r="1255" spans="1:25" x14ac:dyDescent="0.2">
      <c r="A1255" s="410"/>
      <c r="B1255" s="410"/>
      <c r="C1255" s="410"/>
      <c r="D1255" s="410"/>
      <c r="E1255" s="410"/>
      <c r="F1255" s="410"/>
      <c r="G1255" s="410"/>
      <c r="H1255" s="410"/>
      <c r="I1255" s="410"/>
      <c r="J1255" s="410"/>
      <c r="K1255" s="410"/>
      <c r="L1255" s="410"/>
      <c r="M1255" s="410"/>
      <c r="N1255" s="410"/>
      <c r="R1255" s="410"/>
      <c r="S1255" s="410"/>
      <c r="T1255" s="410"/>
      <c r="U1255" s="410"/>
      <c r="V1255" s="410"/>
      <c r="W1255" s="410"/>
      <c r="X1255" s="410"/>
      <c r="Y1255" s="410"/>
    </row>
    <row r="1256" spans="1:25" x14ac:dyDescent="0.2">
      <c r="A1256" s="410"/>
      <c r="B1256" s="410"/>
      <c r="C1256" s="410"/>
      <c r="D1256" s="410"/>
      <c r="E1256" s="410"/>
      <c r="F1256" s="410"/>
      <c r="G1256" s="410"/>
      <c r="H1256" s="410"/>
      <c r="I1256" s="410"/>
      <c r="J1256" s="410"/>
      <c r="K1256" s="410"/>
      <c r="L1256" s="410"/>
      <c r="M1256" s="410"/>
      <c r="N1256" s="410"/>
      <c r="R1256" s="410"/>
      <c r="S1256" s="410"/>
      <c r="T1256" s="410"/>
      <c r="U1256" s="410"/>
      <c r="V1256" s="410"/>
      <c r="W1256" s="410"/>
      <c r="X1256" s="410"/>
      <c r="Y1256" s="410"/>
    </row>
    <row r="1257" spans="1:25" x14ac:dyDescent="0.2">
      <c r="A1257" s="410"/>
      <c r="B1257" s="410"/>
      <c r="C1257" s="410"/>
      <c r="D1257" s="410"/>
      <c r="E1257" s="410"/>
      <c r="F1257" s="410"/>
      <c r="G1257" s="410"/>
      <c r="H1257" s="410"/>
      <c r="I1257" s="410"/>
      <c r="J1257" s="410"/>
      <c r="K1257" s="410"/>
      <c r="L1257" s="410"/>
      <c r="M1257" s="410"/>
      <c r="N1257" s="410"/>
      <c r="R1257" s="410"/>
      <c r="S1257" s="410"/>
      <c r="T1257" s="410"/>
      <c r="U1257" s="410"/>
      <c r="V1257" s="410"/>
      <c r="W1257" s="410"/>
      <c r="X1257" s="410"/>
      <c r="Y1257" s="410"/>
    </row>
    <row r="1258" spans="1:25" x14ac:dyDescent="0.2">
      <c r="A1258" s="410"/>
      <c r="B1258" s="410"/>
      <c r="C1258" s="410"/>
      <c r="D1258" s="410"/>
      <c r="E1258" s="410"/>
      <c r="F1258" s="410"/>
      <c r="G1258" s="410"/>
      <c r="H1258" s="410"/>
      <c r="I1258" s="410"/>
      <c r="J1258" s="410"/>
      <c r="K1258" s="410"/>
      <c r="L1258" s="410"/>
      <c r="M1258" s="410"/>
      <c r="N1258" s="410"/>
      <c r="R1258" s="410"/>
      <c r="S1258" s="410"/>
      <c r="T1258" s="410"/>
      <c r="U1258" s="410"/>
      <c r="V1258" s="410"/>
      <c r="W1258" s="410"/>
      <c r="X1258" s="410"/>
      <c r="Y1258" s="410"/>
    </row>
    <row r="1259" spans="1:25" x14ac:dyDescent="0.2">
      <c r="A1259" s="410"/>
      <c r="B1259" s="410"/>
      <c r="C1259" s="410"/>
      <c r="D1259" s="410"/>
      <c r="E1259" s="410"/>
      <c r="F1259" s="410"/>
      <c r="G1259" s="410"/>
      <c r="H1259" s="410"/>
      <c r="I1259" s="410"/>
      <c r="J1259" s="410"/>
      <c r="K1259" s="410"/>
      <c r="L1259" s="410"/>
      <c r="M1259" s="410"/>
      <c r="N1259" s="410"/>
      <c r="R1259" s="410"/>
      <c r="S1259" s="410"/>
      <c r="T1259" s="410"/>
      <c r="U1259" s="410"/>
      <c r="V1259" s="410"/>
      <c r="W1259" s="410"/>
      <c r="X1259" s="410"/>
      <c r="Y1259" s="410"/>
    </row>
    <row r="1260" spans="1:25" x14ac:dyDescent="0.2">
      <c r="A1260" s="410"/>
      <c r="B1260" s="410"/>
      <c r="C1260" s="410"/>
      <c r="D1260" s="410"/>
      <c r="E1260" s="410"/>
      <c r="F1260" s="410"/>
      <c r="G1260" s="410"/>
      <c r="H1260" s="410"/>
      <c r="I1260" s="410"/>
      <c r="J1260" s="410"/>
      <c r="K1260" s="410"/>
      <c r="L1260" s="410"/>
      <c r="M1260" s="410"/>
      <c r="N1260" s="410"/>
      <c r="R1260" s="410"/>
      <c r="S1260" s="410"/>
      <c r="T1260" s="410"/>
      <c r="U1260" s="410"/>
      <c r="V1260" s="410"/>
      <c r="W1260" s="410"/>
      <c r="X1260" s="410"/>
      <c r="Y1260" s="410"/>
    </row>
    <row r="1261" spans="1:25" x14ac:dyDescent="0.2">
      <c r="A1261" s="410"/>
      <c r="B1261" s="410"/>
      <c r="C1261" s="410"/>
      <c r="D1261" s="410"/>
      <c r="E1261" s="410"/>
      <c r="F1261" s="410"/>
      <c r="G1261" s="410"/>
      <c r="H1261" s="410"/>
      <c r="I1261" s="410"/>
      <c r="J1261" s="410"/>
      <c r="K1261" s="410"/>
      <c r="L1261" s="410"/>
      <c r="M1261" s="410"/>
      <c r="N1261" s="410"/>
      <c r="R1261" s="410"/>
      <c r="S1261" s="410"/>
      <c r="T1261" s="410"/>
      <c r="U1261" s="410"/>
      <c r="V1261" s="410"/>
      <c r="W1261" s="410"/>
      <c r="X1261" s="410"/>
      <c r="Y1261" s="410"/>
    </row>
    <row r="1262" spans="1:25" x14ac:dyDescent="0.2">
      <c r="A1262" s="410"/>
      <c r="B1262" s="410"/>
      <c r="C1262" s="410"/>
      <c r="D1262" s="410"/>
      <c r="E1262" s="410"/>
      <c r="F1262" s="410"/>
      <c r="G1262" s="410"/>
      <c r="H1262" s="410"/>
      <c r="I1262" s="410"/>
      <c r="J1262" s="410"/>
      <c r="K1262" s="410"/>
      <c r="L1262" s="410"/>
      <c r="M1262" s="410"/>
      <c r="N1262" s="410"/>
      <c r="R1262" s="410"/>
      <c r="S1262" s="410"/>
      <c r="T1262" s="410"/>
      <c r="U1262" s="410"/>
      <c r="V1262" s="410"/>
      <c r="W1262" s="410"/>
      <c r="X1262" s="410"/>
      <c r="Y1262" s="410"/>
    </row>
    <row r="1263" spans="1:25" x14ac:dyDescent="0.2">
      <c r="A1263" s="410"/>
      <c r="B1263" s="410"/>
      <c r="C1263" s="410"/>
      <c r="D1263" s="410"/>
      <c r="E1263" s="410"/>
      <c r="F1263" s="410"/>
      <c r="G1263" s="410"/>
      <c r="H1263" s="410"/>
      <c r="I1263" s="410"/>
      <c r="J1263" s="410"/>
      <c r="K1263" s="410"/>
      <c r="L1263" s="410"/>
      <c r="M1263" s="410"/>
      <c r="N1263" s="410"/>
      <c r="R1263" s="410"/>
      <c r="S1263" s="410"/>
      <c r="T1263" s="410"/>
      <c r="U1263" s="410"/>
      <c r="V1263" s="410"/>
      <c r="W1263" s="410"/>
      <c r="X1263" s="410"/>
      <c r="Y1263" s="410"/>
    </row>
    <row r="1264" spans="1:25" x14ac:dyDescent="0.2">
      <c r="A1264" s="410"/>
      <c r="B1264" s="410"/>
      <c r="C1264" s="410"/>
      <c r="D1264" s="410"/>
      <c r="E1264" s="410"/>
      <c r="F1264" s="410"/>
      <c r="G1264" s="410"/>
      <c r="H1264" s="410"/>
      <c r="I1264" s="410"/>
      <c r="J1264" s="410"/>
      <c r="K1264" s="410"/>
      <c r="L1264" s="410"/>
      <c r="M1264" s="410"/>
      <c r="N1264" s="410"/>
      <c r="R1264" s="410"/>
      <c r="S1264" s="410"/>
      <c r="T1264" s="410"/>
      <c r="U1264" s="410"/>
      <c r="V1264" s="410"/>
      <c r="W1264" s="410"/>
      <c r="X1264" s="410"/>
      <c r="Y1264" s="410"/>
    </row>
    <row r="1265" spans="1:25" x14ac:dyDescent="0.2">
      <c r="A1265" s="410"/>
      <c r="B1265" s="410"/>
      <c r="C1265" s="410"/>
      <c r="D1265" s="410"/>
      <c r="E1265" s="410"/>
      <c r="F1265" s="410"/>
      <c r="G1265" s="410"/>
      <c r="H1265" s="410"/>
      <c r="I1265" s="410"/>
      <c r="J1265" s="410"/>
      <c r="K1265" s="410"/>
      <c r="L1265" s="410"/>
      <c r="M1265" s="410"/>
      <c r="N1265" s="410"/>
      <c r="R1265" s="410"/>
      <c r="S1265" s="410"/>
      <c r="T1265" s="410"/>
      <c r="U1265" s="410"/>
      <c r="V1265" s="410"/>
      <c r="W1265" s="410"/>
      <c r="X1265" s="410"/>
      <c r="Y1265" s="410"/>
    </row>
    <row r="1266" spans="1:25" x14ac:dyDescent="0.2">
      <c r="A1266" s="410"/>
      <c r="B1266" s="410"/>
      <c r="C1266" s="410"/>
      <c r="D1266" s="410"/>
      <c r="E1266" s="410"/>
      <c r="F1266" s="410"/>
      <c r="G1266" s="410"/>
      <c r="H1266" s="410"/>
      <c r="I1266" s="410"/>
      <c r="J1266" s="410"/>
      <c r="K1266" s="410"/>
      <c r="L1266" s="410"/>
      <c r="M1266" s="410"/>
      <c r="N1266" s="410"/>
      <c r="R1266" s="410"/>
      <c r="S1266" s="410"/>
      <c r="T1266" s="410"/>
      <c r="U1266" s="410"/>
      <c r="V1266" s="410"/>
      <c r="W1266" s="410"/>
      <c r="X1266" s="410"/>
      <c r="Y1266" s="410"/>
    </row>
    <row r="1267" spans="1:25" x14ac:dyDescent="0.2">
      <c r="A1267" s="410"/>
      <c r="B1267" s="410"/>
      <c r="C1267" s="410"/>
      <c r="D1267" s="410"/>
      <c r="E1267" s="410"/>
      <c r="F1267" s="410"/>
      <c r="G1267" s="410"/>
      <c r="H1267" s="410"/>
      <c r="I1267" s="410"/>
      <c r="J1267" s="410"/>
      <c r="K1267" s="410"/>
      <c r="L1267" s="410"/>
      <c r="M1267" s="410"/>
      <c r="N1267" s="410"/>
      <c r="R1267" s="410"/>
      <c r="S1267" s="410"/>
      <c r="T1267" s="410"/>
      <c r="U1267" s="410"/>
      <c r="V1267" s="410"/>
      <c r="W1267" s="410"/>
      <c r="X1267" s="410"/>
      <c r="Y1267" s="410"/>
    </row>
    <row r="1268" spans="1:25" x14ac:dyDescent="0.2">
      <c r="A1268" s="410"/>
      <c r="B1268" s="410"/>
      <c r="C1268" s="410"/>
      <c r="D1268" s="410"/>
      <c r="E1268" s="410"/>
      <c r="F1268" s="410"/>
      <c r="G1268" s="410"/>
      <c r="H1268" s="410"/>
      <c r="I1268" s="410"/>
      <c r="J1268" s="410"/>
      <c r="K1268" s="410"/>
      <c r="L1268" s="410"/>
      <c r="M1268" s="410"/>
      <c r="N1268" s="410"/>
      <c r="R1268" s="410"/>
      <c r="S1268" s="410"/>
      <c r="T1268" s="410"/>
      <c r="U1268" s="410"/>
      <c r="V1268" s="410"/>
      <c r="W1268" s="410"/>
      <c r="X1268" s="410"/>
      <c r="Y1268" s="410"/>
    </row>
    <row r="1269" spans="1:25" x14ac:dyDescent="0.2">
      <c r="A1269" s="410"/>
      <c r="B1269" s="410"/>
      <c r="C1269" s="410"/>
      <c r="D1269" s="410"/>
      <c r="E1269" s="410"/>
      <c r="F1269" s="410"/>
      <c r="G1269" s="410"/>
      <c r="H1269" s="410"/>
      <c r="I1269" s="410"/>
      <c r="J1269" s="410"/>
      <c r="K1269" s="410"/>
      <c r="L1269" s="410"/>
      <c r="M1269" s="410"/>
      <c r="N1269" s="410"/>
      <c r="R1269" s="410"/>
      <c r="S1269" s="410"/>
      <c r="T1269" s="410"/>
      <c r="U1269" s="410"/>
      <c r="V1269" s="410"/>
      <c r="W1269" s="410"/>
      <c r="X1269" s="410"/>
      <c r="Y1269" s="410"/>
    </row>
    <row r="1270" spans="1:25" x14ac:dyDescent="0.2">
      <c r="A1270" s="410"/>
      <c r="B1270" s="410"/>
      <c r="C1270" s="410"/>
      <c r="D1270" s="410"/>
      <c r="E1270" s="410"/>
      <c r="F1270" s="410"/>
      <c r="G1270" s="410"/>
      <c r="H1270" s="410"/>
      <c r="I1270" s="410"/>
      <c r="J1270" s="410"/>
      <c r="K1270" s="410"/>
      <c r="L1270" s="410"/>
      <c r="M1270" s="410"/>
      <c r="N1270" s="410"/>
      <c r="R1270" s="410"/>
      <c r="S1270" s="410"/>
      <c r="T1270" s="410"/>
      <c r="U1270" s="410"/>
      <c r="V1270" s="410"/>
      <c r="W1270" s="410"/>
      <c r="X1270" s="410"/>
      <c r="Y1270" s="410"/>
    </row>
    <row r="1271" spans="1:25" x14ac:dyDescent="0.2">
      <c r="A1271" s="410"/>
      <c r="B1271" s="410"/>
      <c r="C1271" s="410"/>
      <c r="D1271" s="410"/>
      <c r="E1271" s="410"/>
      <c r="F1271" s="410"/>
      <c r="G1271" s="410"/>
      <c r="H1271" s="410"/>
      <c r="I1271" s="410"/>
      <c r="J1271" s="410"/>
      <c r="K1271" s="410"/>
      <c r="L1271" s="410"/>
      <c r="M1271" s="410"/>
      <c r="N1271" s="410"/>
      <c r="R1271" s="410"/>
      <c r="S1271" s="410"/>
      <c r="T1271" s="410"/>
      <c r="U1271" s="410"/>
      <c r="V1271" s="410"/>
      <c r="W1271" s="410"/>
      <c r="X1271" s="410"/>
      <c r="Y1271" s="410"/>
    </row>
    <row r="1272" spans="1:25" x14ac:dyDescent="0.2">
      <c r="A1272" s="410"/>
      <c r="B1272" s="410"/>
      <c r="C1272" s="410"/>
      <c r="D1272" s="410"/>
      <c r="E1272" s="410"/>
      <c r="F1272" s="410"/>
      <c r="G1272" s="410"/>
      <c r="H1272" s="410"/>
      <c r="I1272" s="410"/>
      <c r="J1272" s="410"/>
      <c r="K1272" s="410"/>
      <c r="L1272" s="410"/>
      <c r="M1272" s="410"/>
      <c r="N1272" s="410"/>
      <c r="R1272" s="410"/>
      <c r="S1272" s="410"/>
      <c r="T1272" s="410"/>
      <c r="U1272" s="410"/>
      <c r="V1272" s="410"/>
      <c r="W1272" s="410"/>
      <c r="X1272" s="410"/>
      <c r="Y1272" s="410"/>
    </row>
    <row r="1273" spans="1:25" x14ac:dyDescent="0.2">
      <c r="A1273" s="410"/>
      <c r="B1273" s="410"/>
      <c r="C1273" s="410"/>
      <c r="D1273" s="410"/>
      <c r="E1273" s="410"/>
      <c r="F1273" s="410"/>
      <c r="G1273" s="410"/>
      <c r="H1273" s="410"/>
      <c r="I1273" s="410"/>
      <c r="J1273" s="410"/>
      <c r="K1273" s="410"/>
      <c r="L1273" s="410"/>
      <c r="M1273" s="410"/>
      <c r="N1273" s="410"/>
      <c r="R1273" s="410"/>
      <c r="S1273" s="410"/>
      <c r="T1273" s="410"/>
      <c r="U1273" s="410"/>
      <c r="V1273" s="410"/>
      <c r="W1273" s="410"/>
      <c r="X1273" s="410"/>
      <c r="Y1273" s="410"/>
    </row>
    <row r="1274" spans="1:25" x14ac:dyDescent="0.2">
      <c r="A1274" s="410"/>
      <c r="B1274" s="410"/>
      <c r="C1274" s="410"/>
      <c r="D1274" s="410"/>
      <c r="E1274" s="410"/>
      <c r="F1274" s="410"/>
      <c r="G1274" s="410"/>
      <c r="H1274" s="410"/>
      <c r="I1274" s="410"/>
      <c r="J1274" s="410"/>
      <c r="K1274" s="410"/>
      <c r="L1274" s="410"/>
      <c r="M1274" s="410"/>
      <c r="N1274" s="410"/>
      <c r="R1274" s="410"/>
      <c r="S1274" s="410"/>
      <c r="T1274" s="410"/>
      <c r="U1274" s="410"/>
      <c r="V1274" s="410"/>
      <c r="W1274" s="410"/>
      <c r="X1274" s="410"/>
      <c r="Y1274" s="410"/>
    </row>
    <row r="1275" spans="1:25" x14ac:dyDescent="0.2">
      <c r="A1275" s="410"/>
      <c r="B1275" s="410"/>
      <c r="C1275" s="410"/>
      <c r="D1275" s="410"/>
      <c r="E1275" s="410"/>
      <c r="F1275" s="410"/>
      <c r="G1275" s="410"/>
      <c r="H1275" s="410"/>
      <c r="I1275" s="410"/>
      <c r="J1275" s="410"/>
      <c r="K1275" s="410"/>
      <c r="L1275" s="410"/>
      <c r="M1275" s="410"/>
      <c r="N1275" s="410"/>
      <c r="R1275" s="410"/>
      <c r="S1275" s="410"/>
      <c r="T1275" s="410"/>
      <c r="U1275" s="410"/>
      <c r="V1275" s="410"/>
      <c r="W1275" s="410"/>
      <c r="X1275" s="410"/>
      <c r="Y1275" s="410"/>
    </row>
    <row r="1276" spans="1:25" x14ac:dyDescent="0.2">
      <c r="A1276" s="410"/>
      <c r="B1276" s="410"/>
      <c r="C1276" s="410"/>
      <c r="D1276" s="410"/>
      <c r="E1276" s="410"/>
      <c r="F1276" s="410"/>
      <c r="G1276" s="410"/>
      <c r="H1276" s="410"/>
      <c r="I1276" s="410"/>
      <c r="J1276" s="410"/>
      <c r="K1276" s="410"/>
      <c r="L1276" s="410"/>
      <c r="M1276" s="410"/>
      <c r="N1276" s="410"/>
      <c r="R1276" s="410"/>
      <c r="S1276" s="410"/>
      <c r="T1276" s="410"/>
      <c r="U1276" s="410"/>
      <c r="V1276" s="410"/>
      <c r="W1276" s="410"/>
      <c r="X1276" s="410"/>
      <c r="Y1276" s="410"/>
    </row>
    <row r="1277" spans="1:25" x14ac:dyDescent="0.2">
      <c r="A1277" s="410"/>
      <c r="B1277" s="410"/>
      <c r="C1277" s="410"/>
      <c r="D1277" s="410"/>
      <c r="E1277" s="410"/>
      <c r="F1277" s="410"/>
      <c r="G1277" s="410"/>
      <c r="H1277" s="410"/>
      <c r="I1277" s="410"/>
      <c r="J1277" s="410"/>
      <c r="K1277" s="410"/>
      <c r="L1277" s="410"/>
      <c r="M1277" s="410"/>
      <c r="N1277" s="410"/>
      <c r="R1277" s="410"/>
      <c r="S1277" s="410"/>
      <c r="T1277" s="410"/>
      <c r="U1277" s="410"/>
      <c r="V1277" s="410"/>
      <c r="W1277" s="410"/>
      <c r="X1277" s="410"/>
      <c r="Y1277" s="410"/>
    </row>
    <row r="1278" spans="1:25" x14ac:dyDescent="0.2">
      <c r="A1278" s="410"/>
      <c r="B1278" s="410"/>
      <c r="C1278" s="410"/>
      <c r="D1278" s="410"/>
      <c r="E1278" s="410"/>
      <c r="F1278" s="410"/>
      <c r="G1278" s="410"/>
      <c r="H1278" s="410"/>
      <c r="I1278" s="410"/>
      <c r="J1278" s="410"/>
      <c r="K1278" s="410"/>
      <c r="L1278" s="410"/>
      <c r="M1278" s="410"/>
      <c r="N1278" s="410"/>
      <c r="R1278" s="410"/>
      <c r="S1278" s="410"/>
      <c r="T1278" s="410"/>
      <c r="U1278" s="410"/>
      <c r="V1278" s="410"/>
      <c r="W1278" s="410"/>
      <c r="X1278" s="410"/>
      <c r="Y1278" s="410"/>
    </row>
    <row r="1279" spans="1:25" x14ac:dyDescent="0.2">
      <c r="A1279" s="410"/>
      <c r="B1279" s="410"/>
      <c r="C1279" s="410"/>
      <c r="D1279" s="410"/>
      <c r="E1279" s="410"/>
      <c r="F1279" s="410"/>
      <c r="G1279" s="410"/>
      <c r="H1279" s="410"/>
      <c r="I1279" s="410"/>
      <c r="J1279" s="410"/>
      <c r="K1279" s="410"/>
      <c r="L1279" s="410"/>
      <c r="M1279" s="410"/>
      <c r="N1279" s="410"/>
      <c r="R1279" s="410"/>
      <c r="S1279" s="410"/>
      <c r="T1279" s="410"/>
      <c r="U1279" s="410"/>
      <c r="V1279" s="410"/>
      <c r="W1279" s="410"/>
      <c r="X1279" s="410"/>
      <c r="Y1279" s="410"/>
    </row>
    <row r="1280" spans="1:25" x14ac:dyDescent="0.2">
      <c r="A1280" s="410"/>
      <c r="B1280" s="410"/>
      <c r="C1280" s="410"/>
      <c r="D1280" s="410"/>
      <c r="E1280" s="410"/>
      <c r="F1280" s="410"/>
      <c r="G1280" s="410"/>
      <c r="H1280" s="410"/>
      <c r="I1280" s="410"/>
      <c r="J1280" s="410"/>
      <c r="K1280" s="410"/>
      <c r="L1280" s="410"/>
      <c r="M1280" s="410"/>
      <c r="N1280" s="410"/>
      <c r="R1280" s="410"/>
      <c r="S1280" s="410"/>
      <c r="T1280" s="410"/>
      <c r="U1280" s="410"/>
      <c r="V1280" s="410"/>
      <c r="W1280" s="410"/>
      <c r="X1280" s="410"/>
      <c r="Y1280" s="410"/>
    </row>
    <row r="1281" spans="1:25" x14ac:dyDescent="0.2">
      <c r="A1281" s="410"/>
      <c r="B1281" s="410"/>
      <c r="C1281" s="410"/>
      <c r="D1281" s="410"/>
      <c r="E1281" s="410"/>
      <c r="F1281" s="410"/>
      <c r="G1281" s="410"/>
      <c r="H1281" s="410"/>
      <c r="I1281" s="410"/>
      <c r="J1281" s="410"/>
      <c r="K1281" s="410"/>
      <c r="L1281" s="410"/>
      <c r="M1281" s="410"/>
      <c r="N1281" s="410"/>
      <c r="R1281" s="410"/>
      <c r="S1281" s="410"/>
      <c r="T1281" s="410"/>
      <c r="U1281" s="410"/>
      <c r="V1281" s="410"/>
      <c r="W1281" s="410"/>
      <c r="X1281" s="410"/>
      <c r="Y1281" s="410"/>
    </row>
    <row r="1282" spans="1:25" x14ac:dyDescent="0.2">
      <c r="A1282" s="410"/>
      <c r="B1282" s="410"/>
      <c r="C1282" s="410"/>
      <c r="D1282" s="410"/>
      <c r="E1282" s="410"/>
      <c r="F1282" s="410"/>
      <c r="G1282" s="410"/>
      <c r="H1282" s="410"/>
      <c r="I1282" s="410"/>
      <c r="J1282" s="410"/>
      <c r="K1282" s="410"/>
      <c r="L1282" s="410"/>
      <c r="M1282" s="410"/>
      <c r="N1282" s="410"/>
      <c r="R1282" s="410"/>
      <c r="S1282" s="410"/>
      <c r="T1282" s="410"/>
      <c r="U1282" s="410"/>
      <c r="V1282" s="410"/>
      <c r="W1282" s="410"/>
      <c r="X1282" s="410"/>
      <c r="Y1282" s="410"/>
    </row>
    <row r="1283" spans="1:25" x14ac:dyDescent="0.2">
      <c r="A1283" s="410"/>
      <c r="B1283" s="410"/>
      <c r="C1283" s="410"/>
      <c r="D1283" s="410"/>
      <c r="E1283" s="410"/>
      <c r="F1283" s="410"/>
      <c r="G1283" s="410"/>
      <c r="H1283" s="410"/>
      <c r="I1283" s="410"/>
      <c r="J1283" s="410"/>
      <c r="K1283" s="410"/>
      <c r="L1283" s="410"/>
      <c r="M1283" s="410"/>
      <c r="N1283" s="410"/>
      <c r="R1283" s="410"/>
      <c r="S1283" s="410"/>
      <c r="T1283" s="410"/>
      <c r="U1283" s="410"/>
      <c r="V1283" s="410"/>
      <c r="W1283" s="410"/>
      <c r="X1283" s="410"/>
      <c r="Y1283" s="410"/>
    </row>
    <row r="1284" spans="1:25" x14ac:dyDescent="0.2">
      <c r="A1284" s="410"/>
      <c r="B1284" s="410"/>
      <c r="C1284" s="410"/>
      <c r="D1284" s="410"/>
      <c r="E1284" s="410"/>
      <c r="F1284" s="410"/>
      <c r="G1284" s="410"/>
      <c r="H1284" s="410"/>
      <c r="I1284" s="410"/>
      <c r="J1284" s="410"/>
      <c r="K1284" s="410"/>
      <c r="L1284" s="410"/>
      <c r="M1284" s="410"/>
      <c r="N1284" s="410"/>
      <c r="R1284" s="410"/>
      <c r="S1284" s="410"/>
      <c r="T1284" s="410"/>
      <c r="U1284" s="410"/>
      <c r="V1284" s="410"/>
      <c r="W1284" s="410"/>
      <c r="X1284" s="410"/>
      <c r="Y1284" s="410"/>
    </row>
    <row r="1285" spans="1:25" x14ac:dyDescent="0.2">
      <c r="A1285" s="410"/>
      <c r="B1285" s="410"/>
      <c r="C1285" s="410"/>
      <c r="D1285" s="410"/>
      <c r="E1285" s="410"/>
      <c r="F1285" s="410"/>
      <c r="G1285" s="410"/>
      <c r="H1285" s="410"/>
      <c r="I1285" s="410"/>
      <c r="J1285" s="410"/>
      <c r="K1285" s="410"/>
      <c r="L1285" s="410"/>
      <c r="M1285" s="410"/>
      <c r="N1285" s="410"/>
      <c r="R1285" s="410"/>
      <c r="S1285" s="410"/>
      <c r="T1285" s="410"/>
      <c r="U1285" s="410"/>
      <c r="V1285" s="410"/>
      <c r="W1285" s="410"/>
      <c r="X1285" s="410"/>
      <c r="Y1285" s="410"/>
    </row>
    <row r="1286" spans="1:25" x14ac:dyDescent="0.2">
      <c r="A1286" s="410"/>
      <c r="B1286" s="410"/>
      <c r="C1286" s="410"/>
      <c r="D1286" s="410"/>
      <c r="E1286" s="410"/>
      <c r="F1286" s="410"/>
      <c r="G1286" s="410"/>
      <c r="H1286" s="410"/>
      <c r="I1286" s="410"/>
      <c r="J1286" s="410"/>
      <c r="K1286" s="410"/>
      <c r="L1286" s="410"/>
      <c r="M1286" s="410"/>
      <c r="N1286" s="410"/>
      <c r="R1286" s="410"/>
      <c r="S1286" s="410"/>
      <c r="T1286" s="410"/>
      <c r="U1286" s="410"/>
      <c r="V1286" s="410"/>
      <c r="W1286" s="410"/>
      <c r="X1286" s="410"/>
      <c r="Y1286" s="410"/>
    </row>
    <row r="1287" spans="1:25" x14ac:dyDescent="0.2">
      <c r="A1287" s="410"/>
      <c r="B1287" s="410"/>
      <c r="C1287" s="410"/>
      <c r="D1287" s="410"/>
      <c r="E1287" s="410"/>
      <c r="F1287" s="410"/>
      <c r="G1287" s="410"/>
      <c r="H1287" s="410"/>
      <c r="I1287" s="410"/>
      <c r="J1287" s="410"/>
      <c r="K1287" s="410"/>
      <c r="L1287" s="410"/>
      <c r="M1287" s="410"/>
      <c r="N1287" s="410"/>
      <c r="R1287" s="410"/>
      <c r="S1287" s="410"/>
      <c r="T1287" s="410"/>
      <c r="U1287" s="410"/>
      <c r="V1287" s="410"/>
      <c r="W1287" s="410"/>
      <c r="X1287" s="410"/>
      <c r="Y1287" s="410"/>
    </row>
    <row r="1288" spans="1:25" x14ac:dyDescent="0.2">
      <c r="A1288" s="410"/>
      <c r="B1288" s="410"/>
      <c r="C1288" s="410"/>
      <c r="D1288" s="410"/>
      <c r="E1288" s="410"/>
      <c r="F1288" s="410"/>
      <c r="G1288" s="410"/>
      <c r="H1288" s="410"/>
      <c r="I1288" s="410"/>
      <c r="J1288" s="410"/>
      <c r="K1288" s="410"/>
      <c r="L1288" s="410"/>
      <c r="M1288" s="410"/>
      <c r="N1288" s="410"/>
      <c r="R1288" s="410"/>
      <c r="S1288" s="410"/>
      <c r="T1288" s="410"/>
      <c r="U1288" s="410"/>
      <c r="V1288" s="410"/>
      <c r="W1288" s="410"/>
      <c r="X1288" s="410"/>
      <c r="Y1288" s="410"/>
    </row>
    <row r="1289" spans="1:25" x14ac:dyDescent="0.2">
      <c r="A1289" s="410"/>
      <c r="B1289" s="410"/>
      <c r="C1289" s="410"/>
      <c r="D1289" s="410"/>
      <c r="E1289" s="410"/>
      <c r="F1289" s="410"/>
      <c r="G1289" s="410"/>
      <c r="H1289" s="410"/>
      <c r="I1289" s="410"/>
      <c r="J1289" s="410"/>
      <c r="K1289" s="410"/>
      <c r="L1289" s="410"/>
      <c r="M1289" s="410"/>
      <c r="N1289" s="410"/>
      <c r="R1289" s="410"/>
      <c r="S1289" s="410"/>
      <c r="T1289" s="410"/>
      <c r="U1289" s="410"/>
      <c r="V1289" s="410"/>
      <c r="W1289" s="410"/>
      <c r="X1289" s="410"/>
      <c r="Y1289" s="410"/>
    </row>
    <row r="1290" spans="1:25" x14ac:dyDescent="0.2">
      <c r="A1290" s="410"/>
      <c r="B1290" s="410"/>
      <c r="C1290" s="410"/>
      <c r="D1290" s="410"/>
      <c r="E1290" s="410"/>
      <c r="F1290" s="410"/>
      <c r="G1290" s="410"/>
      <c r="H1290" s="410"/>
      <c r="I1290" s="410"/>
      <c r="J1290" s="410"/>
      <c r="K1290" s="410"/>
      <c r="L1290" s="410"/>
      <c r="M1290" s="410"/>
      <c r="N1290" s="410"/>
      <c r="R1290" s="410"/>
      <c r="S1290" s="410"/>
      <c r="T1290" s="410"/>
      <c r="U1290" s="410"/>
      <c r="V1290" s="410"/>
      <c r="W1290" s="410"/>
      <c r="X1290" s="410"/>
      <c r="Y1290" s="410"/>
    </row>
    <row r="1291" spans="1:25" x14ac:dyDescent="0.2">
      <c r="A1291" s="410"/>
      <c r="B1291" s="410"/>
      <c r="C1291" s="410"/>
      <c r="D1291" s="410"/>
      <c r="E1291" s="410"/>
      <c r="F1291" s="410"/>
      <c r="G1291" s="410"/>
      <c r="H1291" s="410"/>
      <c r="I1291" s="410"/>
      <c r="J1291" s="410"/>
      <c r="K1291" s="410"/>
      <c r="L1291" s="410"/>
      <c r="M1291" s="410"/>
      <c r="N1291" s="410"/>
      <c r="R1291" s="410"/>
      <c r="S1291" s="410"/>
      <c r="T1291" s="410"/>
      <c r="U1291" s="410"/>
      <c r="V1291" s="410"/>
      <c r="W1291" s="410"/>
      <c r="X1291" s="410"/>
      <c r="Y1291" s="410"/>
    </row>
    <row r="1292" spans="1:25" x14ac:dyDescent="0.2">
      <c r="A1292" s="410"/>
      <c r="B1292" s="410"/>
      <c r="C1292" s="410"/>
      <c r="D1292" s="410"/>
      <c r="E1292" s="410"/>
      <c r="F1292" s="410"/>
      <c r="G1292" s="410"/>
      <c r="H1292" s="410"/>
      <c r="I1292" s="410"/>
      <c r="J1292" s="410"/>
      <c r="K1292" s="410"/>
      <c r="L1292" s="410"/>
      <c r="M1292" s="410"/>
      <c r="N1292" s="410"/>
      <c r="R1292" s="410"/>
      <c r="S1292" s="410"/>
      <c r="T1292" s="410"/>
      <c r="U1292" s="410"/>
      <c r="V1292" s="410"/>
      <c r="W1292" s="410"/>
      <c r="X1292" s="410"/>
      <c r="Y1292" s="410"/>
    </row>
    <row r="1293" spans="1:25" x14ac:dyDescent="0.2">
      <c r="A1293" s="410"/>
      <c r="B1293" s="410"/>
      <c r="C1293" s="410"/>
      <c r="D1293" s="410"/>
      <c r="E1293" s="410"/>
      <c r="F1293" s="410"/>
      <c r="G1293" s="410"/>
      <c r="H1293" s="410"/>
      <c r="I1293" s="410"/>
      <c r="J1293" s="410"/>
      <c r="K1293" s="410"/>
      <c r="L1293" s="410"/>
      <c r="M1293" s="410"/>
      <c r="N1293" s="410"/>
      <c r="R1293" s="410"/>
      <c r="S1293" s="410"/>
      <c r="T1293" s="410"/>
      <c r="U1293" s="410"/>
      <c r="V1293" s="410"/>
      <c r="W1293" s="410"/>
      <c r="X1293" s="410"/>
      <c r="Y1293" s="410"/>
    </row>
    <row r="1294" spans="1:25" x14ac:dyDescent="0.2">
      <c r="A1294" s="410"/>
      <c r="B1294" s="410"/>
      <c r="C1294" s="410"/>
      <c r="D1294" s="410"/>
      <c r="E1294" s="410"/>
      <c r="F1294" s="410"/>
      <c r="G1294" s="410"/>
      <c r="H1294" s="410"/>
      <c r="I1294" s="410"/>
      <c r="J1294" s="410"/>
      <c r="K1294" s="410"/>
      <c r="L1294" s="410"/>
      <c r="M1294" s="410"/>
      <c r="N1294" s="410"/>
      <c r="R1294" s="410"/>
      <c r="S1294" s="410"/>
      <c r="T1294" s="410"/>
      <c r="U1294" s="410"/>
      <c r="V1294" s="410"/>
      <c r="W1294" s="410"/>
      <c r="X1294" s="410"/>
      <c r="Y1294" s="410"/>
    </row>
    <row r="1295" spans="1:25" x14ac:dyDescent="0.2">
      <c r="A1295" s="410"/>
      <c r="B1295" s="410"/>
      <c r="C1295" s="410"/>
      <c r="D1295" s="410"/>
      <c r="E1295" s="410"/>
      <c r="F1295" s="410"/>
      <c r="G1295" s="410"/>
      <c r="H1295" s="410"/>
      <c r="I1295" s="410"/>
      <c r="J1295" s="410"/>
      <c r="K1295" s="410"/>
      <c r="L1295" s="410"/>
      <c r="M1295" s="410"/>
      <c r="N1295" s="410"/>
      <c r="R1295" s="410"/>
      <c r="S1295" s="410"/>
      <c r="T1295" s="410"/>
      <c r="U1295" s="410"/>
      <c r="V1295" s="410"/>
      <c r="W1295" s="410"/>
      <c r="X1295" s="410"/>
      <c r="Y1295" s="410"/>
    </row>
    <row r="1296" spans="1:25" x14ac:dyDescent="0.2">
      <c r="A1296" s="410"/>
      <c r="B1296" s="410"/>
      <c r="C1296" s="410"/>
      <c r="D1296" s="410"/>
      <c r="E1296" s="410"/>
      <c r="F1296" s="410"/>
      <c r="G1296" s="410"/>
      <c r="H1296" s="410"/>
      <c r="I1296" s="410"/>
      <c r="J1296" s="410"/>
      <c r="K1296" s="410"/>
      <c r="L1296" s="410"/>
      <c r="M1296" s="410"/>
      <c r="N1296" s="410"/>
      <c r="R1296" s="410"/>
      <c r="S1296" s="410"/>
      <c r="T1296" s="410"/>
      <c r="U1296" s="410"/>
      <c r="V1296" s="410"/>
      <c r="W1296" s="410"/>
      <c r="X1296" s="410"/>
      <c r="Y1296" s="410"/>
    </row>
    <row r="1297" spans="1:25" x14ac:dyDescent="0.2">
      <c r="A1297" s="410"/>
      <c r="B1297" s="410"/>
      <c r="C1297" s="410"/>
      <c r="D1297" s="410"/>
      <c r="E1297" s="410"/>
      <c r="F1297" s="410"/>
      <c r="G1297" s="410"/>
      <c r="H1297" s="410"/>
      <c r="I1297" s="410"/>
      <c r="J1297" s="410"/>
      <c r="K1297" s="410"/>
      <c r="L1297" s="410"/>
      <c r="M1297" s="410"/>
      <c r="N1297" s="410"/>
      <c r="R1297" s="410"/>
      <c r="S1297" s="410"/>
      <c r="T1297" s="410"/>
      <c r="U1297" s="410"/>
      <c r="V1297" s="410"/>
      <c r="W1297" s="410"/>
      <c r="X1297" s="410"/>
      <c r="Y1297" s="410"/>
    </row>
    <row r="1298" spans="1:25" x14ac:dyDescent="0.2">
      <c r="A1298" s="410"/>
      <c r="B1298" s="410"/>
      <c r="C1298" s="410"/>
      <c r="D1298" s="410"/>
      <c r="E1298" s="410"/>
      <c r="F1298" s="410"/>
      <c r="G1298" s="410"/>
      <c r="H1298" s="410"/>
      <c r="I1298" s="410"/>
      <c r="J1298" s="410"/>
      <c r="K1298" s="410"/>
      <c r="L1298" s="410"/>
      <c r="M1298" s="410"/>
      <c r="N1298" s="410"/>
      <c r="R1298" s="410"/>
      <c r="S1298" s="410"/>
      <c r="T1298" s="410"/>
      <c r="U1298" s="410"/>
      <c r="V1298" s="410"/>
      <c r="W1298" s="410"/>
      <c r="X1298" s="410"/>
      <c r="Y1298" s="410"/>
    </row>
    <row r="1299" spans="1:25" x14ac:dyDescent="0.2">
      <c r="A1299" s="410"/>
      <c r="B1299" s="410"/>
      <c r="C1299" s="410"/>
      <c r="D1299" s="410"/>
      <c r="E1299" s="410"/>
      <c r="F1299" s="410"/>
      <c r="G1299" s="410"/>
      <c r="H1299" s="410"/>
      <c r="I1299" s="410"/>
      <c r="J1299" s="410"/>
      <c r="K1299" s="410"/>
      <c r="L1299" s="410"/>
      <c r="M1299" s="410"/>
      <c r="N1299" s="410"/>
      <c r="R1299" s="410"/>
      <c r="S1299" s="410"/>
      <c r="T1299" s="410"/>
      <c r="U1299" s="410"/>
      <c r="V1299" s="410"/>
      <c r="W1299" s="410"/>
      <c r="X1299" s="410"/>
      <c r="Y1299" s="410"/>
    </row>
    <row r="1300" spans="1:25" x14ac:dyDescent="0.2">
      <c r="A1300" s="410"/>
      <c r="B1300" s="410"/>
      <c r="C1300" s="410"/>
      <c r="D1300" s="410"/>
      <c r="E1300" s="410"/>
      <c r="F1300" s="410"/>
      <c r="G1300" s="410"/>
      <c r="H1300" s="410"/>
      <c r="I1300" s="410"/>
      <c r="J1300" s="410"/>
      <c r="K1300" s="410"/>
      <c r="L1300" s="410"/>
      <c r="M1300" s="410"/>
      <c r="N1300" s="410"/>
      <c r="R1300" s="410"/>
      <c r="S1300" s="410"/>
      <c r="T1300" s="410"/>
      <c r="U1300" s="410"/>
      <c r="V1300" s="410"/>
      <c r="W1300" s="410"/>
      <c r="X1300" s="410"/>
      <c r="Y1300" s="410"/>
    </row>
    <row r="1301" spans="1:25" x14ac:dyDescent="0.2">
      <c r="A1301" s="410"/>
      <c r="B1301" s="410"/>
      <c r="C1301" s="410"/>
      <c r="D1301" s="410"/>
      <c r="E1301" s="410"/>
      <c r="F1301" s="410"/>
      <c r="G1301" s="410"/>
      <c r="H1301" s="410"/>
      <c r="I1301" s="410"/>
      <c r="J1301" s="410"/>
      <c r="K1301" s="410"/>
      <c r="L1301" s="410"/>
      <c r="M1301" s="410"/>
      <c r="N1301" s="410"/>
      <c r="R1301" s="410"/>
      <c r="S1301" s="410"/>
      <c r="T1301" s="410"/>
      <c r="U1301" s="410"/>
      <c r="V1301" s="410"/>
      <c r="W1301" s="410"/>
      <c r="X1301" s="410"/>
      <c r="Y1301" s="410"/>
    </row>
    <row r="1302" spans="1:25" x14ac:dyDescent="0.2">
      <c r="A1302" s="410"/>
      <c r="B1302" s="410"/>
      <c r="C1302" s="410"/>
      <c r="D1302" s="410"/>
      <c r="E1302" s="410"/>
      <c r="F1302" s="410"/>
      <c r="G1302" s="410"/>
      <c r="H1302" s="410"/>
      <c r="I1302" s="410"/>
      <c r="J1302" s="410"/>
      <c r="K1302" s="410"/>
      <c r="L1302" s="410"/>
      <c r="M1302" s="410"/>
      <c r="N1302" s="410"/>
      <c r="R1302" s="410"/>
      <c r="S1302" s="410"/>
      <c r="T1302" s="410"/>
      <c r="U1302" s="410"/>
      <c r="V1302" s="410"/>
      <c r="W1302" s="410"/>
      <c r="X1302" s="410"/>
      <c r="Y1302" s="410"/>
    </row>
    <row r="1303" spans="1:25" x14ac:dyDescent="0.2">
      <c r="A1303" s="410"/>
      <c r="B1303" s="410"/>
      <c r="C1303" s="410"/>
      <c r="D1303" s="410"/>
      <c r="E1303" s="410"/>
      <c r="F1303" s="410"/>
      <c r="G1303" s="410"/>
      <c r="H1303" s="410"/>
      <c r="I1303" s="410"/>
      <c r="J1303" s="410"/>
      <c r="K1303" s="410"/>
      <c r="L1303" s="410"/>
      <c r="M1303" s="410"/>
      <c r="N1303" s="410"/>
      <c r="R1303" s="410"/>
      <c r="S1303" s="410"/>
      <c r="T1303" s="410"/>
      <c r="U1303" s="410"/>
      <c r="V1303" s="410"/>
      <c r="W1303" s="410"/>
      <c r="X1303" s="410"/>
      <c r="Y1303" s="410"/>
    </row>
    <row r="1304" spans="1:25" x14ac:dyDescent="0.2">
      <c r="A1304" s="410"/>
      <c r="B1304" s="410"/>
      <c r="C1304" s="410"/>
      <c r="D1304" s="410"/>
      <c r="E1304" s="410"/>
      <c r="F1304" s="410"/>
      <c r="G1304" s="410"/>
      <c r="H1304" s="410"/>
      <c r="I1304" s="410"/>
      <c r="J1304" s="410"/>
      <c r="K1304" s="410"/>
      <c r="L1304" s="410"/>
      <c r="M1304" s="410"/>
      <c r="N1304" s="410"/>
      <c r="R1304" s="410"/>
      <c r="S1304" s="410"/>
      <c r="T1304" s="410"/>
      <c r="U1304" s="410"/>
      <c r="V1304" s="410"/>
      <c r="W1304" s="410"/>
      <c r="X1304" s="410"/>
      <c r="Y1304" s="410"/>
    </row>
    <row r="1305" spans="1:25" x14ac:dyDescent="0.2">
      <c r="A1305" s="410"/>
      <c r="B1305" s="410"/>
      <c r="C1305" s="410"/>
      <c r="D1305" s="410"/>
      <c r="E1305" s="410"/>
      <c r="F1305" s="410"/>
      <c r="G1305" s="410"/>
      <c r="H1305" s="410"/>
      <c r="I1305" s="410"/>
      <c r="J1305" s="410"/>
      <c r="K1305" s="410"/>
      <c r="L1305" s="410"/>
      <c r="M1305" s="410"/>
      <c r="N1305" s="410"/>
      <c r="R1305" s="410"/>
      <c r="S1305" s="410"/>
      <c r="T1305" s="410"/>
      <c r="U1305" s="410"/>
      <c r="V1305" s="410"/>
      <c r="W1305" s="410"/>
      <c r="X1305" s="410"/>
      <c r="Y1305" s="410"/>
    </row>
    <row r="1306" spans="1:25" x14ac:dyDescent="0.2">
      <c r="A1306" s="410"/>
      <c r="B1306" s="410"/>
      <c r="C1306" s="410"/>
      <c r="D1306" s="410"/>
      <c r="E1306" s="410"/>
      <c r="F1306" s="410"/>
      <c r="G1306" s="410"/>
      <c r="H1306" s="410"/>
      <c r="I1306" s="410"/>
      <c r="J1306" s="410"/>
      <c r="K1306" s="410"/>
      <c r="L1306" s="410"/>
      <c r="M1306" s="410"/>
      <c r="N1306" s="410"/>
      <c r="R1306" s="410"/>
      <c r="S1306" s="410"/>
      <c r="T1306" s="410"/>
      <c r="U1306" s="410"/>
      <c r="V1306" s="410"/>
      <c r="W1306" s="410"/>
      <c r="X1306" s="410"/>
      <c r="Y1306" s="410"/>
    </row>
    <row r="1307" spans="1:25" x14ac:dyDescent="0.2">
      <c r="A1307" s="410"/>
      <c r="B1307" s="410"/>
      <c r="C1307" s="410"/>
      <c r="D1307" s="410"/>
      <c r="E1307" s="410"/>
      <c r="F1307" s="410"/>
      <c r="G1307" s="410"/>
      <c r="H1307" s="410"/>
      <c r="I1307" s="410"/>
      <c r="J1307" s="410"/>
      <c r="K1307" s="410"/>
      <c r="L1307" s="410"/>
      <c r="M1307" s="410"/>
      <c r="N1307" s="410"/>
      <c r="R1307" s="410"/>
      <c r="S1307" s="410"/>
      <c r="T1307" s="410"/>
      <c r="U1307" s="410"/>
      <c r="V1307" s="410"/>
      <c r="W1307" s="410"/>
      <c r="X1307" s="410"/>
      <c r="Y1307" s="410"/>
    </row>
    <row r="1308" spans="1:25" x14ac:dyDescent="0.2">
      <c r="A1308" s="410"/>
      <c r="B1308" s="410"/>
      <c r="C1308" s="410"/>
      <c r="D1308" s="410"/>
      <c r="E1308" s="410"/>
      <c r="F1308" s="410"/>
      <c r="G1308" s="410"/>
      <c r="H1308" s="410"/>
      <c r="I1308" s="410"/>
      <c r="J1308" s="410"/>
      <c r="K1308" s="410"/>
      <c r="L1308" s="410"/>
      <c r="M1308" s="410"/>
      <c r="N1308" s="410"/>
      <c r="R1308" s="410"/>
      <c r="S1308" s="410"/>
      <c r="T1308" s="410"/>
      <c r="U1308" s="410"/>
      <c r="V1308" s="410"/>
      <c r="W1308" s="410"/>
      <c r="X1308" s="410"/>
      <c r="Y1308" s="410"/>
    </row>
    <row r="1309" spans="1:25" x14ac:dyDescent="0.2">
      <c r="A1309" s="410"/>
      <c r="B1309" s="410"/>
      <c r="C1309" s="410"/>
      <c r="D1309" s="410"/>
      <c r="E1309" s="410"/>
      <c r="F1309" s="410"/>
      <c r="G1309" s="410"/>
      <c r="H1309" s="410"/>
      <c r="I1309" s="410"/>
      <c r="J1309" s="410"/>
      <c r="K1309" s="410"/>
      <c r="L1309" s="410"/>
      <c r="M1309" s="410"/>
      <c r="N1309" s="410"/>
      <c r="R1309" s="410"/>
      <c r="S1309" s="410"/>
      <c r="T1309" s="410"/>
      <c r="U1309" s="410"/>
      <c r="V1309" s="410"/>
      <c r="W1309" s="410"/>
      <c r="X1309" s="410"/>
      <c r="Y1309" s="410"/>
    </row>
    <row r="1310" spans="1:25" x14ac:dyDescent="0.2">
      <c r="A1310" s="410"/>
      <c r="B1310" s="410"/>
      <c r="C1310" s="410"/>
      <c r="D1310" s="410"/>
      <c r="E1310" s="410"/>
      <c r="F1310" s="410"/>
      <c r="G1310" s="410"/>
      <c r="H1310" s="410"/>
      <c r="I1310" s="410"/>
      <c r="J1310" s="410"/>
      <c r="K1310" s="410"/>
      <c r="L1310" s="410"/>
      <c r="M1310" s="410"/>
      <c r="N1310" s="410"/>
      <c r="R1310" s="410"/>
      <c r="S1310" s="410"/>
      <c r="T1310" s="410"/>
      <c r="U1310" s="410"/>
      <c r="V1310" s="410"/>
      <c r="W1310" s="410"/>
      <c r="X1310" s="410"/>
      <c r="Y1310" s="410"/>
    </row>
    <row r="1311" spans="1:25" x14ac:dyDescent="0.2">
      <c r="A1311" s="410"/>
      <c r="B1311" s="410"/>
      <c r="C1311" s="410"/>
      <c r="D1311" s="410"/>
      <c r="E1311" s="410"/>
      <c r="F1311" s="410"/>
      <c r="G1311" s="410"/>
      <c r="H1311" s="410"/>
      <c r="I1311" s="410"/>
      <c r="J1311" s="410"/>
      <c r="K1311" s="410"/>
      <c r="L1311" s="410"/>
      <c r="M1311" s="410"/>
      <c r="N1311" s="410"/>
      <c r="R1311" s="410"/>
      <c r="S1311" s="410"/>
      <c r="T1311" s="410"/>
      <c r="U1311" s="410"/>
      <c r="V1311" s="410"/>
      <c r="W1311" s="410"/>
      <c r="X1311" s="410"/>
      <c r="Y1311" s="410"/>
    </row>
    <row r="1312" spans="1:25" x14ac:dyDescent="0.2">
      <c r="A1312" s="410"/>
      <c r="B1312" s="410"/>
      <c r="C1312" s="410"/>
      <c r="D1312" s="410"/>
      <c r="E1312" s="410"/>
      <c r="F1312" s="410"/>
      <c r="G1312" s="410"/>
      <c r="H1312" s="410"/>
      <c r="I1312" s="410"/>
      <c r="J1312" s="410"/>
      <c r="K1312" s="410"/>
      <c r="L1312" s="410"/>
      <c r="M1312" s="410"/>
      <c r="N1312" s="410"/>
      <c r="R1312" s="410"/>
      <c r="S1312" s="410"/>
      <c r="T1312" s="410"/>
      <c r="U1312" s="410"/>
      <c r="V1312" s="410"/>
      <c r="W1312" s="410"/>
      <c r="X1312" s="410"/>
      <c r="Y1312" s="410"/>
    </row>
    <row r="1313" spans="1:25" x14ac:dyDescent="0.2">
      <c r="A1313" s="410"/>
      <c r="B1313" s="410"/>
      <c r="C1313" s="410"/>
      <c r="D1313" s="410"/>
      <c r="E1313" s="410"/>
      <c r="F1313" s="410"/>
      <c r="G1313" s="410"/>
      <c r="H1313" s="410"/>
      <c r="I1313" s="410"/>
      <c r="J1313" s="410"/>
      <c r="K1313" s="410"/>
      <c r="L1313" s="410"/>
      <c r="M1313" s="410"/>
      <c r="N1313" s="410"/>
      <c r="R1313" s="410"/>
      <c r="S1313" s="410"/>
      <c r="T1313" s="410"/>
      <c r="U1313" s="410"/>
      <c r="V1313" s="410"/>
      <c r="W1313" s="410"/>
      <c r="X1313" s="410"/>
      <c r="Y1313" s="410"/>
    </row>
    <row r="1314" spans="1:25" x14ac:dyDescent="0.2">
      <c r="A1314" s="410"/>
      <c r="B1314" s="410"/>
      <c r="C1314" s="410"/>
      <c r="D1314" s="410"/>
      <c r="E1314" s="410"/>
      <c r="F1314" s="410"/>
      <c r="G1314" s="410"/>
      <c r="H1314" s="410"/>
      <c r="I1314" s="410"/>
      <c r="J1314" s="410"/>
      <c r="K1314" s="410"/>
      <c r="L1314" s="410"/>
      <c r="M1314" s="410"/>
      <c r="N1314" s="410"/>
      <c r="R1314" s="410"/>
      <c r="S1314" s="410"/>
      <c r="T1314" s="410"/>
      <c r="U1314" s="410"/>
      <c r="V1314" s="410"/>
      <c r="W1314" s="410"/>
      <c r="X1314" s="410"/>
      <c r="Y1314" s="410"/>
    </row>
    <row r="1315" spans="1:25" x14ac:dyDescent="0.2">
      <c r="A1315" s="410"/>
      <c r="B1315" s="410"/>
      <c r="C1315" s="410"/>
      <c r="D1315" s="410"/>
      <c r="E1315" s="410"/>
      <c r="F1315" s="410"/>
      <c r="G1315" s="410"/>
      <c r="H1315" s="410"/>
      <c r="I1315" s="410"/>
      <c r="J1315" s="410"/>
      <c r="K1315" s="410"/>
      <c r="L1315" s="410"/>
      <c r="M1315" s="410"/>
      <c r="N1315" s="410"/>
      <c r="R1315" s="410"/>
      <c r="S1315" s="410"/>
      <c r="T1315" s="410"/>
      <c r="U1315" s="410"/>
      <c r="V1315" s="410"/>
      <c r="W1315" s="410"/>
      <c r="X1315" s="410"/>
      <c r="Y1315" s="410"/>
    </row>
    <row r="1316" spans="1:25" x14ac:dyDescent="0.2">
      <c r="A1316" s="410"/>
      <c r="B1316" s="410"/>
      <c r="C1316" s="410"/>
      <c r="D1316" s="410"/>
      <c r="E1316" s="410"/>
      <c r="F1316" s="410"/>
      <c r="G1316" s="410"/>
      <c r="H1316" s="410"/>
      <c r="I1316" s="410"/>
      <c r="J1316" s="410"/>
      <c r="K1316" s="410"/>
      <c r="L1316" s="410"/>
      <c r="M1316" s="410"/>
      <c r="N1316" s="410"/>
      <c r="R1316" s="410"/>
      <c r="S1316" s="410"/>
      <c r="T1316" s="410"/>
      <c r="U1316" s="410"/>
      <c r="V1316" s="410"/>
      <c r="W1316" s="410"/>
      <c r="X1316" s="410"/>
      <c r="Y1316" s="410"/>
    </row>
    <row r="1317" spans="1:25" x14ac:dyDescent="0.2">
      <c r="A1317" s="410"/>
      <c r="B1317" s="410"/>
      <c r="C1317" s="410"/>
      <c r="D1317" s="410"/>
      <c r="E1317" s="410"/>
      <c r="F1317" s="410"/>
      <c r="G1317" s="410"/>
      <c r="H1317" s="410"/>
      <c r="I1317" s="410"/>
      <c r="J1317" s="410"/>
      <c r="K1317" s="410"/>
      <c r="L1317" s="410"/>
      <c r="M1317" s="410"/>
      <c r="N1317" s="410"/>
      <c r="R1317" s="410"/>
      <c r="S1317" s="410"/>
      <c r="T1317" s="410"/>
      <c r="U1317" s="410"/>
      <c r="V1317" s="410"/>
      <c r="W1317" s="410"/>
      <c r="X1317" s="410"/>
      <c r="Y1317" s="410"/>
    </row>
    <row r="1318" spans="1:25" x14ac:dyDescent="0.2">
      <c r="A1318" s="410"/>
      <c r="B1318" s="410"/>
      <c r="C1318" s="410"/>
      <c r="D1318" s="410"/>
      <c r="E1318" s="410"/>
      <c r="F1318" s="410"/>
      <c r="G1318" s="410"/>
      <c r="H1318" s="410"/>
      <c r="I1318" s="410"/>
      <c r="J1318" s="410"/>
      <c r="K1318" s="410"/>
      <c r="L1318" s="410"/>
      <c r="M1318" s="410"/>
      <c r="N1318" s="410"/>
      <c r="R1318" s="410"/>
      <c r="S1318" s="410"/>
      <c r="T1318" s="410"/>
      <c r="U1318" s="410"/>
      <c r="V1318" s="410"/>
      <c r="W1318" s="410"/>
      <c r="X1318" s="410"/>
      <c r="Y1318" s="410"/>
    </row>
    <row r="1319" spans="1:25" x14ac:dyDescent="0.2">
      <c r="A1319" s="410"/>
      <c r="B1319" s="410"/>
      <c r="C1319" s="410"/>
      <c r="D1319" s="410"/>
      <c r="E1319" s="410"/>
      <c r="F1319" s="410"/>
      <c r="G1319" s="410"/>
      <c r="H1319" s="410"/>
      <c r="I1319" s="410"/>
      <c r="J1319" s="410"/>
      <c r="K1319" s="410"/>
      <c r="L1319" s="410"/>
      <c r="M1319" s="410"/>
      <c r="N1319" s="410"/>
      <c r="R1319" s="410"/>
      <c r="S1319" s="410"/>
      <c r="T1319" s="410"/>
      <c r="U1319" s="410"/>
      <c r="V1319" s="410"/>
      <c r="W1319" s="410"/>
      <c r="X1319" s="410"/>
      <c r="Y1319" s="410"/>
    </row>
    <row r="1320" spans="1:25" x14ac:dyDescent="0.2">
      <c r="A1320" s="410"/>
      <c r="B1320" s="410"/>
      <c r="C1320" s="410"/>
      <c r="D1320" s="410"/>
      <c r="E1320" s="410"/>
      <c r="F1320" s="410"/>
      <c r="G1320" s="410"/>
      <c r="H1320" s="410"/>
      <c r="I1320" s="410"/>
      <c r="J1320" s="410"/>
      <c r="K1320" s="410"/>
      <c r="L1320" s="410"/>
      <c r="M1320" s="410"/>
      <c r="N1320" s="410"/>
      <c r="R1320" s="410"/>
      <c r="S1320" s="410"/>
      <c r="T1320" s="410"/>
      <c r="U1320" s="410"/>
      <c r="V1320" s="410"/>
      <c r="W1320" s="410"/>
      <c r="X1320" s="410"/>
      <c r="Y1320" s="410"/>
    </row>
    <row r="1321" spans="1:25" x14ac:dyDescent="0.2">
      <c r="A1321" s="410"/>
      <c r="B1321" s="410"/>
      <c r="C1321" s="410"/>
      <c r="D1321" s="410"/>
      <c r="E1321" s="410"/>
      <c r="F1321" s="410"/>
      <c r="G1321" s="410"/>
      <c r="H1321" s="410"/>
      <c r="I1321" s="410"/>
      <c r="J1321" s="410"/>
      <c r="K1321" s="410"/>
      <c r="L1321" s="410"/>
      <c r="M1321" s="410"/>
      <c r="N1321" s="410"/>
      <c r="R1321" s="410"/>
      <c r="S1321" s="410"/>
      <c r="T1321" s="410"/>
      <c r="U1321" s="410"/>
      <c r="V1321" s="410"/>
      <c r="W1321" s="410"/>
      <c r="X1321" s="410"/>
      <c r="Y1321" s="410"/>
    </row>
    <row r="1322" spans="1:25" x14ac:dyDescent="0.2">
      <c r="A1322" s="410"/>
      <c r="B1322" s="410"/>
      <c r="C1322" s="410"/>
      <c r="D1322" s="410"/>
      <c r="E1322" s="410"/>
      <c r="F1322" s="410"/>
      <c r="G1322" s="410"/>
      <c r="H1322" s="410"/>
      <c r="I1322" s="410"/>
      <c r="J1322" s="410"/>
      <c r="K1322" s="410"/>
      <c r="L1322" s="410"/>
      <c r="M1322" s="410"/>
      <c r="N1322" s="410"/>
      <c r="R1322" s="410"/>
      <c r="S1322" s="410"/>
      <c r="T1322" s="410"/>
      <c r="U1322" s="410"/>
      <c r="V1322" s="410"/>
      <c r="W1322" s="410"/>
      <c r="X1322" s="410"/>
      <c r="Y1322" s="410"/>
    </row>
    <row r="1323" spans="1:25" x14ac:dyDescent="0.2">
      <c r="A1323" s="410"/>
      <c r="B1323" s="410"/>
      <c r="C1323" s="410"/>
      <c r="D1323" s="410"/>
      <c r="E1323" s="410"/>
      <c r="F1323" s="410"/>
      <c r="G1323" s="410"/>
      <c r="H1323" s="410"/>
      <c r="I1323" s="410"/>
      <c r="J1323" s="410"/>
      <c r="K1323" s="410"/>
      <c r="L1323" s="410"/>
      <c r="M1323" s="410"/>
      <c r="N1323" s="410"/>
      <c r="R1323" s="410"/>
      <c r="S1323" s="410"/>
      <c r="T1323" s="410"/>
      <c r="U1323" s="410"/>
      <c r="V1323" s="410"/>
      <c r="W1323" s="410"/>
      <c r="X1323" s="410"/>
      <c r="Y1323" s="410"/>
    </row>
    <row r="1324" spans="1:25" x14ac:dyDescent="0.2">
      <c r="A1324" s="410"/>
      <c r="B1324" s="410"/>
      <c r="C1324" s="410"/>
      <c r="D1324" s="410"/>
      <c r="E1324" s="410"/>
      <c r="F1324" s="410"/>
      <c r="G1324" s="410"/>
      <c r="H1324" s="410"/>
      <c r="I1324" s="410"/>
      <c r="J1324" s="410"/>
      <c r="K1324" s="410"/>
      <c r="L1324" s="410"/>
      <c r="M1324" s="410"/>
      <c r="N1324" s="410"/>
      <c r="R1324" s="410"/>
      <c r="S1324" s="410"/>
      <c r="T1324" s="410"/>
      <c r="U1324" s="410"/>
      <c r="V1324" s="410"/>
      <c r="W1324" s="410"/>
      <c r="X1324" s="410"/>
      <c r="Y1324" s="410"/>
    </row>
    <row r="1325" spans="1:25" x14ac:dyDescent="0.2">
      <c r="A1325" s="410"/>
      <c r="B1325" s="410"/>
      <c r="C1325" s="410"/>
      <c r="D1325" s="410"/>
      <c r="E1325" s="410"/>
      <c r="F1325" s="410"/>
      <c r="G1325" s="410"/>
      <c r="H1325" s="410"/>
      <c r="I1325" s="410"/>
      <c r="J1325" s="410"/>
      <c r="K1325" s="410"/>
      <c r="L1325" s="410"/>
      <c r="M1325" s="410"/>
      <c r="N1325" s="410"/>
      <c r="R1325" s="410"/>
      <c r="S1325" s="410"/>
      <c r="T1325" s="410"/>
      <c r="U1325" s="410"/>
      <c r="V1325" s="410"/>
      <c r="W1325" s="410"/>
      <c r="X1325" s="410"/>
      <c r="Y1325" s="410"/>
    </row>
    <row r="1326" spans="1:25" x14ac:dyDescent="0.2">
      <c r="A1326" s="410"/>
      <c r="B1326" s="410"/>
      <c r="C1326" s="410"/>
      <c r="D1326" s="410"/>
      <c r="E1326" s="410"/>
      <c r="F1326" s="410"/>
      <c r="G1326" s="410"/>
      <c r="H1326" s="410"/>
      <c r="I1326" s="410"/>
      <c r="J1326" s="410"/>
      <c r="K1326" s="410"/>
      <c r="L1326" s="410"/>
      <c r="M1326" s="410"/>
      <c r="N1326" s="410"/>
      <c r="R1326" s="410"/>
      <c r="S1326" s="410"/>
      <c r="T1326" s="410"/>
      <c r="U1326" s="410"/>
      <c r="V1326" s="410"/>
      <c r="W1326" s="410"/>
      <c r="X1326" s="410"/>
      <c r="Y1326" s="410"/>
    </row>
    <row r="1327" spans="1:25" x14ac:dyDescent="0.2">
      <c r="A1327" s="410"/>
      <c r="B1327" s="410"/>
      <c r="C1327" s="410"/>
      <c r="D1327" s="410"/>
      <c r="E1327" s="410"/>
      <c r="F1327" s="410"/>
      <c r="G1327" s="410"/>
      <c r="H1327" s="410"/>
      <c r="I1327" s="410"/>
      <c r="J1327" s="410"/>
      <c r="K1327" s="410"/>
      <c r="L1327" s="410"/>
      <c r="M1327" s="410"/>
      <c r="N1327" s="410"/>
      <c r="R1327" s="410"/>
      <c r="S1327" s="410"/>
      <c r="T1327" s="410"/>
      <c r="U1327" s="410"/>
      <c r="V1327" s="410"/>
      <c r="W1327" s="410"/>
      <c r="X1327" s="410"/>
      <c r="Y1327" s="410"/>
    </row>
    <row r="1328" spans="1:25" x14ac:dyDescent="0.2">
      <c r="A1328" s="410"/>
      <c r="B1328" s="410"/>
      <c r="C1328" s="410"/>
      <c r="D1328" s="410"/>
      <c r="E1328" s="410"/>
      <c r="F1328" s="410"/>
      <c r="G1328" s="410"/>
      <c r="H1328" s="410"/>
      <c r="I1328" s="410"/>
      <c r="J1328" s="410"/>
      <c r="K1328" s="410"/>
      <c r="L1328" s="410"/>
      <c r="M1328" s="410"/>
      <c r="N1328" s="410"/>
      <c r="R1328" s="410"/>
      <c r="S1328" s="410"/>
      <c r="T1328" s="410"/>
      <c r="U1328" s="410"/>
      <c r="V1328" s="410"/>
      <c r="W1328" s="410"/>
      <c r="X1328" s="410"/>
      <c r="Y1328" s="410"/>
    </row>
    <row r="1329" spans="1:25" x14ac:dyDescent="0.2">
      <c r="A1329" s="410"/>
      <c r="B1329" s="410"/>
      <c r="C1329" s="410"/>
      <c r="D1329" s="410"/>
      <c r="E1329" s="410"/>
      <c r="F1329" s="410"/>
      <c r="G1329" s="410"/>
      <c r="H1329" s="410"/>
      <c r="I1329" s="410"/>
      <c r="J1329" s="410"/>
      <c r="K1329" s="410"/>
      <c r="L1329" s="410"/>
      <c r="M1329" s="410"/>
      <c r="N1329" s="410"/>
      <c r="R1329" s="410"/>
      <c r="S1329" s="410"/>
      <c r="T1329" s="410"/>
      <c r="U1329" s="410"/>
      <c r="V1329" s="410"/>
      <c r="W1329" s="410"/>
      <c r="X1329" s="410"/>
      <c r="Y1329" s="410"/>
    </row>
    <row r="1330" spans="1:25" x14ac:dyDescent="0.2">
      <c r="A1330" s="410"/>
      <c r="B1330" s="410"/>
      <c r="C1330" s="410"/>
      <c r="D1330" s="410"/>
      <c r="E1330" s="410"/>
      <c r="F1330" s="410"/>
      <c r="G1330" s="410"/>
      <c r="H1330" s="410"/>
      <c r="I1330" s="410"/>
      <c r="J1330" s="410"/>
      <c r="K1330" s="410"/>
      <c r="L1330" s="410"/>
      <c r="M1330" s="410"/>
      <c r="N1330" s="410"/>
      <c r="R1330" s="410"/>
      <c r="S1330" s="410"/>
      <c r="T1330" s="410"/>
      <c r="U1330" s="410"/>
      <c r="V1330" s="410"/>
      <c r="W1330" s="410"/>
      <c r="X1330" s="410"/>
      <c r="Y1330" s="410"/>
    </row>
    <row r="1331" spans="1:25" x14ac:dyDescent="0.2">
      <c r="A1331" s="410"/>
      <c r="B1331" s="410"/>
      <c r="C1331" s="410"/>
      <c r="D1331" s="410"/>
      <c r="E1331" s="410"/>
      <c r="F1331" s="410"/>
      <c r="G1331" s="410"/>
      <c r="H1331" s="410"/>
      <c r="I1331" s="410"/>
      <c r="J1331" s="410"/>
      <c r="K1331" s="410"/>
      <c r="L1331" s="410"/>
      <c r="M1331" s="410"/>
      <c r="N1331" s="410"/>
      <c r="R1331" s="410"/>
      <c r="S1331" s="410"/>
      <c r="T1331" s="410"/>
      <c r="U1331" s="410"/>
      <c r="V1331" s="410"/>
      <c r="W1331" s="410"/>
      <c r="X1331" s="410"/>
      <c r="Y1331" s="410"/>
    </row>
    <row r="1332" spans="1:25" x14ac:dyDescent="0.2">
      <c r="A1332" s="410"/>
      <c r="B1332" s="410"/>
      <c r="C1332" s="410"/>
      <c r="D1332" s="410"/>
      <c r="E1332" s="410"/>
      <c r="F1332" s="410"/>
      <c r="G1332" s="410"/>
      <c r="H1332" s="410"/>
      <c r="I1332" s="410"/>
      <c r="J1332" s="410"/>
      <c r="K1332" s="410"/>
      <c r="L1332" s="410"/>
      <c r="M1332" s="410"/>
      <c r="N1332" s="410"/>
      <c r="R1332" s="410"/>
      <c r="S1332" s="410"/>
      <c r="T1332" s="410"/>
      <c r="U1332" s="410"/>
      <c r="V1332" s="410"/>
      <c r="W1332" s="410"/>
      <c r="X1332" s="410"/>
      <c r="Y1332" s="410"/>
    </row>
    <row r="1333" spans="1:25" x14ac:dyDescent="0.2">
      <c r="A1333" s="410"/>
      <c r="B1333" s="410"/>
      <c r="C1333" s="410"/>
      <c r="D1333" s="410"/>
      <c r="E1333" s="410"/>
      <c r="F1333" s="410"/>
      <c r="G1333" s="410"/>
      <c r="H1333" s="410"/>
      <c r="I1333" s="410"/>
      <c r="J1333" s="410"/>
      <c r="K1333" s="410"/>
      <c r="L1333" s="410"/>
      <c r="M1333" s="410"/>
      <c r="N1333" s="410"/>
      <c r="R1333" s="410"/>
      <c r="S1333" s="410"/>
      <c r="T1333" s="410"/>
      <c r="U1333" s="410"/>
      <c r="V1333" s="410"/>
      <c r="W1333" s="410"/>
      <c r="X1333" s="410"/>
      <c r="Y1333" s="410"/>
    </row>
    <row r="1334" spans="1:25" x14ac:dyDescent="0.2">
      <c r="A1334" s="410"/>
      <c r="B1334" s="410"/>
      <c r="C1334" s="410"/>
      <c r="D1334" s="410"/>
      <c r="E1334" s="410"/>
      <c r="F1334" s="410"/>
      <c r="G1334" s="410"/>
      <c r="H1334" s="410"/>
      <c r="I1334" s="410"/>
      <c r="J1334" s="410"/>
      <c r="K1334" s="410"/>
      <c r="L1334" s="410"/>
      <c r="M1334" s="410"/>
      <c r="N1334" s="410"/>
      <c r="R1334" s="410"/>
      <c r="S1334" s="410"/>
      <c r="T1334" s="410"/>
      <c r="U1334" s="410"/>
      <c r="V1334" s="410"/>
      <c r="W1334" s="410"/>
      <c r="X1334" s="410"/>
      <c r="Y1334" s="410"/>
    </row>
    <row r="1335" spans="1:25" x14ac:dyDescent="0.2">
      <c r="A1335" s="410"/>
      <c r="B1335" s="410"/>
      <c r="C1335" s="410"/>
      <c r="D1335" s="410"/>
      <c r="E1335" s="410"/>
      <c r="F1335" s="410"/>
      <c r="G1335" s="410"/>
      <c r="H1335" s="410"/>
      <c r="I1335" s="410"/>
      <c r="J1335" s="410"/>
      <c r="K1335" s="410"/>
      <c r="L1335" s="410"/>
      <c r="M1335" s="410"/>
      <c r="N1335" s="410"/>
      <c r="R1335" s="410"/>
      <c r="S1335" s="410"/>
      <c r="T1335" s="410"/>
      <c r="U1335" s="410"/>
      <c r="V1335" s="410"/>
      <c r="W1335" s="410"/>
      <c r="X1335" s="410"/>
      <c r="Y1335" s="410"/>
    </row>
    <row r="1336" spans="1:25" x14ac:dyDescent="0.2">
      <c r="A1336" s="410"/>
      <c r="B1336" s="410"/>
      <c r="C1336" s="410"/>
      <c r="D1336" s="410"/>
      <c r="E1336" s="410"/>
      <c r="F1336" s="410"/>
      <c r="G1336" s="410"/>
      <c r="H1336" s="410"/>
      <c r="I1336" s="410"/>
      <c r="J1336" s="410"/>
      <c r="K1336" s="410"/>
      <c r="L1336" s="410"/>
      <c r="M1336" s="410"/>
      <c r="N1336" s="410"/>
      <c r="R1336" s="410"/>
      <c r="S1336" s="410"/>
      <c r="T1336" s="410"/>
      <c r="U1336" s="410"/>
      <c r="V1336" s="410"/>
      <c r="W1336" s="410"/>
      <c r="X1336" s="410"/>
      <c r="Y1336" s="410"/>
    </row>
    <row r="1337" spans="1:25" x14ac:dyDescent="0.2">
      <c r="A1337" s="410"/>
      <c r="B1337" s="410"/>
      <c r="C1337" s="410"/>
      <c r="D1337" s="410"/>
      <c r="E1337" s="410"/>
      <c r="F1337" s="410"/>
      <c r="G1337" s="410"/>
      <c r="H1337" s="410"/>
      <c r="I1337" s="410"/>
      <c r="J1337" s="410"/>
      <c r="K1337" s="410"/>
      <c r="L1337" s="410"/>
      <c r="M1337" s="410"/>
      <c r="N1337" s="410"/>
      <c r="R1337" s="410"/>
      <c r="S1337" s="410"/>
      <c r="T1337" s="410"/>
      <c r="U1337" s="410"/>
      <c r="V1337" s="410"/>
      <c r="W1337" s="410"/>
      <c r="X1337" s="410"/>
      <c r="Y1337" s="410"/>
    </row>
    <row r="1338" spans="1:25" x14ac:dyDescent="0.2">
      <c r="A1338" s="410"/>
      <c r="B1338" s="410"/>
      <c r="C1338" s="410"/>
      <c r="D1338" s="410"/>
      <c r="E1338" s="410"/>
      <c r="F1338" s="410"/>
      <c r="G1338" s="410"/>
      <c r="H1338" s="410"/>
      <c r="I1338" s="410"/>
      <c r="J1338" s="410"/>
      <c r="K1338" s="410"/>
      <c r="L1338" s="410"/>
      <c r="M1338" s="410"/>
      <c r="N1338" s="410"/>
      <c r="R1338" s="410"/>
      <c r="S1338" s="410"/>
      <c r="T1338" s="410"/>
      <c r="U1338" s="410"/>
      <c r="V1338" s="410"/>
      <c r="W1338" s="410"/>
      <c r="X1338" s="410"/>
      <c r="Y1338" s="410"/>
    </row>
    <row r="1339" spans="1:25" x14ac:dyDescent="0.2">
      <c r="A1339" s="410"/>
      <c r="B1339" s="410"/>
      <c r="C1339" s="410"/>
      <c r="D1339" s="410"/>
      <c r="E1339" s="410"/>
      <c r="F1339" s="410"/>
      <c r="G1339" s="410"/>
      <c r="H1339" s="410"/>
      <c r="I1339" s="410"/>
      <c r="J1339" s="410"/>
      <c r="K1339" s="410"/>
      <c r="L1339" s="410"/>
      <c r="M1339" s="410"/>
      <c r="N1339" s="410"/>
      <c r="R1339" s="410"/>
      <c r="S1339" s="410"/>
      <c r="T1339" s="410"/>
      <c r="U1339" s="410"/>
      <c r="V1339" s="410"/>
      <c r="W1339" s="410"/>
      <c r="X1339" s="410"/>
      <c r="Y1339" s="410"/>
    </row>
    <row r="1340" spans="1:25" x14ac:dyDescent="0.2">
      <c r="A1340" s="410"/>
      <c r="B1340" s="410"/>
      <c r="C1340" s="410"/>
      <c r="D1340" s="410"/>
      <c r="E1340" s="410"/>
      <c r="F1340" s="410"/>
      <c r="G1340" s="410"/>
      <c r="H1340" s="410"/>
      <c r="I1340" s="410"/>
      <c r="J1340" s="410"/>
      <c r="K1340" s="410"/>
      <c r="L1340" s="410"/>
      <c r="M1340" s="410"/>
      <c r="N1340" s="410"/>
      <c r="R1340" s="410"/>
      <c r="S1340" s="410"/>
      <c r="T1340" s="410"/>
      <c r="U1340" s="410"/>
      <c r="V1340" s="410"/>
      <c r="W1340" s="410"/>
      <c r="X1340" s="410"/>
      <c r="Y1340" s="410"/>
    </row>
    <row r="1341" spans="1:25" x14ac:dyDescent="0.2">
      <c r="A1341" s="410"/>
      <c r="B1341" s="410"/>
      <c r="C1341" s="410"/>
      <c r="D1341" s="410"/>
      <c r="E1341" s="410"/>
      <c r="F1341" s="410"/>
      <c r="G1341" s="410"/>
      <c r="H1341" s="410"/>
      <c r="I1341" s="410"/>
      <c r="J1341" s="410"/>
      <c r="K1341" s="410"/>
      <c r="L1341" s="410"/>
      <c r="M1341" s="410"/>
      <c r="N1341" s="410"/>
      <c r="R1341" s="410"/>
      <c r="S1341" s="410"/>
      <c r="T1341" s="410"/>
      <c r="U1341" s="410"/>
      <c r="V1341" s="410"/>
      <c r="W1341" s="410"/>
      <c r="X1341" s="410"/>
      <c r="Y1341" s="410"/>
    </row>
    <row r="1342" spans="1:25" x14ac:dyDescent="0.2">
      <c r="A1342" s="410"/>
      <c r="B1342" s="410"/>
      <c r="C1342" s="410"/>
      <c r="D1342" s="410"/>
      <c r="E1342" s="410"/>
      <c r="F1342" s="410"/>
      <c r="G1342" s="410"/>
      <c r="H1342" s="410"/>
      <c r="I1342" s="410"/>
      <c r="J1342" s="410"/>
      <c r="K1342" s="410"/>
      <c r="L1342" s="410"/>
      <c r="M1342" s="410"/>
      <c r="N1342" s="410"/>
      <c r="R1342" s="410"/>
      <c r="S1342" s="410"/>
      <c r="T1342" s="410"/>
      <c r="U1342" s="410"/>
      <c r="V1342" s="410"/>
      <c r="W1342" s="410"/>
      <c r="X1342" s="410"/>
      <c r="Y1342" s="410"/>
    </row>
    <row r="1343" spans="1:25" x14ac:dyDescent="0.2">
      <c r="A1343" s="410"/>
      <c r="B1343" s="410"/>
      <c r="C1343" s="410"/>
      <c r="D1343" s="410"/>
      <c r="E1343" s="410"/>
      <c r="F1343" s="410"/>
      <c r="G1343" s="410"/>
      <c r="H1343" s="410"/>
      <c r="I1343" s="410"/>
      <c r="J1343" s="410"/>
      <c r="K1343" s="410"/>
      <c r="L1343" s="410"/>
      <c r="M1343" s="410"/>
      <c r="N1343" s="410"/>
      <c r="R1343" s="410"/>
      <c r="S1343" s="410"/>
      <c r="T1343" s="410"/>
      <c r="U1343" s="410"/>
      <c r="V1343" s="410"/>
      <c r="W1343" s="410"/>
      <c r="X1343" s="410"/>
      <c r="Y1343" s="410"/>
    </row>
    <row r="1344" spans="1:25" x14ac:dyDescent="0.2">
      <c r="A1344" s="410"/>
      <c r="B1344" s="410"/>
      <c r="C1344" s="410"/>
      <c r="D1344" s="410"/>
      <c r="E1344" s="410"/>
      <c r="F1344" s="410"/>
      <c r="G1344" s="410"/>
      <c r="H1344" s="410"/>
      <c r="I1344" s="410"/>
      <c r="J1344" s="410"/>
      <c r="K1344" s="410"/>
      <c r="L1344" s="410"/>
      <c r="M1344" s="410"/>
      <c r="N1344" s="410"/>
      <c r="R1344" s="410"/>
      <c r="S1344" s="410"/>
      <c r="T1344" s="410"/>
      <c r="U1344" s="410"/>
      <c r="V1344" s="410"/>
      <c r="W1344" s="410"/>
      <c r="X1344" s="410"/>
      <c r="Y1344" s="410"/>
    </row>
    <row r="1345" spans="1:25" x14ac:dyDescent="0.2">
      <c r="A1345" s="410"/>
      <c r="B1345" s="410"/>
      <c r="C1345" s="410"/>
      <c r="D1345" s="410"/>
      <c r="E1345" s="410"/>
      <c r="F1345" s="410"/>
      <c r="G1345" s="410"/>
      <c r="H1345" s="410"/>
      <c r="I1345" s="410"/>
      <c r="J1345" s="410"/>
      <c r="K1345" s="410"/>
      <c r="L1345" s="410"/>
      <c r="M1345" s="410"/>
      <c r="N1345" s="410"/>
      <c r="R1345" s="410"/>
      <c r="S1345" s="410"/>
      <c r="T1345" s="410"/>
      <c r="U1345" s="410"/>
      <c r="V1345" s="410"/>
      <c r="W1345" s="410"/>
      <c r="X1345" s="410"/>
      <c r="Y1345" s="410"/>
    </row>
    <row r="1346" spans="1:25" x14ac:dyDescent="0.2">
      <c r="A1346" s="410"/>
      <c r="B1346" s="410"/>
      <c r="C1346" s="410"/>
      <c r="D1346" s="410"/>
      <c r="E1346" s="410"/>
      <c r="F1346" s="410"/>
      <c r="G1346" s="410"/>
      <c r="H1346" s="410"/>
      <c r="I1346" s="410"/>
      <c r="J1346" s="410"/>
      <c r="K1346" s="410"/>
      <c r="L1346" s="410"/>
      <c r="M1346" s="410"/>
      <c r="N1346" s="410"/>
      <c r="R1346" s="410"/>
      <c r="S1346" s="410"/>
      <c r="T1346" s="410"/>
      <c r="U1346" s="410"/>
      <c r="V1346" s="410"/>
      <c r="W1346" s="410"/>
      <c r="X1346" s="410"/>
      <c r="Y1346" s="410"/>
    </row>
    <row r="1347" spans="1:25" x14ac:dyDescent="0.2">
      <c r="A1347" s="410"/>
      <c r="B1347" s="410"/>
      <c r="C1347" s="410"/>
      <c r="D1347" s="410"/>
      <c r="E1347" s="410"/>
      <c r="F1347" s="410"/>
      <c r="G1347" s="410"/>
      <c r="H1347" s="410"/>
      <c r="I1347" s="410"/>
      <c r="J1347" s="410"/>
      <c r="K1347" s="410"/>
      <c r="L1347" s="410"/>
      <c r="M1347" s="410"/>
      <c r="N1347" s="410"/>
      <c r="R1347" s="410"/>
      <c r="S1347" s="410"/>
      <c r="T1347" s="410"/>
      <c r="U1347" s="410"/>
      <c r="V1347" s="410"/>
      <c r="W1347" s="410"/>
      <c r="X1347" s="410"/>
      <c r="Y1347" s="410"/>
    </row>
    <row r="1348" spans="1:25" x14ac:dyDescent="0.2">
      <c r="A1348" s="410"/>
      <c r="B1348" s="410"/>
      <c r="C1348" s="410"/>
      <c r="D1348" s="410"/>
      <c r="E1348" s="410"/>
      <c r="F1348" s="410"/>
      <c r="G1348" s="410"/>
      <c r="H1348" s="410"/>
      <c r="I1348" s="410"/>
      <c r="J1348" s="410"/>
      <c r="K1348" s="410"/>
      <c r="L1348" s="410"/>
      <c r="M1348" s="410"/>
      <c r="N1348" s="410"/>
      <c r="R1348" s="410"/>
      <c r="S1348" s="410"/>
      <c r="T1348" s="410"/>
      <c r="U1348" s="410"/>
      <c r="V1348" s="410"/>
      <c r="W1348" s="410"/>
      <c r="X1348" s="410"/>
      <c r="Y1348" s="410"/>
    </row>
    <row r="1349" spans="1:25" x14ac:dyDescent="0.2">
      <c r="A1349" s="410"/>
      <c r="B1349" s="410"/>
      <c r="C1349" s="410"/>
      <c r="D1349" s="410"/>
      <c r="E1349" s="410"/>
      <c r="F1349" s="410"/>
      <c r="G1349" s="410"/>
      <c r="H1349" s="410"/>
      <c r="I1349" s="410"/>
      <c r="J1349" s="410"/>
      <c r="K1349" s="410"/>
      <c r="L1349" s="410"/>
      <c r="M1349" s="410"/>
      <c r="N1349" s="410"/>
      <c r="R1349" s="410"/>
      <c r="S1349" s="410"/>
      <c r="T1349" s="410"/>
      <c r="U1349" s="410"/>
      <c r="V1349" s="410"/>
      <c r="W1349" s="410"/>
      <c r="X1349" s="410"/>
      <c r="Y1349" s="410"/>
    </row>
    <row r="1350" spans="1:25" x14ac:dyDescent="0.2">
      <c r="A1350" s="410"/>
      <c r="B1350" s="410"/>
      <c r="C1350" s="410"/>
      <c r="D1350" s="410"/>
      <c r="E1350" s="410"/>
      <c r="F1350" s="410"/>
      <c r="G1350" s="410"/>
      <c r="H1350" s="410"/>
      <c r="I1350" s="410"/>
      <c r="J1350" s="410"/>
      <c r="K1350" s="410"/>
      <c r="L1350" s="410"/>
      <c r="M1350" s="410"/>
      <c r="N1350" s="410"/>
      <c r="R1350" s="410"/>
      <c r="S1350" s="410"/>
      <c r="T1350" s="410"/>
      <c r="U1350" s="410"/>
      <c r="V1350" s="410"/>
      <c r="W1350" s="410"/>
      <c r="X1350" s="410"/>
      <c r="Y1350" s="410"/>
    </row>
    <row r="1351" spans="1:25" x14ac:dyDescent="0.2">
      <c r="A1351" s="410"/>
      <c r="B1351" s="410"/>
      <c r="C1351" s="410"/>
      <c r="D1351" s="410"/>
      <c r="E1351" s="410"/>
      <c r="F1351" s="410"/>
      <c r="G1351" s="410"/>
      <c r="H1351" s="410"/>
      <c r="I1351" s="410"/>
      <c r="J1351" s="410"/>
      <c r="K1351" s="410"/>
      <c r="L1351" s="410"/>
      <c r="M1351" s="410"/>
      <c r="N1351" s="410"/>
      <c r="R1351" s="410"/>
      <c r="S1351" s="410"/>
      <c r="T1351" s="410"/>
      <c r="U1351" s="410"/>
      <c r="V1351" s="410"/>
      <c r="W1351" s="410"/>
      <c r="X1351" s="410"/>
      <c r="Y1351" s="410"/>
    </row>
    <row r="1352" spans="1:25" x14ac:dyDescent="0.2">
      <c r="A1352" s="410"/>
      <c r="B1352" s="410"/>
      <c r="C1352" s="410"/>
      <c r="D1352" s="410"/>
      <c r="E1352" s="410"/>
      <c r="F1352" s="410"/>
      <c r="G1352" s="410"/>
      <c r="H1352" s="410"/>
      <c r="I1352" s="410"/>
      <c r="J1352" s="410"/>
      <c r="K1352" s="410"/>
      <c r="L1352" s="410"/>
      <c r="M1352" s="410"/>
      <c r="N1352" s="410"/>
      <c r="R1352" s="410"/>
      <c r="S1352" s="410"/>
      <c r="T1352" s="410"/>
      <c r="U1352" s="410"/>
      <c r="V1352" s="410"/>
      <c r="W1352" s="410"/>
      <c r="X1352" s="410"/>
      <c r="Y1352" s="410"/>
    </row>
    <row r="1353" spans="1:25" x14ac:dyDescent="0.2">
      <c r="A1353" s="410"/>
      <c r="B1353" s="410"/>
      <c r="C1353" s="410"/>
      <c r="D1353" s="410"/>
      <c r="E1353" s="410"/>
      <c r="F1353" s="410"/>
      <c r="G1353" s="410"/>
      <c r="H1353" s="410"/>
      <c r="I1353" s="410"/>
      <c r="J1353" s="410"/>
      <c r="K1353" s="410"/>
      <c r="L1353" s="410"/>
      <c r="M1353" s="410"/>
      <c r="N1353" s="410"/>
      <c r="R1353" s="410"/>
      <c r="S1353" s="410"/>
      <c r="T1353" s="410"/>
      <c r="U1353" s="410"/>
      <c r="V1353" s="410"/>
      <c r="W1353" s="410"/>
      <c r="X1353" s="410"/>
      <c r="Y1353" s="410"/>
    </row>
    <row r="1354" spans="1:25" x14ac:dyDescent="0.2">
      <c r="A1354" s="410"/>
      <c r="B1354" s="410"/>
      <c r="C1354" s="410"/>
      <c r="D1354" s="410"/>
      <c r="E1354" s="410"/>
      <c r="F1354" s="410"/>
      <c r="G1354" s="410"/>
      <c r="H1354" s="410"/>
      <c r="I1354" s="410"/>
      <c r="J1354" s="410"/>
      <c r="K1354" s="410"/>
      <c r="L1354" s="410"/>
      <c r="M1354" s="410"/>
      <c r="N1354" s="410"/>
      <c r="R1354" s="410"/>
      <c r="S1354" s="410"/>
      <c r="T1354" s="410"/>
      <c r="U1354" s="410"/>
      <c r="V1354" s="410"/>
      <c r="W1354" s="410"/>
      <c r="X1354" s="410"/>
      <c r="Y1354" s="410"/>
    </row>
    <row r="1355" spans="1:25" x14ac:dyDescent="0.2">
      <c r="A1355" s="410"/>
      <c r="B1355" s="410"/>
      <c r="C1355" s="410"/>
      <c r="D1355" s="410"/>
      <c r="E1355" s="410"/>
      <c r="F1355" s="410"/>
      <c r="G1355" s="410"/>
      <c r="H1355" s="410"/>
      <c r="I1355" s="410"/>
      <c r="J1355" s="410"/>
      <c r="K1355" s="410"/>
      <c r="L1355" s="410"/>
      <c r="M1355" s="410"/>
      <c r="N1355" s="410"/>
      <c r="R1355" s="410"/>
      <c r="S1355" s="410"/>
      <c r="T1355" s="410"/>
      <c r="U1355" s="410"/>
      <c r="V1355" s="410"/>
      <c r="W1355" s="410"/>
      <c r="X1355" s="410"/>
      <c r="Y1355" s="410"/>
    </row>
    <row r="1356" spans="1:25" x14ac:dyDescent="0.2">
      <c r="A1356" s="410"/>
      <c r="B1356" s="410"/>
      <c r="C1356" s="410"/>
      <c r="D1356" s="410"/>
      <c r="E1356" s="410"/>
      <c r="F1356" s="410"/>
      <c r="G1356" s="410"/>
      <c r="H1356" s="410"/>
      <c r="I1356" s="410"/>
      <c r="J1356" s="410"/>
      <c r="K1356" s="410"/>
      <c r="L1356" s="410"/>
      <c r="M1356" s="410"/>
      <c r="N1356" s="410"/>
      <c r="R1356" s="410"/>
      <c r="S1356" s="410"/>
      <c r="T1356" s="410"/>
      <c r="U1356" s="410"/>
      <c r="V1356" s="410"/>
      <c r="W1356" s="410"/>
      <c r="X1356" s="410"/>
      <c r="Y1356" s="410"/>
    </row>
    <row r="1357" spans="1:25" x14ac:dyDescent="0.2">
      <c r="A1357" s="410"/>
      <c r="B1357" s="410"/>
      <c r="C1357" s="410"/>
      <c r="D1357" s="410"/>
      <c r="E1357" s="410"/>
      <c r="F1357" s="410"/>
      <c r="G1357" s="410"/>
      <c r="H1357" s="410"/>
      <c r="I1357" s="410"/>
      <c r="J1357" s="410"/>
      <c r="K1357" s="410"/>
      <c r="L1357" s="410"/>
      <c r="M1357" s="410"/>
      <c r="N1357" s="410"/>
      <c r="R1357" s="410"/>
      <c r="S1357" s="410"/>
      <c r="T1357" s="410"/>
      <c r="U1357" s="410"/>
      <c r="V1357" s="410"/>
      <c r="W1357" s="410"/>
      <c r="X1357" s="410"/>
      <c r="Y1357" s="410"/>
    </row>
    <row r="1358" spans="1:25" x14ac:dyDescent="0.2">
      <c r="A1358" s="410"/>
      <c r="B1358" s="410"/>
      <c r="C1358" s="410"/>
      <c r="D1358" s="410"/>
      <c r="E1358" s="410"/>
      <c r="F1358" s="410"/>
      <c r="G1358" s="410"/>
      <c r="H1358" s="410"/>
      <c r="I1358" s="410"/>
      <c r="J1358" s="410"/>
      <c r="K1358" s="410"/>
      <c r="L1358" s="410"/>
      <c r="M1358" s="410"/>
      <c r="N1358" s="410"/>
      <c r="R1358" s="410"/>
      <c r="S1358" s="410"/>
      <c r="T1358" s="410"/>
      <c r="U1358" s="410"/>
      <c r="V1358" s="410"/>
      <c r="W1358" s="410"/>
      <c r="X1358" s="410"/>
      <c r="Y1358" s="410"/>
    </row>
    <row r="1359" spans="1:25" x14ac:dyDescent="0.2">
      <c r="A1359" s="410"/>
      <c r="B1359" s="410"/>
      <c r="C1359" s="410"/>
      <c r="D1359" s="410"/>
      <c r="E1359" s="410"/>
      <c r="F1359" s="410"/>
      <c r="G1359" s="410"/>
      <c r="H1359" s="410"/>
      <c r="I1359" s="410"/>
      <c r="J1359" s="410"/>
      <c r="K1359" s="410"/>
      <c r="L1359" s="410"/>
      <c r="M1359" s="410"/>
      <c r="N1359" s="410"/>
      <c r="R1359" s="410"/>
      <c r="S1359" s="410"/>
      <c r="T1359" s="410"/>
      <c r="U1359" s="410"/>
      <c r="V1359" s="410"/>
      <c r="W1359" s="410"/>
      <c r="X1359" s="410"/>
      <c r="Y1359" s="410"/>
    </row>
    <row r="1360" spans="1:25" x14ac:dyDescent="0.2">
      <c r="A1360" s="410"/>
      <c r="B1360" s="410"/>
      <c r="C1360" s="410"/>
      <c r="D1360" s="410"/>
      <c r="E1360" s="410"/>
      <c r="F1360" s="410"/>
      <c r="G1360" s="410"/>
      <c r="H1360" s="410"/>
      <c r="I1360" s="410"/>
      <c r="J1360" s="410"/>
      <c r="K1360" s="410"/>
      <c r="L1360" s="410"/>
      <c r="M1360" s="410"/>
      <c r="N1360" s="410"/>
      <c r="R1360" s="410"/>
      <c r="S1360" s="410"/>
      <c r="T1360" s="410"/>
      <c r="U1360" s="410"/>
      <c r="V1360" s="410"/>
      <c r="W1360" s="410"/>
      <c r="X1360" s="410"/>
      <c r="Y1360" s="410"/>
    </row>
    <row r="1361" spans="1:25" x14ac:dyDescent="0.2">
      <c r="A1361" s="410"/>
      <c r="B1361" s="410"/>
      <c r="C1361" s="410"/>
      <c r="D1361" s="410"/>
      <c r="E1361" s="410"/>
      <c r="F1361" s="410"/>
      <c r="G1361" s="410"/>
      <c r="H1361" s="410"/>
      <c r="I1361" s="410"/>
      <c r="J1361" s="410"/>
      <c r="K1361" s="410"/>
      <c r="L1361" s="410"/>
      <c r="M1361" s="410"/>
      <c r="N1361" s="410"/>
      <c r="R1361" s="410"/>
      <c r="S1361" s="410"/>
      <c r="T1361" s="410"/>
      <c r="U1361" s="410"/>
      <c r="V1361" s="410"/>
      <c r="W1361" s="410"/>
      <c r="X1361" s="410"/>
      <c r="Y1361" s="410"/>
    </row>
    <row r="1362" spans="1:25" x14ac:dyDescent="0.2">
      <c r="A1362" s="410"/>
      <c r="B1362" s="410"/>
      <c r="C1362" s="410"/>
      <c r="D1362" s="410"/>
      <c r="E1362" s="410"/>
      <c r="F1362" s="410"/>
      <c r="G1362" s="410"/>
      <c r="H1362" s="410"/>
      <c r="I1362" s="410"/>
      <c r="J1362" s="410"/>
      <c r="K1362" s="410"/>
      <c r="L1362" s="410"/>
      <c r="M1362" s="410"/>
      <c r="N1362" s="410"/>
      <c r="R1362" s="410"/>
      <c r="S1362" s="410"/>
      <c r="T1362" s="410"/>
      <c r="U1362" s="410"/>
      <c r="V1362" s="410"/>
      <c r="W1362" s="410"/>
      <c r="X1362" s="410"/>
      <c r="Y1362" s="410"/>
    </row>
    <row r="1363" spans="1:25" x14ac:dyDescent="0.2">
      <c r="A1363" s="410"/>
      <c r="B1363" s="410"/>
      <c r="C1363" s="410"/>
      <c r="D1363" s="410"/>
      <c r="E1363" s="410"/>
      <c r="F1363" s="410"/>
      <c r="G1363" s="410"/>
      <c r="H1363" s="410"/>
      <c r="I1363" s="410"/>
      <c r="J1363" s="410"/>
      <c r="K1363" s="410"/>
      <c r="L1363" s="410"/>
      <c r="M1363" s="410"/>
      <c r="N1363" s="410"/>
      <c r="R1363" s="410"/>
      <c r="S1363" s="410"/>
      <c r="T1363" s="410"/>
      <c r="U1363" s="410"/>
      <c r="V1363" s="410"/>
      <c r="W1363" s="410"/>
      <c r="X1363" s="410"/>
      <c r="Y1363" s="410"/>
    </row>
    <row r="1364" spans="1:25" x14ac:dyDescent="0.2">
      <c r="A1364" s="410"/>
      <c r="B1364" s="410"/>
      <c r="C1364" s="410"/>
      <c r="D1364" s="410"/>
      <c r="E1364" s="410"/>
      <c r="F1364" s="410"/>
      <c r="G1364" s="410"/>
      <c r="H1364" s="410"/>
      <c r="I1364" s="410"/>
      <c r="J1364" s="410"/>
      <c r="K1364" s="410"/>
      <c r="L1364" s="410"/>
      <c r="M1364" s="410"/>
      <c r="N1364" s="410"/>
      <c r="R1364" s="410"/>
      <c r="S1364" s="410"/>
      <c r="T1364" s="410"/>
      <c r="U1364" s="410"/>
      <c r="V1364" s="410"/>
      <c r="W1364" s="410"/>
      <c r="X1364" s="410"/>
      <c r="Y1364" s="410"/>
    </row>
    <row r="1365" spans="1:25" x14ac:dyDescent="0.2">
      <c r="A1365" s="410"/>
      <c r="B1365" s="410"/>
      <c r="C1365" s="410"/>
      <c r="D1365" s="410"/>
      <c r="E1365" s="410"/>
      <c r="F1365" s="410"/>
      <c r="G1365" s="410"/>
      <c r="H1365" s="410"/>
      <c r="I1365" s="410"/>
      <c r="J1365" s="410"/>
      <c r="K1365" s="410"/>
      <c r="L1365" s="410"/>
      <c r="M1365" s="410"/>
      <c r="N1365" s="410"/>
      <c r="R1365" s="410"/>
      <c r="S1365" s="410"/>
      <c r="T1365" s="410"/>
      <c r="U1365" s="410"/>
      <c r="V1365" s="410"/>
      <c r="W1365" s="410"/>
      <c r="X1365" s="410"/>
      <c r="Y1365" s="410"/>
    </row>
    <row r="1366" spans="1:25" x14ac:dyDescent="0.2">
      <c r="A1366" s="410"/>
      <c r="B1366" s="410"/>
      <c r="C1366" s="410"/>
      <c r="D1366" s="410"/>
      <c r="E1366" s="410"/>
      <c r="F1366" s="410"/>
      <c r="G1366" s="410"/>
      <c r="H1366" s="410"/>
      <c r="I1366" s="410"/>
      <c r="J1366" s="410"/>
      <c r="K1366" s="410"/>
      <c r="L1366" s="410"/>
      <c r="M1366" s="410"/>
      <c r="N1366" s="410"/>
      <c r="R1366" s="410"/>
      <c r="S1366" s="410"/>
      <c r="T1366" s="410"/>
      <c r="U1366" s="410"/>
      <c r="V1366" s="410"/>
      <c r="W1366" s="410"/>
      <c r="X1366" s="410"/>
      <c r="Y1366" s="410"/>
    </row>
    <row r="1367" spans="1:25" x14ac:dyDescent="0.2">
      <c r="A1367" s="410"/>
      <c r="B1367" s="410"/>
      <c r="C1367" s="410"/>
      <c r="D1367" s="410"/>
      <c r="E1367" s="410"/>
      <c r="F1367" s="410"/>
      <c r="G1367" s="410"/>
      <c r="H1367" s="410"/>
      <c r="I1367" s="410"/>
      <c r="J1367" s="410"/>
      <c r="K1367" s="410"/>
      <c r="L1367" s="410"/>
      <c r="M1367" s="410"/>
      <c r="N1367" s="410"/>
      <c r="R1367" s="410"/>
      <c r="S1367" s="410"/>
      <c r="T1367" s="410"/>
      <c r="U1367" s="410"/>
      <c r="V1367" s="410"/>
      <c r="W1367" s="410"/>
      <c r="X1367" s="410"/>
      <c r="Y1367" s="410"/>
    </row>
    <row r="1368" spans="1:25" x14ac:dyDescent="0.2">
      <c r="A1368" s="410"/>
      <c r="B1368" s="410"/>
      <c r="C1368" s="410"/>
      <c r="D1368" s="410"/>
      <c r="E1368" s="410"/>
      <c r="F1368" s="410"/>
      <c r="G1368" s="410"/>
      <c r="H1368" s="410"/>
      <c r="I1368" s="410"/>
      <c r="J1368" s="410"/>
      <c r="K1368" s="410"/>
      <c r="L1368" s="410"/>
      <c r="M1368" s="410"/>
      <c r="N1368" s="410"/>
      <c r="R1368" s="410"/>
      <c r="S1368" s="410"/>
      <c r="T1368" s="410"/>
      <c r="U1368" s="410"/>
      <c r="V1368" s="410"/>
      <c r="W1368" s="410"/>
      <c r="X1368" s="410"/>
      <c r="Y1368" s="410"/>
    </row>
    <row r="1369" spans="1:25" x14ac:dyDescent="0.2">
      <c r="A1369" s="410"/>
      <c r="B1369" s="410"/>
      <c r="C1369" s="410"/>
      <c r="D1369" s="410"/>
      <c r="E1369" s="410"/>
      <c r="F1369" s="410"/>
      <c r="G1369" s="410"/>
      <c r="H1369" s="410"/>
      <c r="I1369" s="410"/>
      <c r="J1369" s="410"/>
      <c r="K1369" s="410"/>
      <c r="L1369" s="410"/>
      <c r="M1369" s="410"/>
      <c r="N1369" s="410"/>
      <c r="R1369" s="410"/>
      <c r="S1369" s="410"/>
      <c r="T1369" s="410"/>
      <c r="U1369" s="410"/>
      <c r="V1369" s="410"/>
      <c r="W1369" s="410"/>
      <c r="X1369" s="410"/>
      <c r="Y1369" s="410"/>
    </row>
    <row r="1370" spans="1:25" x14ac:dyDescent="0.2">
      <c r="A1370" s="410"/>
      <c r="B1370" s="410"/>
      <c r="C1370" s="410"/>
      <c r="D1370" s="410"/>
      <c r="E1370" s="410"/>
      <c r="F1370" s="410"/>
      <c r="G1370" s="410"/>
      <c r="H1370" s="410"/>
      <c r="I1370" s="410"/>
      <c r="J1370" s="410"/>
      <c r="K1370" s="410"/>
      <c r="L1370" s="410"/>
      <c r="M1370" s="410"/>
      <c r="N1370" s="410"/>
      <c r="R1370" s="410"/>
      <c r="S1370" s="410"/>
      <c r="T1370" s="410"/>
      <c r="U1370" s="410"/>
      <c r="V1370" s="410"/>
      <c r="W1370" s="410"/>
      <c r="X1370" s="410"/>
      <c r="Y1370" s="410"/>
    </row>
    <row r="1371" spans="1:25" x14ac:dyDescent="0.2">
      <c r="A1371" s="410"/>
      <c r="B1371" s="410"/>
      <c r="C1371" s="410"/>
      <c r="D1371" s="410"/>
      <c r="E1371" s="410"/>
      <c r="F1371" s="410"/>
      <c r="G1371" s="410"/>
      <c r="H1371" s="410"/>
      <c r="I1371" s="410"/>
      <c r="J1371" s="410"/>
      <c r="K1371" s="410"/>
      <c r="L1371" s="410"/>
      <c r="M1371" s="410"/>
      <c r="N1371" s="410"/>
      <c r="R1371" s="410"/>
      <c r="S1371" s="410"/>
      <c r="T1371" s="410"/>
      <c r="U1371" s="410"/>
      <c r="V1371" s="410"/>
      <c r="W1371" s="410"/>
      <c r="X1371" s="410"/>
      <c r="Y1371" s="410"/>
    </row>
    <row r="1372" spans="1:25" x14ac:dyDescent="0.2">
      <c r="A1372" s="410"/>
      <c r="B1372" s="410"/>
      <c r="C1372" s="410"/>
      <c r="D1372" s="410"/>
      <c r="E1372" s="410"/>
      <c r="F1372" s="410"/>
      <c r="G1372" s="410"/>
      <c r="H1372" s="410"/>
      <c r="I1372" s="410"/>
      <c r="J1372" s="410"/>
      <c r="K1372" s="410"/>
      <c r="L1372" s="410"/>
      <c r="M1372" s="410"/>
      <c r="N1372" s="410"/>
      <c r="R1372" s="410"/>
      <c r="S1372" s="410"/>
      <c r="T1372" s="410"/>
      <c r="U1372" s="410"/>
      <c r="V1372" s="410"/>
      <c r="W1372" s="410"/>
      <c r="X1372" s="410"/>
      <c r="Y1372" s="410"/>
    </row>
    <row r="1373" spans="1:25" x14ac:dyDescent="0.2">
      <c r="A1373" s="410"/>
      <c r="B1373" s="410"/>
      <c r="C1373" s="410"/>
      <c r="D1373" s="410"/>
      <c r="E1373" s="410"/>
      <c r="F1373" s="410"/>
      <c r="G1373" s="410"/>
      <c r="H1373" s="410"/>
      <c r="I1373" s="410"/>
      <c r="J1373" s="410"/>
      <c r="K1373" s="410"/>
      <c r="L1373" s="410"/>
      <c r="M1373" s="410"/>
      <c r="N1373" s="410"/>
      <c r="R1373" s="410"/>
      <c r="S1373" s="410"/>
      <c r="T1373" s="410"/>
      <c r="U1373" s="410"/>
      <c r="V1373" s="410"/>
      <c r="W1373" s="410"/>
      <c r="X1373" s="410"/>
      <c r="Y1373" s="410"/>
    </row>
    <row r="1374" spans="1:25" x14ac:dyDescent="0.2">
      <c r="A1374" s="410"/>
      <c r="B1374" s="410"/>
      <c r="C1374" s="410"/>
      <c r="D1374" s="410"/>
      <c r="E1374" s="410"/>
      <c r="F1374" s="410"/>
      <c r="G1374" s="410"/>
      <c r="H1374" s="410"/>
      <c r="I1374" s="410"/>
      <c r="J1374" s="410"/>
      <c r="K1374" s="410"/>
      <c r="L1374" s="410"/>
      <c r="M1374" s="410"/>
      <c r="N1374" s="410"/>
      <c r="R1374" s="410"/>
      <c r="S1374" s="410"/>
      <c r="T1374" s="410"/>
      <c r="U1374" s="410"/>
      <c r="V1374" s="410"/>
      <c r="W1374" s="410"/>
      <c r="X1374" s="410"/>
      <c r="Y1374" s="410"/>
    </row>
    <row r="1375" spans="1:25" x14ac:dyDescent="0.2">
      <c r="A1375" s="410"/>
      <c r="B1375" s="410"/>
      <c r="C1375" s="410"/>
      <c r="D1375" s="410"/>
      <c r="E1375" s="410"/>
      <c r="F1375" s="410"/>
      <c r="G1375" s="410"/>
      <c r="H1375" s="410"/>
      <c r="I1375" s="410"/>
      <c r="J1375" s="410"/>
      <c r="K1375" s="410"/>
      <c r="L1375" s="410"/>
      <c r="M1375" s="410"/>
      <c r="N1375" s="410"/>
      <c r="R1375" s="410"/>
      <c r="S1375" s="410"/>
      <c r="T1375" s="410"/>
      <c r="U1375" s="410"/>
      <c r="V1375" s="410"/>
      <c r="W1375" s="410"/>
      <c r="X1375" s="410"/>
      <c r="Y1375" s="410"/>
    </row>
    <row r="1376" spans="1:25" x14ac:dyDescent="0.2">
      <c r="A1376" s="410"/>
      <c r="B1376" s="410"/>
      <c r="C1376" s="410"/>
      <c r="D1376" s="410"/>
      <c r="E1376" s="410"/>
      <c r="F1376" s="410"/>
      <c r="G1376" s="410"/>
      <c r="H1376" s="410"/>
      <c r="I1376" s="410"/>
      <c r="J1376" s="410"/>
      <c r="K1376" s="410"/>
      <c r="L1376" s="410"/>
      <c r="M1376" s="410"/>
      <c r="N1376" s="410"/>
      <c r="R1376" s="410"/>
      <c r="S1376" s="410"/>
      <c r="T1376" s="410"/>
      <c r="U1376" s="410"/>
      <c r="V1376" s="410"/>
      <c r="W1376" s="410"/>
      <c r="X1376" s="410"/>
      <c r="Y1376" s="410"/>
    </row>
    <row r="1377" spans="1:25" x14ac:dyDescent="0.2">
      <c r="A1377" s="410"/>
      <c r="B1377" s="410"/>
      <c r="C1377" s="410"/>
      <c r="D1377" s="410"/>
      <c r="E1377" s="410"/>
      <c r="F1377" s="410"/>
      <c r="G1377" s="410"/>
      <c r="H1377" s="410"/>
      <c r="I1377" s="410"/>
      <c r="J1377" s="410"/>
      <c r="K1377" s="410"/>
      <c r="L1377" s="410"/>
      <c r="M1377" s="410"/>
      <c r="N1377" s="410"/>
      <c r="R1377" s="410"/>
      <c r="S1377" s="410"/>
      <c r="T1377" s="410"/>
      <c r="U1377" s="410"/>
      <c r="V1377" s="410"/>
      <c r="W1377" s="410"/>
      <c r="X1377" s="410"/>
      <c r="Y1377" s="410"/>
    </row>
    <row r="1378" spans="1:25" x14ac:dyDescent="0.2">
      <c r="A1378" s="410"/>
      <c r="B1378" s="410"/>
      <c r="C1378" s="410"/>
      <c r="D1378" s="410"/>
      <c r="E1378" s="410"/>
      <c r="F1378" s="410"/>
      <c r="G1378" s="410"/>
      <c r="H1378" s="410"/>
      <c r="I1378" s="410"/>
      <c r="J1378" s="410"/>
      <c r="K1378" s="410"/>
      <c r="L1378" s="410"/>
      <c r="M1378" s="410"/>
      <c r="N1378" s="410"/>
      <c r="R1378" s="410"/>
      <c r="S1378" s="410"/>
      <c r="T1378" s="410"/>
      <c r="U1378" s="410"/>
      <c r="V1378" s="410"/>
      <c r="W1378" s="410"/>
      <c r="X1378" s="410"/>
      <c r="Y1378" s="410"/>
    </row>
    <row r="1379" spans="1:25" x14ac:dyDescent="0.2">
      <c r="A1379" s="410"/>
      <c r="B1379" s="410"/>
      <c r="C1379" s="410"/>
      <c r="D1379" s="410"/>
      <c r="E1379" s="410"/>
      <c r="F1379" s="410"/>
      <c r="G1379" s="410"/>
      <c r="H1379" s="410"/>
      <c r="I1379" s="410"/>
      <c r="J1379" s="410"/>
      <c r="K1379" s="410"/>
      <c r="L1379" s="410"/>
      <c r="M1379" s="410"/>
      <c r="N1379" s="410"/>
      <c r="R1379" s="410"/>
      <c r="S1379" s="410"/>
      <c r="T1379" s="410"/>
      <c r="U1379" s="410"/>
      <c r="V1379" s="410"/>
      <c r="W1379" s="410"/>
      <c r="X1379" s="410"/>
      <c r="Y1379" s="410"/>
    </row>
    <row r="1380" spans="1:25" x14ac:dyDescent="0.2">
      <c r="A1380" s="410"/>
      <c r="B1380" s="410"/>
      <c r="C1380" s="410"/>
      <c r="D1380" s="410"/>
      <c r="E1380" s="410"/>
      <c r="F1380" s="410"/>
      <c r="G1380" s="410"/>
      <c r="H1380" s="410"/>
      <c r="I1380" s="410"/>
      <c r="J1380" s="410"/>
      <c r="K1380" s="410"/>
      <c r="L1380" s="410"/>
      <c r="M1380" s="410"/>
      <c r="N1380" s="410"/>
      <c r="R1380" s="410"/>
      <c r="S1380" s="410"/>
      <c r="T1380" s="410"/>
      <c r="U1380" s="410"/>
      <c r="V1380" s="410"/>
      <c r="W1380" s="410"/>
      <c r="X1380" s="410"/>
      <c r="Y1380" s="410"/>
    </row>
    <row r="1381" spans="1:25" x14ac:dyDescent="0.2">
      <c r="A1381" s="410"/>
      <c r="B1381" s="410"/>
      <c r="C1381" s="410"/>
      <c r="D1381" s="410"/>
      <c r="E1381" s="410"/>
      <c r="F1381" s="410"/>
      <c r="G1381" s="410"/>
      <c r="H1381" s="410"/>
      <c r="I1381" s="410"/>
      <c r="J1381" s="410"/>
      <c r="K1381" s="410"/>
      <c r="L1381" s="410"/>
      <c r="M1381" s="410"/>
      <c r="N1381" s="410"/>
      <c r="R1381" s="410"/>
      <c r="S1381" s="410"/>
      <c r="T1381" s="410"/>
      <c r="U1381" s="410"/>
      <c r="V1381" s="410"/>
      <c r="W1381" s="410"/>
      <c r="X1381" s="410"/>
      <c r="Y1381" s="410"/>
    </row>
    <row r="1382" spans="1:25" x14ac:dyDescent="0.2">
      <c r="A1382" s="410"/>
      <c r="B1382" s="410"/>
      <c r="C1382" s="410"/>
      <c r="D1382" s="410"/>
      <c r="E1382" s="410"/>
      <c r="F1382" s="410"/>
      <c r="G1382" s="410"/>
      <c r="H1382" s="410"/>
      <c r="I1382" s="410"/>
      <c r="J1382" s="410"/>
      <c r="K1382" s="410"/>
      <c r="L1382" s="410"/>
      <c r="M1382" s="410"/>
      <c r="N1382" s="410"/>
      <c r="R1382" s="410"/>
      <c r="S1382" s="410"/>
      <c r="T1382" s="410"/>
      <c r="U1382" s="410"/>
      <c r="V1382" s="410"/>
      <c r="W1382" s="410"/>
      <c r="X1382" s="410"/>
      <c r="Y1382" s="410"/>
    </row>
    <row r="1383" spans="1:25" x14ac:dyDescent="0.2">
      <c r="A1383" s="410"/>
      <c r="B1383" s="410"/>
      <c r="C1383" s="410"/>
      <c r="D1383" s="410"/>
      <c r="E1383" s="410"/>
      <c r="F1383" s="410"/>
      <c r="G1383" s="410"/>
      <c r="H1383" s="410"/>
      <c r="I1383" s="410"/>
      <c r="J1383" s="410"/>
      <c r="K1383" s="410"/>
      <c r="L1383" s="410"/>
      <c r="M1383" s="410"/>
      <c r="N1383" s="410"/>
      <c r="R1383" s="410"/>
      <c r="S1383" s="410"/>
      <c r="T1383" s="410"/>
      <c r="U1383" s="410"/>
      <c r="V1383" s="410"/>
      <c r="W1383" s="410"/>
      <c r="X1383" s="410"/>
      <c r="Y1383" s="410"/>
    </row>
    <row r="1384" spans="1:25" x14ac:dyDescent="0.2">
      <c r="A1384" s="410"/>
      <c r="B1384" s="410"/>
      <c r="C1384" s="410"/>
      <c r="D1384" s="410"/>
      <c r="E1384" s="410"/>
      <c r="F1384" s="410"/>
      <c r="G1384" s="410"/>
      <c r="H1384" s="410"/>
      <c r="I1384" s="410"/>
      <c r="J1384" s="410"/>
      <c r="K1384" s="410"/>
      <c r="L1384" s="410"/>
      <c r="M1384" s="410"/>
      <c r="N1384" s="410"/>
      <c r="R1384" s="410"/>
      <c r="S1384" s="410"/>
      <c r="T1384" s="410"/>
      <c r="U1384" s="410"/>
      <c r="V1384" s="410"/>
      <c r="W1384" s="410"/>
      <c r="X1384" s="410"/>
      <c r="Y1384" s="410"/>
    </row>
    <row r="1385" spans="1:25" x14ac:dyDescent="0.2">
      <c r="A1385" s="410"/>
      <c r="B1385" s="410"/>
      <c r="C1385" s="410"/>
      <c r="D1385" s="410"/>
      <c r="E1385" s="410"/>
      <c r="F1385" s="410"/>
      <c r="G1385" s="410"/>
      <c r="H1385" s="410"/>
      <c r="I1385" s="410"/>
      <c r="J1385" s="410"/>
      <c r="K1385" s="410"/>
      <c r="L1385" s="410"/>
      <c r="M1385" s="410"/>
      <c r="N1385" s="410"/>
      <c r="R1385" s="410"/>
      <c r="S1385" s="410"/>
      <c r="T1385" s="410"/>
      <c r="U1385" s="410"/>
      <c r="V1385" s="410"/>
      <c r="W1385" s="410"/>
      <c r="X1385" s="410"/>
      <c r="Y1385" s="410"/>
    </row>
    <row r="1386" spans="1:25" x14ac:dyDescent="0.2">
      <c r="A1386" s="410"/>
      <c r="B1386" s="410"/>
      <c r="C1386" s="410"/>
      <c r="D1386" s="410"/>
      <c r="E1386" s="410"/>
      <c r="F1386" s="410"/>
      <c r="G1386" s="410"/>
      <c r="H1386" s="410"/>
      <c r="I1386" s="410"/>
      <c r="J1386" s="410"/>
      <c r="K1386" s="410"/>
      <c r="L1386" s="410"/>
      <c r="M1386" s="410"/>
      <c r="N1386" s="410"/>
      <c r="R1386" s="410"/>
      <c r="S1386" s="410"/>
      <c r="T1386" s="410"/>
      <c r="U1386" s="410"/>
      <c r="V1386" s="410"/>
      <c r="W1386" s="410"/>
      <c r="X1386" s="410"/>
      <c r="Y1386" s="410"/>
    </row>
    <row r="1387" spans="1:25" x14ac:dyDescent="0.2">
      <c r="A1387" s="410"/>
      <c r="B1387" s="410"/>
      <c r="C1387" s="410"/>
      <c r="D1387" s="410"/>
      <c r="E1387" s="410"/>
      <c r="F1387" s="410"/>
      <c r="G1387" s="410"/>
      <c r="H1387" s="410"/>
      <c r="I1387" s="410"/>
      <c r="J1387" s="410"/>
      <c r="K1387" s="410"/>
      <c r="L1387" s="410"/>
      <c r="M1387" s="410"/>
      <c r="N1387" s="410"/>
      <c r="R1387" s="410"/>
      <c r="S1387" s="410"/>
      <c r="T1387" s="410"/>
      <c r="U1387" s="410"/>
      <c r="V1387" s="410"/>
      <c r="W1387" s="410"/>
      <c r="X1387" s="410"/>
      <c r="Y1387" s="410"/>
    </row>
    <row r="1388" spans="1:25" x14ac:dyDescent="0.2">
      <c r="A1388" s="410"/>
      <c r="B1388" s="410"/>
      <c r="C1388" s="410"/>
      <c r="D1388" s="410"/>
      <c r="E1388" s="410"/>
      <c r="F1388" s="410"/>
      <c r="G1388" s="410"/>
      <c r="H1388" s="410"/>
      <c r="I1388" s="410"/>
      <c r="J1388" s="410"/>
      <c r="K1388" s="410"/>
      <c r="L1388" s="410"/>
      <c r="M1388" s="410"/>
      <c r="N1388" s="410"/>
      <c r="R1388" s="410"/>
      <c r="S1388" s="410"/>
      <c r="T1388" s="410"/>
      <c r="U1388" s="410"/>
      <c r="V1388" s="410"/>
      <c r="W1388" s="410"/>
      <c r="X1388" s="410"/>
      <c r="Y1388" s="410"/>
    </row>
    <row r="1389" spans="1:25" x14ac:dyDescent="0.2">
      <c r="A1389" s="410"/>
      <c r="B1389" s="410"/>
      <c r="C1389" s="410"/>
      <c r="D1389" s="410"/>
      <c r="E1389" s="410"/>
      <c r="F1389" s="410"/>
      <c r="G1389" s="410"/>
      <c r="H1389" s="410"/>
      <c r="I1389" s="410"/>
      <c r="J1389" s="410"/>
      <c r="K1389" s="410"/>
      <c r="L1389" s="410"/>
      <c r="M1389" s="410"/>
      <c r="N1389" s="410"/>
      <c r="R1389" s="410"/>
      <c r="S1389" s="410"/>
      <c r="T1389" s="410"/>
      <c r="U1389" s="410"/>
      <c r="V1389" s="410"/>
      <c r="W1389" s="410"/>
      <c r="X1389" s="410"/>
      <c r="Y1389" s="410"/>
    </row>
    <row r="1390" spans="1:25" x14ac:dyDescent="0.2">
      <c r="A1390" s="410"/>
      <c r="B1390" s="410"/>
      <c r="C1390" s="410"/>
      <c r="D1390" s="410"/>
      <c r="E1390" s="410"/>
      <c r="F1390" s="410"/>
      <c r="G1390" s="410"/>
      <c r="H1390" s="410"/>
      <c r="I1390" s="410"/>
      <c r="J1390" s="410"/>
      <c r="K1390" s="410"/>
      <c r="L1390" s="410"/>
      <c r="M1390" s="410"/>
      <c r="N1390" s="410"/>
      <c r="R1390" s="410"/>
      <c r="S1390" s="410"/>
      <c r="T1390" s="410"/>
      <c r="U1390" s="410"/>
      <c r="V1390" s="410"/>
      <c r="W1390" s="410"/>
      <c r="X1390" s="410"/>
      <c r="Y1390" s="410"/>
    </row>
    <row r="1391" spans="1:25" x14ac:dyDescent="0.2">
      <c r="A1391" s="410"/>
      <c r="B1391" s="410"/>
      <c r="C1391" s="410"/>
      <c r="D1391" s="410"/>
      <c r="E1391" s="410"/>
      <c r="F1391" s="410"/>
      <c r="G1391" s="410"/>
      <c r="H1391" s="410"/>
      <c r="I1391" s="410"/>
      <c r="J1391" s="410"/>
      <c r="K1391" s="410"/>
      <c r="L1391" s="410"/>
      <c r="M1391" s="410"/>
      <c r="N1391" s="410"/>
      <c r="R1391" s="410"/>
      <c r="S1391" s="410"/>
      <c r="T1391" s="410"/>
      <c r="U1391" s="410"/>
      <c r="V1391" s="410"/>
      <c r="W1391" s="410"/>
      <c r="X1391" s="410"/>
      <c r="Y1391" s="410"/>
    </row>
    <row r="1392" spans="1:25" x14ac:dyDescent="0.2">
      <c r="A1392" s="410"/>
      <c r="B1392" s="410"/>
      <c r="C1392" s="410"/>
      <c r="D1392" s="410"/>
      <c r="E1392" s="410"/>
      <c r="F1392" s="410"/>
      <c r="G1392" s="410"/>
      <c r="H1392" s="410"/>
      <c r="I1392" s="410"/>
      <c r="J1392" s="410"/>
      <c r="K1392" s="410"/>
      <c r="L1392" s="410"/>
      <c r="M1392" s="410"/>
      <c r="N1392" s="410"/>
      <c r="R1392" s="410"/>
      <c r="S1392" s="410"/>
      <c r="T1392" s="410"/>
      <c r="U1392" s="410"/>
      <c r="V1392" s="410"/>
      <c r="W1392" s="410"/>
      <c r="X1392" s="410"/>
      <c r="Y1392" s="410"/>
    </row>
    <row r="1393" spans="1:25" x14ac:dyDescent="0.2">
      <c r="A1393" s="410"/>
      <c r="B1393" s="410"/>
      <c r="C1393" s="410"/>
      <c r="D1393" s="410"/>
      <c r="E1393" s="410"/>
      <c r="F1393" s="410"/>
      <c r="G1393" s="410"/>
      <c r="H1393" s="410"/>
      <c r="I1393" s="410"/>
      <c r="J1393" s="410"/>
      <c r="K1393" s="410"/>
      <c r="L1393" s="410"/>
      <c r="M1393" s="410"/>
      <c r="N1393" s="410"/>
      <c r="R1393" s="410"/>
      <c r="S1393" s="410"/>
      <c r="T1393" s="410"/>
      <c r="U1393" s="410"/>
      <c r="V1393" s="410"/>
      <c r="W1393" s="410"/>
      <c r="X1393" s="410"/>
      <c r="Y1393" s="410"/>
    </row>
    <row r="1394" spans="1:25" x14ac:dyDescent="0.2">
      <c r="A1394" s="410"/>
      <c r="B1394" s="410"/>
      <c r="C1394" s="410"/>
      <c r="D1394" s="410"/>
      <c r="E1394" s="410"/>
      <c r="F1394" s="410"/>
      <c r="G1394" s="410"/>
      <c r="H1394" s="410"/>
      <c r="I1394" s="410"/>
      <c r="J1394" s="410"/>
      <c r="K1394" s="410"/>
      <c r="L1394" s="410"/>
      <c r="M1394" s="410"/>
      <c r="N1394" s="410"/>
      <c r="R1394" s="410"/>
      <c r="S1394" s="410"/>
      <c r="T1394" s="410"/>
      <c r="U1394" s="410"/>
      <c r="V1394" s="410"/>
      <c r="W1394" s="410"/>
      <c r="X1394" s="410"/>
      <c r="Y1394" s="410"/>
    </row>
    <row r="1395" spans="1:25" x14ac:dyDescent="0.2">
      <c r="A1395" s="410"/>
      <c r="B1395" s="410"/>
      <c r="C1395" s="410"/>
      <c r="D1395" s="410"/>
      <c r="E1395" s="410"/>
      <c r="F1395" s="410"/>
      <c r="G1395" s="410"/>
      <c r="H1395" s="410"/>
      <c r="I1395" s="410"/>
      <c r="J1395" s="410"/>
      <c r="K1395" s="410"/>
      <c r="L1395" s="410"/>
      <c r="M1395" s="410"/>
      <c r="N1395" s="410"/>
      <c r="R1395" s="410"/>
      <c r="S1395" s="410"/>
      <c r="T1395" s="410"/>
      <c r="U1395" s="410"/>
      <c r="V1395" s="410"/>
      <c r="W1395" s="410"/>
      <c r="X1395" s="410"/>
      <c r="Y1395" s="410"/>
    </row>
    <row r="1396" spans="1:25" x14ac:dyDescent="0.2">
      <c r="A1396" s="410"/>
      <c r="B1396" s="410"/>
      <c r="C1396" s="410"/>
      <c r="D1396" s="410"/>
      <c r="E1396" s="410"/>
      <c r="F1396" s="410"/>
      <c r="G1396" s="410"/>
      <c r="H1396" s="410"/>
      <c r="I1396" s="410"/>
      <c r="J1396" s="410"/>
      <c r="K1396" s="410"/>
      <c r="L1396" s="410"/>
      <c r="M1396" s="410"/>
      <c r="N1396" s="410"/>
      <c r="R1396" s="410"/>
      <c r="S1396" s="410"/>
      <c r="T1396" s="410"/>
      <c r="U1396" s="410"/>
      <c r="V1396" s="410"/>
      <c r="W1396" s="410"/>
      <c r="X1396" s="410"/>
      <c r="Y1396" s="410"/>
    </row>
    <row r="1397" spans="1:25" x14ac:dyDescent="0.2">
      <c r="A1397" s="410"/>
      <c r="B1397" s="410"/>
      <c r="C1397" s="410"/>
      <c r="D1397" s="410"/>
      <c r="E1397" s="410"/>
      <c r="F1397" s="410"/>
      <c r="G1397" s="410"/>
      <c r="H1397" s="410"/>
      <c r="I1397" s="410"/>
      <c r="J1397" s="410"/>
      <c r="K1397" s="410"/>
      <c r="L1397" s="410"/>
      <c r="M1397" s="410"/>
      <c r="N1397" s="410"/>
      <c r="R1397" s="410"/>
      <c r="S1397" s="410"/>
      <c r="T1397" s="410"/>
      <c r="U1397" s="410"/>
      <c r="V1397" s="410"/>
      <c r="W1397" s="410"/>
      <c r="X1397" s="410"/>
      <c r="Y1397" s="410"/>
    </row>
    <row r="1398" spans="1:25" x14ac:dyDescent="0.2">
      <c r="A1398" s="410"/>
      <c r="B1398" s="410"/>
      <c r="C1398" s="410"/>
      <c r="D1398" s="410"/>
      <c r="E1398" s="410"/>
      <c r="F1398" s="410"/>
      <c r="G1398" s="410"/>
      <c r="H1398" s="410"/>
      <c r="I1398" s="410"/>
      <c r="J1398" s="410"/>
      <c r="K1398" s="410"/>
      <c r="L1398" s="410"/>
      <c r="M1398" s="410"/>
      <c r="N1398" s="410"/>
      <c r="R1398" s="410"/>
      <c r="S1398" s="410"/>
      <c r="T1398" s="410"/>
      <c r="U1398" s="410"/>
      <c r="V1398" s="410"/>
      <c r="W1398" s="410"/>
      <c r="X1398" s="410"/>
      <c r="Y1398" s="410"/>
    </row>
    <row r="1399" spans="1:25" x14ac:dyDescent="0.2">
      <c r="A1399" s="410"/>
      <c r="B1399" s="410"/>
      <c r="C1399" s="410"/>
      <c r="D1399" s="410"/>
      <c r="E1399" s="410"/>
      <c r="F1399" s="410"/>
      <c r="G1399" s="410"/>
      <c r="H1399" s="410"/>
      <c r="I1399" s="410"/>
      <c r="J1399" s="410"/>
      <c r="K1399" s="410"/>
      <c r="L1399" s="410"/>
      <c r="M1399" s="410"/>
      <c r="N1399" s="410"/>
      <c r="R1399" s="410"/>
      <c r="S1399" s="410"/>
      <c r="T1399" s="410"/>
      <c r="U1399" s="410"/>
      <c r="V1399" s="410"/>
      <c r="W1399" s="410"/>
      <c r="X1399" s="410"/>
      <c r="Y1399" s="410"/>
    </row>
    <row r="1400" spans="1:25" x14ac:dyDescent="0.2">
      <c r="A1400" s="410"/>
      <c r="B1400" s="410"/>
      <c r="C1400" s="410"/>
      <c r="D1400" s="410"/>
      <c r="E1400" s="410"/>
      <c r="F1400" s="410"/>
      <c r="G1400" s="410"/>
      <c r="H1400" s="410"/>
      <c r="I1400" s="410"/>
      <c r="J1400" s="410"/>
      <c r="K1400" s="410"/>
      <c r="L1400" s="410"/>
      <c r="M1400" s="410"/>
      <c r="N1400" s="410"/>
      <c r="R1400" s="410"/>
      <c r="S1400" s="410"/>
      <c r="T1400" s="410"/>
      <c r="U1400" s="410"/>
      <c r="V1400" s="410"/>
      <c r="W1400" s="410"/>
      <c r="X1400" s="410"/>
      <c r="Y1400" s="410"/>
    </row>
    <row r="1401" spans="1:25" x14ac:dyDescent="0.2">
      <c r="A1401" s="410"/>
      <c r="B1401" s="410"/>
      <c r="C1401" s="410"/>
      <c r="D1401" s="410"/>
      <c r="E1401" s="410"/>
      <c r="F1401" s="410"/>
      <c r="G1401" s="410"/>
      <c r="H1401" s="410"/>
      <c r="I1401" s="410"/>
      <c r="J1401" s="410"/>
      <c r="K1401" s="410"/>
      <c r="L1401" s="410"/>
      <c r="M1401" s="410"/>
      <c r="N1401" s="410"/>
      <c r="R1401" s="410"/>
      <c r="S1401" s="410"/>
      <c r="T1401" s="410"/>
      <c r="U1401" s="410"/>
      <c r="V1401" s="410"/>
      <c r="W1401" s="410"/>
      <c r="X1401" s="410"/>
      <c r="Y1401" s="410"/>
    </row>
    <row r="1402" spans="1:25" x14ac:dyDescent="0.2">
      <c r="A1402" s="410"/>
      <c r="B1402" s="410"/>
      <c r="C1402" s="410"/>
      <c r="D1402" s="410"/>
      <c r="E1402" s="410"/>
      <c r="F1402" s="410"/>
      <c r="G1402" s="410"/>
      <c r="H1402" s="410"/>
      <c r="I1402" s="410"/>
      <c r="J1402" s="410"/>
      <c r="K1402" s="410"/>
      <c r="L1402" s="410"/>
      <c r="M1402" s="410"/>
      <c r="N1402" s="410"/>
      <c r="R1402" s="410"/>
      <c r="S1402" s="410"/>
      <c r="T1402" s="410"/>
      <c r="U1402" s="410"/>
      <c r="V1402" s="410"/>
      <c r="W1402" s="410"/>
      <c r="X1402" s="410"/>
      <c r="Y1402" s="410"/>
    </row>
    <row r="1403" spans="1:25" x14ac:dyDescent="0.2">
      <c r="A1403" s="410"/>
      <c r="B1403" s="410"/>
      <c r="C1403" s="410"/>
      <c r="D1403" s="410"/>
      <c r="E1403" s="410"/>
      <c r="F1403" s="410"/>
      <c r="G1403" s="410"/>
      <c r="H1403" s="410"/>
      <c r="I1403" s="410"/>
      <c r="J1403" s="410"/>
      <c r="K1403" s="410"/>
      <c r="L1403" s="410"/>
      <c r="M1403" s="410"/>
      <c r="N1403" s="410"/>
      <c r="R1403" s="410"/>
      <c r="S1403" s="410"/>
      <c r="T1403" s="410"/>
      <c r="U1403" s="410"/>
      <c r="V1403" s="410"/>
      <c r="W1403" s="410"/>
      <c r="X1403" s="410"/>
      <c r="Y1403" s="410"/>
    </row>
    <row r="1404" spans="1:25" x14ac:dyDescent="0.2">
      <c r="A1404" s="410"/>
      <c r="B1404" s="410"/>
      <c r="C1404" s="410"/>
      <c r="D1404" s="410"/>
      <c r="E1404" s="410"/>
      <c r="F1404" s="410"/>
      <c r="G1404" s="410"/>
      <c r="H1404" s="410"/>
      <c r="I1404" s="410"/>
      <c r="J1404" s="410"/>
      <c r="K1404" s="410"/>
      <c r="L1404" s="410"/>
      <c r="M1404" s="410"/>
      <c r="N1404" s="410"/>
      <c r="R1404" s="410"/>
      <c r="S1404" s="410"/>
      <c r="T1404" s="410"/>
      <c r="U1404" s="410"/>
      <c r="V1404" s="410"/>
      <c r="W1404" s="410"/>
      <c r="X1404" s="410"/>
      <c r="Y1404" s="410"/>
    </row>
    <row r="1405" spans="1:25" x14ac:dyDescent="0.2">
      <c r="A1405" s="410"/>
      <c r="B1405" s="410"/>
      <c r="C1405" s="410"/>
      <c r="D1405" s="410"/>
      <c r="E1405" s="410"/>
      <c r="F1405" s="410"/>
      <c r="G1405" s="410"/>
      <c r="H1405" s="410"/>
      <c r="I1405" s="410"/>
      <c r="J1405" s="410"/>
      <c r="K1405" s="410"/>
      <c r="L1405" s="410"/>
      <c r="M1405" s="410"/>
      <c r="N1405" s="410"/>
      <c r="R1405" s="410"/>
      <c r="S1405" s="410"/>
      <c r="T1405" s="410"/>
      <c r="U1405" s="410"/>
      <c r="V1405" s="410"/>
      <c r="W1405" s="410"/>
      <c r="X1405" s="410"/>
      <c r="Y1405" s="410"/>
    </row>
    <row r="1406" spans="1:25" x14ac:dyDescent="0.2">
      <c r="A1406" s="410"/>
      <c r="B1406" s="410"/>
      <c r="C1406" s="410"/>
      <c r="D1406" s="410"/>
      <c r="E1406" s="410"/>
      <c r="F1406" s="410"/>
      <c r="G1406" s="410"/>
      <c r="H1406" s="410"/>
      <c r="I1406" s="410"/>
      <c r="J1406" s="410"/>
      <c r="K1406" s="410"/>
      <c r="L1406" s="410"/>
      <c r="M1406" s="410"/>
      <c r="N1406" s="410"/>
      <c r="R1406" s="410"/>
      <c r="S1406" s="410"/>
      <c r="T1406" s="410"/>
      <c r="U1406" s="410"/>
      <c r="V1406" s="410"/>
      <c r="W1406" s="410"/>
      <c r="X1406" s="410"/>
      <c r="Y1406" s="410"/>
    </row>
    <row r="1407" spans="1:25" x14ac:dyDescent="0.2">
      <c r="A1407" s="410"/>
      <c r="B1407" s="410"/>
      <c r="C1407" s="410"/>
      <c r="D1407" s="410"/>
      <c r="E1407" s="410"/>
      <c r="F1407" s="410"/>
      <c r="G1407" s="410"/>
      <c r="H1407" s="410"/>
      <c r="I1407" s="410"/>
      <c r="J1407" s="410"/>
      <c r="K1407" s="410"/>
      <c r="L1407" s="410"/>
      <c r="M1407" s="410"/>
      <c r="N1407" s="410"/>
      <c r="R1407" s="410"/>
      <c r="S1407" s="410"/>
      <c r="T1407" s="410"/>
      <c r="U1407" s="410"/>
      <c r="V1407" s="410"/>
      <c r="W1407" s="410"/>
      <c r="X1407" s="410"/>
      <c r="Y1407" s="410"/>
    </row>
    <row r="1408" spans="1:25" x14ac:dyDescent="0.2">
      <c r="A1408" s="410"/>
      <c r="B1408" s="410"/>
      <c r="C1408" s="410"/>
      <c r="D1408" s="410"/>
      <c r="E1408" s="410"/>
      <c r="F1408" s="410"/>
      <c r="G1408" s="410"/>
      <c r="H1408" s="410"/>
      <c r="I1408" s="410"/>
      <c r="J1408" s="410"/>
      <c r="K1408" s="410"/>
      <c r="L1408" s="410"/>
      <c r="M1408" s="410"/>
      <c r="N1408" s="410"/>
      <c r="R1408" s="410"/>
      <c r="S1408" s="410"/>
      <c r="T1408" s="410"/>
      <c r="U1408" s="410"/>
      <c r="V1408" s="410"/>
      <c r="W1408" s="410"/>
      <c r="X1408" s="410"/>
      <c r="Y1408" s="410"/>
    </row>
    <row r="1409" spans="1:25" x14ac:dyDescent="0.2">
      <c r="A1409" s="410"/>
      <c r="B1409" s="410"/>
      <c r="C1409" s="410"/>
      <c r="D1409" s="410"/>
      <c r="E1409" s="410"/>
      <c r="F1409" s="410"/>
      <c r="G1409" s="410"/>
      <c r="H1409" s="410"/>
      <c r="I1409" s="410"/>
      <c r="J1409" s="410"/>
      <c r="K1409" s="410"/>
      <c r="L1409" s="410"/>
      <c r="M1409" s="410"/>
      <c r="N1409" s="410"/>
      <c r="R1409" s="410"/>
      <c r="S1409" s="410"/>
      <c r="T1409" s="410"/>
      <c r="U1409" s="410"/>
      <c r="V1409" s="410"/>
      <c r="W1409" s="410"/>
      <c r="X1409" s="410"/>
      <c r="Y1409" s="410"/>
    </row>
    <row r="1410" spans="1:25" x14ac:dyDescent="0.2">
      <c r="A1410" s="410"/>
      <c r="B1410" s="410"/>
      <c r="C1410" s="410"/>
      <c r="D1410" s="410"/>
      <c r="E1410" s="410"/>
      <c r="F1410" s="410"/>
      <c r="G1410" s="410"/>
      <c r="H1410" s="410"/>
      <c r="I1410" s="410"/>
      <c r="J1410" s="410"/>
      <c r="K1410" s="410"/>
      <c r="L1410" s="410"/>
      <c r="M1410" s="410"/>
      <c r="N1410" s="410"/>
      <c r="R1410" s="410"/>
      <c r="S1410" s="410"/>
      <c r="T1410" s="410"/>
      <c r="U1410" s="410"/>
      <c r="V1410" s="410"/>
      <c r="W1410" s="410"/>
      <c r="X1410" s="410"/>
      <c r="Y1410" s="410"/>
    </row>
    <row r="1411" spans="1:25" x14ac:dyDescent="0.2">
      <c r="A1411" s="410"/>
      <c r="B1411" s="410"/>
      <c r="C1411" s="410"/>
      <c r="D1411" s="410"/>
      <c r="E1411" s="410"/>
      <c r="F1411" s="410"/>
      <c r="G1411" s="410"/>
      <c r="H1411" s="410"/>
      <c r="I1411" s="410"/>
      <c r="J1411" s="410"/>
      <c r="K1411" s="410"/>
      <c r="L1411" s="410"/>
      <c r="M1411" s="410"/>
      <c r="N1411" s="410"/>
      <c r="R1411" s="410"/>
      <c r="S1411" s="410"/>
      <c r="T1411" s="410"/>
      <c r="U1411" s="410"/>
      <c r="V1411" s="410"/>
      <c r="W1411" s="410"/>
      <c r="X1411" s="410"/>
      <c r="Y1411" s="410"/>
    </row>
    <row r="1412" spans="1:25" x14ac:dyDescent="0.2">
      <c r="A1412" s="410"/>
      <c r="B1412" s="410"/>
      <c r="C1412" s="410"/>
      <c r="D1412" s="410"/>
      <c r="E1412" s="410"/>
      <c r="F1412" s="410"/>
      <c r="G1412" s="410"/>
      <c r="H1412" s="410"/>
      <c r="I1412" s="410"/>
      <c r="J1412" s="410"/>
      <c r="K1412" s="410"/>
      <c r="L1412" s="410"/>
      <c r="M1412" s="410"/>
      <c r="N1412" s="410"/>
      <c r="R1412" s="410"/>
      <c r="S1412" s="410"/>
      <c r="T1412" s="410"/>
      <c r="U1412" s="410"/>
      <c r="V1412" s="410"/>
      <c r="W1412" s="410"/>
      <c r="X1412" s="410"/>
      <c r="Y1412" s="410"/>
    </row>
    <row r="1413" spans="1:25" x14ac:dyDescent="0.2">
      <c r="A1413" s="410"/>
      <c r="B1413" s="410"/>
      <c r="C1413" s="410"/>
      <c r="D1413" s="410"/>
      <c r="E1413" s="410"/>
      <c r="F1413" s="410"/>
      <c r="G1413" s="410"/>
      <c r="H1413" s="410"/>
      <c r="I1413" s="410"/>
      <c r="J1413" s="410"/>
      <c r="K1413" s="410"/>
      <c r="L1413" s="410"/>
      <c r="M1413" s="410"/>
      <c r="N1413" s="410"/>
      <c r="R1413" s="410"/>
      <c r="S1413" s="410"/>
      <c r="T1413" s="410"/>
      <c r="U1413" s="410"/>
      <c r="V1413" s="410"/>
      <c r="W1413" s="410"/>
      <c r="X1413" s="410"/>
      <c r="Y1413" s="410"/>
    </row>
    <row r="1414" spans="1:25" x14ac:dyDescent="0.2">
      <c r="A1414" s="410"/>
      <c r="B1414" s="410"/>
      <c r="C1414" s="410"/>
      <c r="D1414" s="410"/>
      <c r="E1414" s="410"/>
      <c r="F1414" s="410"/>
      <c r="G1414" s="410"/>
      <c r="H1414" s="410"/>
      <c r="I1414" s="410"/>
      <c r="J1414" s="410"/>
      <c r="K1414" s="410"/>
      <c r="L1414" s="410"/>
      <c r="M1414" s="410"/>
      <c r="N1414" s="410"/>
      <c r="R1414" s="410"/>
      <c r="S1414" s="410"/>
      <c r="T1414" s="410"/>
      <c r="U1414" s="410"/>
      <c r="V1414" s="410"/>
      <c r="W1414" s="410"/>
      <c r="X1414" s="410"/>
      <c r="Y1414" s="410"/>
    </row>
    <row r="1415" spans="1:25" x14ac:dyDescent="0.2">
      <c r="A1415" s="410"/>
      <c r="B1415" s="410"/>
      <c r="C1415" s="410"/>
      <c r="D1415" s="410"/>
      <c r="E1415" s="410"/>
      <c r="F1415" s="410"/>
      <c r="G1415" s="410"/>
      <c r="H1415" s="410"/>
      <c r="I1415" s="410"/>
      <c r="J1415" s="410"/>
      <c r="K1415" s="410"/>
      <c r="L1415" s="410"/>
      <c r="M1415" s="410"/>
      <c r="N1415" s="410"/>
      <c r="R1415" s="410"/>
      <c r="S1415" s="410"/>
      <c r="T1415" s="410"/>
      <c r="U1415" s="410"/>
      <c r="V1415" s="410"/>
      <c r="W1415" s="410"/>
      <c r="X1415" s="410"/>
      <c r="Y1415" s="410"/>
    </row>
    <row r="1416" spans="1:25" x14ac:dyDescent="0.2">
      <c r="A1416" s="410"/>
      <c r="B1416" s="410"/>
      <c r="C1416" s="410"/>
      <c r="D1416" s="410"/>
      <c r="E1416" s="410"/>
      <c r="F1416" s="410"/>
      <c r="G1416" s="410"/>
      <c r="H1416" s="410"/>
      <c r="I1416" s="410"/>
      <c r="J1416" s="410"/>
      <c r="K1416" s="410"/>
      <c r="L1416" s="410"/>
      <c r="M1416" s="410"/>
      <c r="N1416" s="410"/>
      <c r="R1416" s="410"/>
      <c r="S1416" s="410"/>
      <c r="T1416" s="410"/>
      <c r="U1416" s="410"/>
      <c r="V1416" s="410"/>
      <c r="W1416" s="410"/>
      <c r="X1416" s="410"/>
      <c r="Y1416" s="410"/>
    </row>
    <row r="1417" spans="1:25" x14ac:dyDescent="0.2">
      <c r="A1417" s="410"/>
      <c r="B1417" s="410"/>
      <c r="C1417" s="410"/>
      <c r="D1417" s="410"/>
      <c r="E1417" s="410"/>
      <c r="F1417" s="410"/>
      <c r="G1417" s="410"/>
      <c r="H1417" s="410"/>
      <c r="I1417" s="410"/>
      <c r="J1417" s="410"/>
      <c r="K1417" s="410"/>
      <c r="L1417" s="410"/>
      <c r="M1417" s="410"/>
      <c r="N1417" s="410"/>
      <c r="R1417" s="410"/>
      <c r="S1417" s="410"/>
      <c r="T1417" s="410"/>
      <c r="U1417" s="410"/>
      <c r="V1417" s="410"/>
      <c r="W1417" s="410"/>
      <c r="X1417" s="410"/>
      <c r="Y1417" s="410"/>
    </row>
    <row r="1418" spans="1:25" x14ac:dyDescent="0.2">
      <c r="A1418" s="410"/>
      <c r="B1418" s="410"/>
      <c r="C1418" s="410"/>
      <c r="D1418" s="410"/>
      <c r="E1418" s="410"/>
      <c r="F1418" s="410"/>
      <c r="G1418" s="410"/>
      <c r="H1418" s="410"/>
      <c r="I1418" s="410"/>
      <c r="J1418" s="410"/>
      <c r="K1418" s="410"/>
      <c r="L1418" s="410"/>
      <c r="M1418" s="410"/>
      <c r="N1418" s="410"/>
      <c r="R1418" s="410"/>
      <c r="S1418" s="410"/>
      <c r="T1418" s="410"/>
      <c r="U1418" s="410"/>
      <c r="V1418" s="410"/>
      <c r="W1418" s="410"/>
      <c r="X1418" s="410"/>
      <c r="Y1418" s="410"/>
    </row>
    <row r="1419" spans="1:25" x14ac:dyDescent="0.2">
      <c r="A1419" s="410"/>
      <c r="B1419" s="410"/>
      <c r="C1419" s="410"/>
      <c r="D1419" s="410"/>
      <c r="E1419" s="410"/>
      <c r="F1419" s="410"/>
      <c r="G1419" s="410"/>
      <c r="H1419" s="410"/>
      <c r="I1419" s="410"/>
      <c r="J1419" s="410"/>
      <c r="K1419" s="410"/>
      <c r="L1419" s="410"/>
      <c r="M1419" s="410"/>
      <c r="N1419" s="410"/>
      <c r="R1419" s="410"/>
      <c r="S1419" s="410"/>
      <c r="T1419" s="410"/>
      <c r="U1419" s="410"/>
      <c r="V1419" s="410"/>
      <c r="W1419" s="410"/>
      <c r="X1419" s="410"/>
      <c r="Y1419" s="410"/>
    </row>
    <row r="1420" spans="1:25" x14ac:dyDescent="0.2">
      <c r="A1420" s="410"/>
      <c r="B1420" s="410"/>
      <c r="C1420" s="410"/>
      <c r="D1420" s="410"/>
      <c r="E1420" s="410"/>
      <c r="F1420" s="410"/>
      <c r="G1420" s="410"/>
      <c r="H1420" s="410"/>
      <c r="I1420" s="410"/>
      <c r="J1420" s="410"/>
      <c r="K1420" s="410"/>
      <c r="L1420" s="410"/>
      <c r="M1420" s="410"/>
      <c r="N1420" s="410"/>
      <c r="R1420" s="410"/>
      <c r="S1420" s="410"/>
      <c r="T1420" s="410"/>
      <c r="U1420" s="410"/>
      <c r="V1420" s="410"/>
      <c r="W1420" s="410"/>
      <c r="X1420" s="410"/>
      <c r="Y1420" s="410"/>
    </row>
    <row r="1421" spans="1:25" x14ac:dyDescent="0.2">
      <c r="A1421" s="410"/>
      <c r="B1421" s="410"/>
      <c r="C1421" s="410"/>
      <c r="D1421" s="410"/>
      <c r="E1421" s="410"/>
      <c r="F1421" s="410"/>
      <c r="G1421" s="410"/>
      <c r="H1421" s="410"/>
      <c r="I1421" s="410"/>
      <c r="J1421" s="410"/>
      <c r="K1421" s="410"/>
      <c r="L1421" s="410"/>
      <c r="M1421" s="410"/>
      <c r="N1421" s="410"/>
      <c r="R1421" s="410"/>
      <c r="S1421" s="410"/>
      <c r="T1421" s="410"/>
      <c r="U1421" s="410"/>
      <c r="V1421" s="410"/>
      <c r="W1421" s="410"/>
      <c r="X1421" s="410"/>
      <c r="Y1421" s="410"/>
    </row>
    <row r="1422" spans="1:25" x14ac:dyDescent="0.2">
      <c r="A1422" s="410"/>
      <c r="B1422" s="410"/>
      <c r="C1422" s="410"/>
      <c r="D1422" s="410"/>
      <c r="E1422" s="410"/>
      <c r="F1422" s="410"/>
      <c r="G1422" s="410"/>
      <c r="H1422" s="410"/>
      <c r="I1422" s="410"/>
      <c r="J1422" s="410"/>
      <c r="K1422" s="410"/>
      <c r="L1422" s="410"/>
      <c r="M1422" s="410"/>
      <c r="N1422" s="410"/>
      <c r="R1422" s="410"/>
      <c r="S1422" s="410"/>
      <c r="T1422" s="410"/>
      <c r="U1422" s="410"/>
      <c r="V1422" s="410"/>
      <c r="W1422" s="410"/>
      <c r="X1422" s="410"/>
      <c r="Y1422" s="410"/>
    </row>
    <row r="1423" spans="1:25" x14ac:dyDescent="0.2">
      <c r="A1423" s="410"/>
      <c r="B1423" s="410"/>
      <c r="C1423" s="410"/>
      <c r="D1423" s="410"/>
      <c r="E1423" s="410"/>
      <c r="F1423" s="410"/>
      <c r="G1423" s="410"/>
      <c r="H1423" s="410"/>
      <c r="I1423" s="410"/>
      <c r="J1423" s="410"/>
      <c r="K1423" s="410"/>
      <c r="L1423" s="410"/>
      <c r="M1423" s="410"/>
      <c r="N1423" s="410"/>
      <c r="R1423" s="410"/>
      <c r="S1423" s="410"/>
      <c r="T1423" s="410"/>
      <c r="U1423" s="410"/>
      <c r="V1423" s="410"/>
      <c r="W1423" s="410"/>
      <c r="X1423" s="410"/>
      <c r="Y1423" s="410"/>
    </row>
    <row r="1424" spans="1:25" x14ac:dyDescent="0.2">
      <c r="A1424" s="410"/>
      <c r="B1424" s="410"/>
      <c r="C1424" s="410"/>
      <c r="D1424" s="410"/>
      <c r="E1424" s="410"/>
      <c r="F1424" s="410"/>
      <c r="G1424" s="410"/>
      <c r="H1424" s="410"/>
      <c r="I1424" s="410"/>
      <c r="J1424" s="410"/>
      <c r="K1424" s="410"/>
      <c r="L1424" s="410"/>
      <c r="M1424" s="410"/>
      <c r="N1424" s="410"/>
      <c r="R1424" s="410"/>
      <c r="S1424" s="410"/>
      <c r="T1424" s="410"/>
      <c r="U1424" s="410"/>
      <c r="V1424" s="410"/>
      <c r="W1424" s="410"/>
      <c r="X1424" s="410"/>
      <c r="Y1424" s="410"/>
    </row>
    <row r="1425" spans="1:25" x14ac:dyDescent="0.2">
      <c r="A1425" s="410"/>
      <c r="B1425" s="410"/>
      <c r="C1425" s="410"/>
      <c r="D1425" s="410"/>
      <c r="E1425" s="410"/>
      <c r="F1425" s="410"/>
      <c r="G1425" s="410"/>
      <c r="H1425" s="410"/>
      <c r="I1425" s="410"/>
      <c r="J1425" s="410"/>
      <c r="K1425" s="410"/>
      <c r="L1425" s="410"/>
      <c r="M1425" s="410"/>
      <c r="N1425" s="410"/>
      <c r="R1425" s="410"/>
      <c r="S1425" s="410"/>
      <c r="T1425" s="410"/>
      <c r="U1425" s="410"/>
      <c r="V1425" s="410"/>
      <c r="W1425" s="410"/>
      <c r="X1425" s="410"/>
      <c r="Y1425" s="410"/>
    </row>
    <row r="1426" spans="1:25" x14ac:dyDescent="0.2">
      <c r="A1426" s="410"/>
      <c r="B1426" s="410"/>
      <c r="C1426" s="410"/>
      <c r="D1426" s="410"/>
      <c r="E1426" s="410"/>
      <c r="F1426" s="410"/>
      <c r="G1426" s="410"/>
      <c r="H1426" s="410"/>
      <c r="I1426" s="410"/>
      <c r="J1426" s="410"/>
      <c r="K1426" s="410"/>
      <c r="L1426" s="410"/>
      <c r="M1426" s="410"/>
      <c r="N1426" s="410"/>
      <c r="R1426" s="410"/>
      <c r="S1426" s="410"/>
      <c r="T1426" s="410"/>
      <c r="U1426" s="410"/>
      <c r="V1426" s="410"/>
      <c r="W1426" s="410"/>
      <c r="X1426" s="410"/>
      <c r="Y1426" s="410"/>
    </row>
    <row r="1427" spans="1:25" x14ac:dyDescent="0.2">
      <c r="A1427" s="410"/>
      <c r="B1427" s="410"/>
      <c r="C1427" s="410"/>
      <c r="D1427" s="410"/>
      <c r="E1427" s="410"/>
      <c r="F1427" s="410"/>
      <c r="G1427" s="410"/>
      <c r="H1427" s="410"/>
      <c r="I1427" s="410"/>
      <c r="J1427" s="410"/>
      <c r="K1427" s="410"/>
      <c r="L1427" s="410"/>
      <c r="M1427" s="410"/>
      <c r="N1427" s="410"/>
      <c r="R1427" s="410"/>
      <c r="S1427" s="410"/>
      <c r="T1427" s="410"/>
      <c r="U1427" s="410"/>
      <c r="V1427" s="410"/>
      <c r="W1427" s="410"/>
      <c r="X1427" s="410"/>
      <c r="Y1427" s="410"/>
    </row>
    <row r="1428" spans="1:25" x14ac:dyDescent="0.2">
      <c r="A1428" s="410"/>
      <c r="B1428" s="410"/>
      <c r="C1428" s="410"/>
      <c r="D1428" s="410"/>
      <c r="E1428" s="410"/>
      <c r="F1428" s="410"/>
      <c r="G1428" s="410"/>
      <c r="H1428" s="410"/>
      <c r="I1428" s="410"/>
      <c r="J1428" s="410"/>
      <c r="K1428" s="410"/>
      <c r="L1428" s="410"/>
      <c r="M1428" s="410"/>
      <c r="N1428" s="410"/>
      <c r="R1428" s="410"/>
      <c r="S1428" s="410"/>
      <c r="T1428" s="410"/>
      <c r="U1428" s="410"/>
      <c r="V1428" s="410"/>
      <c r="W1428" s="410"/>
      <c r="X1428" s="410"/>
      <c r="Y1428" s="410"/>
    </row>
    <row r="1429" spans="1:25" x14ac:dyDescent="0.2">
      <c r="A1429" s="410"/>
      <c r="B1429" s="410"/>
      <c r="C1429" s="410"/>
      <c r="D1429" s="410"/>
      <c r="E1429" s="410"/>
      <c r="F1429" s="410"/>
      <c r="G1429" s="410"/>
      <c r="H1429" s="410"/>
      <c r="I1429" s="410"/>
      <c r="J1429" s="410"/>
      <c r="K1429" s="410"/>
      <c r="L1429" s="410"/>
      <c r="M1429" s="410"/>
      <c r="N1429" s="410"/>
      <c r="R1429" s="410"/>
      <c r="S1429" s="410"/>
      <c r="T1429" s="410"/>
      <c r="U1429" s="410"/>
      <c r="V1429" s="410"/>
      <c r="W1429" s="410"/>
      <c r="X1429" s="410"/>
      <c r="Y1429" s="410"/>
    </row>
    <row r="1430" spans="1:25" x14ac:dyDescent="0.2">
      <c r="A1430" s="410"/>
      <c r="B1430" s="410"/>
      <c r="C1430" s="410"/>
      <c r="D1430" s="410"/>
      <c r="E1430" s="410"/>
      <c r="F1430" s="410"/>
      <c r="G1430" s="410"/>
      <c r="H1430" s="410"/>
      <c r="I1430" s="410"/>
      <c r="J1430" s="410"/>
      <c r="K1430" s="410"/>
      <c r="L1430" s="410"/>
      <c r="M1430" s="410"/>
      <c r="N1430" s="410"/>
      <c r="R1430" s="410"/>
      <c r="S1430" s="410"/>
      <c r="T1430" s="410"/>
      <c r="U1430" s="410"/>
      <c r="V1430" s="410"/>
      <c r="W1430" s="410"/>
      <c r="X1430" s="410"/>
      <c r="Y1430" s="410"/>
    </row>
    <row r="1431" spans="1:25" x14ac:dyDescent="0.2">
      <c r="A1431" s="410"/>
      <c r="B1431" s="410"/>
      <c r="C1431" s="410"/>
      <c r="D1431" s="410"/>
      <c r="E1431" s="410"/>
      <c r="F1431" s="410"/>
      <c r="G1431" s="410"/>
      <c r="H1431" s="410"/>
      <c r="I1431" s="410"/>
      <c r="J1431" s="410"/>
      <c r="K1431" s="410"/>
      <c r="L1431" s="410"/>
      <c r="M1431" s="410"/>
      <c r="N1431" s="410"/>
      <c r="R1431" s="410"/>
      <c r="S1431" s="410"/>
      <c r="T1431" s="410"/>
      <c r="U1431" s="410"/>
      <c r="V1431" s="410"/>
      <c r="W1431" s="410"/>
      <c r="X1431" s="410"/>
      <c r="Y1431" s="410"/>
    </row>
    <row r="1432" spans="1:25" x14ac:dyDescent="0.2">
      <c r="A1432" s="410"/>
      <c r="B1432" s="410"/>
      <c r="C1432" s="410"/>
      <c r="D1432" s="410"/>
      <c r="E1432" s="410"/>
      <c r="F1432" s="410"/>
      <c r="G1432" s="410"/>
      <c r="H1432" s="410"/>
      <c r="I1432" s="410"/>
      <c r="J1432" s="410"/>
      <c r="K1432" s="410"/>
      <c r="L1432" s="410"/>
      <c r="M1432" s="410"/>
      <c r="N1432" s="410"/>
      <c r="R1432" s="410"/>
      <c r="S1432" s="410"/>
      <c r="T1432" s="410"/>
      <c r="U1432" s="410"/>
      <c r="V1432" s="410"/>
      <c r="W1432" s="410"/>
      <c r="X1432" s="410"/>
      <c r="Y1432" s="410"/>
    </row>
    <row r="1433" spans="1:25" x14ac:dyDescent="0.2">
      <c r="A1433" s="410"/>
      <c r="B1433" s="410"/>
      <c r="C1433" s="410"/>
      <c r="D1433" s="410"/>
      <c r="E1433" s="410"/>
      <c r="F1433" s="410"/>
      <c r="G1433" s="410"/>
      <c r="H1433" s="410"/>
      <c r="I1433" s="410"/>
      <c r="J1433" s="410"/>
      <c r="K1433" s="410"/>
      <c r="L1433" s="410"/>
      <c r="M1433" s="410"/>
      <c r="N1433" s="410"/>
      <c r="R1433" s="410"/>
      <c r="S1433" s="410"/>
      <c r="T1433" s="410"/>
      <c r="U1433" s="410"/>
      <c r="V1433" s="410"/>
      <c r="W1433" s="410"/>
      <c r="X1433" s="410"/>
      <c r="Y1433" s="410"/>
    </row>
    <row r="1434" spans="1:25" x14ac:dyDescent="0.2">
      <c r="A1434" s="410"/>
      <c r="B1434" s="410"/>
      <c r="C1434" s="410"/>
      <c r="D1434" s="410"/>
      <c r="E1434" s="410"/>
      <c r="F1434" s="410"/>
      <c r="G1434" s="410"/>
      <c r="H1434" s="410"/>
      <c r="I1434" s="410"/>
      <c r="J1434" s="410"/>
      <c r="K1434" s="410"/>
      <c r="L1434" s="410"/>
      <c r="M1434" s="410"/>
      <c r="N1434" s="410"/>
      <c r="R1434" s="410"/>
      <c r="S1434" s="410"/>
      <c r="T1434" s="410"/>
      <c r="U1434" s="410"/>
      <c r="V1434" s="410"/>
      <c r="W1434" s="410"/>
      <c r="X1434" s="410"/>
      <c r="Y1434" s="410"/>
    </row>
    <row r="1435" spans="1:25" x14ac:dyDescent="0.2">
      <c r="A1435" s="410"/>
      <c r="B1435" s="410"/>
      <c r="C1435" s="410"/>
      <c r="D1435" s="410"/>
      <c r="E1435" s="410"/>
      <c r="F1435" s="410"/>
      <c r="G1435" s="410"/>
      <c r="H1435" s="410"/>
      <c r="I1435" s="410"/>
      <c r="J1435" s="410"/>
      <c r="K1435" s="410"/>
      <c r="L1435" s="410"/>
      <c r="M1435" s="410"/>
      <c r="N1435" s="410"/>
      <c r="R1435" s="410"/>
      <c r="S1435" s="410"/>
      <c r="T1435" s="410"/>
      <c r="U1435" s="410"/>
      <c r="V1435" s="410"/>
      <c r="W1435" s="410"/>
      <c r="X1435" s="410"/>
      <c r="Y1435" s="410"/>
    </row>
    <row r="1436" spans="1:25" x14ac:dyDescent="0.2">
      <c r="A1436" s="410"/>
      <c r="B1436" s="410"/>
      <c r="C1436" s="410"/>
      <c r="D1436" s="410"/>
      <c r="E1436" s="410"/>
      <c r="F1436" s="410"/>
      <c r="G1436" s="410"/>
      <c r="H1436" s="410"/>
      <c r="I1436" s="410"/>
      <c r="J1436" s="410"/>
      <c r="K1436" s="410"/>
      <c r="L1436" s="410"/>
      <c r="M1436" s="410"/>
      <c r="N1436" s="410"/>
      <c r="R1436" s="410"/>
      <c r="S1436" s="410"/>
      <c r="T1436" s="410"/>
      <c r="U1436" s="410"/>
      <c r="V1436" s="410"/>
      <c r="W1436" s="410"/>
      <c r="X1436" s="410"/>
      <c r="Y1436" s="410"/>
    </row>
    <row r="1437" spans="1:25" x14ac:dyDescent="0.2">
      <c r="A1437" s="410"/>
      <c r="B1437" s="410"/>
      <c r="C1437" s="410"/>
      <c r="D1437" s="410"/>
      <c r="E1437" s="410"/>
      <c r="F1437" s="410"/>
      <c r="G1437" s="410"/>
      <c r="H1437" s="410"/>
      <c r="I1437" s="410"/>
      <c r="J1437" s="410"/>
      <c r="K1437" s="410"/>
      <c r="L1437" s="410"/>
      <c r="M1437" s="410"/>
      <c r="N1437" s="410"/>
      <c r="R1437" s="410"/>
      <c r="S1437" s="410"/>
      <c r="T1437" s="410"/>
      <c r="U1437" s="410"/>
      <c r="V1437" s="410"/>
      <c r="W1437" s="410"/>
      <c r="X1437" s="410"/>
      <c r="Y1437" s="410"/>
    </row>
    <row r="1438" spans="1:25" x14ac:dyDescent="0.2">
      <c r="A1438" s="410"/>
      <c r="B1438" s="410"/>
      <c r="C1438" s="410"/>
      <c r="D1438" s="410"/>
      <c r="E1438" s="410"/>
      <c r="F1438" s="410"/>
      <c r="G1438" s="410"/>
      <c r="H1438" s="410"/>
      <c r="I1438" s="410"/>
      <c r="J1438" s="410"/>
      <c r="K1438" s="410"/>
      <c r="L1438" s="410"/>
      <c r="M1438" s="410"/>
      <c r="N1438" s="410"/>
      <c r="R1438" s="410"/>
      <c r="S1438" s="410"/>
      <c r="T1438" s="410"/>
      <c r="U1438" s="410"/>
      <c r="V1438" s="410"/>
      <c r="W1438" s="410"/>
      <c r="X1438" s="410"/>
      <c r="Y1438" s="410"/>
    </row>
    <row r="1439" spans="1:25" x14ac:dyDescent="0.2">
      <c r="A1439" s="410"/>
      <c r="B1439" s="410"/>
      <c r="C1439" s="410"/>
      <c r="D1439" s="410"/>
      <c r="E1439" s="410"/>
      <c r="F1439" s="410"/>
      <c r="G1439" s="410"/>
      <c r="H1439" s="410"/>
      <c r="I1439" s="410"/>
      <c r="J1439" s="410"/>
      <c r="K1439" s="410"/>
      <c r="L1439" s="410"/>
      <c r="M1439" s="410"/>
      <c r="N1439" s="410"/>
      <c r="R1439" s="410"/>
      <c r="S1439" s="410"/>
      <c r="T1439" s="410"/>
      <c r="U1439" s="410"/>
      <c r="V1439" s="410"/>
      <c r="W1439" s="410"/>
      <c r="X1439" s="410"/>
      <c r="Y1439" s="410"/>
    </row>
    <row r="1440" spans="1:25" x14ac:dyDescent="0.2">
      <c r="A1440" s="410"/>
      <c r="B1440" s="410"/>
      <c r="C1440" s="410"/>
      <c r="D1440" s="410"/>
      <c r="E1440" s="410"/>
      <c r="F1440" s="410"/>
      <c r="G1440" s="410"/>
      <c r="H1440" s="410"/>
      <c r="I1440" s="410"/>
      <c r="J1440" s="410"/>
      <c r="K1440" s="410"/>
      <c r="L1440" s="410"/>
      <c r="M1440" s="410"/>
      <c r="N1440" s="410"/>
      <c r="R1440" s="410"/>
      <c r="S1440" s="410"/>
      <c r="T1440" s="410"/>
      <c r="U1440" s="410"/>
      <c r="V1440" s="410"/>
      <c r="W1440" s="410"/>
      <c r="X1440" s="410"/>
      <c r="Y1440" s="410"/>
    </row>
    <row r="1441" spans="1:25" x14ac:dyDescent="0.2">
      <c r="A1441" s="410"/>
      <c r="B1441" s="410"/>
      <c r="C1441" s="410"/>
      <c r="D1441" s="410"/>
      <c r="E1441" s="410"/>
      <c r="F1441" s="410"/>
      <c r="G1441" s="410"/>
      <c r="H1441" s="410"/>
      <c r="I1441" s="410"/>
      <c r="J1441" s="410"/>
      <c r="K1441" s="410"/>
      <c r="L1441" s="410"/>
      <c r="M1441" s="410"/>
      <c r="N1441" s="410"/>
      <c r="R1441" s="410"/>
      <c r="S1441" s="410"/>
      <c r="T1441" s="410"/>
      <c r="U1441" s="410"/>
      <c r="V1441" s="410"/>
      <c r="W1441" s="410"/>
      <c r="X1441" s="410"/>
      <c r="Y1441" s="410"/>
    </row>
    <row r="1442" spans="1:25" x14ac:dyDescent="0.2">
      <c r="A1442" s="410"/>
      <c r="B1442" s="410"/>
      <c r="C1442" s="410"/>
      <c r="D1442" s="410"/>
      <c r="E1442" s="410"/>
      <c r="F1442" s="410"/>
      <c r="G1442" s="410"/>
      <c r="H1442" s="410"/>
      <c r="I1442" s="410"/>
      <c r="J1442" s="410"/>
      <c r="K1442" s="410"/>
      <c r="L1442" s="410"/>
      <c r="M1442" s="410"/>
      <c r="N1442" s="410"/>
      <c r="R1442" s="410"/>
      <c r="S1442" s="410"/>
      <c r="T1442" s="410"/>
      <c r="U1442" s="410"/>
      <c r="V1442" s="410"/>
      <c r="W1442" s="410"/>
      <c r="X1442" s="410"/>
      <c r="Y1442" s="410"/>
    </row>
    <row r="1443" spans="1:25" x14ac:dyDescent="0.2">
      <c r="A1443" s="410"/>
      <c r="B1443" s="410"/>
      <c r="C1443" s="410"/>
      <c r="D1443" s="410"/>
      <c r="E1443" s="410"/>
      <c r="F1443" s="410"/>
      <c r="G1443" s="410"/>
      <c r="H1443" s="410"/>
      <c r="I1443" s="410"/>
      <c r="J1443" s="410"/>
      <c r="K1443" s="410"/>
      <c r="L1443" s="410"/>
      <c r="M1443" s="410"/>
      <c r="N1443" s="410"/>
      <c r="R1443" s="410"/>
      <c r="S1443" s="410"/>
      <c r="T1443" s="410"/>
      <c r="U1443" s="410"/>
      <c r="V1443" s="410"/>
      <c r="W1443" s="410"/>
      <c r="X1443" s="410"/>
      <c r="Y1443" s="410"/>
    </row>
    <row r="1444" spans="1:25" x14ac:dyDescent="0.2">
      <c r="A1444" s="410"/>
      <c r="B1444" s="410"/>
      <c r="C1444" s="410"/>
      <c r="D1444" s="410"/>
      <c r="E1444" s="410"/>
      <c r="F1444" s="410"/>
      <c r="G1444" s="410"/>
      <c r="H1444" s="410"/>
      <c r="I1444" s="410"/>
      <c r="J1444" s="410"/>
      <c r="K1444" s="410"/>
      <c r="L1444" s="410"/>
      <c r="M1444" s="410"/>
      <c r="N1444" s="410"/>
      <c r="R1444" s="410"/>
      <c r="S1444" s="410"/>
      <c r="T1444" s="410"/>
      <c r="U1444" s="410"/>
      <c r="V1444" s="410"/>
      <c r="W1444" s="410"/>
      <c r="X1444" s="410"/>
      <c r="Y1444" s="410"/>
    </row>
    <row r="1445" spans="1:25" x14ac:dyDescent="0.2">
      <c r="A1445" s="410"/>
      <c r="B1445" s="410"/>
      <c r="C1445" s="410"/>
      <c r="D1445" s="410"/>
      <c r="E1445" s="410"/>
      <c r="F1445" s="410"/>
      <c r="G1445" s="410"/>
      <c r="H1445" s="410"/>
      <c r="I1445" s="410"/>
      <c r="J1445" s="410"/>
      <c r="K1445" s="410"/>
      <c r="L1445" s="410"/>
      <c r="M1445" s="410"/>
      <c r="N1445" s="410"/>
      <c r="R1445" s="410"/>
      <c r="S1445" s="410"/>
      <c r="T1445" s="410"/>
      <c r="U1445" s="410"/>
      <c r="V1445" s="410"/>
      <c r="W1445" s="410"/>
      <c r="X1445" s="410"/>
      <c r="Y1445" s="410"/>
    </row>
    <row r="1446" spans="1:25" x14ac:dyDescent="0.2">
      <c r="A1446" s="410"/>
      <c r="B1446" s="410"/>
      <c r="C1446" s="410"/>
      <c r="D1446" s="410"/>
      <c r="E1446" s="410"/>
      <c r="F1446" s="410"/>
      <c r="G1446" s="410"/>
      <c r="H1446" s="410"/>
      <c r="I1446" s="410"/>
      <c r="J1446" s="410"/>
      <c r="K1446" s="410"/>
      <c r="L1446" s="410"/>
      <c r="M1446" s="410"/>
      <c r="N1446" s="410"/>
      <c r="R1446" s="410"/>
      <c r="S1446" s="410"/>
      <c r="T1446" s="410"/>
      <c r="U1446" s="410"/>
      <c r="V1446" s="410"/>
      <c r="W1446" s="410"/>
      <c r="X1446" s="410"/>
      <c r="Y1446" s="410"/>
    </row>
    <row r="1447" spans="1:25" x14ac:dyDescent="0.2">
      <c r="A1447" s="410"/>
      <c r="B1447" s="410"/>
      <c r="C1447" s="410"/>
      <c r="D1447" s="410"/>
      <c r="E1447" s="410"/>
      <c r="F1447" s="410"/>
      <c r="G1447" s="410"/>
      <c r="H1447" s="410"/>
      <c r="I1447" s="410"/>
      <c r="J1447" s="410"/>
      <c r="K1447" s="410"/>
      <c r="L1447" s="410"/>
      <c r="M1447" s="410"/>
      <c r="N1447" s="410"/>
      <c r="R1447" s="410"/>
      <c r="S1447" s="410"/>
      <c r="T1447" s="410"/>
      <c r="U1447" s="410"/>
      <c r="V1447" s="410"/>
      <c r="W1447" s="410"/>
      <c r="X1447" s="410"/>
      <c r="Y1447" s="410"/>
    </row>
    <row r="1448" spans="1:25" x14ac:dyDescent="0.2">
      <c r="A1448" s="410"/>
      <c r="B1448" s="410"/>
      <c r="C1448" s="410"/>
      <c r="D1448" s="410"/>
      <c r="E1448" s="410"/>
      <c r="F1448" s="410"/>
      <c r="G1448" s="410"/>
      <c r="H1448" s="410"/>
      <c r="I1448" s="410"/>
      <c r="J1448" s="410"/>
      <c r="K1448" s="410"/>
      <c r="L1448" s="410"/>
      <c r="M1448" s="410"/>
      <c r="N1448" s="410"/>
      <c r="R1448" s="410"/>
      <c r="S1448" s="410"/>
      <c r="T1448" s="410"/>
      <c r="U1448" s="410"/>
      <c r="V1448" s="410"/>
      <c r="W1448" s="410"/>
      <c r="X1448" s="410"/>
      <c r="Y1448" s="410"/>
    </row>
    <row r="1449" spans="1:25" x14ac:dyDescent="0.2">
      <c r="A1449" s="410"/>
      <c r="B1449" s="410"/>
      <c r="C1449" s="410"/>
      <c r="D1449" s="410"/>
      <c r="E1449" s="410"/>
      <c r="F1449" s="410"/>
      <c r="G1449" s="410"/>
      <c r="H1449" s="410"/>
      <c r="I1449" s="410"/>
      <c r="J1449" s="410"/>
      <c r="K1449" s="410"/>
      <c r="L1449" s="410"/>
      <c r="M1449" s="410"/>
      <c r="N1449" s="410"/>
      <c r="R1449" s="410"/>
      <c r="S1449" s="410"/>
      <c r="T1449" s="410"/>
      <c r="U1449" s="410"/>
      <c r="V1449" s="410"/>
      <c r="W1449" s="410"/>
      <c r="X1449" s="410"/>
      <c r="Y1449" s="410"/>
    </row>
    <row r="1450" spans="1:25" x14ac:dyDescent="0.2">
      <c r="A1450" s="410"/>
      <c r="B1450" s="410"/>
      <c r="C1450" s="410"/>
      <c r="D1450" s="410"/>
      <c r="E1450" s="410"/>
      <c r="F1450" s="410"/>
      <c r="G1450" s="410"/>
      <c r="H1450" s="410"/>
      <c r="I1450" s="410"/>
      <c r="J1450" s="410"/>
      <c r="K1450" s="410"/>
      <c r="L1450" s="410"/>
      <c r="M1450" s="410"/>
      <c r="N1450" s="410"/>
      <c r="R1450" s="410"/>
      <c r="S1450" s="410"/>
      <c r="T1450" s="410"/>
      <c r="U1450" s="410"/>
      <c r="V1450" s="410"/>
      <c r="W1450" s="410"/>
      <c r="X1450" s="410"/>
      <c r="Y1450" s="410"/>
    </row>
    <row r="1451" spans="1:25" x14ac:dyDescent="0.2">
      <c r="A1451" s="410"/>
      <c r="B1451" s="410"/>
      <c r="C1451" s="410"/>
      <c r="D1451" s="410"/>
      <c r="E1451" s="410"/>
      <c r="F1451" s="410"/>
      <c r="G1451" s="410"/>
      <c r="H1451" s="410"/>
      <c r="I1451" s="410"/>
      <c r="J1451" s="410"/>
      <c r="K1451" s="410"/>
      <c r="L1451" s="410"/>
      <c r="M1451" s="410"/>
      <c r="N1451" s="410"/>
      <c r="R1451" s="410"/>
      <c r="S1451" s="410"/>
      <c r="T1451" s="410"/>
      <c r="U1451" s="410"/>
      <c r="V1451" s="410"/>
      <c r="W1451" s="410"/>
      <c r="X1451" s="410"/>
      <c r="Y1451" s="410"/>
    </row>
    <row r="1452" spans="1:25" x14ac:dyDescent="0.2">
      <c r="A1452" s="410"/>
      <c r="B1452" s="410"/>
      <c r="C1452" s="410"/>
      <c r="D1452" s="410"/>
      <c r="E1452" s="410"/>
      <c r="F1452" s="410"/>
      <c r="G1452" s="410"/>
      <c r="H1452" s="410"/>
      <c r="I1452" s="410"/>
      <c r="J1452" s="410"/>
      <c r="K1452" s="410"/>
      <c r="L1452" s="410"/>
      <c r="M1452" s="410"/>
      <c r="N1452" s="410"/>
      <c r="R1452" s="410"/>
      <c r="S1452" s="410"/>
      <c r="T1452" s="410"/>
      <c r="U1452" s="410"/>
      <c r="V1452" s="410"/>
      <c r="W1452" s="410"/>
      <c r="X1452" s="410"/>
      <c r="Y1452" s="410"/>
    </row>
    <row r="1453" spans="1:25" x14ac:dyDescent="0.2">
      <c r="A1453" s="410"/>
      <c r="B1453" s="410"/>
      <c r="C1453" s="410"/>
      <c r="D1453" s="410"/>
      <c r="E1453" s="410"/>
      <c r="F1453" s="410"/>
      <c r="G1453" s="410"/>
      <c r="H1453" s="410"/>
      <c r="I1453" s="410"/>
      <c r="J1453" s="410"/>
      <c r="K1453" s="410"/>
      <c r="L1453" s="410"/>
      <c r="M1453" s="410"/>
      <c r="N1453" s="410"/>
      <c r="R1453" s="410"/>
      <c r="S1453" s="410"/>
      <c r="T1453" s="410"/>
      <c r="U1453" s="410"/>
      <c r="V1453" s="410"/>
      <c r="W1453" s="410"/>
      <c r="X1453" s="410"/>
      <c r="Y1453" s="410"/>
    </row>
    <row r="1454" spans="1:25" x14ac:dyDescent="0.2">
      <c r="A1454" s="410"/>
      <c r="B1454" s="410"/>
      <c r="C1454" s="410"/>
      <c r="D1454" s="410"/>
      <c r="E1454" s="410"/>
      <c r="F1454" s="410"/>
      <c r="G1454" s="410"/>
      <c r="H1454" s="410"/>
      <c r="I1454" s="410"/>
      <c r="J1454" s="410"/>
      <c r="K1454" s="410"/>
      <c r="L1454" s="410"/>
      <c r="M1454" s="410"/>
      <c r="N1454" s="410"/>
      <c r="R1454" s="410"/>
      <c r="S1454" s="410"/>
      <c r="T1454" s="410"/>
      <c r="U1454" s="410"/>
      <c r="V1454" s="410"/>
      <c r="W1454" s="410"/>
      <c r="X1454" s="410"/>
      <c r="Y1454" s="410"/>
    </row>
    <row r="1455" spans="1:25" x14ac:dyDescent="0.2">
      <c r="A1455" s="410"/>
      <c r="B1455" s="410"/>
      <c r="C1455" s="410"/>
      <c r="D1455" s="410"/>
      <c r="E1455" s="410"/>
      <c r="F1455" s="410"/>
      <c r="G1455" s="410"/>
      <c r="H1455" s="410"/>
      <c r="I1455" s="410"/>
      <c r="J1455" s="410"/>
      <c r="K1455" s="410"/>
      <c r="L1455" s="410"/>
      <c r="M1455" s="410"/>
      <c r="N1455" s="410"/>
      <c r="R1455" s="410"/>
      <c r="S1455" s="410"/>
      <c r="T1455" s="410"/>
      <c r="U1455" s="410"/>
      <c r="V1455" s="410"/>
      <c r="W1455" s="410"/>
      <c r="X1455" s="410"/>
      <c r="Y1455" s="410"/>
    </row>
    <row r="1456" spans="1:25" x14ac:dyDescent="0.2">
      <c r="A1456" s="410"/>
      <c r="B1456" s="410"/>
      <c r="C1456" s="410"/>
      <c r="D1456" s="410"/>
      <c r="E1456" s="410"/>
      <c r="F1456" s="410"/>
      <c r="G1456" s="410"/>
      <c r="H1456" s="410"/>
      <c r="I1456" s="410"/>
      <c r="J1456" s="410"/>
      <c r="K1456" s="410"/>
      <c r="L1456" s="410"/>
      <c r="M1456" s="410"/>
      <c r="N1456" s="410"/>
      <c r="R1456" s="410"/>
      <c r="S1456" s="410"/>
      <c r="T1456" s="410"/>
      <c r="U1456" s="410"/>
      <c r="V1456" s="410"/>
      <c r="W1456" s="410"/>
      <c r="X1456" s="410"/>
      <c r="Y1456" s="410"/>
    </row>
    <row r="1457" spans="1:25" x14ac:dyDescent="0.2">
      <c r="A1457" s="410"/>
      <c r="B1457" s="410"/>
      <c r="C1457" s="410"/>
      <c r="D1457" s="410"/>
      <c r="E1457" s="410"/>
      <c r="F1457" s="410"/>
      <c r="G1457" s="410"/>
      <c r="H1457" s="410"/>
      <c r="I1457" s="410"/>
      <c r="J1457" s="410"/>
      <c r="K1457" s="410"/>
      <c r="L1457" s="410"/>
      <c r="M1457" s="410"/>
      <c r="N1457" s="410"/>
      <c r="R1457" s="410"/>
      <c r="S1457" s="410"/>
      <c r="T1457" s="410"/>
      <c r="U1457" s="410"/>
      <c r="V1457" s="410"/>
      <c r="W1457" s="410"/>
      <c r="X1457" s="410"/>
      <c r="Y1457" s="410"/>
    </row>
    <row r="1458" spans="1:25" x14ac:dyDescent="0.2">
      <c r="A1458" s="410"/>
      <c r="B1458" s="410"/>
      <c r="C1458" s="410"/>
      <c r="D1458" s="410"/>
      <c r="E1458" s="410"/>
      <c r="F1458" s="410"/>
      <c r="G1458" s="410"/>
      <c r="H1458" s="410"/>
      <c r="I1458" s="410"/>
      <c r="J1458" s="410"/>
      <c r="K1458" s="410"/>
      <c r="L1458" s="410"/>
      <c r="M1458" s="410"/>
      <c r="N1458" s="410"/>
      <c r="R1458" s="410"/>
      <c r="S1458" s="410"/>
      <c r="T1458" s="410"/>
      <c r="U1458" s="410"/>
      <c r="V1458" s="410"/>
      <c r="W1458" s="410"/>
      <c r="X1458" s="410"/>
      <c r="Y1458" s="410"/>
    </row>
    <row r="1459" spans="1:25" x14ac:dyDescent="0.2">
      <c r="A1459" s="410"/>
      <c r="B1459" s="410"/>
      <c r="C1459" s="410"/>
      <c r="D1459" s="410"/>
      <c r="E1459" s="410"/>
      <c r="F1459" s="410"/>
      <c r="G1459" s="410"/>
      <c r="H1459" s="410"/>
      <c r="I1459" s="410"/>
      <c r="J1459" s="410"/>
      <c r="K1459" s="410"/>
      <c r="L1459" s="410"/>
      <c r="M1459" s="410"/>
      <c r="N1459" s="410"/>
      <c r="R1459" s="410"/>
      <c r="S1459" s="410"/>
      <c r="T1459" s="410"/>
      <c r="U1459" s="410"/>
      <c r="V1459" s="410"/>
      <c r="W1459" s="410"/>
      <c r="X1459" s="410"/>
      <c r="Y1459" s="410"/>
    </row>
    <row r="1460" spans="1:25" x14ac:dyDescent="0.2">
      <c r="A1460" s="410"/>
      <c r="B1460" s="410"/>
      <c r="C1460" s="410"/>
      <c r="D1460" s="410"/>
      <c r="E1460" s="410"/>
      <c r="F1460" s="410"/>
      <c r="G1460" s="410"/>
      <c r="H1460" s="410"/>
      <c r="I1460" s="410"/>
      <c r="J1460" s="410"/>
      <c r="K1460" s="410"/>
      <c r="L1460" s="410"/>
      <c r="M1460" s="410"/>
      <c r="N1460" s="410"/>
      <c r="R1460" s="410"/>
      <c r="S1460" s="410"/>
      <c r="T1460" s="410"/>
      <c r="U1460" s="410"/>
      <c r="V1460" s="410"/>
      <c r="W1460" s="410"/>
      <c r="X1460" s="410"/>
      <c r="Y1460" s="410"/>
    </row>
    <row r="1461" spans="1:25" x14ac:dyDescent="0.2">
      <c r="A1461" s="410"/>
      <c r="B1461" s="410"/>
      <c r="C1461" s="410"/>
      <c r="D1461" s="410"/>
      <c r="E1461" s="410"/>
      <c r="F1461" s="410"/>
      <c r="G1461" s="410"/>
      <c r="H1461" s="410"/>
      <c r="I1461" s="410"/>
      <c r="J1461" s="410"/>
      <c r="K1461" s="410"/>
      <c r="L1461" s="410"/>
      <c r="M1461" s="410"/>
      <c r="N1461" s="410"/>
      <c r="R1461" s="410"/>
      <c r="S1461" s="410"/>
      <c r="T1461" s="410"/>
      <c r="U1461" s="410"/>
      <c r="V1461" s="410"/>
      <c r="W1461" s="410"/>
      <c r="X1461" s="410"/>
      <c r="Y1461" s="410"/>
    </row>
    <row r="1462" spans="1:25" x14ac:dyDescent="0.2">
      <c r="A1462" s="410"/>
      <c r="B1462" s="410"/>
      <c r="C1462" s="410"/>
      <c r="D1462" s="410"/>
      <c r="E1462" s="410"/>
      <c r="F1462" s="410"/>
      <c r="G1462" s="410"/>
      <c r="H1462" s="410"/>
      <c r="I1462" s="410"/>
      <c r="J1462" s="410"/>
      <c r="K1462" s="410"/>
      <c r="L1462" s="410"/>
      <c r="M1462" s="410"/>
      <c r="N1462" s="410"/>
      <c r="R1462" s="410"/>
      <c r="S1462" s="410"/>
      <c r="T1462" s="410"/>
      <c r="U1462" s="410"/>
      <c r="V1462" s="410"/>
      <c r="W1462" s="410"/>
      <c r="X1462" s="410"/>
      <c r="Y1462" s="410"/>
    </row>
    <row r="1463" spans="1:25" x14ac:dyDescent="0.2">
      <c r="A1463" s="410"/>
      <c r="B1463" s="410"/>
      <c r="C1463" s="410"/>
      <c r="D1463" s="410"/>
      <c r="E1463" s="410"/>
      <c r="F1463" s="410"/>
      <c r="G1463" s="410"/>
      <c r="H1463" s="410"/>
      <c r="I1463" s="410"/>
      <c r="J1463" s="410"/>
      <c r="K1463" s="410"/>
      <c r="L1463" s="410"/>
      <c r="M1463" s="410"/>
      <c r="N1463" s="410"/>
      <c r="R1463" s="410"/>
      <c r="S1463" s="410"/>
      <c r="T1463" s="410"/>
      <c r="U1463" s="410"/>
      <c r="V1463" s="410"/>
      <c r="W1463" s="410"/>
      <c r="X1463" s="410"/>
      <c r="Y1463" s="410"/>
    </row>
    <row r="1464" spans="1:25" x14ac:dyDescent="0.2">
      <c r="A1464" s="410"/>
      <c r="B1464" s="410"/>
      <c r="C1464" s="410"/>
      <c r="D1464" s="410"/>
      <c r="E1464" s="410"/>
      <c r="F1464" s="410"/>
      <c r="G1464" s="410"/>
      <c r="H1464" s="410"/>
      <c r="I1464" s="410"/>
      <c r="J1464" s="410"/>
      <c r="K1464" s="410"/>
      <c r="L1464" s="410"/>
      <c r="M1464" s="410"/>
      <c r="N1464" s="410"/>
      <c r="R1464" s="410"/>
      <c r="S1464" s="410"/>
      <c r="T1464" s="410"/>
      <c r="U1464" s="410"/>
      <c r="V1464" s="410"/>
      <c r="W1464" s="410"/>
      <c r="X1464" s="410"/>
      <c r="Y1464" s="410"/>
    </row>
    <row r="1465" spans="1:25" x14ac:dyDescent="0.2">
      <c r="A1465" s="410"/>
      <c r="B1465" s="410"/>
      <c r="C1465" s="410"/>
      <c r="D1465" s="410"/>
      <c r="E1465" s="410"/>
      <c r="F1465" s="410"/>
      <c r="G1465" s="410"/>
      <c r="H1465" s="410"/>
      <c r="I1465" s="410"/>
      <c r="J1465" s="410"/>
      <c r="K1465" s="410"/>
      <c r="L1465" s="410"/>
      <c r="M1465" s="410"/>
      <c r="N1465" s="410"/>
      <c r="R1465" s="410"/>
      <c r="S1465" s="410"/>
      <c r="T1465" s="410"/>
      <c r="U1465" s="410"/>
      <c r="V1465" s="410"/>
      <c r="W1465" s="410"/>
      <c r="X1465" s="410"/>
      <c r="Y1465" s="410"/>
    </row>
    <row r="1466" spans="1:25" x14ac:dyDescent="0.2">
      <c r="A1466" s="410"/>
      <c r="B1466" s="410"/>
      <c r="C1466" s="410"/>
      <c r="D1466" s="410"/>
      <c r="E1466" s="410"/>
      <c r="F1466" s="410"/>
      <c r="G1466" s="410"/>
      <c r="H1466" s="410"/>
      <c r="I1466" s="410"/>
      <c r="J1466" s="410"/>
      <c r="K1466" s="410"/>
      <c r="L1466" s="410"/>
      <c r="M1466" s="410"/>
      <c r="N1466" s="410"/>
      <c r="R1466" s="410"/>
      <c r="S1466" s="410"/>
      <c r="T1466" s="410"/>
      <c r="U1466" s="410"/>
      <c r="V1466" s="410"/>
      <c r="W1466" s="410"/>
      <c r="X1466" s="410"/>
      <c r="Y1466" s="410"/>
    </row>
    <row r="1467" spans="1:25" x14ac:dyDescent="0.2">
      <c r="A1467" s="410"/>
      <c r="B1467" s="410"/>
      <c r="C1467" s="410"/>
      <c r="D1467" s="410"/>
      <c r="E1467" s="410"/>
      <c r="F1467" s="410"/>
      <c r="G1467" s="410"/>
      <c r="H1467" s="410"/>
      <c r="I1467" s="410"/>
      <c r="J1467" s="410"/>
      <c r="K1467" s="410"/>
      <c r="L1467" s="410"/>
      <c r="M1467" s="410"/>
      <c r="N1467" s="410"/>
      <c r="R1467" s="410"/>
      <c r="S1467" s="410"/>
      <c r="T1467" s="410"/>
      <c r="U1467" s="410"/>
      <c r="V1467" s="410"/>
      <c r="W1467" s="410"/>
      <c r="X1467" s="410"/>
      <c r="Y1467" s="410"/>
    </row>
    <row r="1468" spans="1:25" x14ac:dyDescent="0.2">
      <c r="A1468" s="410"/>
      <c r="B1468" s="410"/>
      <c r="C1468" s="410"/>
      <c r="D1468" s="410"/>
      <c r="E1468" s="410"/>
      <c r="F1468" s="410"/>
      <c r="G1468" s="410"/>
      <c r="H1468" s="410"/>
      <c r="I1468" s="410"/>
      <c r="J1468" s="410"/>
      <c r="K1468" s="410"/>
      <c r="L1468" s="410"/>
      <c r="M1468" s="410"/>
      <c r="N1468" s="410"/>
      <c r="R1468" s="410"/>
      <c r="S1468" s="410"/>
      <c r="T1468" s="410"/>
      <c r="U1468" s="410"/>
      <c r="V1468" s="410"/>
      <c r="W1468" s="410"/>
      <c r="X1468" s="410"/>
      <c r="Y1468" s="410"/>
    </row>
    <row r="1469" spans="1:25" x14ac:dyDescent="0.2">
      <c r="A1469" s="410"/>
      <c r="B1469" s="410"/>
      <c r="C1469" s="410"/>
      <c r="D1469" s="410"/>
      <c r="E1469" s="410"/>
      <c r="F1469" s="410"/>
      <c r="G1469" s="410"/>
      <c r="H1469" s="410"/>
      <c r="I1469" s="410"/>
      <c r="J1469" s="410"/>
      <c r="K1469" s="410"/>
      <c r="L1469" s="410"/>
      <c r="M1469" s="410"/>
      <c r="N1469" s="410"/>
      <c r="R1469" s="410"/>
      <c r="S1469" s="410"/>
      <c r="T1469" s="410"/>
      <c r="U1469" s="410"/>
      <c r="V1469" s="410"/>
      <c r="W1469" s="410"/>
      <c r="X1469" s="410"/>
      <c r="Y1469" s="410"/>
    </row>
    <row r="1470" spans="1:25" x14ac:dyDescent="0.2">
      <c r="A1470" s="410"/>
      <c r="B1470" s="410"/>
      <c r="C1470" s="410"/>
      <c r="D1470" s="410"/>
      <c r="E1470" s="410"/>
      <c r="F1470" s="410"/>
      <c r="G1470" s="410"/>
      <c r="H1470" s="410"/>
      <c r="I1470" s="410"/>
      <c r="J1470" s="410"/>
      <c r="K1470" s="410"/>
      <c r="L1470" s="410"/>
      <c r="M1470" s="410"/>
      <c r="N1470" s="410"/>
      <c r="R1470" s="410"/>
      <c r="S1470" s="410"/>
      <c r="T1470" s="410"/>
      <c r="U1470" s="410"/>
      <c r="V1470" s="410"/>
      <c r="W1470" s="410"/>
      <c r="X1470" s="410"/>
      <c r="Y1470" s="410"/>
    </row>
    <row r="1471" spans="1:25" x14ac:dyDescent="0.2">
      <c r="A1471" s="410"/>
      <c r="B1471" s="410"/>
      <c r="C1471" s="410"/>
      <c r="D1471" s="410"/>
      <c r="E1471" s="410"/>
      <c r="F1471" s="410"/>
      <c r="G1471" s="410"/>
      <c r="H1471" s="410"/>
      <c r="I1471" s="410"/>
      <c r="J1471" s="410"/>
      <c r="K1471" s="410"/>
      <c r="L1471" s="410"/>
      <c r="M1471" s="410"/>
      <c r="N1471" s="410"/>
      <c r="R1471" s="410"/>
      <c r="S1471" s="410"/>
      <c r="T1471" s="410"/>
      <c r="U1471" s="410"/>
      <c r="V1471" s="410"/>
      <c r="W1471" s="410"/>
      <c r="X1471" s="410"/>
      <c r="Y1471" s="410"/>
    </row>
    <row r="1472" spans="1:25" x14ac:dyDescent="0.2">
      <c r="A1472" s="410"/>
      <c r="B1472" s="410"/>
      <c r="C1472" s="410"/>
      <c r="D1472" s="410"/>
      <c r="E1472" s="410"/>
      <c r="F1472" s="410"/>
      <c r="G1472" s="410"/>
      <c r="H1472" s="410"/>
      <c r="I1472" s="410"/>
      <c r="J1472" s="410"/>
      <c r="K1472" s="410"/>
      <c r="L1472" s="410"/>
      <c r="M1472" s="410"/>
      <c r="N1472" s="410"/>
      <c r="R1472" s="410"/>
      <c r="S1472" s="410"/>
      <c r="T1472" s="410"/>
      <c r="U1472" s="410"/>
      <c r="V1472" s="410"/>
      <c r="W1472" s="410"/>
      <c r="X1472" s="410"/>
      <c r="Y1472" s="410"/>
    </row>
    <row r="1473" spans="1:25" x14ac:dyDescent="0.2">
      <c r="A1473" s="410"/>
      <c r="B1473" s="410"/>
      <c r="C1473" s="410"/>
      <c r="D1473" s="410"/>
      <c r="E1473" s="410"/>
      <c r="F1473" s="410"/>
      <c r="G1473" s="410"/>
      <c r="H1473" s="410"/>
      <c r="I1473" s="410"/>
      <c r="J1473" s="410"/>
      <c r="K1473" s="410"/>
      <c r="L1473" s="410"/>
      <c r="M1473" s="410"/>
      <c r="N1473" s="410"/>
      <c r="R1473" s="410"/>
      <c r="S1473" s="410"/>
      <c r="T1473" s="410"/>
      <c r="U1473" s="410"/>
      <c r="V1473" s="410"/>
      <c r="W1473" s="410"/>
      <c r="X1473" s="410"/>
      <c r="Y1473" s="410"/>
    </row>
    <row r="1474" spans="1:25" x14ac:dyDescent="0.2">
      <c r="A1474" s="410"/>
      <c r="B1474" s="410"/>
      <c r="C1474" s="410"/>
      <c r="D1474" s="410"/>
      <c r="E1474" s="410"/>
      <c r="F1474" s="410"/>
      <c r="G1474" s="410"/>
      <c r="H1474" s="410"/>
      <c r="I1474" s="410"/>
      <c r="J1474" s="410"/>
      <c r="K1474" s="410"/>
      <c r="L1474" s="410"/>
      <c r="M1474" s="410"/>
      <c r="N1474" s="410"/>
      <c r="R1474" s="410"/>
      <c r="S1474" s="410"/>
      <c r="T1474" s="410"/>
      <c r="U1474" s="410"/>
      <c r="V1474" s="410"/>
      <c r="W1474" s="410"/>
      <c r="X1474" s="410"/>
      <c r="Y1474" s="410"/>
    </row>
    <row r="1475" spans="1:25" x14ac:dyDescent="0.2">
      <c r="A1475" s="410"/>
      <c r="B1475" s="410"/>
      <c r="C1475" s="410"/>
      <c r="D1475" s="410"/>
      <c r="E1475" s="410"/>
      <c r="F1475" s="410"/>
      <c r="G1475" s="410"/>
      <c r="H1475" s="410"/>
      <c r="I1475" s="410"/>
      <c r="J1475" s="410"/>
      <c r="K1475" s="410"/>
      <c r="L1475" s="410"/>
      <c r="M1475" s="410"/>
      <c r="N1475" s="410"/>
      <c r="R1475" s="410"/>
      <c r="S1475" s="410"/>
      <c r="T1475" s="410"/>
      <c r="U1475" s="410"/>
      <c r="V1475" s="410"/>
      <c r="W1475" s="410"/>
      <c r="X1475" s="410"/>
      <c r="Y1475" s="410"/>
    </row>
    <row r="1476" spans="1:25" x14ac:dyDescent="0.2">
      <c r="A1476" s="410"/>
      <c r="B1476" s="410"/>
      <c r="C1476" s="410"/>
      <c r="D1476" s="410"/>
      <c r="E1476" s="410"/>
      <c r="F1476" s="410"/>
      <c r="G1476" s="410"/>
      <c r="H1476" s="410"/>
      <c r="I1476" s="410"/>
      <c r="J1476" s="410"/>
      <c r="K1476" s="410"/>
      <c r="L1476" s="410"/>
      <c r="M1476" s="410"/>
      <c r="N1476" s="410"/>
      <c r="R1476" s="410"/>
      <c r="S1476" s="410"/>
      <c r="T1476" s="410"/>
      <c r="U1476" s="410"/>
      <c r="V1476" s="410"/>
      <c r="W1476" s="410"/>
      <c r="X1476" s="410"/>
      <c r="Y1476" s="410"/>
    </row>
    <row r="1477" spans="1:25" x14ac:dyDescent="0.2">
      <c r="A1477" s="410"/>
      <c r="B1477" s="410"/>
      <c r="C1477" s="410"/>
      <c r="D1477" s="410"/>
      <c r="E1477" s="410"/>
      <c r="F1477" s="410"/>
      <c r="G1477" s="410"/>
      <c r="H1477" s="410"/>
      <c r="I1477" s="410"/>
      <c r="J1477" s="410"/>
      <c r="K1477" s="410"/>
      <c r="L1477" s="410"/>
      <c r="M1477" s="410"/>
      <c r="N1477" s="410"/>
      <c r="R1477" s="410"/>
      <c r="S1477" s="410"/>
      <c r="T1477" s="410"/>
      <c r="U1477" s="410"/>
      <c r="V1477" s="410"/>
      <c r="W1477" s="410"/>
      <c r="X1477" s="410"/>
      <c r="Y1477" s="410"/>
    </row>
    <row r="1478" spans="1:25" x14ac:dyDescent="0.2">
      <c r="A1478" s="410"/>
      <c r="B1478" s="410"/>
      <c r="C1478" s="410"/>
      <c r="D1478" s="410"/>
      <c r="E1478" s="410"/>
      <c r="F1478" s="410"/>
      <c r="G1478" s="410"/>
      <c r="H1478" s="410"/>
      <c r="I1478" s="410"/>
      <c r="J1478" s="410"/>
      <c r="K1478" s="410"/>
      <c r="L1478" s="410"/>
      <c r="M1478" s="410"/>
      <c r="N1478" s="410"/>
      <c r="R1478" s="410"/>
      <c r="S1478" s="410"/>
      <c r="T1478" s="410"/>
      <c r="U1478" s="410"/>
      <c r="V1478" s="410"/>
      <c r="W1478" s="410"/>
      <c r="X1478" s="410"/>
      <c r="Y1478" s="410"/>
    </row>
    <row r="1479" spans="1:25" x14ac:dyDescent="0.2">
      <c r="A1479" s="410"/>
      <c r="B1479" s="410"/>
      <c r="C1479" s="410"/>
      <c r="D1479" s="410"/>
      <c r="E1479" s="410"/>
      <c r="F1479" s="410"/>
      <c r="G1479" s="410"/>
      <c r="H1479" s="410"/>
      <c r="I1479" s="410"/>
      <c r="J1479" s="410"/>
      <c r="K1479" s="410"/>
      <c r="L1479" s="410"/>
      <c r="M1479" s="410"/>
      <c r="N1479" s="410"/>
      <c r="R1479" s="410"/>
      <c r="S1479" s="410"/>
      <c r="T1479" s="410"/>
      <c r="U1479" s="410"/>
      <c r="V1479" s="410"/>
      <c r="W1479" s="410"/>
      <c r="X1479" s="410"/>
      <c r="Y1479" s="410"/>
    </row>
    <row r="1480" spans="1:25" x14ac:dyDescent="0.2">
      <c r="A1480" s="410"/>
      <c r="B1480" s="410"/>
      <c r="C1480" s="410"/>
      <c r="D1480" s="410"/>
      <c r="E1480" s="410"/>
      <c r="F1480" s="410"/>
      <c r="G1480" s="410"/>
      <c r="H1480" s="410"/>
      <c r="I1480" s="410"/>
      <c r="J1480" s="410"/>
      <c r="K1480" s="410"/>
      <c r="L1480" s="410"/>
      <c r="M1480" s="410"/>
      <c r="N1480" s="410"/>
      <c r="R1480" s="410"/>
      <c r="S1480" s="410"/>
      <c r="T1480" s="410"/>
      <c r="U1480" s="410"/>
      <c r="V1480" s="410"/>
      <c r="W1480" s="410"/>
      <c r="X1480" s="410"/>
      <c r="Y1480" s="410"/>
    </row>
    <row r="1481" spans="1:25" x14ac:dyDescent="0.2">
      <c r="A1481" s="410"/>
      <c r="B1481" s="410"/>
      <c r="C1481" s="410"/>
      <c r="D1481" s="410"/>
      <c r="E1481" s="410"/>
      <c r="F1481" s="410"/>
      <c r="G1481" s="410"/>
      <c r="H1481" s="410"/>
      <c r="I1481" s="410"/>
      <c r="J1481" s="410"/>
      <c r="K1481" s="410"/>
      <c r="L1481" s="410"/>
      <c r="M1481" s="410"/>
      <c r="N1481" s="410"/>
      <c r="R1481" s="410"/>
      <c r="S1481" s="410"/>
      <c r="T1481" s="410"/>
      <c r="U1481" s="410"/>
      <c r="V1481" s="410"/>
      <c r="W1481" s="410"/>
      <c r="X1481" s="410"/>
      <c r="Y1481" s="410"/>
    </row>
    <row r="1482" spans="1:25" x14ac:dyDescent="0.2">
      <c r="A1482" s="410"/>
      <c r="B1482" s="410"/>
      <c r="C1482" s="410"/>
      <c r="D1482" s="410"/>
      <c r="E1482" s="410"/>
      <c r="F1482" s="410"/>
      <c r="G1482" s="410"/>
      <c r="H1482" s="410"/>
      <c r="I1482" s="410"/>
      <c r="J1482" s="410"/>
      <c r="K1482" s="410"/>
      <c r="L1482" s="410"/>
      <c r="M1482" s="410"/>
      <c r="N1482" s="410"/>
      <c r="R1482" s="410"/>
      <c r="S1482" s="410"/>
      <c r="T1482" s="410"/>
      <c r="U1482" s="410"/>
      <c r="V1482" s="410"/>
      <c r="W1482" s="410"/>
      <c r="X1482" s="410"/>
      <c r="Y1482" s="410"/>
    </row>
    <row r="1483" spans="1:25" x14ac:dyDescent="0.2">
      <c r="A1483" s="410"/>
      <c r="B1483" s="410"/>
      <c r="C1483" s="410"/>
      <c r="D1483" s="410"/>
      <c r="E1483" s="410"/>
      <c r="F1483" s="410"/>
      <c r="G1483" s="410"/>
      <c r="H1483" s="410"/>
      <c r="I1483" s="410"/>
      <c r="J1483" s="410"/>
      <c r="K1483" s="410"/>
      <c r="L1483" s="410"/>
      <c r="M1483" s="410"/>
      <c r="N1483" s="410"/>
      <c r="R1483" s="410"/>
      <c r="S1483" s="410"/>
      <c r="T1483" s="410"/>
      <c r="U1483" s="410"/>
      <c r="V1483" s="410"/>
      <c r="W1483" s="410"/>
      <c r="X1483" s="410"/>
      <c r="Y1483" s="410"/>
    </row>
    <row r="1484" spans="1:25" x14ac:dyDescent="0.2">
      <c r="A1484" s="410"/>
      <c r="B1484" s="410"/>
      <c r="C1484" s="410"/>
      <c r="D1484" s="410"/>
      <c r="E1484" s="410"/>
      <c r="F1484" s="410"/>
      <c r="G1484" s="410"/>
      <c r="H1484" s="410"/>
      <c r="I1484" s="410"/>
      <c r="J1484" s="410"/>
      <c r="K1484" s="410"/>
      <c r="L1484" s="410"/>
      <c r="M1484" s="410"/>
      <c r="N1484" s="410"/>
      <c r="R1484" s="410"/>
      <c r="S1484" s="410"/>
      <c r="T1484" s="410"/>
      <c r="U1484" s="410"/>
      <c r="V1484" s="410"/>
      <c r="W1484" s="410"/>
      <c r="X1484" s="410"/>
      <c r="Y1484" s="410"/>
    </row>
    <row r="1485" spans="1:25" x14ac:dyDescent="0.2">
      <c r="A1485" s="410"/>
      <c r="B1485" s="410"/>
      <c r="C1485" s="410"/>
      <c r="D1485" s="410"/>
      <c r="E1485" s="410"/>
      <c r="F1485" s="410"/>
      <c r="G1485" s="410"/>
      <c r="H1485" s="410"/>
      <c r="I1485" s="410"/>
      <c r="J1485" s="410"/>
      <c r="K1485" s="410"/>
      <c r="L1485" s="410"/>
      <c r="M1485" s="410"/>
      <c r="N1485" s="410"/>
      <c r="R1485" s="410"/>
      <c r="S1485" s="410"/>
      <c r="T1485" s="410"/>
      <c r="U1485" s="410"/>
      <c r="V1485" s="410"/>
      <c r="W1485" s="410"/>
      <c r="X1485" s="410"/>
      <c r="Y1485" s="410"/>
    </row>
    <row r="1486" spans="1:25" x14ac:dyDescent="0.2">
      <c r="A1486" s="410"/>
      <c r="B1486" s="410"/>
      <c r="C1486" s="410"/>
      <c r="D1486" s="410"/>
      <c r="E1486" s="410"/>
      <c r="F1486" s="410"/>
      <c r="G1486" s="410"/>
      <c r="H1486" s="410"/>
      <c r="I1486" s="410"/>
      <c r="J1486" s="410"/>
      <c r="K1486" s="410"/>
      <c r="L1486" s="410"/>
      <c r="M1486" s="410"/>
      <c r="N1486" s="410"/>
      <c r="R1486" s="410"/>
      <c r="S1486" s="410"/>
      <c r="T1486" s="410"/>
      <c r="U1486" s="410"/>
      <c r="V1486" s="410"/>
      <c r="W1486" s="410"/>
      <c r="X1486" s="410"/>
      <c r="Y1486" s="410"/>
    </row>
    <row r="1487" spans="1:25" x14ac:dyDescent="0.2">
      <c r="A1487" s="410"/>
      <c r="B1487" s="410"/>
      <c r="C1487" s="410"/>
      <c r="D1487" s="410"/>
      <c r="E1487" s="410"/>
      <c r="F1487" s="410"/>
      <c r="G1487" s="410"/>
      <c r="H1487" s="410"/>
      <c r="I1487" s="410"/>
      <c r="J1487" s="410"/>
      <c r="K1487" s="410"/>
      <c r="L1487" s="410"/>
      <c r="M1487" s="410"/>
      <c r="N1487" s="410"/>
      <c r="R1487" s="410"/>
      <c r="S1487" s="410"/>
      <c r="T1487" s="410"/>
      <c r="U1487" s="410"/>
      <c r="V1487" s="410"/>
      <c r="W1487" s="410"/>
      <c r="X1487" s="410"/>
      <c r="Y1487" s="410"/>
    </row>
    <row r="1488" spans="1:25" x14ac:dyDescent="0.2">
      <c r="A1488" s="410"/>
      <c r="B1488" s="410"/>
      <c r="C1488" s="410"/>
      <c r="D1488" s="410"/>
      <c r="E1488" s="410"/>
      <c r="F1488" s="410"/>
      <c r="G1488" s="410"/>
      <c r="H1488" s="410"/>
      <c r="I1488" s="410"/>
      <c r="J1488" s="410"/>
      <c r="K1488" s="410"/>
      <c r="L1488" s="410"/>
      <c r="M1488" s="410"/>
      <c r="N1488" s="410"/>
      <c r="R1488" s="410"/>
      <c r="S1488" s="410"/>
      <c r="T1488" s="410"/>
      <c r="U1488" s="410"/>
      <c r="V1488" s="410"/>
      <c r="W1488" s="410"/>
      <c r="X1488" s="410"/>
      <c r="Y1488" s="410"/>
    </row>
    <row r="1489" spans="1:25" x14ac:dyDescent="0.2">
      <c r="A1489" s="410"/>
      <c r="B1489" s="410"/>
      <c r="C1489" s="410"/>
      <c r="D1489" s="410"/>
      <c r="E1489" s="410"/>
      <c r="F1489" s="410"/>
      <c r="G1489" s="410"/>
      <c r="H1489" s="410"/>
      <c r="I1489" s="410"/>
      <c r="J1489" s="410"/>
      <c r="K1489" s="410"/>
      <c r="L1489" s="410"/>
      <c r="M1489" s="410"/>
      <c r="N1489" s="410"/>
      <c r="R1489" s="410"/>
      <c r="S1489" s="410"/>
      <c r="T1489" s="410"/>
      <c r="U1489" s="410"/>
      <c r="V1489" s="410"/>
      <c r="W1489" s="410"/>
      <c r="X1489" s="410"/>
      <c r="Y1489" s="410"/>
    </row>
    <row r="1490" spans="1:25" x14ac:dyDescent="0.2">
      <c r="A1490" s="410"/>
      <c r="B1490" s="410"/>
      <c r="C1490" s="410"/>
      <c r="D1490" s="410"/>
      <c r="E1490" s="410"/>
      <c r="F1490" s="410"/>
      <c r="G1490" s="410"/>
      <c r="H1490" s="410"/>
      <c r="I1490" s="410"/>
      <c r="J1490" s="410"/>
      <c r="K1490" s="410"/>
      <c r="L1490" s="410"/>
      <c r="M1490" s="410"/>
      <c r="N1490" s="410"/>
      <c r="R1490" s="410"/>
      <c r="S1490" s="410"/>
      <c r="T1490" s="410"/>
      <c r="U1490" s="410"/>
      <c r="V1490" s="410"/>
      <c r="W1490" s="410"/>
      <c r="X1490" s="410"/>
      <c r="Y1490" s="410"/>
    </row>
    <row r="1491" spans="1:25" x14ac:dyDescent="0.2">
      <c r="A1491" s="410"/>
      <c r="B1491" s="410"/>
      <c r="C1491" s="410"/>
      <c r="D1491" s="410"/>
      <c r="E1491" s="410"/>
      <c r="F1491" s="410"/>
      <c r="G1491" s="410"/>
      <c r="H1491" s="410"/>
      <c r="I1491" s="410"/>
      <c r="J1491" s="410"/>
      <c r="K1491" s="410"/>
      <c r="L1491" s="410"/>
      <c r="M1491" s="410"/>
      <c r="N1491" s="410"/>
      <c r="R1491" s="410"/>
      <c r="S1491" s="410"/>
      <c r="T1491" s="410"/>
      <c r="U1491" s="410"/>
      <c r="V1491" s="410"/>
      <c r="W1491" s="410"/>
      <c r="X1491" s="410"/>
      <c r="Y1491" s="410"/>
    </row>
    <row r="1492" spans="1:25" x14ac:dyDescent="0.2">
      <c r="A1492" s="410"/>
      <c r="B1492" s="410"/>
      <c r="C1492" s="410"/>
      <c r="D1492" s="410"/>
      <c r="E1492" s="410"/>
      <c r="F1492" s="410"/>
      <c r="G1492" s="410"/>
      <c r="H1492" s="410"/>
      <c r="I1492" s="410"/>
      <c r="J1492" s="410"/>
      <c r="K1492" s="410"/>
      <c r="L1492" s="410"/>
      <c r="M1492" s="410"/>
      <c r="N1492" s="410"/>
      <c r="R1492" s="410"/>
      <c r="S1492" s="410"/>
      <c r="T1492" s="410"/>
      <c r="U1492" s="410"/>
      <c r="V1492" s="410"/>
      <c r="W1492" s="410"/>
      <c r="X1492" s="410"/>
      <c r="Y1492" s="410"/>
    </row>
    <row r="1493" spans="1:25" x14ac:dyDescent="0.2">
      <c r="A1493" s="410"/>
      <c r="B1493" s="410"/>
      <c r="C1493" s="410"/>
      <c r="D1493" s="410"/>
      <c r="E1493" s="410"/>
      <c r="F1493" s="410"/>
      <c r="G1493" s="410"/>
      <c r="H1493" s="410"/>
      <c r="I1493" s="410"/>
      <c r="J1493" s="410"/>
      <c r="K1493" s="410"/>
      <c r="L1493" s="410"/>
      <c r="M1493" s="410"/>
      <c r="N1493" s="410"/>
      <c r="R1493" s="410"/>
      <c r="S1493" s="410"/>
      <c r="T1493" s="410"/>
      <c r="U1493" s="410"/>
      <c r="V1493" s="410"/>
      <c r="W1493" s="410"/>
      <c r="X1493" s="410"/>
      <c r="Y1493" s="410"/>
    </row>
    <row r="1494" spans="1:25" x14ac:dyDescent="0.2">
      <c r="A1494" s="410"/>
      <c r="B1494" s="410"/>
      <c r="C1494" s="410"/>
      <c r="D1494" s="410"/>
      <c r="E1494" s="410"/>
      <c r="F1494" s="410"/>
      <c r="G1494" s="410"/>
      <c r="H1494" s="410"/>
      <c r="I1494" s="410"/>
      <c r="J1494" s="410"/>
      <c r="K1494" s="410"/>
      <c r="L1494" s="410"/>
      <c r="M1494" s="410"/>
      <c r="N1494" s="410"/>
      <c r="R1494" s="410"/>
      <c r="S1494" s="410"/>
      <c r="T1494" s="410"/>
      <c r="U1494" s="410"/>
      <c r="V1494" s="410"/>
      <c r="W1494" s="410"/>
      <c r="X1494" s="410"/>
      <c r="Y1494" s="410"/>
    </row>
    <row r="1495" spans="1:25" x14ac:dyDescent="0.2">
      <c r="A1495" s="410"/>
      <c r="B1495" s="410"/>
      <c r="C1495" s="410"/>
      <c r="D1495" s="410"/>
      <c r="E1495" s="410"/>
      <c r="F1495" s="410"/>
      <c r="G1495" s="410"/>
      <c r="H1495" s="410"/>
      <c r="I1495" s="410"/>
      <c r="J1495" s="410"/>
      <c r="K1495" s="410"/>
      <c r="L1495" s="410"/>
      <c r="M1495" s="410"/>
      <c r="N1495" s="410"/>
      <c r="R1495" s="410"/>
      <c r="S1495" s="410"/>
      <c r="T1495" s="410"/>
      <c r="U1495" s="410"/>
      <c r="V1495" s="410"/>
      <c r="W1495" s="410"/>
      <c r="X1495" s="410"/>
      <c r="Y1495" s="410"/>
    </row>
    <row r="1496" spans="1:25" x14ac:dyDescent="0.2">
      <c r="A1496" s="410"/>
      <c r="B1496" s="410"/>
      <c r="C1496" s="410"/>
      <c r="D1496" s="410"/>
      <c r="E1496" s="410"/>
      <c r="F1496" s="410"/>
      <c r="G1496" s="410"/>
      <c r="H1496" s="410"/>
      <c r="I1496" s="410"/>
      <c r="J1496" s="410"/>
      <c r="K1496" s="410"/>
      <c r="L1496" s="410"/>
      <c r="M1496" s="410"/>
      <c r="N1496" s="410"/>
      <c r="R1496" s="410"/>
      <c r="S1496" s="410"/>
      <c r="T1496" s="410"/>
      <c r="U1496" s="410"/>
      <c r="V1496" s="410"/>
      <c r="W1496" s="410"/>
      <c r="X1496" s="410"/>
      <c r="Y1496" s="410"/>
    </row>
    <row r="1497" spans="1:25" x14ac:dyDescent="0.2">
      <c r="A1497" s="410"/>
      <c r="B1497" s="410"/>
      <c r="C1497" s="410"/>
      <c r="D1497" s="410"/>
      <c r="E1497" s="410"/>
      <c r="F1497" s="410"/>
      <c r="G1497" s="410"/>
      <c r="H1497" s="410"/>
      <c r="I1497" s="410"/>
      <c r="J1497" s="410"/>
      <c r="K1497" s="410"/>
      <c r="L1497" s="410"/>
      <c r="M1497" s="410"/>
      <c r="N1497" s="410"/>
      <c r="R1497" s="410"/>
      <c r="S1497" s="410"/>
      <c r="T1497" s="410"/>
      <c r="U1497" s="410"/>
      <c r="V1497" s="410"/>
      <c r="W1497" s="410"/>
      <c r="X1497" s="410"/>
      <c r="Y1497" s="410"/>
    </row>
    <row r="1498" spans="1:25" x14ac:dyDescent="0.2">
      <c r="A1498" s="410"/>
      <c r="B1498" s="410"/>
      <c r="C1498" s="410"/>
      <c r="D1498" s="410"/>
      <c r="E1498" s="410"/>
      <c r="F1498" s="410"/>
      <c r="G1498" s="410"/>
      <c r="H1498" s="410"/>
      <c r="I1498" s="410"/>
      <c r="J1498" s="410"/>
      <c r="K1498" s="410"/>
      <c r="L1498" s="410"/>
      <c r="M1498" s="410"/>
      <c r="N1498" s="410"/>
      <c r="R1498" s="410"/>
      <c r="S1498" s="410"/>
      <c r="T1498" s="410"/>
      <c r="U1498" s="410"/>
      <c r="V1498" s="410"/>
      <c r="W1498" s="410"/>
      <c r="X1498" s="410"/>
      <c r="Y1498" s="410"/>
    </row>
    <row r="1499" spans="1:25" x14ac:dyDescent="0.2">
      <c r="A1499" s="410"/>
      <c r="B1499" s="410"/>
      <c r="C1499" s="410"/>
      <c r="D1499" s="410"/>
      <c r="E1499" s="410"/>
      <c r="F1499" s="410"/>
      <c r="G1499" s="410"/>
      <c r="H1499" s="410"/>
      <c r="I1499" s="410"/>
      <c r="J1499" s="410"/>
      <c r="K1499" s="410"/>
      <c r="L1499" s="410"/>
      <c r="M1499" s="410"/>
      <c r="N1499" s="410"/>
      <c r="R1499" s="410"/>
      <c r="S1499" s="410"/>
      <c r="T1499" s="410"/>
      <c r="U1499" s="410"/>
      <c r="V1499" s="410"/>
      <c r="W1499" s="410"/>
      <c r="X1499" s="410"/>
      <c r="Y1499" s="410"/>
    </row>
    <row r="1500" spans="1:25" x14ac:dyDescent="0.2">
      <c r="A1500" s="410"/>
      <c r="B1500" s="410"/>
      <c r="C1500" s="410"/>
      <c r="D1500" s="410"/>
      <c r="E1500" s="410"/>
      <c r="F1500" s="410"/>
      <c r="G1500" s="410"/>
      <c r="H1500" s="410"/>
      <c r="I1500" s="410"/>
      <c r="J1500" s="410"/>
      <c r="K1500" s="410"/>
      <c r="L1500" s="410"/>
      <c r="M1500" s="410"/>
      <c r="N1500" s="410"/>
      <c r="R1500" s="410"/>
      <c r="S1500" s="410"/>
      <c r="T1500" s="410"/>
      <c r="U1500" s="410"/>
      <c r="V1500" s="410"/>
      <c r="W1500" s="410"/>
      <c r="X1500" s="410"/>
      <c r="Y1500" s="410"/>
    </row>
    <row r="1501" spans="1:25" x14ac:dyDescent="0.2">
      <c r="A1501" s="410"/>
      <c r="B1501" s="410"/>
      <c r="C1501" s="410"/>
      <c r="D1501" s="410"/>
      <c r="E1501" s="410"/>
      <c r="F1501" s="410"/>
      <c r="G1501" s="410"/>
      <c r="H1501" s="410"/>
      <c r="I1501" s="410"/>
      <c r="J1501" s="410"/>
      <c r="K1501" s="410"/>
      <c r="L1501" s="410"/>
      <c r="M1501" s="410"/>
      <c r="N1501" s="410"/>
      <c r="R1501" s="410"/>
      <c r="S1501" s="410"/>
      <c r="T1501" s="410"/>
      <c r="U1501" s="410"/>
      <c r="V1501" s="410"/>
      <c r="W1501" s="410"/>
      <c r="X1501" s="410"/>
      <c r="Y1501" s="410"/>
    </row>
    <row r="1502" spans="1:25" x14ac:dyDescent="0.2">
      <c r="A1502" s="410"/>
      <c r="B1502" s="410"/>
      <c r="C1502" s="410"/>
      <c r="D1502" s="410"/>
      <c r="E1502" s="410"/>
      <c r="F1502" s="410"/>
      <c r="G1502" s="410"/>
      <c r="H1502" s="410"/>
      <c r="I1502" s="410"/>
      <c r="J1502" s="410"/>
      <c r="K1502" s="410"/>
      <c r="L1502" s="410"/>
      <c r="M1502" s="410"/>
      <c r="N1502" s="410"/>
      <c r="R1502" s="410"/>
      <c r="S1502" s="410"/>
      <c r="T1502" s="410"/>
      <c r="U1502" s="410"/>
      <c r="V1502" s="410"/>
      <c r="W1502" s="410"/>
      <c r="X1502" s="410"/>
      <c r="Y1502" s="410"/>
    </row>
    <row r="1503" spans="1:25" x14ac:dyDescent="0.2">
      <c r="A1503" s="410"/>
      <c r="B1503" s="410"/>
      <c r="C1503" s="410"/>
      <c r="D1503" s="410"/>
      <c r="E1503" s="410"/>
      <c r="F1503" s="410"/>
      <c r="G1503" s="410"/>
      <c r="H1503" s="410"/>
      <c r="I1503" s="410"/>
      <c r="J1503" s="410"/>
      <c r="K1503" s="410"/>
      <c r="L1503" s="410"/>
      <c r="M1503" s="410"/>
      <c r="N1503" s="410"/>
      <c r="R1503" s="410"/>
      <c r="S1503" s="410"/>
      <c r="T1503" s="410"/>
      <c r="U1503" s="410"/>
      <c r="V1503" s="410"/>
      <c r="W1503" s="410"/>
      <c r="X1503" s="410"/>
      <c r="Y1503" s="410"/>
    </row>
    <row r="1504" spans="1:25" x14ac:dyDescent="0.2">
      <c r="A1504" s="410"/>
      <c r="B1504" s="410"/>
      <c r="C1504" s="410"/>
      <c r="D1504" s="410"/>
      <c r="E1504" s="410"/>
      <c r="F1504" s="410"/>
      <c r="G1504" s="410"/>
      <c r="H1504" s="410"/>
      <c r="I1504" s="410"/>
      <c r="J1504" s="410"/>
      <c r="K1504" s="410"/>
      <c r="L1504" s="410"/>
      <c r="M1504" s="410"/>
      <c r="N1504" s="410"/>
      <c r="R1504" s="410"/>
      <c r="S1504" s="410"/>
      <c r="T1504" s="410"/>
      <c r="U1504" s="410"/>
      <c r="V1504" s="410"/>
      <c r="W1504" s="410"/>
      <c r="X1504" s="410"/>
      <c r="Y1504" s="410"/>
    </row>
    <row r="1505" spans="1:25" x14ac:dyDescent="0.2">
      <c r="A1505" s="410"/>
      <c r="B1505" s="410"/>
      <c r="C1505" s="410"/>
      <c r="D1505" s="410"/>
      <c r="E1505" s="410"/>
      <c r="F1505" s="410"/>
      <c r="G1505" s="410"/>
      <c r="H1505" s="410"/>
      <c r="I1505" s="410"/>
      <c r="J1505" s="410"/>
      <c r="K1505" s="410"/>
      <c r="L1505" s="410"/>
      <c r="M1505" s="410"/>
      <c r="N1505" s="410"/>
      <c r="R1505" s="410"/>
      <c r="S1505" s="410"/>
      <c r="T1505" s="410"/>
      <c r="U1505" s="410"/>
      <c r="V1505" s="410"/>
      <c r="W1505" s="410"/>
      <c r="X1505" s="410"/>
      <c r="Y1505" s="410"/>
    </row>
    <row r="1506" spans="1:25" x14ac:dyDescent="0.2">
      <c r="A1506" s="410"/>
      <c r="B1506" s="410"/>
      <c r="C1506" s="410"/>
      <c r="D1506" s="410"/>
      <c r="E1506" s="410"/>
      <c r="F1506" s="410"/>
      <c r="G1506" s="410"/>
      <c r="H1506" s="410"/>
      <c r="I1506" s="410"/>
      <c r="J1506" s="410"/>
      <c r="K1506" s="410"/>
      <c r="L1506" s="410"/>
      <c r="M1506" s="410"/>
      <c r="N1506" s="410"/>
      <c r="R1506" s="410"/>
      <c r="S1506" s="410"/>
      <c r="T1506" s="410"/>
      <c r="U1506" s="410"/>
      <c r="V1506" s="410"/>
      <c r="W1506" s="410"/>
      <c r="X1506" s="410"/>
      <c r="Y1506" s="410"/>
    </row>
    <row r="1507" spans="1:25" x14ac:dyDescent="0.2">
      <c r="A1507" s="410"/>
      <c r="B1507" s="410"/>
      <c r="C1507" s="410"/>
      <c r="D1507" s="410"/>
      <c r="E1507" s="410"/>
      <c r="F1507" s="410"/>
      <c r="G1507" s="410"/>
      <c r="H1507" s="410"/>
      <c r="I1507" s="410"/>
      <c r="J1507" s="410"/>
      <c r="K1507" s="410"/>
      <c r="L1507" s="410"/>
      <c r="M1507" s="410"/>
      <c r="N1507" s="410"/>
      <c r="R1507" s="410"/>
      <c r="S1507" s="410"/>
      <c r="T1507" s="410"/>
      <c r="U1507" s="410"/>
      <c r="V1507" s="410"/>
      <c r="W1507" s="410"/>
      <c r="X1507" s="410"/>
      <c r="Y1507" s="410"/>
    </row>
    <row r="1508" spans="1:25" x14ac:dyDescent="0.2">
      <c r="A1508" s="410"/>
      <c r="B1508" s="410"/>
      <c r="C1508" s="410"/>
      <c r="D1508" s="410"/>
      <c r="E1508" s="410"/>
      <c r="F1508" s="410"/>
      <c r="G1508" s="410"/>
      <c r="H1508" s="410"/>
      <c r="I1508" s="410"/>
      <c r="J1508" s="410"/>
      <c r="K1508" s="410"/>
      <c r="L1508" s="410"/>
      <c r="M1508" s="410"/>
      <c r="N1508" s="410"/>
      <c r="R1508" s="410"/>
      <c r="S1508" s="410"/>
      <c r="T1508" s="410"/>
      <c r="U1508" s="410"/>
      <c r="V1508" s="410"/>
      <c r="W1508" s="410"/>
      <c r="X1508" s="410"/>
      <c r="Y1508" s="410"/>
    </row>
    <row r="1509" spans="1:25" x14ac:dyDescent="0.2">
      <c r="A1509" s="410"/>
      <c r="B1509" s="410"/>
      <c r="C1509" s="410"/>
      <c r="D1509" s="410"/>
      <c r="E1509" s="410"/>
      <c r="F1509" s="410"/>
      <c r="G1509" s="410"/>
      <c r="H1509" s="410"/>
      <c r="I1509" s="410"/>
      <c r="J1509" s="410"/>
      <c r="K1509" s="410"/>
      <c r="L1509" s="410"/>
      <c r="M1509" s="410"/>
      <c r="N1509" s="410"/>
      <c r="R1509" s="410"/>
      <c r="S1509" s="410"/>
      <c r="T1509" s="410"/>
      <c r="U1509" s="410"/>
      <c r="V1509" s="410"/>
      <c r="W1509" s="410"/>
      <c r="X1509" s="410"/>
      <c r="Y1509" s="410"/>
    </row>
    <row r="1510" spans="1:25" x14ac:dyDescent="0.2">
      <c r="A1510" s="410"/>
      <c r="B1510" s="410"/>
      <c r="C1510" s="410"/>
      <c r="D1510" s="410"/>
      <c r="E1510" s="410"/>
      <c r="F1510" s="410"/>
      <c r="G1510" s="410"/>
      <c r="H1510" s="410"/>
      <c r="I1510" s="410"/>
      <c r="J1510" s="410"/>
      <c r="K1510" s="410"/>
      <c r="L1510" s="410"/>
      <c r="M1510" s="410"/>
      <c r="N1510" s="410"/>
      <c r="R1510" s="410"/>
      <c r="S1510" s="410"/>
      <c r="T1510" s="410"/>
      <c r="U1510" s="410"/>
      <c r="V1510" s="410"/>
      <c r="W1510" s="410"/>
      <c r="X1510" s="410"/>
      <c r="Y1510" s="410"/>
    </row>
    <row r="1511" spans="1:25" x14ac:dyDescent="0.2">
      <c r="A1511" s="410"/>
      <c r="B1511" s="410"/>
      <c r="C1511" s="410"/>
      <c r="D1511" s="410"/>
      <c r="E1511" s="410"/>
      <c r="F1511" s="410"/>
      <c r="G1511" s="410"/>
      <c r="H1511" s="410"/>
      <c r="I1511" s="410"/>
      <c r="J1511" s="410"/>
      <c r="K1511" s="410"/>
      <c r="L1511" s="410"/>
      <c r="M1511" s="410"/>
      <c r="N1511" s="410"/>
      <c r="R1511" s="410"/>
      <c r="S1511" s="410"/>
      <c r="T1511" s="410"/>
      <c r="U1511" s="410"/>
      <c r="V1511" s="410"/>
      <c r="W1511" s="410"/>
      <c r="X1511" s="410"/>
      <c r="Y1511" s="410"/>
    </row>
    <row r="1512" spans="1:25" x14ac:dyDescent="0.2">
      <c r="A1512" s="410"/>
      <c r="B1512" s="410"/>
      <c r="C1512" s="410"/>
      <c r="D1512" s="410"/>
      <c r="E1512" s="410"/>
      <c r="F1512" s="410"/>
      <c r="G1512" s="410"/>
      <c r="H1512" s="410"/>
      <c r="I1512" s="410"/>
      <c r="J1512" s="410"/>
      <c r="K1512" s="410"/>
      <c r="L1512" s="410"/>
      <c r="M1512" s="410"/>
      <c r="N1512" s="410"/>
      <c r="R1512" s="410"/>
      <c r="S1512" s="410"/>
      <c r="T1512" s="410"/>
      <c r="U1512" s="410"/>
      <c r="V1512" s="410"/>
      <c r="W1512" s="410"/>
      <c r="X1512" s="410"/>
      <c r="Y1512" s="410"/>
    </row>
    <row r="1513" spans="1:25" x14ac:dyDescent="0.2">
      <c r="A1513" s="410"/>
      <c r="B1513" s="410"/>
      <c r="C1513" s="410"/>
      <c r="D1513" s="410"/>
      <c r="E1513" s="410"/>
      <c r="F1513" s="410"/>
      <c r="G1513" s="410"/>
      <c r="H1513" s="410"/>
      <c r="I1513" s="410"/>
      <c r="J1513" s="410"/>
      <c r="K1513" s="410"/>
      <c r="L1513" s="410"/>
      <c r="M1513" s="410"/>
      <c r="N1513" s="410"/>
      <c r="R1513" s="410"/>
      <c r="S1513" s="410"/>
      <c r="T1513" s="410"/>
      <c r="U1513" s="410"/>
      <c r="V1513" s="410"/>
      <c r="W1513" s="410"/>
      <c r="X1513" s="410"/>
      <c r="Y1513" s="410"/>
    </row>
    <row r="1514" spans="1:25" x14ac:dyDescent="0.2">
      <c r="A1514" s="410"/>
      <c r="B1514" s="410"/>
      <c r="C1514" s="410"/>
      <c r="D1514" s="410"/>
      <c r="E1514" s="410"/>
      <c r="F1514" s="410"/>
      <c r="G1514" s="410"/>
      <c r="H1514" s="410"/>
      <c r="I1514" s="410"/>
      <c r="J1514" s="410"/>
      <c r="K1514" s="410"/>
      <c r="L1514" s="410"/>
      <c r="M1514" s="410"/>
      <c r="N1514" s="410"/>
      <c r="R1514" s="410"/>
      <c r="S1514" s="410"/>
      <c r="T1514" s="410"/>
      <c r="U1514" s="410"/>
      <c r="V1514" s="410"/>
      <c r="W1514" s="410"/>
      <c r="X1514" s="410"/>
      <c r="Y1514" s="410"/>
    </row>
    <row r="1515" spans="1:25" x14ac:dyDescent="0.2">
      <c r="A1515" s="410"/>
      <c r="B1515" s="410"/>
      <c r="C1515" s="410"/>
      <c r="D1515" s="410"/>
      <c r="E1515" s="410"/>
      <c r="F1515" s="410"/>
      <c r="G1515" s="410"/>
      <c r="H1515" s="410"/>
      <c r="I1515" s="410"/>
      <c r="J1515" s="410"/>
      <c r="K1515" s="410"/>
      <c r="L1515" s="410"/>
      <c r="M1515" s="410"/>
      <c r="N1515" s="410"/>
      <c r="R1515" s="410"/>
      <c r="S1515" s="410"/>
      <c r="T1515" s="410"/>
      <c r="U1515" s="410"/>
      <c r="V1515" s="410"/>
      <c r="W1515" s="410"/>
      <c r="X1515" s="410"/>
      <c r="Y1515" s="410"/>
    </row>
    <row r="1516" spans="1:25" x14ac:dyDescent="0.2">
      <c r="A1516" s="410"/>
      <c r="B1516" s="410"/>
      <c r="C1516" s="410"/>
      <c r="D1516" s="410"/>
      <c r="E1516" s="410"/>
      <c r="F1516" s="410"/>
      <c r="G1516" s="410"/>
      <c r="H1516" s="410"/>
      <c r="I1516" s="410"/>
      <c r="J1516" s="410"/>
      <c r="K1516" s="410"/>
      <c r="L1516" s="410"/>
      <c r="M1516" s="410"/>
      <c r="N1516" s="410"/>
      <c r="R1516" s="410"/>
      <c r="S1516" s="410"/>
      <c r="T1516" s="410"/>
      <c r="U1516" s="410"/>
      <c r="V1516" s="410"/>
      <c r="W1516" s="410"/>
      <c r="X1516" s="410"/>
      <c r="Y1516" s="410"/>
    </row>
    <row r="1517" spans="1:25" x14ac:dyDescent="0.2">
      <c r="A1517" s="410"/>
      <c r="B1517" s="410"/>
      <c r="C1517" s="410"/>
      <c r="D1517" s="410"/>
      <c r="E1517" s="410"/>
      <c r="F1517" s="410"/>
      <c r="G1517" s="410"/>
      <c r="H1517" s="410"/>
      <c r="I1517" s="410"/>
      <c r="J1517" s="410"/>
      <c r="K1517" s="410"/>
      <c r="L1517" s="410"/>
      <c r="M1517" s="410"/>
      <c r="N1517" s="410"/>
      <c r="R1517" s="410"/>
      <c r="S1517" s="410"/>
      <c r="T1517" s="410"/>
      <c r="U1517" s="410"/>
      <c r="V1517" s="410"/>
      <c r="W1517" s="410"/>
      <c r="X1517" s="410"/>
      <c r="Y1517" s="410"/>
    </row>
    <row r="1518" spans="1:25" x14ac:dyDescent="0.2">
      <c r="A1518" s="410"/>
      <c r="B1518" s="410"/>
      <c r="C1518" s="410"/>
      <c r="D1518" s="410"/>
      <c r="E1518" s="410"/>
      <c r="F1518" s="410"/>
      <c r="G1518" s="410"/>
      <c r="H1518" s="410"/>
      <c r="I1518" s="410"/>
      <c r="J1518" s="410"/>
      <c r="K1518" s="410"/>
      <c r="L1518" s="410"/>
      <c r="M1518" s="410"/>
      <c r="N1518" s="410"/>
      <c r="R1518" s="410"/>
      <c r="S1518" s="410"/>
      <c r="T1518" s="410"/>
      <c r="U1518" s="410"/>
      <c r="V1518" s="410"/>
      <c r="W1518" s="410"/>
      <c r="X1518" s="410"/>
      <c r="Y1518" s="410"/>
    </row>
    <row r="1519" spans="1:25" x14ac:dyDescent="0.2">
      <c r="A1519" s="410"/>
      <c r="B1519" s="410"/>
      <c r="C1519" s="410"/>
      <c r="D1519" s="410"/>
      <c r="E1519" s="410"/>
      <c r="F1519" s="410"/>
      <c r="G1519" s="410"/>
      <c r="H1519" s="410"/>
      <c r="I1519" s="410"/>
      <c r="J1519" s="410"/>
      <c r="K1519" s="410"/>
      <c r="L1519" s="410"/>
      <c r="M1519" s="410"/>
      <c r="N1519" s="410"/>
      <c r="R1519" s="410"/>
      <c r="S1519" s="410"/>
      <c r="T1519" s="410"/>
      <c r="U1519" s="410"/>
      <c r="V1519" s="410"/>
      <c r="W1519" s="410"/>
      <c r="X1519" s="410"/>
      <c r="Y1519" s="410"/>
    </row>
    <row r="1520" spans="1:25" x14ac:dyDescent="0.2">
      <c r="A1520" s="410"/>
      <c r="B1520" s="410"/>
      <c r="C1520" s="410"/>
      <c r="D1520" s="410"/>
      <c r="E1520" s="410"/>
      <c r="F1520" s="410"/>
      <c r="G1520" s="410"/>
      <c r="H1520" s="410"/>
      <c r="I1520" s="410"/>
      <c r="J1520" s="410"/>
      <c r="K1520" s="410"/>
      <c r="L1520" s="410"/>
      <c r="M1520" s="410"/>
      <c r="N1520" s="410"/>
      <c r="R1520" s="410"/>
      <c r="S1520" s="410"/>
      <c r="T1520" s="410"/>
      <c r="U1520" s="410"/>
      <c r="V1520" s="410"/>
      <c r="W1520" s="410"/>
      <c r="X1520" s="410"/>
      <c r="Y1520" s="410"/>
    </row>
    <row r="1521" spans="1:25" x14ac:dyDescent="0.2">
      <c r="A1521" s="410"/>
      <c r="B1521" s="410"/>
      <c r="C1521" s="410"/>
      <c r="D1521" s="410"/>
      <c r="E1521" s="410"/>
      <c r="F1521" s="410"/>
      <c r="G1521" s="410"/>
      <c r="H1521" s="410"/>
      <c r="I1521" s="410"/>
      <c r="J1521" s="410"/>
      <c r="K1521" s="410"/>
      <c r="L1521" s="410"/>
      <c r="M1521" s="410"/>
      <c r="N1521" s="410"/>
      <c r="R1521" s="410"/>
      <c r="S1521" s="410"/>
      <c r="T1521" s="410"/>
      <c r="U1521" s="410"/>
      <c r="V1521" s="410"/>
      <c r="W1521" s="410"/>
      <c r="X1521" s="410"/>
      <c r="Y1521" s="410"/>
    </row>
    <row r="1522" spans="1:25" x14ac:dyDescent="0.2">
      <c r="A1522" s="410"/>
      <c r="B1522" s="410"/>
      <c r="C1522" s="410"/>
      <c r="D1522" s="410"/>
      <c r="E1522" s="410"/>
      <c r="F1522" s="410"/>
      <c r="G1522" s="410"/>
      <c r="H1522" s="410"/>
      <c r="I1522" s="410"/>
      <c r="J1522" s="410"/>
      <c r="K1522" s="410"/>
      <c r="L1522" s="410"/>
      <c r="M1522" s="410"/>
      <c r="N1522" s="410"/>
      <c r="R1522" s="410"/>
      <c r="S1522" s="410"/>
      <c r="T1522" s="410"/>
      <c r="U1522" s="410"/>
      <c r="V1522" s="410"/>
      <c r="W1522" s="410"/>
      <c r="X1522" s="410"/>
      <c r="Y1522" s="410"/>
    </row>
    <row r="1523" spans="1:25" x14ac:dyDescent="0.2">
      <c r="A1523" s="410"/>
      <c r="B1523" s="410"/>
      <c r="C1523" s="410"/>
      <c r="D1523" s="410"/>
      <c r="E1523" s="410"/>
      <c r="F1523" s="410"/>
      <c r="G1523" s="410"/>
      <c r="H1523" s="410"/>
      <c r="I1523" s="410"/>
      <c r="J1523" s="410"/>
      <c r="K1523" s="410"/>
      <c r="L1523" s="410"/>
      <c r="M1523" s="410"/>
      <c r="N1523" s="410"/>
      <c r="R1523" s="410"/>
      <c r="S1523" s="410"/>
      <c r="T1523" s="410"/>
      <c r="U1523" s="410"/>
      <c r="V1523" s="410"/>
      <c r="W1523" s="410"/>
      <c r="X1523" s="410"/>
      <c r="Y1523" s="410"/>
    </row>
    <row r="1524" spans="1:25" x14ac:dyDescent="0.2">
      <c r="A1524" s="410"/>
      <c r="B1524" s="410"/>
      <c r="C1524" s="410"/>
      <c r="D1524" s="410"/>
      <c r="E1524" s="410"/>
      <c r="F1524" s="410"/>
      <c r="G1524" s="410"/>
      <c r="H1524" s="410"/>
      <c r="I1524" s="410"/>
      <c r="J1524" s="410"/>
      <c r="K1524" s="410"/>
      <c r="L1524" s="410"/>
      <c r="M1524" s="410"/>
      <c r="N1524" s="410"/>
      <c r="R1524" s="410"/>
      <c r="S1524" s="410"/>
      <c r="T1524" s="410"/>
      <c r="U1524" s="410"/>
      <c r="V1524" s="410"/>
      <c r="W1524" s="410"/>
      <c r="X1524" s="410"/>
      <c r="Y1524" s="410"/>
    </row>
    <row r="1525" spans="1:25" x14ac:dyDescent="0.2">
      <c r="A1525" s="410"/>
      <c r="B1525" s="410"/>
      <c r="C1525" s="410"/>
      <c r="D1525" s="410"/>
      <c r="E1525" s="410"/>
      <c r="F1525" s="410"/>
      <c r="G1525" s="410"/>
      <c r="H1525" s="410"/>
      <c r="I1525" s="410"/>
      <c r="J1525" s="410"/>
      <c r="K1525" s="410"/>
      <c r="L1525" s="410"/>
      <c r="M1525" s="410"/>
      <c r="N1525" s="410"/>
      <c r="R1525" s="410"/>
      <c r="S1525" s="410"/>
      <c r="T1525" s="410"/>
      <c r="U1525" s="410"/>
      <c r="V1525" s="410"/>
      <c r="W1525" s="410"/>
      <c r="X1525" s="410"/>
      <c r="Y1525" s="410"/>
    </row>
    <row r="1526" spans="1:25" x14ac:dyDescent="0.2">
      <c r="A1526" s="410"/>
      <c r="B1526" s="410"/>
      <c r="C1526" s="410"/>
      <c r="D1526" s="410"/>
      <c r="E1526" s="410"/>
      <c r="F1526" s="410"/>
      <c r="G1526" s="410"/>
      <c r="H1526" s="410"/>
      <c r="I1526" s="410"/>
      <c r="J1526" s="410"/>
      <c r="K1526" s="410"/>
      <c r="L1526" s="410"/>
      <c r="M1526" s="410"/>
      <c r="N1526" s="410"/>
      <c r="R1526" s="410"/>
      <c r="S1526" s="410"/>
      <c r="T1526" s="410"/>
      <c r="U1526" s="410"/>
      <c r="V1526" s="410"/>
      <c r="W1526" s="410"/>
      <c r="X1526" s="410"/>
      <c r="Y1526" s="410"/>
    </row>
    <row r="1527" spans="1:25" x14ac:dyDescent="0.2">
      <c r="A1527" s="410"/>
      <c r="B1527" s="410"/>
      <c r="C1527" s="410"/>
      <c r="D1527" s="410"/>
      <c r="E1527" s="410"/>
      <c r="F1527" s="410"/>
      <c r="G1527" s="410"/>
      <c r="H1527" s="410"/>
      <c r="I1527" s="410"/>
      <c r="J1527" s="410"/>
      <c r="K1527" s="410"/>
      <c r="L1527" s="410"/>
      <c r="M1527" s="410"/>
      <c r="N1527" s="410"/>
      <c r="R1527" s="410"/>
      <c r="S1527" s="410"/>
      <c r="T1527" s="410"/>
      <c r="U1527" s="410"/>
      <c r="V1527" s="410"/>
      <c r="W1527" s="410"/>
      <c r="X1527" s="410"/>
      <c r="Y1527" s="410"/>
    </row>
    <row r="1528" spans="1:25" x14ac:dyDescent="0.2">
      <c r="A1528" s="410"/>
      <c r="B1528" s="410"/>
      <c r="C1528" s="410"/>
      <c r="D1528" s="410"/>
      <c r="E1528" s="410"/>
      <c r="F1528" s="410"/>
      <c r="G1528" s="410"/>
      <c r="H1528" s="410"/>
      <c r="I1528" s="410"/>
      <c r="J1528" s="410"/>
      <c r="K1528" s="410"/>
      <c r="L1528" s="410"/>
      <c r="M1528" s="410"/>
      <c r="N1528" s="410"/>
      <c r="R1528" s="410"/>
      <c r="S1528" s="410"/>
      <c r="T1528" s="410"/>
      <c r="U1528" s="410"/>
      <c r="V1528" s="410"/>
      <c r="W1528" s="410"/>
      <c r="X1528" s="410"/>
      <c r="Y1528" s="410"/>
    </row>
    <row r="1529" spans="1:25" x14ac:dyDescent="0.2">
      <c r="A1529" s="410"/>
      <c r="B1529" s="410"/>
      <c r="C1529" s="410"/>
      <c r="D1529" s="410"/>
      <c r="E1529" s="410"/>
      <c r="F1529" s="410"/>
      <c r="G1529" s="410"/>
      <c r="H1529" s="410"/>
      <c r="I1529" s="410"/>
      <c r="J1529" s="410"/>
      <c r="K1529" s="410"/>
      <c r="L1529" s="410"/>
      <c r="M1529" s="410"/>
      <c r="N1529" s="410"/>
      <c r="R1529" s="410"/>
      <c r="S1529" s="410"/>
      <c r="T1529" s="410"/>
      <c r="U1529" s="410"/>
      <c r="V1529" s="410"/>
      <c r="W1529" s="410"/>
      <c r="X1529" s="410"/>
      <c r="Y1529" s="410"/>
    </row>
    <row r="1530" spans="1:25" x14ac:dyDescent="0.2">
      <c r="A1530" s="410"/>
      <c r="B1530" s="410"/>
      <c r="C1530" s="410"/>
      <c r="D1530" s="410"/>
      <c r="E1530" s="410"/>
      <c r="F1530" s="410"/>
      <c r="G1530" s="410"/>
      <c r="H1530" s="410"/>
      <c r="I1530" s="410"/>
      <c r="J1530" s="410"/>
      <c r="K1530" s="410"/>
      <c r="L1530" s="410"/>
      <c r="M1530" s="410"/>
      <c r="N1530" s="410"/>
      <c r="R1530" s="410"/>
      <c r="S1530" s="410"/>
      <c r="T1530" s="410"/>
      <c r="U1530" s="410"/>
      <c r="V1530" s="410"/>
      <c r="W1530" s="410"/>
      <c r="X1530" s="410"/>
      <c r="Y1530" s="410"/>
    </row>
    <row r="1531" spans="1:25" x14ac:dyDescent="0.2">
      <c r="A1531" s="410"/>
      <c r="B1531" s="410"/>
      <c r="C1531" s="410"/>
      <c r="D1531" s="410"/>
      <c r="E1531" s="410"/>
      <c r="F1531" s="410"/>
      <c r="G1531" s="410"/>
      <c r="H1531" s="410"/>
      <c r="I1531" s="410"/>
      <c r="J1531" s="410"/>
      <c r="K1531" s="410"/>
      <c r="L1531" s="410"/>
      <c r="M1531" s="410"/>
      <c r="N1531" s="410"/>
      <c r="R1531" s="410"/>
      <c r="S1531" s="410"/>
      <c r="T1531" s="410"/>
      <c r="U1531" s="410"/>
      <c r="V1531" s="410"/>
      <c r="W1531" s="410"/>
      <c r="X1531" s="410"/>
      <c r="Y1531" s="410"/>
    </row>
    <row r="1532" spans="1:25" x14ac:dyDescent="0.2">
      <c r="A1532" s="410"/>
      <c r="B1532" s="410"/>
      <c r="C1532" s="410"/>
      <c r="D1532" s="410"/>
      <c r="E1532" s="410"/>
      <c r="F1532" s="410"/>
      <c r="G1532" s="410"/>
      <c r="H1532" s="410"/>
      <c r="I1532" s="410"/>
      <c r="J1532" s="410"/>
      <c r="K1532" s="410"/>
      <c r="L1532" s="410"/>
      <c r="M1532" s="410"/>
      <c r="N1532" s="410"/>
      <c r="R1532" s="410"/>
      <c r="S1532" s="410"/>
      <c r="T1532" s="410"/>
      <c r="U1532" s="410"/>
      <c r="V1532" s="410"/>
      <c r="W1532" s="410"/>
      <c r="X1532" s="410"/>
      <c r="Y1532" s="410"/>
    </row>
    <row r="1533" spans="1:25" x14ac:dyDescent="0.2">
      <c r="A1533" s="410"/>
      <c r="B1533" s="410"/>
      <c r="C1533" s="410"/>
      <c r="D1533" s="410"/>
      <c r="E1533" s="410"/>
      <c r="F1533" s="410"/>
      <c r="G1533" s="410"/>
      <c r="H1533" s="410"/>
      <c r="I1533" s="410"/>
      <c r="J1533" s="410"/>
      <c r="K1533" s="410"/>
      <c r="L1533" s="410"/>
      <c r="M1533" s="410"/>
      <c r="N1533" s="410"/>
      <c r="R1533" s="410"/>
      <c r="S1533" s="410"/>
      <c r="T1533" s="410"/>
      <c r="U1533" s="410"/>
      <c r="V1533" s="410"/>
      <c r="W1533" s="410"/>
      <c r="X1533" s="410"/>
      <c r="Y1533" s="410"/>
    </row>
    <row r="1534" spans="1:25" x14ac:dyDescent="0.2">
      <c r="A1534" s="410"/>
      <c r="B1534" s="410"/>
      <c r="C1534" s="410"/>
      <c r="D1534" s="410"/>
      <c r="E1534" s="410"/>
      <c r="F1534" s="410"/>
      <c r="G1534" s="410"/>
      <c r="H1534" s="410"/>
      <c r="I1534" s="410"/>
      <c r="J1534" s="410"/>
      <c r="K1534" s="410"/>
      <c r="L1534" s="410"/>
      <c r="M1534" s="410"/>
      <c r="N1534" s="410"/>
      <c r="R1534" s="410"/>
      <c r="S1534" s="410"/>
      <c r="T1534" s="410"/>
      <c r="U1534" s="410"/>
      <c r="V1534" s="410"/>
      <c r="W1534" s="410"/>
      <c r="X1534" s="410"/>
      <c r="Y1534" s="410"/>
    </row>
    <row r="1535" spans="1:25" x14ac:dyDescent="0.2">
      <c r="A1535" s="410"/>
      <c r="B1535" s="410"/>
      <c r="C1535" s="410"/>
      <c r="D1535" s="410"/>
      <c r="E1535" s="410"/>
      <c r="F1535" s="410"/>
      <c r="G1535" s="410"/>
      <c r="H1535" s="410"/>
      <c r="I1535" s="410"/>
      <c r="J1535" s="410"/>
      <c r="K1535" s="410"/>
      <c r="L1535" s="410"/>
      <c r="M1535" s="410"/>
      <c r="N1535" s="410"/>
      <c r="R1535" s="410"/>
      <c r="S1535" s="410"/>
      <c r="T1535" s="410"/>
      <c r="U1535" s="410"/>
      <c r="V1535" s="410"/>
      <c r="W1535" s="410"/>
      <c r="X1535" s="410"/>
      <c r="Y1535" s="410"/>
    </row>
    <row r="1536" spans="1:25" x14ac:dyDescent="0.2">
      <c r="A1536" s="410"/>
      <c r="B1536" s="410"/>
      <c r="C1536" s="410"/>
      <c r="D1536" s="410"/>
      <c r="E1536" s="410"/>
      <c r="F1536" s="410"/>
      <c r="G1536" s="410"/>
      <c r="H1536" s="410"/>
      <c r="I1536" s="410"/>
      <c r="J1536" s="410"/>
      <c r="K1536" s="410"/>
      <c r="L1536" s="410"/>
      <c r="M1536" s="410"/>
      <c r="N1536" s="410"/>
      <c r="R1536" s="410"/>
      <c r="S1536" s="410"/>
      <c r="T1536" s="410"/>
      <c r="U1536" s="410"/>
      <c r="V1536" s="410"/>
      <c r="W1536" s="410"/>
      <c r="X1536" s="410"/>
      <c r="Y1536" s="410"/>
    </row>
    <row r="1537" spans="1:25" x14ac:dyDescent="0.2">
      <c r="A1537" s="410"/>
      <c r="B1537" s="410"/>
      <c r="C1537" s="410"/>
      <c r="D1537" s="410"/>
      <c r="E1537" s="410"/>
      <c r="F1537" s="410"/>
      <c r="G1537" s="410"/>
      <c r="H1537" s="410"/>
      <c r="I1537" s="410"/>
      <c r="J1537" s="410"/>
      <c r="K1537" s="410"/>
      <c r="L1537" s="410"/>
      <c r="M1537" s="410"/>
      <c r="N1537" s="410"/>
      <c r="R1537" s="410"/>
      <c r="S1537" s="410"/>
      <c r="T1537" s="410"/>
      <c r="U1537" s="410"/>
      <c r="V1537" s="410"/>
      <c r="W1537" s="410"/>
      <c r="X1537" s="410"/>
      <c r="Y1537" s="410"/>
    </row>
    <row r="1538" spans="1:25" x14ac:dyDescent="0.2">
      <c r="A1538" s="410"/>
      <c r="B1538" s="410"/>
      <c r="C1538" s="410"/>
      <c r="D1538" s="410"/>
      <c r="E1538" s="410"/>
      <c r="F1538" s="410"/>
      <c r="G1538" s="410"/>
      <c r="H1538" s="410"/>
      <c r="I1538" s="410"/>
      <c r="J1538" s="410"/>
      <c r="K1538" s="410"/>
      <c r="L1538" s="410"/>
      <c r="M1538" s="410"/>
      <c r="N1538" s="410"/>
      <c r="R1538" s="410"/>
      <c r="S1538" s="410"/>
      <c r="T1538" s="410"/>
      <c r="U1538" s="410"/>
      <c r="V1538" s="410"/>
      <c r="W1538" s="410"/>
      <c r="X1538" s="410"/>
      <c r="Y1538" s="410"/>
    </row>
    <row r="1539" spans="1:25" x14ac:dyDescent="0.2">
      <c r="A1539" s="410"/>
      <c r="B1539" s="410"/>
      <c r="C1539" s="410"/>
      <c r="D1539" s="410"/>
      <c r="E1539" s="410"/>
      <c r="F1539" s="410"/>
      <c r="G1539" s="410"/>
      <c r="H1539" s="410"/>
      <c r="I1539" s="410"/>
      <c r="J1539" s="410"/>
      <c r="K1539" s="410"/>
      <c r="L1539" s="410"/>
      <c r="M1539" s="410"/>
      <c r="N1539" s="410"/>
      <c r="R1539" s="410"/>
      <c r="S1539" s="410"/>
      <c r="T1539" s="410"/>
      <c r="U1539" s="410"/>
      <c r="V1539" s="410"/>
      <c r="W1539" s="410"/>
      <c r="X1539" s="410"/>
      <c r="Y1539" s="410"/>
    </row>
    <row r="1540" spans="1:25" x14ac:dyDescent="0.2">
      <c r="A1540" s="410"/>
      <c r="B1540" s="410"/>
      <c r="C1540" s="410"/>
      <c r="D1540" s="410"/>
      <c r="E1540" s="410"/>
      <c r="F1540" s="410"/>
      <c r="G1540" s="410"/>
      <c r="H1540" s="410"/>
      <c r="I1540" s="410"/>
      <c r="J1540" s="410"/>
      <c r="K1540" s="410"/>
      <c r="L1540" s="410"/>
      <c r="M1540" s="410"/>
      <c r="N1540" s="410"/>
      <c r="R1540" s="410"/>
      <c r="S1540" s="410"/>
      <c r="T1540" s="410"/>
      <c r="U1540" s="410"/>
      <c r="V1540" s="410"/>
      <c r="W1540" s="410"/>
      <c r="X1540" s="410"/>
      <c r="Y1540" s="410"/>
    </row>
    <row r="1541" spans="1:25" x14ac:dyDescent="0.2">
      <c r="A1541" s="410"/>
      <c r="B1541" s="410"/>
      <c r="C1541" s="410"/>
      <c r="D1541" s="410"/>
      <c r="E1541" s="410"/>
      <c r="F1541" s="410"/>
      <c r="G1541" s="410"/>
      <c r="H1541" s="410"/>
      <c r="I1541" s="410"/>
      <c r="J1541" s="410"/>
      <c r="K1541" s="410"/>
      <c r="L1541" s="410"/>
      <c r="M1541" s="410"/>
      <c r="N1541" s="410"/>
      <c r="R1541" s="410"/>
      <c r="S1541" s="410"/>
      <c r="T1541" s="410"/>
      <c r="U1541" s="410"/>
      <c r="V1541" s="410"/>
      <c r="W1541" s="410"/>
      <c r="X1541" s="410"/>
      <c r="Y1541" s="410"/>
    </row>
    <row r="1542" spans="1:25" x14ac:dyDescent="0.2">
      <c r="A1542" s="410"/>
      <c r="B1542" s="410"/>
      <c r="C1542" s="410"/>
      <c r="D1542" s="410"/>
      <c r="E1542" s="410"/>
      <c r="F1542" s="410"/>
      <c r="G1542" s="410"/>
      <c r="H1542" s="410"/>
      <c r="I1542" s="410"/>
      <c r="J1542" s="410"/>
      <c r="K1542" s="410"/>
      <c r="L1542" s="410"/>
      <c r="M1542" s="410"/>
      <c r="N1542" s="410"/>
      <c r="R1542" s="410"/>
      <c r="S1542" s="410"/>
      <c r="T1542" s="410"/>
      <c r="U1542" s="410"/>
      <c r="V1542" s="410"/>
      <c r="W1542" s="410"/>
      <c r="X1542" s="410"/>
      <c r="Y1542" s="410"/>
    </row>
    <row r="1543" spans="1:25" x14ac:dyDescent="0.2">
      <c r="A1543" s="410"/>
      <c r="B1543" s="410"/>
      <c r="C1543" s="410"/>
      <c r="D1543" s="410"/>
      <c r="E1543" s="410"/>
      <c r="F1543" s="410"/>
      <c r="G1543" s="410"/>
      <c r="H1543" s="410"/>
      <c r="I1543" s="410"/>
      <c r="J1543" s="410"/>
      <c r="K1543" s="410"/>
      <c r="L1543" s="410"/>
      <c r="M1543" s="410"/>
      <c r="N1543" s="410"/>
      <c r="R1543" s="410"/>
      <c r="S1543" s="410"/>
      <c r="T1543" s="410"/>
      <c r="U1543" s="410"/>
      <c r="V1543" s="410"/>
      <c r="W1543" s="410"/>
      <c r="X1543" s="410"/>
      <c r="Y1543" s="410"/>
    </row>
    <row r="1544" spans="1:25" x14ac:dyDescent="0.2">
      <c r="A1544" s="410"/>
      <c r="B1544" s="410"/>
      <c r="C1544" s="410"/>
      <c r="D1544" s="410"/>
      <c r="E1544" s="410"/>
      <c r="F1544" s="410"/>
      <c r="G1544" s="410"/>
      <c r="H1544" s="410"/>
      <c r="I1544" s="410"/>
      <c r="J1544" s="410"/>
      <c r="K1544" s="410"/>
      <c r="L1544" s="410"/>
      <c r="M1544" s="410"/>
      <c r="N1544" s="410"/>
      <c r="R1544" s="410"/>
      <c r="S1544" s="410"/>
      <c r="T1544" s="410"/>
      <c r="U1544" s="410"/>
      <c r="V1544" s="410"/>
      <c r="W1544" s="410"/>
      <c r="X1544" s="410"/>
      <c r="Y1544" s="410"/>
    </row>
    <row r="1545" spans="1:25" x14ac:dyDescent="0.2">
      <c r="A1545" s="410"/>
      <c r="B1545" s="410"/>
      <c r="C1545" s="410"/>
      <c r="D1545" s="410"/>
      <c r="E1545" s="410"/>
      <c r="F1545" s="410"/>
      <c r="G1545" s="410"/>
      <c r="H1545" s="410"/>
      <c r="I1545" s="410"/>
      <c r="J1545" s="410"/>
      <c r="K1545" s="410"/>
      <c r="L1545" s="410"/>
      <c r="M1545" s="410"/>
      <c r="N1545" s="410"/>
      <c r="R1545" s="410"/>
      <c r="S1545" s="410"/>
      <c r="T1545" s="410"/>
      <c r="U1545" s="410"/>
      <c r="V1545" s="410"/>
      <c r="W1545" s="410"/>
      <c r="X1545" s="410"/>
      <c r="Y1545" s="410"/>
    </row>
    <row r="1546" spans="1:25" x14ac:dyDescent="0.2">
      <c r="A1546" s="410"/>
      <c r="B1546" s="410"/>
      <c r="C1546" s="410"/>
      <c r="D1546" s="410"/>
      <c r="E1546" s="410"/>
      <c r="F1546" s="410"/>
      <c r="G1546" s="410"/>
      <c r="H1546" s="410"/>
      <c r="I1546" s="410"/>
      <c r="J1546" s="410"/>
      <c r="K1546" s="410"/>
      <c r="L1546" s="410"/>
      <c r="M1546" s="410"/>
      <c r="N1546" s="410"/>
      <c r="R1546" s="410"/>
      <c r="S1546" s="410"/>
      <c r="T1546" s="410"/>
      <c r="U1546" s="410"/>
      <c r="V1546" s="410"/>
      <c r="W1546" s="410"/>
      <c r="X1546" s="410"/>
      <c r="Y1546" s="410"/>
    </row>
    <row r="1547" spans="1:25" x14ac:dyDescent="0.2">
      <c r="A1547" s="410"/>
      <c r="B1547" s="410"/>
      <c r="C1547" s="410"/>
      <c r="D1547" s="410"/>
      <c r="E1547" s="410"/>
      <c r="F1547" s="410"/>
      <c r="G1547" s="410"/>
      <c r="H1547" s="410"/>
      <c r="I1547" s="410"/>
      <c r="J1547" s="410"/>
      <c r="K1547" s="410"/>
      <c r="L1547" s="410"/>
      <c r="M1547" s="410"/>
      <c r="N1547" s="410"/>
      <c r="R1547" s="410"/>
      <c r="S1547" s="410"/>
      <c r="T1547" s="410"/>
      <c r="U1547" s="410"/>
      <c r="V1547" s="410"/>
      <c r="W1547" s="410"/>
      <c r="X1547" s="410"/>
      <c r="Y1547" s="410"/>
    </row>
    <row r="1548" spans="1:25" x14ac:dyDescent="0.2">
      <c r="A1548" s="410"/>
      <c r="B1548" s="410"/>
      <c r="C1548" s="410"/>
      <c r="D1548" s="410"/>
      <c r="E1548" s="410"/>
      <c r="F1548" s="410"/>
      <c r="G1548" s="410"/>
      <c r="H1548" s="410"/>
      <c r="I1548" s="410"/>
      <c r="J1548" s="410"/>
      <c r="K1548" s="410"/>
      <c r="L1548" s="410"/>
      <c r="M1548" s="410"/>
      <c r="N1548" s="410"/>
      <c r="R1548" s="410"/>
      <c r="S1548" s="410"/>
      <c r="T1548" s="410"/>
      <c r="U1548" s="410"/>
      <c r="V1548" s="410"/>
      <c r="W1548" s="410"/>
      <c r="X1548" s="410"/>
      <c r="Y1548" s="410"/>
    </row>
    <row r="1549" spans="1:25" x14ac:dyDescent="0.2">
      <c r="A1549" s="410"/>
      <c r="B1549" s="410"/>
      <c r="C1549" s="410"/>
      <c r="D1549" s="410"/>
      <c r="E1549" s="410"/>
      <c r="F1549" s="410"/>
      <c r="G1549" s="410"/>
      <c r="H1549" s="410"/>
      <c r="I1549" s="410"/>
      <c r="J1549" s="410"/>
      <c r="K1549" s="410"/>
      <c r="L1549" s="410"/>
      <c r="M1549" s="410"/>
      <c r="N1549" s="410"/>
      <c r="R1549" s="410"/>
      <c r="S1549" s="410"/>
      <c r="T1549" s="410"/>
      <c r="U1549" s="410"/>
      <c r="V1549" s="410"/>
      <c r="W1549" s="410"/>
      <c r="X1549" s="410"/>
      <c r="Y1549" s="410"/>
    </row>
    <row r="1550" spans="1:25" x14ac:dyDescent="0.2">
      <c r="A1550" s="410"/>
      <c r="B1550" s="410"/>
      <c r="C1550" s="410"/>
      <c r="D1550" s="410"/>
      <c r="E1550" s="410"/>
      <c r="F1550" s="410"/>
      <c r="G1550" s="410"/>
      <c r="H1550" s="410"/>
      <c r="I1550" s="410"/>
      <c r="J1550" s="410"/>
      <c r="K1550" s="410"/>
      <c r="L1550" s="410"/>
      <c r="M1550" s="410"/>
      <c r="N1550" s="410"/>
      <c r="R1550" s="410"/>
      <c r="S1550" s="410"/>
      <c r="T1550" s="410"/>
      <c r="U1550" s="410"/>
      <c r="V1550" s="410"/>
      <c r="W1550" s="410"/>
      <c r="X1550" s="410"/>
      <c r="Y1550" s="410"/>
    </row>
    <row r="1551" spans="1:25" x14ac:dyDescent="0.2">
      <c r="A1551" s="410"/>
      <c r="B1551" s="410"/>
      <c r="C1551" s="410"/>
      <c r="D1551" s="410"/>
      <c r="E1551" s="410"/>
      <c r="F1551" s="410"/>
      <c r="G1551" s="410"/>
      <c r="H1551" s="410"/>
      <c r="I1551" s="410"/>
      <c r="J1551" s="410"/>
      <c r="K1551" s="410"/>
      <c r="L1551" s="410"/>
      <c r="M1551" s="410"/>
      <c r="N1551" s="410"/>
      <c r="R1551" s="410"/>
      <c r="S1551" s="410"/>
      <c r="T1551" s="410"/>
      <c r="U1551" s="410"/>
      <c r="V1551" s="410"/>
      <c r="W1551" s="410"/>
      <c r="X1551" s="410"/>
      <c r="Y1551" s="410"/>
    </row>
    <row r="1552" spans="1:25" x14ac:dyDescent="0.2">
      <c r="A1552" s="410"/>
      <c r="B1552" s="410"/>
      <c r="C1552" s="410"/>
      <c r="D1552" s="410"/>
      <c r="E1552" s="410"/>
      <c r="F1552" s="410"/>
      <c r="G1552" s="410"/>
      <c r="H1552" s="410"/>
      <c r="I1552" s="410"/>
      <c r="J1552" s="410"/>
      <c r="K1552" s="410"/>
      <c r="L1552" s="410"/>
      <c r="M1552" s="410"/>
      <c r="N1552" s="410"/>
      <c r="R1552" s="410"/>
      <c r="S1552" s="410"/>
      <c r="T1552" s="410"/>
      <c r="U1552" s="410"/>
      <c r="V1552" s="410"/>
      <c r="W1552" s="410"/>
      <c r="X1552" s="410"/>
      <c r="Y1552" s="410"/>
    </row>
    <row r="1553" spans="1:25" x14ac:dyDescent="0.2">
      <c r="A1553" s="410"/>
      <c r="B1553" s="410"/>
      <c r="C1553" s="410"/>
      <c r="D1553" s="410"/>
      <c r="E1553" s="410"/>
      <c r="F1553" s="410"/>
      <c r="G1553" s="410"/>
      <c r="H1553" s="410"/>
      <c r="I1553" s="410"/>
      <c r="J1553" s="410"/>
      <c r="K1553" s="410"/>
      <c r="L1553" s="410"/>
      <c r="M1553" s="410"/>
      <c r="N1553" s="410"/>
      <c r="R1553" s="410"/>
      <c r="S1553" s="410"/>
      <c r="T1553" s="410"/>
      <c r="U1553" s="410"/>
      <c r="V1553" s="410"/>
      <c r="W1553" s="410"/>
      <c r="X1553" s="410"/>
      <c r="Y1553" s="410"/>
    </row>
    <row r="1554" spans="1:25" x14ac:dyDescent="0.2">
      <c r="A1554" s="410"/>
      <c r="B1554" s="410"/>
      <c r="C1554" s="410"/>
      <c r="D1554" s="410"/>
      <c r="E1554" s="410"/>
      <c r="F1554" s="410"/>
      <c r="G1554" s="410"/>
      <c r="H1554" s="410"/>
      <c r="I1554" s="410"/>
      <c r="J1554" s="410"/>
      <c r="K1554" s="410"/>
      <c r="L1554" s="410"/>
      <c r="M1554" s="410"/>
      <c r="N1554" s="410"/>
      <c r="R1554" s="410"/>
      <c r="S1554" s="410"/>
      <c r="T1554" s="410"/>
      <c r="U1554" s="410"/>
      <c r="V1554" s="410"/>
      <c r="W1554" s="410"/>
      <c r="X1554" s="410"/>
      <c r="Y1554" s="410"/>
    </row>
    <row r="1555" spans="1:25" x14ac:dyDescent="0.2">
      <c r="A1555" s="410"/>
      <c r="B1555" s="410"/>
      <c r="C1555" s="410"/>
      <c r="D1555" s="410"/>
      <c r="E1555" s="410"/>
      <c r="F1555" s="410"/>
      <c r="G1555" s="410"/>
      <c r="H1555" s="410"/>
      <c r="I1555" s="410"/>
      <c r="J1555" s="410"/>
      <c r="K1555" s="410"/>
      <c r="L1555" s="410"/>
      <c r="M1555" s="410"/>
      <c r="N1555" s="410"/>
      <c r="R1555" s="410"/>
      <c r="S1555" s="410"/>
      <c r="T1555" s="410"/>
      <c r="U1555" s="410"/>
      <c r="V1555" s="410"/>
      <c r="W1555" s="410"/>
      <c r="X1555" s="410"/>
      <c r="Y1555" s="410"/>
    </row>
    <row r="1556" spans="1:25" x14ac:dyDescent="0.2">
      <c r="A1556" s="410"/>
      <c r="B1556" s="410"/>
      <c r="C1556" s="410"/>
      <c r="D1556" s="410"/>
      <c r="E1556" s="410"/>
      <c r="F1556" s="410"/>
      <c r="G1556" s="410"/>
      <c r="H1556" s="410"/>
      <c r="I1556" s="410"/>
      <c r="J1556" s="410"/>
      <c r="K1556" s="410"/>
      <c r="L1556" s="410"/>
      <c r="M1556" s="410"/>
      <c r="N1556" s="410"/>
      <c r="R1556" s="410"/>
      <c r="S1556" s="410"/>
      <c r="T1556" s="410"/>
      <c r="U1556" s="410"/>
      <c r="V1556" s="410"/>
      <c r="W1556" s="410"/>
      <c r="X1556" s="410"/>
      <c r="Y1556" s="410"/>
    </row>
    <row r="1557" spans="1:25" x14ac:dyDescent="0.2">
      <c r="A1557" s="410"/>
      <c r="B1557" s="410"/>
      <c r="C1557" s="410"/>
      <c r="D1557" s="410"/>
      <c r="E1557" s="410"/>
      <c r="F1557" s="410"/>
      <c r="G1557" s="410"/>
      <c r="H1557" s="410"/>
      <c r="I1557" s="410"/>
      <c r="J1557" s="410"/>
      <c r="K1557" s="410"/>
      <c r="L1557" s="410"/>
      <c r="M1557" s="410"/>
      <c r="N1557" s="410"/>
      <c r="R1557" s="410"/>
      <c r="S1557" s="410"/>
      <c r="T1557" s="410"/>
      <c r="U1557" s="410"/>
      <c r="V1557" s="410"/>
      <c r="W1557" s="410"/>
      <c r="X1557" s="410"/>
      <c r="Y1557" s="410"/>
    </row>
    <row r="1558" spans="1:25" x14ac:dyDescent="0.2">
      <c r="A1558" s="410"/>
      <c r="B1558" s="410"/>
      <c r="C1558" s="410"/>
      <c r="D1558" s="410"/>
      <c r="E1558" s="410"/>
      <c r="F1558" s="410"/>
      <c r="G1558" s="410"/>
      <c r="H1558" s="410"/>
      <c r="I1558" s="410"/>
      <c r="J1558" s="410"/>
      <c r="K1558" s="410"/>
      <c r="L1558" s="410"/>
      <c r="M1558" s="410"/>
      <c r="N1558" s="410"/>
      <c r="R1558" s="410"/>
      <c r="S1558" s="410"/>
      <c r="T1558" s="410"/>
      <c r="U1558" s="410"/>
      <c r="V1558" s="410"/>
      <c r="W1558" s="410"/>
      <c r="X1558" s="410"/>
      <c r="Y1558" s="410"/>
    </row>
    <row r="1559" spans="1:25" x14ac:dyDescent="0.2">
      <c r="A1559" s="410"/>
      <c r="B1559" s="410"/>
      <c r="C1559" s="410"/>
      <c r="D1559" s="410"/>
      <c r="E1559" s="410"/>
      <c r="F1559" s="410"/>
      <c r="G1559" s="410"/>
      <c r="H1559" s="410"/>
      <c r="I1559" s="410"/>
      <c r="J1559" s="410"/>
      <c r="K1559" s="410"/>
      <c r="L1559" s="410"/>
      <c r="M1559" s="410"/>
      <c r="N1559" s="410"/>
      <c r="R1559" s="410"/>
      <c r="S1559" s="410"/>
      <c r="T1559" s="410"/>
      <c r="U1559" s="410"/>
      <c r="V1559" s="410"/>
      <c r="W1559" s="410"/>
      <c r="X1559" s="410"/>
      <c r="Y1559" s="410"/>
    </row>
    <row r="1560" spans="1:25" x14ac:dyDescent="0.2">
      <c r="A1560" s="410"/>
      <c r="B1560" s="410"/>
      <c r="C1560" s="410"/>
      <c r="D1560" s="410"/>
      <c r="E1560" s="410"/>
      <c r="F1560" s="410"/>
      <c r="G1560" s="410"/>
      <c r="H1560" s="410"/>
      <c r="I1560" s="410"/>
      <c r="J1560" s="410"/>
      <c r="K1560" s="410"/>
      <c r="L1560" s="410"/>
      <c r="M1560" s="410"/>
      <c r="N1560" s="410"/>
      <c r="R1560" s="410"/>
      <c r="S1560" s="410"/>
      <c r="T1560" s="410"/>
      <c r="U1560" s="410"/>
      <c r="V1560" s="410"/>
      <c r="W1560" s="410"/>
      <c r="X1560" s="410"/>
      <c r="Y1560" s="410"/>
    </row>
    <row r="1561" spans="1:25" x14ac:dyDescent="0.2">
      <c r="A1561" s="410"/>
      <c r="B1561" s="410"/>
      <c r="C1561" s="410"/>
      <c r="D1561" s="410"/>
      <c r="E1561" s="410"/>
      <c r="F1561" s="410"/>
      <c r="G1561" s="410"/>
      <c r="H1561" s="410"/>
      <c r="I1561" s="410"/>
      <c r="J1561" s="410"/>
      <c r="K1561" s="410"/>
      <c r="L1561" s="410"/>
      <c r="M1561" s="410"/>
      <c r="N1561" s="410"/>
      <c r="R1561" s="410"/>
      <c r="S1561" s="410"/>
      <c r="T1561" s="410"/>
      <c r="U1561" s="410"/>
      <c r="V1561" s="410"/>
      <c r="W1561" s="410"/>
      <c r="X1561" s="410"/>
      <c r="Y1561" s="410"/>
    </row>
    <row r="1562" spans="1:25" x14ac:dyDescent="0.2">
      <c r="A1562" s="410"/>
      <c r="B1562" s="410"/>
      <c r="C1562" s="410"/>
      <c r="D1562" s="410"/>
      <c r="E1562" s="410"/>
      <c r="F1562" s="410"/>
      <c r="G1562" s="410"/>
      <c r="H1562" s="410"/>
      <c r="I1562" s="410"/>
      <c r="J1562" s="410"/>
      <c r="K1562" s="410"/>
      <c r="L1562" s="410"/>
      <c r="M1562" s="410"/>
      <c r="N1562" s="410"/>
      <c r="R1562" s="410"/>
      <c r="S1562" s="410"/>
      <c r="T1562" s="410"/>
      <c r="U1562" s="410"/>
      <c r="V1562" s="410"/>
      <c r="W1562" s="410"/>
      <c r="X1562" s="410"/>
      <c r="Y1562" s="410"/>
    </row>
    <row r="1563" spans="1:25" x14ac:dyDescent="0.2">
      <c r="A1563" s="410"/>
      <c r="B1563" s="410"/>
      <c r="C1563" s="410"/>
      <c r="D1563" s="410"/>
      <c r="E1563" s="410"/>
      <c r="F1563" s="410"/>
      <c r="G1563" s="410"/>
      <c r="H1563" s="410"/>
      <c r="I1563" s="410"/>
      <c r="J1563" s="410"/>
      <c r="K1563" s="410"/>
      <c r="L1563" s="410"/>
      <c r="M1563" s="410"/>
      <c r="N1563" s="410"/>
      <c r="R1563" s="410"/>
      <c r="S1563" s="410"/>
      <c r="T1563" s="410"/>
      <c r="U1563" s="410"/>
      <c r="V1563" s="410"/>
      <c r="W1563" s="410"/>
      <c r="X1563" s="410"/>
      <c r="Y1563" s="410"/>
    </row>
    <row r="1564" spans="1:25" x14ac:dyDescent="0.2">
      <c r="A1564" s="410"/>
      <c r="B1564" s="410"/>
      <c r="C1564" s="410"/>
      <c r="D1564" s="410"/>
      <c r="E1564" s="410"/>
      <c r="F1564" s="410"/>
      <c r="G1564" s="410"/>
      <c r="H1564" s="410"/>
      <c r="I1564" s="410"/>
      <c r="J1564" s="410"/>
      <c r="K1564" s="410"/>
      <c r="L1564" s="410"/>
      <c r="M1564" s="410"/>
      <c r="N1564" s="410"/>
      <c r="R1564" s="410"/>
      <c r="S1564" s="410"/>
      <c r="T1564" s="410"/>
      <c r="U1564" s="410"/>
      <c r="V1564" s="410"/>
      <c r="W1564" s="410"/>
      <c r="X1564" s="410"/>
      <c r="Y1564" s="410"/>
    </row>
    <row r="1565" spans="1:25" x14ac:dyDescent="0.2">
      <c r="A1565" s="410"/>
      <c r="B1565" s="410"/>
      <c r="C1565" s="410"/>
      <c r="D1565" s="410"/>
      <c r="E1565" s="410"/>
      <c r="F1565" s="410"/>
      <c r="G1565" s="410"/>
      <c r="H1565" s="410"/>
      <c r="I1565" s="410"/>
      <c r="J1565" s="410"/>
      <c r="K1565" s="410"/>
      <c r="L1565" s="410"/>
      <c r="M1565" s="410"/>
      <c r="N1565" s="410"/>
      <c r="R1565" s="410"/>
      <c r="S1565" s="410"/>
      <c r="T1565" s="410"/>
      <c r="U1565" s="410"/>
      <c r="V1565" s="410"/>
      <c r="W1565" s="410"/>
      <c r="X1565" s="410"/>
      <c r="Y1565" s="410"/>
    </row>
    <row r="1566" spans="1:25" x14ac:dyDescent="0.2">
      <c r="A1566" s="410"/>
      <c r="B1566" s="410"/>
      <c r="C1566" s="410"/>
      <c r="D1566" s="410"/>
      <c r="E1566" s="410"/>
      <c r="F1566" s="410"/>
      <c r="G1566" s="410"/>
      <c r="H1566" s="410"/>
      <c r="I1566" s="410"/>
      <c r="J1566" s="410"/>
      <c r="K1566" s="410"/>
      <c r="L1566" s="410"/>
      <c r="M1566" s="410"/>
      <c r="N1566" s="410"/>
      <c r="R1566" s="410"/>
      <c r="S1566" s="410"/>
      <c r="T1566" s="410"/>
      <c r="U1566" s="410"/>
      <c r="V1566" s="410"/>
      <c r="W1566" s="410"/>
      <c r="X1566" s="410"/>
      <c r="Y1566" s="410"/>
    </row>
    <row r="1567" spans="1:25" x14ac:dyDescent="0.2">
      <c r="A1567" s="410"/>
      <c r="B1567" s="410"/>
      <c r="C1567" s="410"/>
      <c r="D1567" s="410"/>
      <c r="E1567" s="410"/>
      <c r="F1567" s="410"/>
      <c r="G1567" s="410"/>
      <c r="H1567" s="410"/>
      <c r="I1567" s="410"/>
      <c r="J1567" s="410"/>
      <c r="K1567" s="410"/>
      <c r="L1567" s="410"/>
      <c r="M1567" s="410"/>
      <c r="N1567" s="410"/>
      <c r="R1567" s="410"/>
      <c r="S1567" s="410"/>
      <c r="T1567" s="410"/>
      <c r="U1567" s="410"/>
      <c r="V1567" s="410"/>
      <c r="W1567" s="410"/>
      <c r="X1567" s="410"/>
      <c r="Y1567" s="410"/>
    </row>
    <row r="1568" spans="1:25" x14ac:dyDescent="0.2">
      <c r="A1568" s="410"/>
      <c r="B1568" s="410"/>
      <c r="C1568" s="410"/>
      <c r="D1568" s="410"/>
      <c r="E1568" s="410"/>
      <c r="F1568" s="410"/>
      <c r="G1568" s="410"/>
      <c r="H1568" s="410"/>
      <c r="I1568" s="410"/>
      <c r="J1568" s="410"/>
      <c r="K1568" s="410"/>
      <c r="L1568" s="410"/>
      <c r="M1568" s="410"/>
      <c r="N1568" s="410"/>
      <c r="R1568" s="410"/>
      <c r="S1568" s="410"/>
      <c r="T1568" s="410"/>
      <c r="U1568" s="410"/>
      <c r="V1568" s="410"/>
      <c r="W1568" s="410"/>
      <c r="X1568" s="410"/>
      <c r="Y1568" s="410"/>
    </row>
    <row r="1569" spans="1:25" x14ac:dyDescent="0.2">
      <c r="A1569" s="410"/>
      <c r="B1569" s="410"/>
      <c r="C1569" s="410"/>
      <c r="D1569" s="410"/>
      <c r="E1569" s="410"/>
      <c r="F1569" s="410"/>
      <c r="G1569" s="410"/>
      <c r="H1569" s="410"/>
      <c r="I1569" s="410"/>
      <c r="J1569" s="410"/>
      <c r="K1569" s="410"/>
      <c r="L1569" s="410"/>
      <c r="M1569" s="410"/>
      <c r="N1569" s="410"/>
      <c r="R1569" s="410"/>
      <c r="S1569" s="410"/>
      <c r="T1569" s="410"/>
      <c r="U1569" s="410"/>
      <c r="V1569" s="410"/>
      <c r="W1569" s="410"/>
      <c r="X1569" s="410"/>
      <c r="Y1569" s="410"/>
    </row>
    <row r="1570" spans="1:25" x14ac:dyDescent="0.2">
      <c r="A1570" s="410"/>
      <c r="B1570" s="410"/>
      <c r="C1570" s="410"/>
      <c r="D1570" s="410"/>
      <c r="E1570" s="410"/>
      <c r="F1570" s="410"/>
      <c r="G1570" s="410"/>
      <c r="H1570" s="410"/>
      <c r="I1570" s="410"/>
      <c r="J1570" s="410"/>
      <c r="K1570" s="410"/>
      <c r="L1570" s="410"/>
      <c r="M1570" s="410"/>
      <c r="N1570" s="410"/>
      <c r="R1570" s="410"/>
      <c r="S1570" s="410"/>
      <c r="T1570" s="410"/>
      <c r="U1570" s="410"/>
      <c r="V1570" s="410"/>
      <c r="W1570" s="410"/>
      <c r="X1570" s="410"/>
      <c r="Y1570" s="410"/>
    </row>
    <row r="1571" spans="1:25" x14ac:dyDescent="0.2">
      <c r="A1571" s="410"/>
      <c r="B1571" s="410"/>
      <c r="C1571" s="410"/>
      <c r="D1571" s="410"/>
      <c r="E1571" s="410"/>
      <c r="F1571" s="410"/>
      <c r="G1571" s="410"/>
      <c r="H1571" s="410"/>
      <c r="I1571" s="410"/>
      <c r="J1571" s="410"/>
      <c r="K1571" s="410"/>
      <c r="L1571" s="410"/>
      <c r="M1571" s="410"/>
      <c r="N1571" s="410"/>
      <c r="R1571" s="410"/>
      <c r="S1571" s="410"/>
      <c r="T1571" s="410"/>
      <c r="U1571" s="410"/>
      <c r="V1571" s="410"/>
      <c r="W1571" s="410"/>
      <c r="X1571" s="410"/>
      <c r="Y1571" s="410"/>
    </row>
    <row r="1572" spans="1:25" x14ac:dyDescent="0.2">
      <c r="A1572" s="410"/>
      <c r="B1572" s="410"/>
      <c r="C1572" s="410"/>
      <c r="D1572" s="410"/>
      <c r="E1572" s="410"/>
      <c r="F1572" s="410"/>
      <c r="G1572" s="410"/>
      <c r="H1572" s="410"/>
      <c r="I1572" s="410"/>
      <c r="J1572" s="410"/>
      <c r="K1572" s="410"/>
      <c r="L1572" s="410"/>
      <c r="M1572" s="410"/>
      <c r="N1572" s="410"/>
      <c r="R1572" s="410"/>
      <c r="S1572" s="410"/>
      <c r="T1572" s="410"/>
      <c r="U1572" s="410"/>
      <c r="V1572" s="410"/>
      <c r="W1572" s="410"/>
      <c r="X1572" s="410"/>
      <c r="Y1572" s="410"/>
    </row>
    <row r="1573" spans="1:25" x14ac:dyDescent="0.2">
      <c r="A1573" s="410"/>
      <c r="B1573" s="410"/>
      <c r="C1573" s="410"/>
      <c r="D1573" s="410"/>
      <c r="E1573" s="410"/>
      <c r="F1573" s="410"/>
      <c r="G1573" s="410"/>
      <c r="H1573" s="410"/>
      <c r="I1573" s="410"/>
      <c r="J1573" s="410"/>
      <c r="K1573" s="410"/>
      <c r="L1573" s="410"/>
      <c r="M1573" s="410"/>
      <c r="N1573" s="410"/>
      <c r="R1573" s="410"/>
      <c r="S1573" s="410"/>
      <c r="T1573" s="410"/>
      <c r="U1573" s="410"/>
      <c r="V1573" s="410"/>
      <c r="W1573" s="410"/>
      <c r="X1573" s="410"/>
      <c r="Y1573" s="410"/>
    </row>
    <row r="1574" spans="1:25" x14ac:dyDescent="0.2">
      <c r="A1574" s="410"/>
      <c r="B1574" s="410"/>
      <c r="C1574" s="410"/>
      <c r="D1574" s="410"/>
      <c r="E1574" s="410"/>
      <c r="F1574" s="410"/>
      <c r="G1574" s="410"/>
      <c r="H1574" s="410"/>
      <c r="I1574" s="410"/>
      <c r="J1574" s="410"/>
      <c r="K1574" s="410"/>
      <c r="L1574" s="410"/>
      <c r="M1574" s="410"/>
      <c r="N1574" s="410"/>
      <c r="R1574" s="410"/>
      <c r="S1574" s="410"/>
      <c r="T1574" s="410"/>
      <c r="U1574" s="410"/>
      <c r="V1574" s="410"/>
      <c r="W1574" s="410"/>
      <c r="X1574" s="410"/>
      <c r="Y1574" s="410"/>
    </row>
    <row r="1575" spans="1:25" x14ac:dyDescent="0.2">
      <c r="A1575" s="410"/>
      <c r="B1575" s="410"/>
      <c r="C1575" s="410"/>
      <c r="D1575" s="410"/>
      <c r="E1575" s="410"/>
      <c r="F1575" s="410"/>
      <c r="G1575" s="410"/>
      <c r="H1575" s="410"/>
      <c r="I1575" s="410"/>
      <c r="J1575" s="410"/>
      <c r="K1575" s="410"/>
      <c r="L1575" s="410"/>
      <c r="M1575" s="410"/>
      <c r="N1575" s="410"/>
      <c r="R1575" s="410"/>
      <c r="S1575" s="410"/>
      <c r="T1575" s="410"/>
      <c r="U1575" s="410"/>
      <c r="V1575" s="410"/>
      <c r="W1575" s="410"/>
      <c r="X1575" s="410"/>
      <c r="Y1575" s="410"/>
    </row>
    <row r="1576" spans="1:25" x14ac:dyDescent="0.2">
      <c r="A1576" s="410"/>
      <c r="B1576" s="410"/>
      <c r="C1576" s="410"/>
      <c r="D1576" s="410"/>
      <c r="E1576" s="410"/>
      <c r="F1576" s="410"/>
      <c r="G1576" s="410"/>
      <c r="H1576" s="410"/>
      <c r="I1576" s="410"/>
      <c r="J1576" s="410"/>
      <c r="K1576" s="410"/>
      <c r="L1576" s="410"/>
      <c r="M1576" s="410"/>
      <c r="N1576" s="410"/>
      <c r="R1576" s="410"/>
      <c r="S1576" s="410"/>
      <c r="T1576" s="410"/>
      <c r="U1576" s="410"/>
      <c r="V1576" s="410"/>
      <c r="W1576" s="410"/>
      <c r="X1576" s="410"/>
      <c r="Y1576" s="410"/>
    </row>
    <row r="1577" spans="1:25" x14ac:dyDescent="0.2">
      <c r="A1577" s="410"/>
      <c r="B1577" s="410"/>
      <c r="C1577" s="410"/>
      <c r="D1577" s="410"/>
      <c r="E1577" s="410"/>
      <c r="F1577" s="410"/>
      <c r="G1577" s="410"/>
      <c r="H1577" s="410"/>
      <c r="I1577" s="410"/>
      <c r="J1577" s="410"/>
      <c r="K1577" s="410"/>
      <c r="L1577" s="410"/>
      <c r="M1577" s="410"/>
      <c r="N1577" s="410"/>
      <c r="R1577" s="410"/>
      <c r="S1577" s="410"/>
      <c r="T1577" s="410"/>
      <c r="U1577" s="410"/>
      <c r="V1577" s="410"/>
      <c r="W1577" s="410"/>
      <c r="X1577" s="410"/>
      <c r="Y1577" s="410"/>
    </row>
    <row r="1578" spans="1:25" x14ac:dyDescent="0.2">
      <c r="A1578" s="410"/>
      <c r="B1578" s="410"/>
      <c r="C1578" s="410"/>
      <c r="D1578" s="410"/>
      <c r="E1578" s="410"/>
      <c r="F1578" s="410"/>
      <c r="G1578" s="410"/>
      <c r="H1578" s="410"/>
      <c r="I1578" s="410"/>
      <c r="J1578" s="410"/>
      <c r="K1578" s="410"/>
      <c r="L1578" s="410"/>
      <c r="M1578" s="410"/>
      <c r="N1578" s="410"/>
      <c r="R1578" s="410"/>
      <c r="S1578" s="410"/>
      <c r="T1578" s="410"/>
      <c r="U1578" s="410"/>
      <c r="V1578" s="410"/>
      <c r="W1578" s="410"/>
      <c r="X1578" s="410"/>
      <c r="Y1578" s="410"/>
    </row>
    <row r="1579" spans="1:25" x14ac:dyDescent="0.2">
      <c r="A1579" s="410"/>
      <c r="B1579" s="410"/>
      <c r="C1579" s="410"/>
      <c r="D1579" s="410"/>
      <c r="E1579" s="410"/>
      <c r="F1579" s="410"/>
      <c r="G1579" s="410"/>
      <c r="H1579" s="410"/>
      <c r="I1579" s="410"/>
      <c r="J1579" s="410"/>
      <c r="K1579" s="410"/>
      <c r="L1579" s="410"/>
      <c r="M1579" s="410"/>
      <c r="N1579" s="410"/>
      <c r="R1579" s="410"/>
      <c r="S1579" s="410"/>
      <c r="T1579" s="410"/>
      <c r="U1579" s="410"/>
      <c r="V1579" s="410"/>
      <c r="W1579" s="410"/>
      <c r="X1579" s="410"/>
      <c r="Y1579" s="410"/>
    </row>
    <row r="1580" spans="1:25" x14ac:dyDescent="0.2">
      <c r="A1580" s="410"/>
      <c r="B1580" s="410"/>
      <c r="C1580" s="410"/>
      <c r="D1580" s="410"/>
      <c r="E1580" s="410"/>
      <c r="F1580" s="410"/>
      <c r="G1580" s="410"/>
      <c r="H1580" s="410"/>
      <c r="I1580" s="410"/>
      <c r="J1580" s="410"/>
      <c r="K1580" s="410"/>
      <c r="L1580" s="410"/>
      <c r="M1580" s="410"/>
      <c r="N1580" s="410"/>
      <c r="R1580" s="410"/>
      <c r="S1580" s="410"/>
      <c r="T1580" s="410"/>
      <c r="U1580" s="410"/>
      <c r="V1580" s="410"/>
      <c r="W1580" s="410"/>
      <c r="X1580" s="410"/>
      <c r="Y1580" s="410"/>
    </row>
    <row r="1581" spans="1:25" x14ac:dyDescent="0.2">
      <c r="A1581" s="410"/>
      <c r="B1581" s="410"/>
      <c r="C1581" s="410"/>
      <c r="D1581" s="410"/>
      <c r="E1581" s="410"/>
      <c r="F1581" s="410"/>
      <c r="G1581" s="410"/>
      <c r="H1581" s="410"/>
      <c r="I1581" s="410"/>
      <c r="J1581" s="410"/>
      <c r="K1581" s="410"/>
      <c r="L1581" s="410"/>
      <c r="M1581" s="410"/>
      <c r="N1581" s="410"/>
      <c r="R1581" s="410"/>
      <c r="S1581" s="410"/>
      <c r="T1581" s="410"/>
      <c r="U1581" s="410"/>
      <c r="V1581" s="410"/>
      <c r="W1581" s="410"/>
      <c r="X1581" s="410"/>
      <c r="Y1581" s="410"/>
    </row>
    <row r="1582" spans="1:25" x14ac:dyDescent="0.2">
      <c r="A1582" s="410"/>
      <c r="B1582" s="410"/>
      <c r="C1582" s="410"/>
      <c r="D1582" s="410"/>
      <c r="E1582" s="410"/>
      <c r="F1582" s="410"/>
      <c r="G1582" s="410"/>
      <c r="H1582" s="410"/>
      <c r="I1582" s="410"/>
      <c r="J1582" s="410"/>
      <c r="K1582" s="410"/>
      <c r="L1582" s="410"/>
      <c r="M1582" s="410"/>
      <c r="N1582" s="410"/>
      <c r="R1582" s="410"/>
      <c r="S1582" s="410"/>
      <c r="T1582" s="410"/>
      <c r="U1582" s="410"/>
      <c r="V1582" s="410"/>
      <c r="W1582" s="410"/>
      <c r="X1582" s="410"/>
      <c r="Y1582" s="410"/>
    </row>
    <row r="1583" spans="1:25" x14ac:dyDescent="0.2">
      <c r="A1583" s="410"/>
      <c r="B1583" s="410"/>
      <c r="C1583" s="410"/>
      <c r="D1583" s="410"/>
      <c r="E1583" s="410"/>
      <c r="F1583" s="410"/>
      <c r="G1583" s="410"/>
      <c r="H1583" s="410"/>
      <c r="I1583" s="410"/>
      <c r="J1583" s="410"/>
      <c r="K1583" s="410"/>
      <c r="L1583" s="410"/>
      <c r="M1583" s="410"/>
      <c r="N1583" s="410"/>
      <c r="R1583" s="410"/>
      <c r="S1583" s="410"/>
      <c r="T1583" s="410"/>
      <c r="U1583" s="410"/>
      <c r="V1583" s="410"/>
      <c r="W1583" s="410"/>
      <c r="X1583" s="410"/>
      <c r="Y1583" s="410"/>
    </row>
    <row r="1584" spans="1:25" x14ac:dyDescent="0.2">
      <c r="A1584" s="410"/>
      <c r="B1584" s="410"/>
      <c r="C1584" s="410"/>
      <c r="D1584" s="410"/>
      <c r="E1584" s="410"/>
      <c r="F1584" s="410"/>
      <c r="G1584" s="410"/>
      <c r="H1584" s="410"/>
      <c r="I1584" s="410"/>
      <c r="J1584" s="410"/>
      <c r="K1584" s="410"/>
      <c r="L1584" s="410"/>
      <c r="M1584" s="410"/>
      <c r="N1584" s="410"/>
      <c r="R1584" s="410"/>
      <c r="S1584" s="410"/>
      <c r="T1584" s="410"/>
      <c r="U1584" s="410"/>
      <c r="V1584" s="410"/>
      <c r="W1584" s="410"/>
      <c r="X1584" s="410"/>
      <c r="Y1584" s="410"/>
    </row>
    <row r="1585" spans="1:25" x14ac:dyDescent="0.2">
      <c r="A1585" s="410"/>
      <c r="B1585" s="410"/>
      <c r="C1585" s="410"/>
      <c r="D1585" s="410"/>
      <c r="E1585" s="410"/>
      <c r="F1585" s="410"/>
      <c r="G1585" s="410"/>
      <c r="H1585" s="410"/>
      <c r="I1585" s="410"/>
      <c r="J1585" s="410"/>
      <c r="K1585" s="410"/>
      <c r="L1585" s="410"/>
      <c r="M1585" s="410"/>
      <c r="N1585" s="410"/>
      <c r="R1585" s="410"/>
      <c r="S1585" s="410"/>
      <c r="T1585" s="410"/>
      <c r="U1585" s="410"/>
      <c r="V1585" s="410"/>
      <c r="W1585" s="410"/>
      <c r="X1585" s="410"/>
      <c r="Y1585" s="410"/>
    </row>
    <row r="1586" spans="1:25" x14ac:dyDescent="0.2">
      <c r="A1586" s="410"/>
      <c r="B1586" s="410"/>
      <c r="C1586" s="410"/>
      <c r="D1586" s="410"/>
      <c r="E1586" s="410"/>
      <c r="F1586" s="410"/>
      <c r="G1586" s="410"/>
      <c r="H1586" s="410"/>
      <c r="I1586" s="410"/>
      <c r="J1586" s="410"/>
      <c r="K1586" s="410"/>
      <c r="L1586" s="410"/>
      <c r="M1586" s="410"/>
      <c r="N1586" s="410"/>
      <c r="R1586" s="410"/>
      <c r="S1586" s="410"/>
      <c r="T1586" s="410"/>
      <c r="U1586" s="410"/>
      <c r="V1586" s="410"/>
      <c r="W1586" s="410"/>
      <c r="X1586" s="410"/>
      <c r="Y1586" s="410"/>
    </row>
    <row r="1587" spans="1:25" x14ac:dyDescent="0.2">
      <c r="A1587" s="410"/>
      <c r="B1587" s="410"/>
      <c r="C1587" s="410"/>
      <c r="D1587" s="410"/>
      <c r="E1587" s="410"/>
      <c r="F1587" s="410"/>
      <c r="G1587" s="410"/>
      <c r="H1587" s="410"/>
      <c r="I1587" s="410"/>
      <c r="J1587" s="410"/>
      <c r="K1587" s="410"/>
      <c r="L1587" s="410"/>
      <c r="M1587" s="410"/>
      <c r="N1587" s="410"/>
      <c r="R1587" s="410"/>
      <c r="S1587" s="410"/>
      <c r="T1587" s="410"/>
      <c r="U1587" s="410"/>
      <c r="V1587" s="410"/>
      <c r="W1587" s="410"/>
      <c r="X1587" s="410"/>
      <c r="Y1587" s="410"/>
    </row>
    <row r="1588" spans="1:25" x14ac:dyDescent="0.2">
      <c r="A1588" s="410"/>
      <c r="B1588" s="410"/>
      <c r="C1588" s="410"/>
      <c r="D1588" s="410"/>
      <c r="E1588" s="410"/>
      <c r="F1588" s="410"/>
      <c r="G1588" s="410"/>
      <c r="H1588" s="410"/>
      <c r="I1588" s="410"/>
      <c r="J1588" s="410"/>
      <c r="K1588" s="410"/>
      <c r="L1588" s="410"/>
      <c r="M1588" s="410"/>
      <c r="N1588" s="410"/>
      <c r="R1588" s="410"/>
      <c r="S1588" s="410"/>
      <c r="T1588" s="410"/>
      <c r="U1588" s="410"/>
      <c r="V1588" s="410"/>
      <c r="W1588" s="410"/>
      <c r="X1588" s="410"/>
      <c r="Y1588" s="410"/>
    </row>
    <row r="1589" spans="1:25" x14ac:dyDescent="0.2">
      <c r="A1589" s="410"/>
      <c r="B1589" s="410"/>
      <c r="C1589" s="410"/>
      <c r="D1589" s="410"/>
      <c r="E1589" s="410"/>
      <c r="F1589" s="410"/>
      <c r="G1589" s="410"/>
      <c r="H1589" s="410"/>
      <c r="I1589" s="410"/>
      <c r="J1589" s="410"/>
      <c r="K1589" s="410"/>
      <c r="L1589" s="410"/>
      <c r="M1589" s="410"/>
      <c r="N1589" s="410"/>
      <c r="R1589" s="410"/>
      <c r="S1589" s="410"/>
      <c r="T1589" s="410"/>
      <c r="U1589" s="410"/>
      <c r="V1589" s="410"/>
      <c r="W1589" s="410"/>
      <c r="X1589" s="410"/>
      <c r="Y1589" s="410"/>
    </row>
    <row r="1590" spans="1:25" x14ac:dyDescent="0.2">
      <c r="A1590" s="410"/>
      <c r="B1590" s="410"/>
      <c r="C1590" s="410"/>
      <c r="D1590" s="410"/>
      <c r="E1590" s="410"/>
      <c r="F1590" s="410"/>
      <c r="G1590" s="410"/>
      <c r="H1590" s="410"/>
      <c r="I1590" s="410"/>
      <c r="J1590" s="410"/>
      <c r="K1590" s="410"/>
      <c r="L1590" s="410"/>
      <c r="M1590" s="410"/>
      <c r="N1590" s="410"/>
      <c r="R1590" s="410"/>
      <c r="S1590" s="410"/>
      <c r="T1590" s="410"/>
      <c r="U1590" s="410"/>
      <c r="V1590" s="410"/>
      <c r="W1590" s="410"/>
      <c r="X1590" s="410"/>
      <c r="Y1590" s="410"/>
    </row>
    <row r="1591" spans="1:25" x14ac:dyDescent="0.2">
      <c r="A1591" s="410"/>
      <c r="B1591" s="410"/>
      <c r="C1591" s="410"/>
      <c r="D1591" s="410"/>
      <c r="E1591" s="410"/>
      <c r="F1591" s="410"/>
      <c r="G1591" s="410"/>
      <c r="H1591" s="410"/>
      <c r="I1591" s="410"/>
      <c r="J1591" s="410"/>
      <c r="K1591" s="410"/>
      <c r="L1591" s="410"/>
      <c r="M1591" s="410"/>
      <c r="N1591" s="410"/>
      <c r="R1591" s="410"/>
      <c r="S1591" s="410"/>
      <c r="T1591" s="410"/>
      <c r="U1591" s="410"/>
      <c r="V1591" s="410"/>
      <c r="W1591" s="410"/>
      <c r="X1591" s="410"/>
      <c r="Y1591" s="410"/>
    </row>
    <row r="1592" spans="1:25" x14ac:dyDescent="0.2">
      <c r="A1592" s="410"/>
      <c r="B1592" s="410"/>
      <c r="C1592" s="410"/>
      <c r="D1592" s="410"/>
      <c r="E1592" s="410"/>
      <c r="F1592" s="410"/>
      <c r="G1592" s="410"/>
      <c r="H1592" s="410"/>
      <c r="I1592" s="410"/>
      <c r="J1592" s="410"/>
      <c r="K1592" s="410"/>
      <c r="L1592" s="410"/>
      <c r="M1592" s="410"/>
      <c r="N1592" s="410"/>
      <c r="R1592" s="410"/>
      <c r="S1592" s="410"/>
      <c r="T1592" s="410"/>
      <c r="U1592" s="410"/>
      <c r="V1592" s="410"/>
      <c r="W1592" s="410"/>
      <c r="X1592" s="410"/>
      <c r="Y1592" s="410"/>
    </row>
    <row r="1593" spans="1:25" x14ac:dyDescent="0.2">
      <c r="A1593" s="410"/>
      <c r="B1593" s="410"/>
      <c r="C1593" s="410"/>
      <c r="D1593" s="410"/>
      <c r="E1593" s="410"/>
      <c r="F1593" s="410"/>
      <c r="G1593" s="410"/>
      <c r="H1593" s="410"/>
      <c r="I1593" s="410"/>
      <c r="J1593" s="410"/>
      <c r="K1593" s="410"/>
      <c r="L1593" s="410"/>
      <c r="M1593" s="410"/>
      <c r="N1593" s="410"/>
      <c r="R1593" s="410"/>
      <c r="S1593" s="410"/>
      <c r="T1593" s="410"/>
      <c r="U1593" s="410"/>
      <c r="V1593" s="410"/>
      <c r="W1593" s="410"/>
      <c r="X1593" s="410"/>
      <c r="Y1593" s="410"/>
    </row>
    <row r="1594" spans="1:25" x14ac:dyDescent="0.2">
      <c r="A1594" s="410"/>
      <c r="B1594" s="410"/>
      <c r="C1594" s="410"/>
      <c r="D1594" s="410"/>
      <c r="E1594" s="410"/>
      <c r="F1594" s="410"/>
      <c r="G1594" s="410"/>
      <c r="H1594" s="410"/>
      <c r="I1594" s="410"/>
      <c r="J1594" s="410"/>
      <c r="K1594" s="410"/>
      <c r="L1594" s="410"/>
      <c r="M1594" s="410"/>
      <c r="N1594" s="410"/>
      <c r="R1594" s="410"/>
      <c r="S1594" s="410"/>
      <c r="T1594" s="410"/>
      <c r="U1594" s="410"/>
      <c r="V1594" s="410"/>
      <c r="W1594" s="410"/>
      <c r="X1594" s="410"/>
      <c r="Y1594" s="410"/>
    </row>
    <row r="1595" spans="1:25" x14ac:dyDescent="0.2">
      <c r="A1595" s="410"/>
      <c r="B1595" s="410"/>
      <c r="C1595" s="410"/>
      <c r="D1595" s="410"/>
      <c r="E1595" s="410"/>
      <c r="F1595" s="410"/>
      <c r="G1595" s="410"/>
      <c r="H1595" s="410"/>
      <c r="I1595" s="410"/>
      <c r="J1595" s="410"/>
      <c r="K1595" s="410"/>
      <c r="L1595" s="410"/>
      <c r="M1595" s="410"/>
      <c r="N1595" s="410"/>
      <c r="R1595" s="410"/>
      <c r="S1595" s="410"/>
      <c r="T1595" s="410"/>
      <c r="U1595" s="410"/>
      <c r="V1595" s="410"/>
      <c r="W1595" s="410"/>
      <c r="X1595" s="410"/>
      <c r="Y1595" s="410"/>
    </row>
    <row r="1596" spans="1:25" x14ac:dyDescent="0.2">
      <c r="A1596" s="410"/>
      <c r="B1596" s="410"/>
      <c r="C1596" s="410"/>
      <c r="D1596" s="410"/>
      <c r="E1596" s="410"/>
      <c r="F1596" s="410"/>
      <c r="G1596" s="410"/>
      <c r="H1596" s="410"/>
      <c r="I1596" s="410"/>
      <c r="J1596" s="410"/>
      <c r="K1596" s="410"/>
      <c r="L1596" s="410"/>
      <c r="M1596" s="410"/>
      <c r="N1596" s="410"/>
      <c r="R1596" s="410"/>
      <c r="S1596" s="410"/>
      <c r="T1596" s="410"/>
      <c r="U1596" s="410"/>
      <c r="V1596" s="410"/>
      <c r="W1596" s="410"/>
      <c r="X1596" s="410"/>
      <c r="Y1596" s="410"/>
    </row>
    <row r="1597" spans="1:25" x14ac:dyDescent="0.2">
      <c r="A1597" s="410"/>
      <c r="B1597" s="410"/>
      <c r="C1597" s="410"/>
      <c r="D1597" s="410"/>
      <c r="E1597" s="410"/>
      <c r="F1597" s="410"/>
      <c r="G1597" s="410"/>
      <c r="H1597" s="410"/>
      <c r="I1597" s="410"/>
      <c r="J1597" s="410"/>
      <c r="K1597" s="410"/>
      <c r="L1597" s="410"/>
      <c r="M1597" s="410"/>
      <c r="N1597" s="410"/>
      <c r="R1597" s="410"/>
      <c r="S1597" s="410"/>
      <c r="T1597" s="410"/>
      <c r="U1597" s="410"/>
      <c r="V1597" s="410"/>
      <c r="W1597" s="410"/>
      <c r="X1597" s="410"/>
      <c r="Y1597" s="410"/>
    </row>
    <row r="1598" spans="1:25" x14ac:dyDescent="0.2">
      <c r="A1598" s="410"/>
      <c r="B1598" s="410"/>
      <c r="C1598" s="410"/>
      <c r="D1598" s="410"/>
      <c r="E1598" s="410"/>
      <c r="F1598" s="410"/>
      <c r="G1598" s="410"/>
      <c r="H1598" s="410"/>
      <c r="I1598" s="410"/>
      <c r="J1598" s="410"/>
      <c r="K1598" s="410"/>
      <c r="L1598" s="410"/>
      <c r="M1598" s="410"/>
      <c r="N1598" s="410"/>
      <c r="R1598" s="410"/>
      <c r="S1598" s="410"/>
      <c r="T1598" s="410"/>
      <c r="U1598" s="410"/>
      <c r="V1598" s="410"/>
      <c r="W1598" s="410"/>
      <c r="X1598" s="410"/>
      <c r="Y1598" s="410"/>
    </row>
    <row r="1599" spans="1:25" x14ac:dyDescent="0.2">
      <c r="A1599" s="410"/>
      <c r="B1599" s="410"/>
      <c r="C1599" s="410"/>
      <c r="D1599" s="410"/>
      <c r="E1599" s="410"/>
      <c r="F1599" s="410"/>
      <c r="G1599" s="410"/>
      <c r="H1599" s="410"/>
      <c r="I1599" s="410"/>
      <c r="J1599" s="410"/>
      <c r="K1599" s="410"/>
      <c r="L1599" s="410"/>
      <c r="M1599" s="410"/>
      <c r="N1599" s="410"/>
      <c r="R1599" s="410"/>
      <c r="S1599" s="410"/>
      <c r="T1599" s="410"/>
      <c r="U1599" s="410"/>
      <c r="V1599" s="410"/>
      <c r="W1599" s="410"/>
      <c r="X1599" s="410"/>
      <c r="Y1599" s="410"/>
    </row>
    <row r="1600" spans="1:25" x14ac:dyDescent="0.2">
      <c r="A1600" s="410"/>
      <c r="B1600" s="410"/>
      <c r="C1600" s="410"/>
      <c r="D1600" s="410"/>
      <c r="E1600" s="410"/>
      <c r="F1600" s="410"/>
      <c r="G1600" s="410"/>
      <c r="H1600" s="410"/>
      <c r="I1600" s="410"/>
      <c r="J1600" s="410"/>
      <c r="K1600" s="410"/>
      <c r="L1600" s="410"/>
      <c r="M1600" s="410"/>
      <c r="N1600" s="410"/>
      <c r="R1600" s="410"/>
      <c r="S1600" s="410"/>
      <c r="T1600" s="410"/>
      <c r="U1600" s="410"/>
      <c r="V1600" s="410"/>
      <c r="W1600" s="410"/>
      <c r="X1600" s="410"/>
      <c r="Y1600" s="410"/>
    </row>
    <row r="1601" spans="1:25" x14ac:dyDescent="0.2">
      <c r="A1601" s="410"/>
      <c r="B1601" s="410"/>
      <c r="C1601" s="410"/>
      <c r="D1601" s="410"/>
      <c r="E1601" s="410"/>
      <c r="F1601" s="410"/>
      <c r="G1601" s="410"/>
      <c r="H1601" s="410"/>
      <c r="I1601" s="410"/>
      <c r="J1601" s="410"/>
      <c r="K1601" s="410"/>
      <c r="L1601" s="410"/>
      <c r="M1601" s="410"/>
      <c r="N1601" s="410"/>
      <c r="R1601" s="410"/>
      <c r="S1601" s="410"/>
      <c r="T1601" s="410"/>
      <c r="U1601" s="410"/>
      <c r="V1601" s="410"/>
      <c r="W1601" s="410"/>
      <c r="X1601" s="410"/>
      <c r="Y1601" s="410"/>
    </row>
    <row r="1602" spans="1:25" x14ac:dyDescent="0.2">
      <c r="A1602" s="410"/>
      <c r="B1602" s="410"/>
      <c r="C1602" s="410"/>
      <c r="D1602" s="410"/>
      <c r="E1602" s="410"/>
      <c r="F1602" s="410"/>
      <c r="G1602" s="410"/>
      <c r="H1602" s="410"/>
      <c r="I1602" s="410"/>
      <c r="J1602" s="410"/>
      <c r="K1602" s="410"/>
      <c r="L1602" s="410"/>
      <c r="M1602" s="410"/>
      <c r="N1602" s="410"/>
      <c r="R1602" s="410"/>
      <c r="S1602" s="410"/>
      <c r="T1602" s="410"/>
      <c r="U1602" s="410"/>
      <c r="V1602" s="410"/>
      <c r="W1602" s="410"/>
      <c r="X1602" s="410"/>
      <c r="Y1602" s="410"/>
    </row>
    <row r="1603" spans="1:25" x14ac:dyDescent="0.2">
      <c r="A1603" s="410"/>
      <c r="B1603" s="410"/>
      <c r="C1603" s="410"/>
      <c r="D1603" s="410"/>
      <c r="E1603" s="410"/>
      <c r="F1603" s="410"/>
      <c r="G1603" s="410"/>
      <c r="H1603" s="410"/>
      <c r="I1603" s="410"/>
      <c r="J1603" s="410"/>
      <c r="K1603" s="410"/>
      <c r="L1603" s="410"/>
      <c r="M1603" s="410"/>
      <c r="N1603" s="410"/>
      <c r="R1603" s="410"/>
      <c r="S1603" s="410"/>
      <c r="T1603" s="410"/>
      <c r="U1603" s="410"/>
      <c r="V1603" s="410"/>
      <c r="W1603" s="410"/>
      <c r="X1603" s="410"/>
      <c r="Y1603" s="410"/>
    </row>
    <row r="1604" spans="1:25" x14ac:dyDescent="0.2">
      <c r="A1604" s="410"/>
      <c r="B1604" s="410"/>
      <c r="C1604" s="410"/>
      <c r="D1604" s="410"/>
      <c r="E1604" s="410"/>
      <c r="F1604" s="410"/>
      <c r="G1604" s="410"/>
      <c r="H1604" s="410"/>
      <c r="I1604" s="410"/>
      <c r="J1604" s="410"/>
      <c r="K1604" s="410"/>
      <c r="L1604" s="410"/>
      <c r="M1604" s="410"/>
      <c r="N1604" s="410"/>
      <c r="R1604" s="410"/>
      <c r="S1604" s="410"/>
      <c r="T1604" s="410"/>
      <c r="U1604" s="410"/>
      <c r="V1604" s="410"/>
      <c r="W1604" s="410"/>
      <c r="X1604" s="410"/>
      <c r="Y1604" s="410"/>
    </row>
    <row r="1605" spans="1:25" x14ac:dyDescent="0.2">
      <c r="A1605" s="410"/>
      <c r="B1605" s="410"/>
      <c r="C1605" s="410"/>
      <c r="D1605" s="410"/>
      <c r="E1605" s="410"/>
      <c r="F1605" s="410"/>
      <c r="G1605" s="410"/>
      <c r="H1605" s="410"/>
      <c r="I1605" s="410"/>
      <c r="J1605" s="410"/>
      <c r="K1605" s="410"/>
      <c r="L1605" s="410"/>
      <c r="M1605" s="410"/>
      <c r="N1605" s="410"/>
      <c r="R1605" s="410"/>
      <c r="S1605" s="410"/>
      <c r="T1605" s="410"/>
      <c r="U1605" s="410"/>
      <c r="V1605" s="410"/>
      <c r="W1605" s="410"/>
      <c r="X1605" s="410"/>
      <c r="Y1605" s="410"/>
    </row>
    <row r="1606" spans="1:25" x14ac:dyDescent="0.2">
      <c r="A1606" s="410"/>
      <c r="B1606" s="410"/>
      <c r="C1606" s="410"/>
      <c r="D1606" s="410"/>
      <c r="E1606" s="410"/>
      <c r="F1606" s="410"/>
      <c r="G1606" s="410"/>
      <c r="H1606" s="410"/>
      <c r="I1606" s="410"/>
      <c r="J1606" s="410"/>
      <c r="K1606" s="410"/>
      <c r="L1606" s="410"/>
      <c r="M1606" s="410"/>
      <c r="N1606" s="410"/>
      <c r="R1606" s="410"/>
      <c r="S1606" s="410"/>
      <c r="T1606" s="410"/>
      <c r="U1606" s="410"/>
      <c r="V1606" s="410"/>
      <c r="W1606" s="410"/>
      <c r="X1606" s="410"/>
      <c r="Y1606" s="410"/>
    </row>
    <row r="1607" spans="1:25" x14ac:dyDescent="0.2">
      <c r="A1607" s="410"/>
      <c r="B1607" s="410"/>
      <c r="C1607" s="410"/>
      <c r="D1607" s="410"/>
      <c r="E1607" s="410"/>
      <c r="F1607" s="410"/>
      <c r="G1607" s="410"/>
      <c r="H1607" s="410"/>
      <c r="I1607" s="410"/>
      <c r="J1607" s="410"/>
      <c r="K1607" s="410"/>
      <c r="L1607" s="410"/>
      <c r="M1607" s="410"/>
      <c r="N1607" s="410"/>
      <c r="R1607" s="410"/>
      <c r="S1607" s="410"/>
      <c r="T1607" s="410"/>
      <c r="U1607" s="410"/>
      <c r="V1607" s="410"/>
      <c r="W1607" s="410"/>
      <c r="X1607" s="410"/>
      <c r="Y1607" s="410"/>
    </row>
    <row r="1608" spans="1:25" x14ac:dyDescent="0.2">
      <c r="A1608" s="410"/>
      <c r="B1608" s="410"/>
      <c r="C1608" s="410"/>
      <c r="D1608" s="410"/>
      <c r="E1608" s="410"/>
      <c r="F1608" s="410"/>
      <c r="G1608" s="410"/>
      <c r="H1608" s="410"/>
      <c r="I1608" s="410"/>
      <c r="J1608" s="410"/>
      <c r="K1608" s="410"/>
      <c r="L1608" s="410"/>
      <c r="M1608" s="410"/>
      <c r="N1608" s="410"/>
      <c r="R1608" s="410"/>
      <c r="S1608" s="410"/>
      <c r="T1608" s="410"/>
      <c r="U1608" s="410"/>
      <c r="V1608" s="410"/>
      <c r="W1608" s="410"/>
      <c r="X1608" s="410"/>
      <c r="Y1608" s="410"/>
    </row>
    <row r="1609" spans="1:25" x14ac:dyDescent="0.2">
      <c r="A1609" s="410"/>
      <c r="B1609" s="410"/>
      <c r="C1609" s="410"/>
      <c r="D1609" s="410"/>
      <c r="E1609" s="410"/>
      <c r="F1609" s="410"/>
      <c r="G1609" s="410"/>
      <c r="H1609" s="410"/>
      <c r="I1609" s="410"/>
      <c r="J1609" s="410"/>
      <c r="K1609" s="410"/>
      <c r="L1609" s="410"/>
      <c r="M1609" s="410"/>
      <c r="N1609" s="410"/>
      <c r="R1609" s="410"/>
      <c r="S1609" s="410"/>
      <c r="T1609" s="410"/>
      <c r="U1609" s="410"/>
      <c r="V1609" s="410"/>
      <c r="W1609" s="410"/>
      <c r="X1609" s="410"/>
      <c r="Y1609" s="410"/>
    </row>
    <row r="1610" spans="1:25" x14ac:dyDescent="0.2">
      <c r="A1610" s="410"/>
      <c r="B1610" s="410"/>
      <c r="C1610" s="410"/>
      <c r="D1610" s="410"/>
      <c r="E1610" s="410"/>
      <c r="F1610" s="410"/>
      <c r="G1610" s="410"/>
      <c r="H1610" s="410"/>
      <c r="I1610" s="410"/>
      <c r="J1610" s="410"/>
      <c r="K1610" s="410"/>
      <c r="L1610" s="410"/>
      <c r="M1610" s="410"/>
      <c r="N1610" s="410"/>
      <c r="R1610" s="410"/>
      <c r="S1610" s="410"/>
      <c r="T1610" s="410"/>
      <c r="U1610" s="410"/>
      <c r="V1610" s="410"/>
      <c r="W1610" s="410"/>
      <c r="X1610" s="410"/>
      <c r="Y1610" s="410"/>
    </row>
    <row r="1611" spans="1:25" x14ac:dyDescent="0.2">
      <c r="A1611" s="410"/>
      <c r="B1611" s="410"/>
      <c r="C1611" s="410"/>
      <c r="D1611" s="410"/>
      <c r="E1611" s="410"/>
      <c r="F1611" s="410"/>
      <c r="G1611" s="410"/>
      <c r="H1611" s="410"/>
      <c r="I1611" s="410"/>
      <c r="J1611" s="410"/>
      <c r="K1611" s="410"/>
      <c r="L1611" s="410"/>
      <c r="M1611" s="410"/>
      <c r="N1611" s="410"/>
      <c r="R1611" s="410"/>
      <c r="S1611" s="410"/>
      <c r="T1611" s="410"/>
      <c r="U1611" s="410"/>
      <c r="V1611" s="410"/>
      <c r="W1611" s="410"/>
      <c r="X1611" s="410"/>
      <c r="Y1611" s="410"/>
    </row>
    <row r="1612" spans="1:25" x14ac:dyDescent="0.2">
      <c r="A1612" s="410"/>
      <c r="B1612" s="410"/>
      <c r="C1612" s="410"/>
      <c r="D1612" s="410"/>
      <c r="E1612" s="410"/>
      <c r="F1612" s="410"/>
      <c r="G1612" s="410"/>
      <c r="H1612" s="410"/>
      <c r="I1612" s="410"/>
      <c r="J1612" s="410"/>
      <c r="K1612" s="410"/>
      <c r="L1612" s="410"/>
      <c r="M1612" s="410"/>
      <c r="N1612" s="410"/>
      <c r="R1612" s="410"/>
      <c r="S1612" s="410"/>
      <c r="T1612" s="410"/>
      <c r="U1612" s="410"/>
      <c r="V1612" s="410"/>
      <c r="W1612" s="410"/>
      <c r="X1612" s="410"/>
      <c r="Y1612" s="410"/>
    </row>
    <row r="1613" spans="1:25" x14ac:dyDescent="0.2">
      <c r="A1613" s="410"/>
      <c r="B1613" s="410"/>
      <c r="C1613" s="410"/>
      <c r="D1613" s="410"/>
      <c r="E1613" s="410"/>
      <c r="F1613" s="410"/>
      <c r="G1613" s="410"/>
      <c r="H1613" s="410"/>
      <c r="I1613" s="410"/>
      <c r="J1613" s="410"/>
      <c r="K1613" s="410"/>
      <c r="L1613" s="410"/>
      <c r="M1613" s="410"/>
      <c r="N1613" s="410"/>
      <c r="R1613" s="410"/>
      <c r="S1613" s="410"/>
      <c r="T1613" s="410"/>
      <c r="U1613" s="410"/>
      <c r="V1613" s="410"/>
      <c r="W1613" s="410"/>
      <c r="X1613" s="410"/>
      <c r="Y1613" s="410"/>
    </row>
    <row r="1614" spans="1:25" x14ac:dyDescent="0.2">
      <c r="A1614" s="410"/>
      <c r="B1614" s="410"/>
      <c r="C1614" s="410"/>
      <c r="D1614" s="410"/>
      <c r="E1614" s="410"/>
      <c r="F1614" s="410"/>
      <c r="G1614" s="410"/>
      <c r="H1614" s="410"/>
      <c r="I1614" s="410"/>
      <c r="J1614" s="410"/>
      <c r="K1614" s="410"/>
      <c r="L1614" s="410"/>
      <c r="M1614" s="410"/>
      <c r="N1614" s="410"/>
      <c r="R1614" s="410"/>
      <c r="S1614" s="410"/>
      <c r="T1614" s="410"/>
      <c r="U1614" s="410"/>
      <c r="V1614" s="410"/>
      <c r="W1614" s="410"/>
      <c r="X1614" s="410"/>
      <c r="Y1614" s="410"/>
    </row>
    <row r="1615" spans="1:25" x14ac:dyDescent="0.2">
      <c r="A1615" s="410"/>
      <c r="B1615" s="410"/>
      <c r="C1615" s="410"/>
      <c r="D1615" s="410"/>
      <c r="E1615" s="410"/>
      <c r="F1615" s="410"/>
      <c r="G1615" s="410"/>
      <c r="H1615" s="410"/>
      <c r="I1615" s="410"/>
      <c r="J1615" s="410"/>
      <c r="K1615" s="410"/>
      <c r="L1615" s="410"/>
      <c r="M1615" s="410"/>
      <c r="N1615" s="410"/>
      <c r="R1615" s="410"/>
      <c r="S1615" s="410"/>
      <c r="T1615" s="410"/>
      <c r="U1615" s="410"/>
      <c r="V1615" s="410"/>
      <c r="W1615" s="410"/>
      <c r="X1615" s="410"/>
      <c r="Y1615" s="410"/>
    </row>
    <row r="1616" spans="1:25" x14ac:dyDescent="0.2">
      <c r="A1616" s="410"/>
      <c r="B1616" s="410"/>
      <c r="C1616" s="410"/>
      <c r="D1616" s="410"/>
      <c r="E1616" s="410"/>
      <c r="F1616" s="410"/>
      <c r="G1616" s="410"/>
      <c r="H1616" s="410"/>
      <c r="I1616" s="410"/>
      <c r="J1616" s="410"/>
      <c r="K1616" s="410"/>
      <c r="L1616" s="410"/>
      <c r="M1616" s="410"/>
      <c r="N1616" s="410"/>
      <c r="R1616" s="410"/>
      <c r="S1616" s="410"/>
      <c r="T1616" s="410"/>
      <c r="U1616" s="410"/>
      <c r="V1616" s="410"/>
      <c r="W1616" s="410"/>
      <c r="X1616" s="410"/>
      <c r="Y1616" s="410"/>
    </row>
    <row r="1617" spans="1:25" x14ac:dyDescent="0.2">
      <c r="A1617" s="410"/>
      <c r="B1617" s="410"/>
      <c r="C1617" s="410"/>
      <c r="D1617" s="410"/>
      <c r="E1617" s="410"/>
      <c r="F1617" s="410"/>
      <c r="G1617" s="410"/>
      <c r="H1617" s="410"/>
      <c r="I1617" s="410"/>
      <c r="J1617" s="410"/>
      <c r="K1617" s="410"/>
      <c r="L1617" s="410"/>
      <c r="M1617" s="410"/>
      <c r="N1617" s="410"/>
      <c r="R1617" s="410"/>
      <c r="S1617" s="410"/>
      <c r="T1617" s="410"/>
      <c r="U1617" s="410"/>
      <c r="V1617" s="410"/>
      <c r="W1617" s="410"/>
      <c r="X1617" s="410"/>
      <c r="Y1617" s="410"/>
    </row>
    <row r="1618" spans="1:25" x14ac:dyDescent="0.2">
      <c r="A1618" s="410"/>
      <c r="B1618" s="410"/>
      <c r="C1618" s="410"/>
      <c r="D1618" s="410"/>
      <c r="E1618" s="410"/>
      <c r="F1618" s="410"/>
      <c r="G1618" s="410"/>
      <c r="H1618" s="410"/>
      <c r="I1618" s="410"/>
      <c r="J1618" s="410"/>
      <c r="K1618" s="410"/>
      <c r="L1618" s="410"/>
      <c r="M1618" s="410"/>
      <c r="N1618" s="410"/>
      <c r="R1618" s="410"/>
      <c r="S1618" s="410"/>
      <c r="T1618" s="410"/>
      <c r="U1618" s="410"/>
      <c r="V1618" s="410"/>
      <c r="W1618" s="410"/>
      <c r="X1618" s="410"/>
      <c r="Y1618" s="410"/>
    </row>
    <row r="1619" spans="1:25" x14ac:dyDescent="0.2">
      <c r="A1619" s="410"/>
      <c r="B1619" s="410"/>
      <c r="C1619" s="410"/>
      <c r="D1619" s="410"/>
      <c r="E1619" s="410"/>
      <c r="F1619" s="410"/>
      <c r="G1619" s="410"/>
      <c r="H1619" s="410"/>
      <c r="I1619" s="410"/>
      <c r="J1619" s="410"/>
      <c r="K1619" s="410"/>
      <c r="L1619" s="410"/>
      <c r="M1619" s="410"/>
      <c r="N1619" s="410"/>
      <c r="R1619" s="410"/>
      <c r="S1619" s="410"/>
      <c r="T1619" s="410"/>
      <c r="U1619" s="410"/>
      <c r="V1619" s="410"/>
      <c r="W1619" s="410"/>
      <c r="X1619" s="410"/>
      <c r="Y1619" s="410"/>
    </row>
    <row r="1620" spans="1:25" x14ac:dyDescent="0.2">
      <c r="A1620" s="410"/>
      <c r="B1620" s="410"/>
      <c r="C1620" s="410"/>
      <c r="D1620" s="410"/>
      <c r="E1620" s="410"/>
      <c r="F1620" s="410"/>
      <c r="G1620" s="410"/>
      <c r="H1620" s="410"/>
      <c r="I1620" s="410"/>
      <c r="J1620" s="410"/>
      <c r="K1620" s="410"/>
      <c r="L1620" s="410"/>
      <c r="M1620" s="410"/>
      <c r="N1620" s="410"/>
      <c r="R1620" s="410"/>
      <c r="S1620" s="410"/>
      <c r="T1620" s="410"/>
      <c r="U1620" s="410"/>
      <c r="V1620" s="410"/>
      <c r="W1620" s="410"/>
      <c r="X1620" s="410"/>
      <c r="Y1620" s="410"/>
    </row>
    <row r="1621" spans="1:25" x14ac:dyDescent="0.2">
      <c r="A1621" s="410"/>
      <c r="B1621" s="410"/>
      <c r="C1621" s="410"/>
      <c r="D1621" s="410"/>
      <c r="E1621" s="410"/>
      <c r="F1621" s="410"/>
      <c r="G1621" s="410"/>
      <c r="H1621" s="410"/>
      <c r="I1621" s="410"/>
      <c r="J1621" s="410"/>
      <c r="K1621" s="410"/>
      <c r="L1621" s="410"/>
      <c r="M1621" s="410"/>
      <c r="N1621" s="410"/>
      <c r="R1621" s="410"/>
      <c r="S1621" s="410"/>
      <c r="T1621" s="410"/>
      <c r="U1621" s="410"/>
      <c r="V1621" s="410"/>
      <c r="W1621" s="410"/>
      <c r="X1621" s="410"/>
      <c r="Y1621" s="410"/>
    </row>
    <row r="1622" spans="1:25" x14ac:dyDescent="0.2">
      <c r="A1622" s="410"/>
      <c r="B1622" s="410"/>
      <c r="C1622" s="410"/>
      <c r="D1622" s="410"/>
      <c r="E1622" s="410"/>
      <c r="F1622" s="410"/>
      <c r="G1622" s="410"/>
      <c r="H1622" s="410"/>
      <c r="I1622" s="410"/>
      <c r="J1622" s="410"/>
      <c r="K1622" s="410"/>
      <c r="L1622" s="410"/>
      <c r="M1622" s="410"/>
      <c r="N1622" s="410"/>
      <c r="R1622" s="410"/>
      <c r="S1622" s="410"/>
      <c r="T1622" s="410"/>
      <c r="U1622" s="410"/>
      <c r="V1622" s="410"/>
      <c r="W1622" s="410"/>
      <c r="X1622" s="410"/>
      <c r="Y1622" s="410"/>
    </row>
    <row r="1623" spans="1:25" x14ac:dyDescent="0.2">
      <c r="A1623" s="410"/>
      <c r="B1623" s="410"/>
      <c r="C1623" s="410"/>
      <c r="D1623" s="410"/>
      <c r="E1623" s="410"/>
      <c r="F1623" s="410"/>
      <c r="G1623" s="410"/>
      <c r="H1623" s="410"/>
      <c r="I1623" s="410"/>
      <c r="J1623" s="410"/>
      <c r="K1623" s="410"/>
      <c r="L1623" s="410"/>
      <c r="M1623" s="410"/>
      <c r="N1623" s="410"/>
      <c r="R1623" s="410"/>
      <c r="S1623" s="410"/>
      <c r="T1623" s="410"/>
      <c r="U1623" s="410"/>
      <c r="V1623" s="410"/>
      <c r="W1623" s="410"/>
      <c r="X1623" s="410"/>
      <c r="Y1623" s="410"/>
    </row>
    <row r="1624" spans="1:25" x14ac:dyDescent="0.2">
      <c r="A1624" s="410"/>
      <c r="B1624" s="410"/>
      <c r="C1624" s="410"/>
      <c r="D1624" s="410"/>
      <c r="E1624" s="410"/>
      <c r="F1624" s="410"/>
      <c r="G1624" s="410"/>
      <c r="H1624" s="410"/>
      <c r="I1624" s="410"/>
      <c r="J1624" s="410"/>
      <c r="K1624" s="410"/>
      <c r="L1624" s="410"/>
      <c r="M1624" s="410"/>
      <c r="N1624" s="410"/>
      <c r="R1624" s="410"/>
      <c r="S1624" s="410"/>
      <c r="T1624" s="410"/>
      <c r="U1624" s="410"/>
      <c r="V1624" s="410"/>
      <c r="W1624" s="410"/>
      <c r="X1624" s="410"/>
      <c r="Y1624" s="410"/>
    </row>
    <row r="1625" spans="1:25" x14ac:dyDescent="0.2">
      <c r="A1625" s="410"/>
      <c r="B1625" s="410"/>
      <c r="C1625" s="410"/>
      <c r="D1625" s="410"/>
      <c r="E1625" s="410"/>
      <c r="F1625" s="410"/>
      <c r="G1625" s="410"/>
      <c r="H1625" s="410"/>
      <c r="I1625" s="410"/>
      <c r="J1625" s="410"/>
      <c r="K1625" s="410"/>
      <c r="L1625" s="410"/>
      <c r="M1625" s="410"/>
      <c r="N1625" s="410"/>
      <c r="R1625" s="410"/>
      <c r="S1625" s="410"/>
      <c r="T1625" s="410"/>
      <c r="U1625" s="410"/>
      <c r="V1625" s="410"/>
      <c r="W1625" s="410"/>
      <c r="X1625" s="410"/>
      <c r="Y1625" s="410"/>
    </row>
    <row r="1626" spans="1:25" x14ac:dyDescent="0.2">
      <c r="A1626" s="410"/>
      <c r="B1626" s="410"/>
      <c r="C1626" s="410"/>
      <c r="D1626" s="410"/>
      <c r="E1626" s="410"/>
      <c r="F1626" s="410"/>
      <c r="G1626" s="410"/>
      <c r="H1626" s="410"/>
      <c r="I1626" s="410"/>
      <c r="J1626" s="410"/>
      <c r="K1626" s="410"/>
      <c r="L1626" s="410"/>
      <c r="M1626" s="410"/>
      <c r="N1626" s="410"/>
      <c r="R1626" s="410"/>
      <c r="S1626" s="410"/>
      <c r="T1626" s="410"/>
      <c r="U1626" s="410"/>
      <c r="V1626" s="410"/>
      <c r="W1626" s="410"/>
      <c r="X1626" s="410"/>
      <c r="Y1626" s="410"/>
    </row>
    <row r="1627" spans="1:25" x14ac:dyDescent="0.2">
      <c r="A1627" s="410"/>
      <c r="B1627" s="410"/>
      <c r="C1627" s="410"/>
      <c r="D1627" s="410"/>
      <c r="E1627" s="410"/>
      <c r="F1627" s="410"/>
      <c r="G1627" s="410"/>
      <c r="H1627" s="410"/>
      <c r="I1627" s="410"/>
      <c r="J1627" s="410"/>
      <c r="K1627" s="410"/>
      <c r="L1627" s="410"/>
      <c r="M1627" s="410"/>
      <c r="N1627" s="410"/>
      <c r="R1627" s="410"/>
      <c r="S1627" s="410"/>
      <c r="T1627" s="410"/>
      <c r="U1627" s="410"/>
      <c r="V1627" s="410"/>
      <c r="W1627" s="410"/>
      <c r="X1627" s="410"/>
      <c r="Y1627" s="410"/>
    </row>
    <row r="1628" spans="1:25" x14ac:dyDescent="0.2">
      <c r="A1628" s="410"/>
      <c r="B1628" s="410"/>
      <c r="C1628" s="410"/>
      <c r="D1628" s="410"/>
      <c r="E1628" s="410"/>
      <c r="F1628" s="410"/>
      <c r="G1628" s="410"/>
      <c r="H1628" s="410"/>
      <c r="I1628" s="410"/>
      <c r="J1628" s="410"/>
      <c r="K1628" s="410"/>
      <c r="L1628" s="410"/>
      <c r="M1628" s="410"/>
      <c r="N1628" s="410"/>
      <c r="R1628" s="410"/>
      <c r="S1628" s="410"/>
      <c r="T1628" s="410"/>
      <c r="U1628" s="410"/>
      <c r="V1628" s="410"/>
      <c r="W1628" s="410"/>
      <c r="X1628" s="410"/>
      <c r="Y1628" s="410"/>
    </row>
    <row r="1629" spans="1:25" x14ac:dyDescent="0.2">
      <c r="A1629" s="410"/>
      <c r="B1629" s="410"/>
      <c r="C1629" s="410"/>
      <c r="D1629" s="410"/>
      <c r="E1629" s="410"/>
      <c r="F1629" s="410"/>
      <c r="G1629" s="410"/>
      <c r="H1629" s="410"/>
      <c r="I1629" s="410"/>
      <c r="J1629" s="410"/>
      <c r="K1629" s="410"/>
      <c r="L1629" s="410"/>
      <c r="M1629" s="410"/>
      <c r="N1629" s="410"/>
      <c r="R1629" s="410"/>
      <c r="S1629" s="410"/>
      <c r="T1629" s="410"/>
      <c r="U1629" s="410"/>
      <c r="V1629" s="410"/>
      <c r="W1629" s="410"/>
      <c r="X1629" s="410"/>
      <c r="Y1629" s="410"/>
    </row>
    <row r="1630" spans="1:25" x14ac:dyDescent="0.2">
      <c r="A1630" s="410"/>
      <c r="B1630" s="410"/>
      <c r="C1630" s="410"/>
      <c r="D1630" s="410"/>
      <c r="E1630" s="410"/>
      <c r="F1630" s="410"/>
      <c r="G1630" s="410"/>
      <c r="H1630" s="410"/>
      <c r="I1630" s="410"/>
      <c r="J1630" s="410"/>
      <c r="K1630" s="410"/>
      <c r="L1630" s="410"/>
      <c r="M1630" s="410"/>
      <c r="N1630" s="410"/>
      <c r="R1630" s="410"/>
      <c r="S1630" s="410"/>
      <c r="T1630" s="410"/>
      <c r="U1630" s="410"/>
      <c r="V1630" s="410"/>
      <c r="W1630" s="410"/>
      <c r="X1630" s="410"/>
      <c r="Y1630" s="410"/>
    </row>
    <row r="1631" spans="1:25" x14ac:dyDescent="0.2">
      <c r="A1631" s="410"/>
      <c r="B1631" s="410"/>
      <c r="C1631" s="410"/>
      <c r="D1631" s="410"/>
      <c r="E1631" s="410"/>
      <c r="F1631" s="410"/>
      <c r="G1631" s="410"/>
      <c r="H1631" s="410"/>
      <c r="I1631" s="410"/>
      <c r="J1631" s="410"/>
      <c r="K1631" s="410"/>
      <c r="L1631" s="410"/>
      <c r="M1631" s="410"/>
      <c r="N1631" s="410"/>
      <c r="R1631" s="410"/>
      <c r="S1631" s="410"/>
      <c r="T1631" s="410"/>
      <c r="U1631" s="410"/>
      <c r="V1631" s="410"/>
      <c r="W1631" s="410"/>
      <c r="X1631" s="410"/>
      <c r="Y1631" s="410"/>
    </row>
    <row r="1632" spans="1:25" x14ac:dyDescent="0.2">
      <c r="A1632" s="410"/>
      <c r="B1632" s="410"/>
      <c r="C1632" s="410"/>
      <c r="D1632" s="410"/>
      <c r="E1632" s="410"/>
      <c r="F1632" s="410"/>
      <c r="G1632" s="410"/>
      <c r="H1632" s="410"/>
      <c r="I1632" s="410"/>
      <c r="J1632" s="410"/>
      <c r="K1632" s="410"/>
      <c r="L1632" s="410"/>
      <c r="M1632" s="410"/>
      <c r="N1632" s="410"/>
      <c r="R1632" s="410"/>
      <c r="S1632" s="410"/>
      <c r="T1632" s="410"/>
      <c r="U1632" s="410"/>
      <c r="V1632" s="410"/>
      <c r="W1632" s="410"/>
      <c r="X1632" s="410"/>
      <c r="Y1632" s="410"/>
    </row>
    <row r="1633" spans="1:25" x14ac:dyDescent="0.2">
      <c r="A1633" s="410"/>
      <c r="B1633" s="410"/>
      <c r="C1633" s="410"/>
      <c r="D1633" s="410"/>
      <c r="E1633" s="410"/>
      <c r="F1633" s="410"/>
      <c r="G1633" s="410"/>
      <c r="H1633" s="410"/>
      <c r="I1633" s="410"/>
      <c r="J1633" s="410"/>
      <c r="K1633" s="410"/>
      <c r="L1633" s="410"/>
      <c r="M1633" s="410"/>
      <c r="N1633" s="410"/>
      <c r="R1633" s="410"/>
      <c r="S1633" s="410"/>
      <c r="T1633" s="410"/>
      <c r="U1633" s="410"/>
      <c r="V1633" s="410"/>
      <c r="W1633" s="410"/>
      <c r="X1633" s="410"/>
      <c r="Y1633" s="410"/>
    </row>
    <row r="1634" spans="1:25" x14ac:dyDescent="0.2">
      <c r="A1634" s="410"/>
      <c r="B1634" s="410"/>
      <c r="C1634" s="410"/>
      <c r="D1634" s="410"/>
      <c r="E1634" s="410"/>
      <c r="F1634" s="410"/>
      <c r="G1634" s="410"/>
      <c r="H1634" s="410"/>
      <c r="I1634" s="410"/>
      <c r="J1634" s="410"/>
      <c r="K1634" s="410"/>
      <c r="L1634" s="410"/>
      <c r="M1634" s="410"/>
      <c r="N1634" s="410"/>
      <c r="R1634" s="410"/>
      <c r="S1634" s="410"/>
      <c r="T1634" s="410"/>
      <c r="U1634" s="410"/>
      <c r="V1634" s="410"/>
      <c r="W1634" s="410"/>
      <c r="X1634" s="410"/>
      <c r="Y1634" s="410"/>
    </row>
    <row r="1635" spans="1:25" x14ac:dyDescent="0.2">
      <c r="A1635" s="410"/>
      <c r="B1635" s="410"/>
      <c r="C1635" s="410"/>
      <c r="D1635" s="410"/>
      <c r="E1635" s="410"/>
      <c r="F1635" s="410"/>
      <c r="G1635" s="410"/>
      <c r="H1635" s="410"/>
      <c r="I1635" s="410"/>
      <c r="J1635" s="410"/>
      <c r="K1635" s="410"/>
      <c r="L1635" s="410"/>
      <c r="M1635" s="410"/>
      <c r="N1635" s="410"/>
      <c r="R1635" s="410"/>
      <c r="S1635" s="410"/>
      <c r="T1635" s="410"/>
      <c r="U1635" s="410"/>
      <c r="V1635" s="410"/>
      <c r="W1635" s="410"/>
      <c r="X1635" s="410"/>
      <c r="Y1635" s="410"/>
    </row>
    <row r="1636" spans="1:25" x14ac:dyDescent="0.2">
      <c r="A1636" s="410"/>
      <c r="B1636" s="410"/>
      <c r="C1636" s="410"/>
      <c r="D1636" s="410"/>
      <c r="E1636" s="410"/>
      <c r="F1636" s="410"/>
      <c r="G1636" s="410"/>
      <c r="H1636" s="410"/>
      <c r="I1636" s="410"/>
      <c r="J1636" s="410"/>
      <c r="K1636" s="410"/>
      <c r="L1636" s="410"/>
      <c r="M1636" s="410"/>
      <c r="N1636" s="410"/>
      <c r="R1636" s="410"/>
      <c r="S1636" s="410"/>
      <c r="T1636" s="410"/>
      <c r="U1636" s="410"/>
      <c r="V1636" s="410"/>
      <c r="W1636" s="410"/>
      <c r="X1636" s="410"/>
      <c r="Y1636" s="410"/>
    </row>
    <row r="1637" spans="1:25" x14ac:dyDescent="0.2">
      <c r="A1637" s="410"/>
      <c r="B1637" s="410"/>
      <c r="C1637" s="410"/>
      <c r="D1637" s="410"/>
      <c r="E1637" s="410"/>
      <c r="F1637" s="410"/>
      <c r="G1637" s="410"/>
      <c r="H1637" s="410"/>
      <c r="I1637" s="410"/>
      <c r="J1637" s="410"/>
      <c r="K1637" s="410"/>
      <c r="L1637" s="410"/>
      <c r="M1637" s="410"/>
      <c r="N1637" s="410"/>
      <c r="R1637" s="410"/>
      <c r="S1637" s="410"/>
      <c r="T1637" s="410"/>
      <c r="U1637" s="410"/>
      <c r="V1637" s="410"/>
      <c r="W1637" s="410"/>
      <c r="X1637" s="410"/>
      <c r="Y1637" s="410"/>
    </row>
    <row r="1638" spans="1:25" x14ac:dyDescent="0.2">
      <c r="A1638" s="410"/>
      <c r="B1638" s="410"/>
      <c r="C1638" s="410"/>
      <c r="D1638" s="410"/>
      <c r="E1638" s="410"/>
      <c r="F1638" s="410"/>
      <c r="G1638" s="410"/>
      <c r="H1638" s="410"/>
      <c r="I1638" s="410"/>
      <c r="J1638" s="410"/>
      <c r="K1638" s="410"/>
      <c r="L1638" s="410"/>
      <c r="M1638" s="410"/>
      <c r="N1638" s="410"/>
      <c r="R1638" s="410"/>
      <c r="S1638" s="410"/>
      <c r="T1638" s="410"/>
      <c r="U1638" s="410"/>
      <c r="V1638" s="410"/>
      <c r="W1638" s="410"/>
      <c r="X1638" s="410"/>
      <c r="Y1638" s="410"/>
    </row>
    <row r="1639" spans="1:25" x14ac:dyDescent="0.2">
      <c r="A1639" s="410"/>
      <c r="B1639" s="410"/>
      <c r="C1639" s="410"/>
      <c r="D1639" s="410"/>
      <c r="E1639" s="410"/>
      <c r="F1639" s="410"/>
      <c r="G1639" s="410"/>
      <c r="H1639" s="410"/>
      <c r="I1639" s="410"/>
      <c r="J1639" s="410"/>
      <c r="K1639" s="410"/>
      <c r="L1639" s="410"/>
      <c r="M1639" s="410"/>
      <c r="N1639" s="410"/>
      <c r="R1639" s="410"/>
      <c r="S1639" s="410"/>
      <c r="T1639" s="410"/>
      <c r="U1639" s="410"/>
      <c r="V1639" s="410"/>
      <c r="W1639" s="410"/>
      <c r="X1639" s="410"/>
      <c r="Y1639" s="410"/>
    </row>
    <row r="1640" spans="1:25" x14ac:dyDescent="0.2">
      <c r="A1640" s="410"/>
      <c r="B1640" s="410"/>
      <c r="C1640" s="410"/>
      <c r="D1640" s="410"/>
      <c r="E1640" s="410"/>
      <c r="F1640" s="410"/>
      <c r="G1640" s="410"/>
      <c r="H1640" s="410"/>
      <c r="I1640" s="410"/>
      <c r="J1640" s="410"/>
      <c r="K1640" s="410"/>
      <c r="L1640" s="410"/>
      <c r="M1640" s="410"/>
      <c r="N1640" s="410"/>
      <c r="R1640" s="410"/>
      <c r="S1640" s="410"/>
      <c r="T1640" s="410"/>
      <c r="U1640" s="410"/>
      <c r="V1640" s="410"/>
      <c r="W1640" s="410"/>
      <c r="X1640" s="410"/>
      <c r="Y1640" s="410"/>
    </row>
    <row r="1641" spans="1:25" x14ac:dyDescent="0.2">
      <c r="A1641" s="410"/>
      <c r="B1641" s="410"/>
      <c r="C1641" s="410"/>
      <c r="D1641" s="410"/>
      <c r="E1641" s="410"/>
      <c r="F1641" s="410"/>
      <c r="G1641" s="410"/>
      <c r="H1641" s="410"/>
      <c r="I1641" s="410"/>
      <c r="J1641" s="410"/>
      <c r="K1641" s="410"/>
      <c r="L1641" s="410"/>
      <c r="M1641" s="410"/>
      <c r="N1641" s="410"/>
      <c r="R1641" s="410"/>
      <c r="S1641" s="410"/>
      <c r="T1641" s="410"/>
      <c r="U1641" s="410"/>
      <c r="V1641" s="410"/>
      <c r="W1641" s="410"/>
      <c r="X1641" s="410"/>
      <c r="Y1641" s="410"/>
    </row>
    <row r="1642" spans="1:25" x14ac:dyDescent="0.2">
      <c r="A1642" s="410"/>
      <c r="B1642" s="410"/>
      <c r="C1642" s="410"/>
      <c r="D1642" s="410"/>
      <c r="E1642" s="410"/>
      <c r="F1642" s="410"/>
      <c r="G1642" s="410"/>
      <c r="H1642" s="410"/>
      <c r="I1642" s="410"/>
      <c r="J1642" s="410"/>
      <c r="K1642" s="410"/>
      <c r="L1642" s="410"/>
      <c r="M1642" s="410"/>
      <c r="N1642" s="410"/>
      <c r="R1642" s="410"/>
      <c r="S1642" s="410"/>
      <c r="T1642" s="410"/>
      <c r="U1642" s="410"/>
      <c r="V1642" s="410"/>
      <c r="W1642" s="410"/>
      <c r="X1642" s="410"/>
      <c r="Y1642" s="410"/>
    </row>
    <row r="1643" spans="1:25" x14ac:dyDescent="0.2">
      <c r="A1643" s="410"/>
      <c r="B1643" s="410"/>
      <c r="C1643" s="410"/>
      <c r="D1643" s="410"/>
      <c r="E1643" s="410"/>
      <c r="F1643" s="410"/>
      <c r="G1643" s="410"/>
      <c r="H1643" s="410"/>
      <c r="I1643" s="410"/>
      <c r="J1643" s="410"/>
      <c r="K1643" s="410"/>
      <c r="L1643" s="410"/>
      <c r="M1643" s="410"/>
      <c r="N1643" s="410"/>
      <c r="R1643" s="410"/>
      <c r="S1643" s="410"/>
      <c r="T1643" s="410"/>
      <c r="U1643" s="410"/>
      <c r="V1643" s="410"/>
      <c r="W1643" s="410"/>
      <c r="X1643" s="410"/>
      <c r="Y1643" s="410"/>
    </row>
    <row r="1644" spans="1:25" x14ac:dyDescent="0.2">
      <c r="A1644" s="410"/>
      <c r="B1644" s="410"/>
      <c r="C1644" s="410"/>
      <c r="D1644" s="410"/>
      <c r="E1644" s="410"/>
      <c r="F1644" s="410"/>
      <c r="G1644" s="410"/>
      <c r="H1644" s="410"/>
      <c r="I1644" s="410"/>
      <c r="J1644" s="410"/>
      <c r="K1644" s="410"/>
      <c r="L1644" s="410"/>
      <c r="M1644" s="410"/>
      <c r="N1644" s="410"/>
      <c r="R1644" s="410"/>
      <c r="S1644" s="410"/>
      <c r="T1644" s="410"/>
      <c r="U1644" s="410"/>
      <c r="V1644" s="410"/>
      <c r="W1644" s="410"/>
      <c r="X1644" s="410"/>
      <c r="Y1644" s="410"/>
    </row>
    <row r="1645" spans="1:25" x14ac:dyDescent="0.2">
      <c r="A1645" s="410"/>
      <c r="B1645" s="410"/>
      <c r="C1645" s="410"/>
      <c r="D1645" s="410"/>
      <c r="E1645" s="410"/>
      <c r="F1645" s="410"/>
      <c r="G1645" s="410"/>
      <c r="H1645" s="410"/>
      <c r="I1645" s="410"/>
      <c r="J1645" s="410"/>
      <c r="K1645" s="410"/>
      <c r="L1645" s="410"/>
      <c r="M1645" s="410"/>
      <c r="N1645" s="410"/>
      <c r="R1645" s="410"/>
      <c r="S1645" s="410"/>
      <c r="T1645" s="410"/>
      <c r="U1645" s="410"/>
      <c r="V1645" s="410"/>
      <c r="W1645" s="410"/>
      <c r="X1645" s="410"/>
      <c r="Y1645" s="410"/>
    </row>
    <row r="1646" spans="1:25" x14ac:dyDescent="0.2">
      <c r="A1646" s="410"/>
      <c r="B1646" s="410"/>
      <c r="C1646" s="410"/>
      <c r="D1646" s="410"/>
      <c r="E1646" s="410"/>
      <c r="F1646" s="410"/>
      <c r="G1646" s="410"/>
      <c r="H1646" s="410"/>
      <c r="I1646" s="410"/>
      <c r="J1646" s="410"/>
      <c r="K1646" s="410"/>
      <c r="L1646" s="410"/>
      <c r="M1646" s="410"/>
      <c r="N1646" s="410"/>
      <c r="R1646" s="410"/>
      <c r="S1646" s="410"/>
      <c r="T1646" s="410"/>
      <c r="U1646" s="410"/>
      <c r="V1646" s="410"/>
      <c r="W1646" s="410"/>
      <c r="X1646" s="410"/>
      <c r="Y1646" s="410"/>
    </row>
    <row r="1647" spans="1:25" x14ac:dyDescent="0.2">
      <c r="A1647" s="410"/>
      <c r="B1647" s="410"/>
      <c r="C1647" s="410"/>
      <c r="D1647" s="410"/>
      <c r="E1647" s="410"/>
      <c r="F1647" s="410"/>
      <c r="G1647" s="410"/>
      <c r="H1647" s="410"/>
      <c r="I1647" s="410"/>
      <c r="J1647" s="410"/>
      <c r="K1647" s="410"/>
      <c r="L1647" s="410"/>
      <c r="M1647" s="410"/>
      <c r="N1647" s="410"/>
      <c r="R1647" s="410"/>
      <c r="S1647" s="410"/>
      <c r="T1647" s="410"/>
      <c r="U1647" s="410"/>
      <c r="V1647" s="410"/>
      <c r="W1647" s="410"/>
      <c r="X1647" s="410"/>
      <c r="Y1647" s="410"/>
    </row>
    <row r="1648" spans="1:25" x14ac:dyDescent="0.2">
      <c r="A1648" s="410"/>
      <c r="B1648" s="410"/>
      <c r="C1648" s="410"/>
      <c r="D1648" s="410"/>
      <c r="E1648" s="410"/>
      <c r="F1648" s="410"/>
      <c r="G1648" s="410"/>
      <c r="H1648" s="410"/>
      <c r="I1648" s="410"/>
      <c r="J1648" s="410"/>
      <c r="K1648" s="410"/>
      <c r="L1648" s="410"/>
      <c r="M1648" s="410"/>
      <c r="N1648" s="410"/>
      <c r="R1648" s="410"/>
      <c r="S1648" s="410"/>
      <c r="T1648" s="410"/>
      <c r="U1648" s="410"/>
      <c r="V1648" s="410"/>
      <c r="W1648" s="410"/>
      <c r="X1648" s="410"/>
      <c r="Y1648" s="410"/>
    </row>
    <row r="1649" spans="1:25" x14ac:dyDescent="0.2">
      <c r="A1649" s="410"/>
      <c r="B1649" s="410"/>
      <c r="C1649" s="410"/>
      <c r="D1649" s="410"/>
      <c r="E1649" s="410"/>
      <c r="F1649" s="410"/>
      <c r="G1649" s="410"/>
      <c r="H1649" s="410"/>
      <c r="I1649" s="410"/>
      <c r="J1649" s="410"/>
      <c r="K1649" s="410"/>
      <c r="L1649" s="410"/>
      <c r="M1649" s="410"/>
      <c r="N1649" s="410"/>
      <c r="R1649" s="410"/>
      <c r="S1649" s="410"/>
      <c r="T1649" s="410"/>
      <c r="U1649" s="410"/>
      <c r="V1649" s="410"/>
      <c r="W1649" s="410"/>
      <c r="X1649" s="410"/>
      <c r="Y1649" s="410"/>
    </row>
    <row r="1650" spans="1:25" x14ac:dyDescent="0.2">
      <c r="A1650" s="410"/>
      <c r="B1650" s="410"/>
      <c r="C1650" s="410"/>
      <c r="D1650" s="410"/>
      <c r="E1650" s="410"/>
      <c r="F1650" s="410"/>
      <c r="G1650" s="410"/>
      <c r="H1650" s="410"/>
      <c r="I1650" s="410"/>
      <c r="J1650" s="410"/>
      <c r="K1650" s="410"/>
      <c r="L1650" s="410"/>
      <c r="M1650" s="410"/>
      <c r="N1650" s="410"/>
      <c r="R1650" s="410"/>
      <c r="S1650" s="410"/>
      <c r="T1650" s="410"/>
      <c r="U1650" s="410"/>
      <c r="V1650" s="410"/>
      <c r="W1650" s="410"/>
      <c r="X1650" s="410"/>
      <c r="Y1650" s="410"/>
    </row>
    <row r="1651" spans="1:25" x14ac:dyDescent="0.2">
      <c r="A1651" s="410"/>
      <c r="B1651" s="410"/>
      <c r="C1651" s="410"/>
      <c r="D1651" s="410"/>
      <c r="E1651" s="410"/>
      <c r="F1651" s="410"/>
      <c r="G1651" s="410"/>
      <c r="H1651" s="410"/>
      <c r="I1651" s="410"/>
      <c r="J1651" s="410"/>
      <c r="K1651" s="410"/>
      <c r="L1651" s="410"/>
      <c r="M1651" s="410"/>
      <c r="N1651" s="410"/>
      <c r="R1651" s="410"/>
      <c r="S1651" s="410"/>
      <c r="T1651" s="410"/>
      <c r="U1651" s="410"/>
      <c r="V1651" s="410"/>
      <c r="W1651" s="410"/>
      <c r="X1651" s="410"/>
      <c r="Y1651" s="410"/>
    </row>
    <row r="1652" spans="1:25" x14ac:dyDescent="0.2">
      <c r="A1652" s="410"/>
      <c r="B1652" s="410"/>
      <c r="C1652" s="410"/>
      <c r="D1652" s="410"/>
      <c r="E1652" s="410"/>
      <c r="F1652" s="410"/>
      <c r="G1652" s="410"/>
      <c r="H1652" s="410"/>
      <c r="I1652" s="410"/>
      <c r="J1652" s="410"/>
      <c r="K1652" s="410"/>
      <c r="L1652" s="410"/>
      <c r="M1652" s="410"/>
      <c r="N1652" s="410"/>
      <c r="R1652" s="410"/>
      <c r="S1652" s="410"/>
      <c r="T1652" s="410"/>
      <c r="U1652" s="410"/>
      <c r="V1652" s="410"/>
      <c r="W1652" s="410"/>
      <c r="X1652" s="410"/>
      <c r="Y1652" s="410"/>
    </row>
    <row r="1653" spans="1:25" x14ac:dyDescent="0.2">
      <c r="A1653" s="410"/>
      <c r="B1653" s="410"/>
      <c r="C1653" s="410"/>
      <c r="D1653" s="410"/>
      <c r="E1653" s="410"/>
      <c r="F1653" s="410"/>
      <c r="G1653" s="410"/>
      <c r="H1653" s="410"/>
      <c r="I1653" s="410"/>
      <c r="J1653" s="410"/>
      <c r="K1653" s="410"/>
      <c r="L1653" s="410"/>
      <c r="M1653" s="410"/>
      <c r="N1653" s="410"/>
      <c r="R1653" s="410"/>
      <c r="S1653" s="410"/>
      <c r="T1653" s="410"/>
      <c r="U1653" s="410"/>
      <c r="V1653" s="410"/>
      <c r="W1653" s="410"/>
      <c r="X1653" s="410"/>
      <c r="Y1653" s="410"/>
    </row>
    <row r="1654" spans="1:25" x14ac:dyDescent="0.2">
      <c r="A1654" s="410"/>
      <c r="B1654" s="410"/>
      <c r="C1654" s="410"/>
      <c r="D1654" s="410"/>
      <c r="E1654" s="410"/>
      <c r="F1654" s="410"/>
      <c r="G1654" s="410"/>
      <c r="H1654" s="410"/>
      <c r="I1654" s="410"/>
      <c r="J1654" s="410"/>
      <c r="K1654" s="410"/>
      <c r="L1654" s="410"/>
      <c r="M1654" s="410"/>
      <c r="N1654" s="410"/>
      <c r="R1654" s="410"/>
      <c r="S1654" s="410"/>
      <c r="T1654" s="410"/>
      <c r="U1654" s="410"/>
      <c r="V1654" s="410"/>
      <c r="W1654" s="410"/>
      <c r="X1654" s="410"/>
      <c r="Y1654" s="410"/>
    </row>
    <row r="1655" spans="1:25" x14ac:dyDescent="0.2">
      <c r="A1655" s="410"/>
      <c r="B1655" s="410"/>
      <c r="C1655" s="410"/>
      <c r="D1655" s="410"/>
      <c r="E1655" s="410"/>
      <c r="F1655" s="410"/>
      <c r="G1655" s="410"/>
      <c r="H1655" s="410"/>
      <c r="I1655" s="410"/>
      <c r="J1655" s="410"/>
      <c r="K1655" s="410"/>
      <c r="L1655" s="410"/>
      <c r="M1655" s="410"/>
      <c r="N1655" s="410"/>
      <c r="R1655" s="410"/>
      <c r="S1655" s="410"/>
      <c r="T1655" s="410"/>
      <c r="U1655" s="410"/>
      <c r="V1655" s="410"/>
      <c r="W1655" s="410"/>
      <c r="X1655" s="410"/>
      <c r="Y1655" s="410"/>
    </row>
    <row r="1656" spans="1:25" x14ac:dyDescent="0.2">
      <c r="A1656" s="410"/>
      <c r="B1656" s="410"/>
      <c r="C1656" s="410"/>
      <c r="D1656" s="410"/>
      <c r="E1656" s="410"/>
      <c r="F1656" s="410"/>
      <c r="G1656" s="410"/>
      <c r="H1656" s="410"/>
      <c r="I1656" s="410"/>
      <c r="J1656" s="410"/>
      <c r="K1656" s="410"/>
      <c r="L1656" s="410"/>
      <c r="M1656" s="410"/>
      <c r="N1656" s="410"/>
      <c r="R1656" s="410"/>
      <c r="S1656" s="410"/>
      <c r="T1656" s="410"/>
      <c r="U1656" s="410"/>
      <c r="V1656" s="410"/>
      <c r="W1656" s="410"/>
      <c r="X1656" s="410"/>
      <c r="Y1656" s="410"/>
    </row>
    <row r="1657" spans="1:25" x14ac:dyDescent="0.2">
      <c r="A1657" s="410"/>
      <c r="B1657" s="410"/>
      <c r="C1657" s="410"/>
      <c r="D1657" s="410"/>
      <c r="E1657" s="410"/>
      <c r="F1657" s="410"/>
      <c r="G1657" s="410"/>
      <c r="H1657" s="410"/>
      <c r="I1657" s="410"/>
      <c r="J1657" s="410"/>
      <c r="K1657" s="410"/>
      <c r="L1657" s="410"/>
      <c r="M1657" s="410"/>
      <c r="N1657" s="410"/>
      <c r="R1657" s="410"/>
      <c r="S1657" s="410"/>
      <c r="T1657" s="410"/>
      <c r="U1657" s="410"/>
      <c r="V1657" s="410"/>
      <c r="W1657" s="410"/>
      <c r="X1657" s="410"/>
      <c r="Y1657" s="410"/>
    </row>
    <row r="1658" spans="1:25" x14ac:dyDescent="0.2">
      <c r="A1658" s="410"/>
      <c r="B1658" s="410"/>
      <c r="C1658" s="410"/>
      <c r="D1658" s="410"/>
      <c r="E1658" s="410"/>
      <c r="F1658" s="410"/>
      <c r="G1658" s="410"/>
      <c r="H1658" s="410"/>
      <c r="I1658" s="410"/>
      <c r="J1658" s="410"/>
      <c r="K1658" s="410"/>
      <c r="L1658" s="410"/>
      <c r="M1658" s="410"/>
      <c r="N1658" s="410"/>
      <c r="R1658" s="410"/>
      <c r="S1658" s="410"/>
      <c r="T1658" s="410"/>
      <c r="U1658" s="410"/>
      <c r="V1658" s="410"/>
      <c r="W1658" s="410"/>
      <c r="X1658" s="410"/>
      <c r="Y1658" s="410"/>
    </row>
    <row r="1659" spans="1:25" x14ac:dyDescent="0.2">
      <c r="A1659" s="410"/>
      <c r="B1659" s="410"/>
      <c r="C1659" s="410"/>
      <c r="D1659" s="410"/>
      <c r="E1659" s="410"/>
      <c r="F1659" s="410"/>
      <c r="G1659" s="410"/>
      <c r="H1659" s="410"/>
      <c r="I1659" s="410"/>
      <c r="J1659" s="410"/>
      <c r="K1659" s="410"/>
      <c r="L1659" s="410"/>
      <c r="M1659" s="410"/>
      <c r="N1659" s="410"/>
      <c r="R1659" s="410"/>
      <c r="S1659" s="410"/>
      <c r="T1659" s="410"/>
      <c r="U1659" s="410"/>
      <c r="V1659" s="410"/>
      <c r="W1659" s="410"/>
      <c r="X1659" s="410"/>
      <c r="Y1659" s="410"/>
    </row>
    <row r="1660" spans="1:25" x14ac:dyDescent="0.2">
      <c r="A1660" s="410"/>
      <c r="B1660" s="410"/>
      <c r="C1660" s="410"/>
      <c r="D1660" s="410"/>
      <c r="E1660" s="410"/>
      <c r="F1660" s="410"/>
      <c r="G1660" s="410"/>
      <c r="H1660" s="410"/>
      <c r="I1660" s="410"/>
      <c r="J1660" s="410"/>
      <c r="K1660" s="410"/>
      <c r="L1660" s="410"/>
      <c r="M1660" s="410"/>
      <c r="N1660" s="410"/>
      <c r="R1660" s="410"/>
      <c r="S1660" s="410"/>
      <c r="T1660" s="410"/>
      <c r="U1660" s="410"/>
      <c r="V1660" s="410"/>
      <c r="W1660" s="410"/>
      <c r="X1660" s="410"/>
      <c r="Y1660" s="410"/>
    </row>
    <row r="1661" spans="1:25" x14ac:dyDescent="0.2">
      <c r="A1661" s="410"/>
      <c r="B1661" s="410"/>
      <c r="C1661" s="410"/>
      <c r="D1661" s="410"/>
      <c r="E1661" s="410"/>
      <c r="F1661" s="410"/>
      <c r="G1661" s="410"/>
      <c r="H1661" s="410"/>
      <c r="I1661" s="410"/>
      <c r="J1661" s="410"/>
      <c r="K1661" s="410"/>
      <c r="L1661" s="410"/>
      <c r="M1661" s="410"/>
      <c r="N1661" s="410"/>
      <c r="R1661" s="410"/>
      <c r="S1661" s="410"/>
      <c r="T1661" s="410"/>
      <c r="U1661" s="410"/>
      <c r="V1661" s="410"/>
      <c r="W1661" s="410"/>
      <c r="X1661" s="410"/>
      <c r="Y1661" s="410"/>
    </row>
    <row r="1662" spans="1:25" x14ac:dyDescent="0.2">
      <c r="A1662" s="410"/>
      <c r="B1662" s="410"/>
      <c r="C1662" s="410"/>
      <c r="D1662" s="410"/>
      <c r="E1662" s="410"/>
      <c r="F1662" s="410"/>
      <c r="G1662" s="410"/>
      <c r="H1662" s="410"/>
      <c r="I1662" s="410"/>
      <c r="J1662" s="410"/>
      <c r="K1662" s="410"/>
      <c r="L1662" s="410"/>
      <c r="M1662" s="410"/>
      <c r="N1662" s="410"/>
      <c r="R1662" s="410"/>
      <c r="S1662" s="410"/>
      <c r="T1662" s="410"/>
      <c r="U1662" s="410"/>
      <c r="V1662" s="410"/>
      <c r="W1662" s="410"/>
      <c r="X1662" s="410"/>
      <c r="Y1662" s="410"/>
    </row>
    <row r="1663" spans="1:25" x14ac:dyDescent="0.2">
      <c r="A1663" s="410"/>
      <c r="B1663" s="410"/>
      <c r="C1663" s="410"/>
      <c r="D1663" s="410"/>
      <c r="E1663" s="410"/>
      <c r="F1663" s="410"/>
      <c r="G1663" s="410"/>
      <c r="H1663" s="410"/>
      <c r="I1663" s="410"/>
      <c r="J1663" s="410"/>
      <c r="K1663" s="410"/>
      <c r="L1663" s="410"/>
      <c r="M1663" s="410"/>
      <c r="N1663" s="410"/>
      <c r="R1663" s="410"/>
      <c r="S1663" s="410"/>
      <c r="T1663" s="410"/>
      <c r="U1663" s="410"/>
      <c r="V1663" s="410"/>
      <c r="W1663" s="410"/>
      <c r="X1663" s="410"/>
      <c r="Y1663" s="410"/>
    </row>
    <row r="1664" spans="1:25" x14ac:dyDescent="0.2">
      <c r="A1664" s="410"/>
      <c r="B1664" s="410"/>
      <c r="C1664" s="410"/>
      <c r="D1664" s="410"/>
      <c r="E1664" s="410"/>
      <c r="F1664" s="410"/>
      <c r="G1664" s="410"/>
      <c r="H1664" s="410"/>
      <c r="I1664" s="410"/>
      <c r="J1664" s="410"/>
      <c r="K1664" s="410"/>
      <c r="L1664" s="410"/>
      <c r="M1664" s="410"/>
      <c r="N1664" s="410"/>
      <c r="R1664" s="410"/>
      <c r="S1664" s="410"/>
      <c r="T1664" s="410"/>
      <c r="U1664" s="410"/>
      <c r="V1664" s="410"/>
      <c r="W1664" s="410"/>
      <c r="X1664" s="410"/>
      <c r="Y1664" s="410"/>
    </row>
    <row r="1665" spans="1:25" x14ac:dyDescent="0.2">
      <c r="A1665" s="410"/>
      <c r="B1665" s="410"/>
      <c r="C1665" s="410"/>
      <c r="D1665" s="410"/>
      <c r="E1665" s="410"/>
      <c r="F1665" s="410"/>
      <c r="G1665" s="410"/>
      <c r="H1665" s="410"/>
      <c r="I1665" s="410"/>
      <c r="J1665" s="410"/>
      <c r="K1665" s="410"/>
      <c r="L1665" s="410"/>
      <c r="M1665" s="410"/>
      <c r="N1665" s="410"/>
      <c r="R1665" s="410"/>
      <c r="S1665" s="410"/>
      <c r="T1665" s="410"/>
      <c r="U1665" s="410"/>
      <c r="V1665" s="410"/>
      <c r="W1665" s="410"/>
      <c r="X1665" s="410"/>
      <c r="Y1665" s="410"/>
    </row>
    <row r="1666" spans="1:25" x14ac:dyDescent="0.2">
      <c r="A1666" s="410"/>
      <c r="B1666" s="410"/>
      <c r="C1666" s="410"/>
      <c r="D1666" s="410"/>
      <c r="E1666" s="410"/>
      <c r="F1666" s="410"/>
      <c r="G1666" s="410"/>
      <c r="H1666" s="410"/>
      <c r="I1666" s="410"/>
      <c r="J1666" s="410"/>
      <c r="K1666" s="410"/>
      <c r="L1666" s="410"/>
      <c r="M1666" s="410"/>
      <c r="N1666" s="410"/>
      <c r="R1666" s="410"/>
      <c r="S1666" s="410"/>
      <c r="T1666" s="410"/>
      <c r="U1666" s="410"/>
      <c r="V1666" s="410"/>
      <c r="W1666" s="410"/>
      <c r="X1666" s="410"/>
      <c r="Y1666" s="410"/>
    </row>
    <row r="1667" spans="1:25" x14ac:dyDescent="0.2">
      <c r="A1667" s="410"/>
      <c r="B1667" s="410"/>
      <c r="C1667" s="410"/>
      <c r="D1667" s="410"/>
      <c r="E1667" s="410"/>
      <c r="F1667" s="410"/>
      <c r="G1667" s="410"/>
      <c r="H1667" s="410"/>
      <c r="I1667" s="410"/>
      <c r="J1667" s="410"/>
      <c r="K1667" s="410"/>
      <c r="L1667" s="410"/>
      <c r="M1667" s="410"/>
      <c r="N1667" s="410"/>
      <c r="R1667" s="410"/>
      <c r="S1667" s="410"/>
      <c r="T1667" s="410"/>
      <c r="U1667" s="410"/>
      <c r="V1667" s="410"/>
      <c r="W1667" s="410"/>
      <c r="X1667" s="410"/>
      <c r="Y1667" s="410"/>
    </row>
    <row r="1668" spans="1:25" x14ac:dyDescent="0.2">
      <c r="A1668" s="410"/>
      <c r="B1668" s="410"/>
      <c r="C1668" s="410"/>
      <c r="D1668" s="410"/>
      <c r="E1668" s="410"/>
      <c r="F1668" s="410"/>
      <c r="G1668" s="410"/>
      <c r="H1668" s="410"/>
      <c r="I1668" s="410"/>
      <c r="J1668" s="410"/>
      <c r="K1668" s="410"/>
      <c r="L1668" s="410"/>
      <c r="M1668" s="410"/>
      <c r="N1668" s="410"/>
      <c r="R1668" s="410"/>
      <c r="S1668" s="410"/>
      <c r="T1668" s="410"/>
      <c r="U1668" s="410"/>
      <c r="V1668" s="410"/>
      <c r="W1668" s="410"/>
      <c r="X1668" s="410"/>
      <c r="Y1668" s="410"/>
    </row>
    <row r="1669" spans="1:25" x14ac:dyDescent="0.2">
      <c r="A1669" s="410"/>
      <c r="B1669" s="410"/>
      <c r="C1669" s="410"/>
      <c r="D1669" s="410"/>
      <c r="E1669" s="410"/>
      <c r="F1669" s="410"/>
      <c r="G1669" s="410"/>
      <c r="H1669" s="410"/>
      <c r="I1669" s="410"/>
      <c r="J1669" s="410"/>
      <c r="K1669" s="410"/>
      <c r="L1669" s="410"/>
      <c r="M1669" s="410"/>
      <c r="N1669" s="410"/>
      <c r="R1669" s="410"/>
      <c r="S1669" s="410"/>
      <c r="T1669" s="410"/>
      <c r="U1669" s="410"/>
      <c r="V1669" s="410"/>
      <c r="W1669" s="410"/>
      <c r="X1669" s="410"/>
      <c r="Y1669" s="410"/>
    </row>
    <row r="1670" spans="1:25" x14ac:dyDescent="0.2">
      <c r="A1670" s="410"/>
      <c r="B1670" s="410"/>
      <c r="C1670" s="410"/>
      <c r="D1670" s="410"/>
      <c r="E1670" s="410"/>
      <c r="F1670" s="410"/>
      <c r="G1670" s="410"/>
      <c r="H1670" s="410"/>
      <c r="I1670" s="410"/>
      <c r="J1670" s="410"/>
      <c r="K1670" s="410"/>
      <c r="L1670" s="410"/>
      <c r="M1670" s="410"/>
      <c r="N1670" s="410"/>
      <c r="R1670" s="410"/>
      <c r="S1670" s="410"/>
      <c r="T1670" s="410"/>
      <c r="U1670" s="410"/>
      <c r="V1670" s="410"/>
      <c r="W1670" s="410"/>
      <c r="X1670" s="410"/>
      <c r="Y1670" s="410"/>
    </row>
    <row r="1671" spans="1:25" x14ac:dyDescent="0.2">
      <c r="A1671" s="410"/>
      <c r="B1671" s="410"/>
      <c r="C1671" s="410"/>
      <c r="D1671" s="410"/>
      <c r="E1671" s="410"/>
      <c r="F1671" s="410"/>
      <c r="G1671" s="410"/>
      <c r="H1671" s="410"/>
      <c r="I1671" s="410"/>
      <c r="J1671" s="410"/>
      <c r="K1671" s="410"/>
      <c r="L1671" s="410"/>
      <c r="M1671" s="410"/>
      <c r="N1671" s="410"/>
      <c r="R1671" s="410"/>
      <c r="S1671" s="410"/>
      <c r="T1671" s="410"/>
      <c r="U1671" s="410"/>
      <c r="V1671" s="410"/>
      <c r="W1671" s="410"/>
      <c r="X1671" s="410"/>
      <c r="Y1671" s="410"/>
    </row>
    <row r="1672" spans="1:25" x14ac:dyDescent="0.2">
      <c r="A1672" s="410"/>
      <c r="B1672" s="410"/>
      <c r="C1672" s="410"/>
      <c r="D1672" s="410"/>
      <c r="E1672" s="410"/>
      <c r="F1672" s="410"/>
      <c r="G1672" s="410"/>
      <c r="H1672" s="410"/>
      <c r="I1672" s="410"/>
      <c r="J1672" s="410"/>
      <c r="K1672" s="410"/>
      <c r="L1672" s="410"/>
      <c r="M1672" s="410"/>
      <c r="N1672" s="410"/>
      <c r="R1672" s="410"/>
      <c r="S1672" s="410"/>
      <c r="T1672" s="410"/>
      <c r="U1672" s="410"/>
      <c r="V1672" s="410"/>
      <c r="W1672" s="410"/>
      <c r="X1672" s="410"/>
      <c r="Y1672" s="410"/>
    </row>
    <row r="1673" spans="1:25" x14ac:dyDescent="0.2">
      <c r="A1673" s="410"/>
      <c r="B1673" s="410"/>
      <c r="C1673" s="410"/>
      <c r="D1673" s="410"/>
      <c r="E1673" s="410"/>
      <c r="F1673" s="410"/>
      <c r="G1673" s="410"/>
      <c r="H1673" s="410"/>
      <c r="I1673" s="410"/>
      <c r="J1673" s="410"/>
      <c r="K1673" s="410"/>
      <c r="L1673" s="410"/>
      <c r="M1673" s="410"/>
      <c r="N1673" s="410"/>
      <c r="R1673" s="410"/>
      <c r="S1673" s="410"/>
      <c r="T1673" s="410"/>
      <c r="U1673" s="410"/>
      <c r="V1673" s="410"/>
      <c r="W1673" s="410"/>
      <c r="X1673" s="410"/>
      <c r="Y1673" s="410"/>
    </row>
    <row r="1674" spans="1:25" x14ac:dyDescent="0.2">
      <c r="A1674" s="410"/>
      <c r="B1674" s="410"/>
      <c r="C1674" s="410"/>
      <c r="D1674" s="410"/>
      <c r="E1674" s="410"/>
      <c r="F1674" s="410"/>
      <c r="G1674" s="410"/>
      <c r="H1674" s="410"/>
      <c r="I1674" s="410"/>
      <c r="J1674" s="410"/>
      <c r="K1674" s="410"/>
      <c r="L1674" s="410"/>
      <c r="M1674" s="410"/>
      <c r="N1674" s="410"/>
      <c r="R1674" s="410"/>
      <c r="S1674" s="410"/>
      <c r="T1674" s="410"/>
      <c r="U1674" s="410"/>
      <c r="V1674" s="410"/>
      <c r="W1674" s="410"/>
      <c r="X1674" s="410"/>
      <c r="Y1674" s="410"/>
    </row>
    <row r="1675" spans="1:25" x14ac:dyDescent="0.2">
      <c r="A1675" s="410"/>
      <c r="B1675" s="410"/>
      <c r="C1675" s="410"/>
      <c r="D1675" s="410"/>
      <c r="E1675" s="410"/>
      <c r="F1675" s="410"/>
      <c r="G1675" s="410"/>
      <c r="H1675" s="410"/>
      <c r="I1675" s="410"/>
      <c r="J1675" s="410"/>
      <c r="K1675" s="410"/>
      <c r="L1675" s="410"/>
      <c r="M1675" s="410"/>
      <c r="N1675" s="410"/>
      <c r="R1675" s="410"/>
      <c r="S1675" s="410"/>
      <c r="T1675" s="410"/>
      <c r="U1675" s="410"/>
      <c r="V1675" s="410"/>
      <c r="W1675" s="410"/>
      <c r="X1675" s="410"/>
      <c r="Y1675" s="410"/>
    </row>
    <row r="1676" spans="1:25" x14ac:dyDescent="0.2">
      <c r="A1676" s="410"/>
      <c r="B1676" s="410"/>
      <c r="C1676" s="410"/>
      <c r="D1676" s="410"/>
      <c r="E1676" s="410"/>
      <c r="F1676" s="410"/>
      <c r="G1676" s="410"/>
      <c r="H1676" s="410"/>
      <c r="I1676" s="410"/>
      <c r="J1676" s="410"/>
      <c r="K1676" s="410"/>
      <c r="L1676" s="410"/>
      <c r="M1676" s="410"/>
      <c r="N1676" s="410"/>
      <c r="R1676" s="410"/>
      <c r="S1676" s="410"/>
      <c r="T1676" s="410"/>
      <c r="U1676" s="410"/>
      <c r="V1676" s="410"/>
      <c r="W1676" s="410"/>
      <c r="X1676" s="410"/>
      <c r="Y1676" s="410"/>
    </row>
    <row r="1677" spans="1:25" x14ac:dyDescent="0.2">
      <c r="A1677" s="410"/>
      <c r="B1677" s="410"/>
      <c r="C1677" s="410"/>
      <c r="D1677" s="410"/>
      <c r="E1677" s="410"/>
      <c r="F1677" s="410"/>
      <c r="G1677" s="410"/>
      <c r="H1677" s="410"/>
      <c r="I1677" s="410"/>
      <c r="J1677" s="410"/>
      <c r="K1677" s="410"/>
      <c r="L1677" s="410"/>
      <c r="M1677" s="410"/>
      <c r="N1677" s="410"/>
      <c r="R1677" s="410"/>
      <c r="S1677" s="410"/>
      <c r="T1677" s="410"/>
      <c r="U1677" s="410"/>
      <c r="V1677" s="410"/>
      <c r="W1677" s="410"/>
      <c r="X1677" s="410"/>
      <c r="Y1677" s="410"/>
    </row>
    <row r="1678" spans="1:25" x14ac:dyDescent="0.2">
      <c r="A1678" s="410"/>
      <c r="B1678" s="410"/>
      <c r="C1678" s="410"/>
      <c r="D1678" s="410"/>
      <c r="E1678" s="410"/>
      <c r="F1678" s="410"/>
      <c r="G1678" s="410"/>
      <c r="H1678" s="410"/>
      <c r="I1678" s="410"/>
      <c r="J1678" s="410"/>
      <c r="K1678" s="410"/>
      <c r="L1678" s="410"/>
      <c r="M1678" s="410"/>
      <c r="N1678" s="410"/>
      <c r="R1678" s="410"/>
      <c r="S1678" s="410"/>
      <c r="T1678" s="410"/>
      <c r="U1678" s="410"/>
      <c r="V1678" s="410"/>
      <c r="W1678" s="410"/>
      <c r="X1678" s="410"/>
      <c r="Y1678" s="410"/>
    </row>
    <row r="1679" spans="1:25" x14ac:dyDescent="0.2">
      <c r="A1679" s="410"/>
      <c r="B1679" s="410"/>
      <c r="C1679" s="410"/>
      <c r="D1679" s="410"/>
      <c r="E1679" s="410"/>
      <c r="F1679" s="410"/>
      <c r="G1679" s="410"/>
      <c r="H1679" s="410"/>
      <c r="I1679" s="410"/>
      <c r="J1679" s="410"/>
      <c r="K1679" s="410"/>
      <c r="L1679" s="410"/>
      <c r="M1679" s="410"/>
      <c r="N1679" s="410"/>
      <c r="R1679" s="410"/>
      <c r="S1679" s="410"/>
      <c r="T1679" s="410"/>
      <c r="U1679" s="410"/>
      <c r="V1679" s="410"/>
      <c r="W1679" s="410"/>
      <c r="X1679" s="410"/>
      <c r="Y1679" s="410"/>
    </row>
    <row r="1680" spans="1:25" x14ac:dyDescent="0.2">
      <c r="A1680" s="410"/>
      <c r="B1680" s="410"/>
      <c r="C1680" s="410"/>
      <c r="D1680" s="410"/>
      <c r="E1680" s="410"/>
      <c r="F1680" s="410"/>
      <c r="G1680" s="410"/>
      <c r="H1680" s="410"/>
      <c r="I1680" s="410"/>
      <c r="J1680" s="410"/>
      <c r="K1680" s="410"/>
      <c r="L1680" s="410"/>
      <c r="M1680" s="410"/>
      <c r="N1680" s="410"/>
      <c r="R1680" s="410"/>
      <c r="S1680" s="410"/>
      <c r="T1680" s="410"/>
      <c r="U1680" s="410"/>
      <c r="V1680" s="410"/>
      <c r="W1680" s="410"/>
      <c r="X1680" s="410"/>
      <c r="Y1680" s="410"/>
    </row>
    <row r="1681" spans="1:25" x14ac:dyDescent="0.2">
      <c r="A1681" s="410"/>
      <c r="B1681" s="410"/>
      <c r="C1681" s="410"/>
      <c r="D1681" s="410"/>
      <c r="E1681" s="410"/>
      <c r="F1681" s="410"/>
      <c r="G1681" s="410"/>
      <c r="H1681" s="410"/>
      <c r="I1681" s="410"/>
      <c r="J1681" s="410"/>
      <c r="K1681" s="410"/>
      <c r="L1681" s="410"/>
      <c r="M1681" s="410"/>
      <c r="N1681" s="410"/>
      <c r="R1681" s="410"/>
      <c r="S1681" s="410"/>
      <c r="T1681" s="410"/>
      <c r="U1681" s="410"/>
      <c r="V1681" s="410"/>
      <c r="W1681" s="410"/>
      <c r="X1681" s="410"/>
      <c r="Y1681" s="410"/>
    </row>
    <row r="1682" spans="1:25" x14ac:dyDescent="0.2">
      <c r="A1682" s="410"/>
      <c r="B1682" s="410"/>
      <c r="C1682" s="410"/>
      <c r="D1682" s="410"/>
      <c r="E1682" s="410"/>
      <c r="F1682" s="410"/>
      <c r="G1682" s="410"/>
      <c r="H1682" s="410"/>
      <c r="I1682" s="410"/>
      <c r="J1682" s="410"/>
      <c r="K1682" s="410"/>
      <c r="L1682" s="410"/>
      <c r="M1682" s="410"/>
      <c r="N1682" s="410"/>
      <c r="R1682" s="410"/>
      <c r="S1682" s="410"/>
      <c r="T1682" s="410"/>
      <c r="U1682" s="410"/>
      <c r="V1682" s="410"/>
      <c r="W1682" s="410"/>
      <c r="X1682" s="410"/>
      <c r="Y1682" s="410"/>
    </row>
    <row r="1683" spans="1:25" x14ac:dyDescent="0.2">
      <c r="A1683" s="410"/>
      <c r="B1683" s="410"/>
      <c r="C1683" s="410"/>
      <c r="D1683" s="410"/>
      <c r="E1683" s="410"/>
      <c r="F1683" s="410"/>
      <c r="G1683" s="410"/>
      <c r="H1683" s="410"/>
      <c r="I1683" s="410"/>
      <c r="J1683" s="410"/>
      <c r="K1683" s="410"/>
      <c r="L1683" s="410"/>
      <c r="M1683" s="410"/>
      <c r="N1683" s="410"/>
      <c r="R1683" s="410"/>
      <c r="S1683" s="410"/>
      <c r="T1683" s="410"/>
      <c r="U1683" s="410"/>
      <c r="V1683" s="410"/>
      <c r="W1683" s="410"/>
      <c r="X1683" s="410"/>
      <c r="Y1683" s="410"/>
    </row>
    <row r="1684" spans="1:25" x14ac:dyDescent="0.2">
      <c r="A1684" s="410"/>
      <c r="B1684" s="410"/>
      <c r="C1684" s="410"/>
      <c r="D1684" s="410"/>
      <c r="E1684" s="410"/>
      <c r="F1684" s="410"/>
      <c r="G1684" s="410"/>
      <c r="H1684" s="410"/>
      <c r="I1684" s="410"/>
      <c r="J1684" s="410"/>
      <c r="K1684" s="410"/>
      <c r="L1684" s="410"/>
      <c r="M1684" s="410"/>
      <c r="N1684" s="410"/>
      <c r="R1684" s="410"/>
      <c r="S1684" s="410"/>
      <c r="T1684" s="410"/>
      <c r="U1684" s="410"/>
      <c r="V1684" s="410"/>
      <c r="W1684" s="410"/>
      <c r="X1684" s="410"/>
      <c r="Y1684" s="410"/>
    </row>
    <row r="1685" spans="1:25" x14ac:dyDescent="0.2">
      <c r="A1685" s="410"/>
      <c r="B1685" s="410"/>
      <c r="C1685" s="410"/>
      <c r="D1685" s="410"/>
      <c r="E1685" s="410"/>
      <c r="F1685" s="410"/>
      <c r="G1685" s="410"/>
      <c r="H1685" s="410"/>
      <c r="I1685" s="410"/>
      <c r="J1685" s="410"/>
      <c r="K1685" s="410"/>
      <c r="L1685" s="410"/>
      <c r="M1685" s="410"/>
      <c r="N1685" s="410"/>
      <c r="R1685" s="410"/>
      <c r="S1685" s="410"/>
      <c r="T1685" s="410"/>
      <c r="U1685" s="410"/>
      <c r="V1685" s="410"/>
      <c r="W1685" s="410"/>
      <c r="X1685" s="410"/>
      <c r="Y1685" s="410"/>
    </row>
    <row r="1686" spans="1:25" x14ac:dyDescent="0.2">
      <c r="A1686" s="410"/>
      <c r="B1686" s="410"/>
      <c r="C1686" s="410"/>
      <c r="D1686" s="410"/>
      <c r="E1686" s="410"/>
      <c r="F1686" s="410"/>
      <c r="G1686" s="410"/>
      <c r="H1686" s="410"/>
      <c r="I1686" s="410"/>
      <c r="J1686" s="410"/>
      <c r="K1686" s="410"/>
      <c r="L1686" s="410"/>
      <c r="M1686" s="410"/>
      <c r="N1686" s="410"/>
      <c r="R1686" s="410"/>
      <c r="S1686" s="410"/>
      <c r="T1686" s="410"/>
      <c r="U1686" s="410"/>
      <c r="V1686" s="410"/>
      <c r="W1686" s="410"/>
      <c r="X1686" s="410"/>
      <c r="Y1686" s="410"/>
    </row>
    <row r="1687" spans="1:25" x14ac:dyDescent="0.2">
      <c r="A1687" s="410"/>
      <c r="B1687" s="410"/>
      <c r="C1687" s="410"/>
      <c r="D1687" s="410"/>
      <c r="E1687" s="410"/>
      <c r="F1687" s="410"/>
      <c r="G1687" s="410"/>
      <c r="H1687" s="410"/>
      <c r="I1687" s="410"/>
      <c r="J1687" s="410"/>
      <c r="K1687" s="410"/>
      <c r="L1687" s="410"/>
      <c r="M1687" s="410"/>
      <c r="N1687" s="410"/>
      <c r="R1687" s="410"/>
      <c r="S1687" s="410"/>
      <c r="T1687" s="410"/>
      <c r="U1687" s="410"/>
      <c r="V1687" s="410"/>
      <c r="W1687" s="410"/>
      <c r="X1687" s="410"/>
      <c r="Y1687" s="410"/>
    </row>
    <row r="1688" spans="1:25" x14ac:dyDescent="0.2">
      <c r="A1688" s="410"/>
      <c r="B1688" s="410"/>
      <c r="C1688" s="410"/>
      <c r="D1688" s="410"/>
      <c r="E1688" s="410"/>
      <c r="F1688" s="410"/>
      <c r="G1688" s="410"/>
      <c r="H1688" s="410"/>
      <c r="I1688" s="410"/>
      <c r="J1688" s="410"/>
      <c r="K1688" s="410"/>
      <c r="L1688" s="410"/>
      <c r="M1688" s="410"/>
      <c r="N1688" s="410"/>
      <c r="R1688" s="410"/>
      <c r="S1688" s="410"/>
      <c r="T1688" s="410"/>
      <c r="U1688" s="410"/>
      <c r="V1688" s="410"/>
      <c r="W1688" s="410"/>
      <c r="X1688" s="410"/>
      <c r="Y1688" s="410"/>
    </row>
    <row r="1689" spans="1:25" x14ac:dyDescent="0.2">
      <c r="A1689" s="410"/>
      <c r="B1689" s="410"/>
      <c r="C1689" s="410"/>
      <c r="D1689" s="410"/>
      <c r="E1689" s="410"/>
      <c r="F1689" s="410"/>
      <c r="G1689" s="410"/>
      <c r="H1689" s="410"/>
      <c r="I1689" s="410"/>
      <c r="J1689" s="410"/>
      <c r="K1689" s="410"/>
      <c r="L1689" s="410"/>
      <c r="M1689" s="410"/>
      <c r="N1689" s="410"/>
      <c r="R1689" s="410"/>
      <c r="S1689" s="410"/>
      <c r="T1689" s="410"/>
      <c r="U1689" s="410"/>
      <c r="V1689" s="410"/>
      <c r="W1689" s="410"/>
      <c r="X1689" s="410"/>
      <c r="Y1689" s="410"/>
    </row>
    <row r="1690" spans="1:25" x14ac:dyDescent="0.2">
      <c r="A1690" s="410"/>
      <c r="B1690" s="410"/>
      <c r="C1690" s="410"/>
      <c r="D1690" s="410"/>
      <c r="E1690" s="410"/>
      <c r="F1690" s="410"/>
      <c r="G1690" s="410"/>
      <c r="H1690" s="410"/>
      <c r="I1690" s="410"/>
      <c r="J1690" s="410"/>
      <c r="K1690" s="410"/>
      <c r="L1690" s="410"/>
      <c r="M1690" s="410"/>
      <c r="N1690" s="410"/>
      <c r="R1690" s="410"/>
      <c r="S1690" s="410"/>
      <c r="T1690" s="410"/>
      <c r="U1690" s="410"/>
      <c r="V1690" s="410"/>
      <c r="W1690" s="410"/>
      <c r="X1690" s="410"/>
      <c r="Y1690" s="410"/>
    </row>
    <row r="1691" spans="1:25" x14ac:dyDescent="0.2">
      <c r="A1691" s="410"/>
      <c r="B1691" s="410"/>
      <c r="C1691" s="410"/>
      <c r="D1691" s="410"/>
      <c r="E1691" s="410"/>
      <c r="F1691" s="410"/>
      <c r="G1691" s="410"/>
      <c r="H1691" s="410"/>
      <c r="I1691" s="410"/>
      <c r="J1691" s="410"/>
      <c r="K1691" s="410"/>
      <c r="L1691" s="410"/>
      <c r="M1691" s="410"/>
      <c r="N1691" s="410"/>
      <c r="R1691" s="410"/>
      <c r="S1691" s="410"/>
      <c r="T1691" s="410"/>
      <c r="U1691" s="410"/>
      <c r="V1691" s="410"/>
      <c r="W1691" s="410"/>
      <c r="X1691" s="410"/>
      <c r="Y1691" s="410"/>
    </row>
    <row r="1692" spans="1:25" x14ac:dyDescent="0.2">
      <c r="A1692" s="410"/>
      <c r="B1692" s="410"/>
      <c r="C1692" s="410"/>
      <c r="D1692" s="410"/>
      <c r="E1692" s="410"/>
      <c r="F1692" s="410"/>
      <c r="G1692" s="410"/>
      <c r="H1692" s="410"/>
      <c r="I1692" s="410"/>
      <c r="J1692" s="410"/>
      <c r="K1692" s="410"/>
      <c r="L1692" s="410"/>
      <c r="M1692" s="410"/>
      <c r="N1692" s="410"/>
      <c r="R1692" s="410"/>
      <c r="S1692" s="410"/>
      <c r="T1692" s="410"/>
      <c r="U1692" s="410"/>
      <c r="V1692" s="410"/>
      <c r="W1692" s="410"/>
      <c r="X1692" s="410"/>
      <c r="Y1692" s="410"/>
    </row>
    <row r="1693" spans="1:25" x14ac:dyDescent="0.2">
      <c r="A1693" s="410"/>
      <c r="B1693" s="410"/>
      <c r="C1693" s="410"/>
      <c r="D1693" s="410"/>
      <c r="E1693" s="410"/>
      <c r="F1693" s="410"/>
      <c r="G1693" s="410"/>
      <c r="H1693" s="410"/>
      <c r="I1693" s="410"/>
      <c r="J1693" s="410"/>
      <c r="K1693" s="410"/>
      <c r="L1693" s="410"/>
      <c r="M1693" s="410"/>
      <c r="N1693" s="410"/>
      <c r="R1693" s="410"/>
      <c r="S1693" s="410"/>
      <c r="T1693" s="410"/>
      <c r="U1693" s="410"/>
      <c r="V1693" s="410"/>
      <c r="W1693" s="410"/>
      <c r="X1693" s="410"/>
      <c r="Y1693" s="410"/>
    </row>
    <row r="1694" spans="1:25" x14ac:dyDescent="0.2">
      <c r="A1694" s="410"/>
      <c r="B1694" s="410"/>
      <c r="C1694" s="410"/>
      <c r="D1694" s="410"/>
      <c r="E1694" s="410"/>
      <c r="F1694" s="410"/>
      <c r="G1694" s="410"/>
      <c r="H1694" s="410"/>
      <c r="I1694" s="410"/>
      <c r="J1694" s="410"/>
      <c r="K1694" s="410"/>
      <c r="L1694" s="410"/>
      <c r="M1694" s="410"/>
      <c r="N1694" s="410"/>
      <c r="R1694" s="410"/>
      <c r="S1694" s="410"/>
      <c r="T1694" s="410"/>
      <c r="U1694" s="410"/>
      <c r="V1694" s="410"/>
      <c r="W1694" s="410"/>
      <c r="X1694" s="410"/>
      <c r="Y1694" s="410"/>
    </row>
    <row r="1695" spans="1:25" x14ac:dyDescent="0.2">
      <c r="A1695" s="410"/>
      <c r="B1695" s="410"/>
      <c r="C1695" s="410"/>
      <c r="D1695" s="410"/>
      <c r="E1695" s="410"/>
      <c r="F1695" s="410"/>
      <c r="G1695" s="410"/>
      <c r="H1695" s="410"/>
      <c r="I1695" s="410"/>
      <c r="J1695" s="410"/>
      <c r="K1695" s="410"/>
      <c r="L1695" s="410"/>
      <c r="M1695" s="410"/>
      <c r="N1695" s="410"/>
      <c r="R1695" s="410"/>
      <c r="S1695" s="410"/>
      <c r="T1695" s="410"/>
      <c r="U1695" s="410"/>
      <c r="V1695" s="410"/>
      <c r="W1695" s="410"/>
      <c r="X1695" s="410"/>
      <c r="Y1695" s="410"/>
    </row>
    <row r="1696" spans="1:25" x14ac:dyDescent="0.2">
      <c r="A1696" s="410"/>
      <c r="B1696" s="410"/>
      <c r="C1696" s="410"/>
      <c r="D1696" s="410"/>
      <c r="E1696" s="410"/>
      <c r="F1696" s="410"/>
      <c r="G1696" s="410"/>
      <c r="H1696" s="410"/>
      <c r="I1696" s="410"/>
      <c r="J1696" s="410"/>
      <c r="K1696" s="410"/>
      <c r="L1696" s="410"/>
      <c r="M1696" s="410"/>
      <c r="N1696" s="410"/>
      <c r="R1696" s="410"/>
      <c r="S1696" s="410"/>
      <c r="T1696" s="410"/>
      <c r="U1696" s="410"/>
      <c r="V1696" s="410"/>
      <c r="W1696" s="410"/>
      <c r="X1696" s="410"/>
      <c r="Y1696" s="410"/>
    </row>
    <row r="1697" spans="1:25" x14ac:dyDescent="0.2">
      <c r="A1697" s="410"/>
      <c r="B1697" s="410"/>
      <c r="C1697" s="410"/>
      <c r="D1697" s="410"/>
      <c r="E1697" s="410"/>
      <c r="F1697" s="410"/>
      <c r="G1697" s="410"/>
      <c r="H1697" s="410"/>
      <c r="I1697" s="410"/>
      <c r="J1697" s="410"/>
      <c r="K1697" s="410"/>
      <c r="L1697" s="410"/>
      <c r="M1697" s="410"/>
      <c r="N1697" s="410"/>
      <c r="R1697" s="410"/>
      <c r="S1697" s="410"/>
      <c r="T1697" s="410"/>
      <c r="U1697" s="410"/>
      <c r="V1697" s="410"/>
      <c r="W1697" s="410"/>
      <c r="X1697" s="410"/>
      <c r="Y1697" s="410"/>
    </row>
    <row r="1698" spans="1:25" x14ac:dyDescent="0.2">
      <c r="A1698" s="410"/>
      <c r="B1698" s="410"/>
      <c r="C1698" s="410"/>
      <c r="D1698" s="410"/>
      <c r="E1698" s="410"/>
      <c r="F1698" s="410"/>
      <c r="G1698" s="410"/>
      <c r="H1698" s="410"/>
      <c r="I1698" s="410"/>
      <c r="J1698" s="410"/>
      <c r="K1698" s="410"/>
      <c r="L1698" s="410"/>
      <c r="M1698" s="410"/>
      <c r="N1698" s="410"/>
      <c r="R1698" s="410"/>
      <c r="S1698" s="410"/>
      <c r="T1698" s="410"/>
      <c r="U1698" s="410"/>
      <c r="V1698" s="410"/>
      <c r="W1698" s="410"/>
      <c r="X1698" s="410"/>
      <c r="Y1698" s="410"/>
    </row>
    <row r="1699" spans="1:25" x14ac:dyDescent="0.2">
      <c r="A1699" s="410"/>
      <c r="B1699" s="410"/>
      <c r="C1699" s="410"/>
      <c r="D1699" s="410"/>
      <c r="E1699" s="410"/>
      <c r="F1699" s="410"/>
      <c r="G1699" s="410"/>
      <c r="H1699" s="410"/>
      <c r="I1699" s="410"/>
      <c r="J1699" s="410"/>
      <c r="K1699" s="410"/>
      <c r="L1699" s="410"/>
      <c r="M1699" s="410"/>
      <c r="N1699" s="410"/>
      <c r="R1699" s="410"/>
      <c r="S1699" s="410"/>
      <c r="T1699" s="410"/>
      <c r="U1699" s="410"/>
      <c r="V1699" s="410"/>
      <c r="W1699" s="410"/>
      <c r="X1699" s="410"/>
      <c r="Y1699" s="410"/>
    </row>
    <row r="1700" spans="1:25" x14ac:dyDescent="0.2">
      <c r="A1700" s="410"/>
      <c r="B1700" s="410"/>
      <c r="C1700" s="410"/>
      <c r="D1700" s="410"/>
      <c r="E1700" s="410"/>
      <c r="F1700" s="410"/>
      <c r="G1700" s="410"/>
      <c r="H1700" s="410"/>
      <c r="I1700" s="410"/>
      <c r="J1700" s="410"/>
      <c r="K1700" s="410"/>
      <c r="L1700" s="410"/>
      <c r="M1700" s="410"/>
      <c r="N1700" s="410"/>
      <c r="R1700" s="410"/>
      <c r="S1700" s="410"/>
      <c r="T1700" s="410"/>
      <c r="U1700" s="410"/>
      <c r="V1700" s="410"/>
      <c r="W1700" s="410"/>
      <c r="X1700" s="410"/>
      <c r="Y1700" s="410"/>
    </row>
    <row r="1701" spans="1:25" x14ac:dyDescent="0.2">
      <c r="A1701" s="410"/>
      <c r="B1701" s="410"/>
      <c r="C1701" s="410"/>
      <c r="D1701" s="410"/>
      <c r="E1701" s="410"/>
      <c r="F1701" s="410"/>
      <c r="G1701" s="410"/>
      <c r="H1701" s="410"/>
      <c r="I1701" s="410"/>
      <c r="J1701" s="410"/>
      <c r="K1701" s="410"/>
      <c r="L1701" s="410"/>
      <c r="M1701" s="410"/>
      <c r="N1701" s="410"/>
      <c r="R1701" s="410"/>
      <c r="S1701" s="410"/>
      <c r="T1701" s="410"/>
      <c r="U1701" s="410"/>
      <c r="V1701" s="410"/>
      <c r="W1701" s="410"/>
      <c r="X1701" s="410"/>
      <c r="Y1701" s="410"/>
    </row>
    <row r="1702" spans="1:25" x14ac:dyDescent="0.2">
      <c r="A1702" s="410"/>
      <c r="B1702" s="410"/>
      <c r="C1702" s="410"/>
      <c r="D1702" s="410"/>
      <c r="E1702" s="410"/>
      <c r="F1702" s="410"/>
      <c r="G1702" s="410"/>
      <c r="H1702" s="410"/>
      <c r="I1702" s="410"/>
      <c r="J1702" s="410"/>
      <c r="K1702" s="410"/>
      <c r="L1702" s="410"/>
      <c r="M1702" s="410"/>
      <c r="N1702" s="410"/>
      <c r="R1702" s="410"/>
      <c r="S1702" s="410"/>
      <c r="T1702" s="410"/>
      <c r="U1702" s="410"/>
      <c r="V1702" s="410"/>
      <c r="W1702" s="410"/>
      <c r="X1702" s="410"/>
      <c r="Y1702" s="410"/>
    </row>
    <row r="1703" spans="1:25" x14ac:dyDescent="0.2">
      <c r="A1703" s="410"/>
      <c r="B1703" s="410"/>
      <c r="C1703" s="410"/>
      <c r="D1703" s="410"/>
      <c r="E1703" s="410"/>
      <c r="F1703" s="410"/>
      <c r="G1703" s="410"/>
      <c r="H1703" s="410"/>
      <c r="I1703" s="410"/>
      <c r="J1703" s="410"/>
      <c r="K1703" s="410"/>
      <c r="L1703" s="410"/>
      <c r="M1703" s="410"/>
      <c r="N1703" s="410"/>
      <c r="R1703" s="410"/>
      <c r="S1703" s="410"/>
      <c r="T1703" s="410"/>
      <c r="U1703" s="410"/>
      <c r="V1703" s="410"/>
      <c r="W1703" s="410"/>
      <c r="X1703" s="410"/>
      <c r="Y1703" s="410"/>
    </row>
    <row r="1704" spans="1:25" x14ac:dyDescent="0.2">
      <c r="A1704" s="410"/>
      <c r="B1704" s="410"/>
      <c r="C1704" s="410"/>
      <c r="D1704" s="410"/>
      <c r="E1704" s="410"/>
      <c r="F1704" s="410"/>
      <c r="G1704" s="410"/>
      <c r="H1704" s="410"/>
      <c r="I1704" s="410"/>
      <c r="J1704" s="410"/>
      <c r="K1704" s="410"/>
      <c r="L1704" s="410"/>
      <c r="M1704" s="410"/>
      <c r="N1704" s="410"/>
      <c r="R1704" s="410"/>
      <c r="S1704" s="410"/>
      <c r="T1704" s="410"/>
      <c r="U1704" s="410"/>
      <c r="V1704" s="410"/>
      <c r="W1704" s="410"/>
      <c r="X1704" s="410"/>
      <c r="Y1704" s="410"/>
    </row>
    <row r="1705" spans="1:25" x14ac:dyDescent="0.2">
      <c r="A1705" s="410"/>
      <c r="B1705" s="410"/>
      <c r="C1705" s="410"/>
      <c r="D1705" s="410"/>
      <c r="E1705" s="410"/>
      <c r="F1705" s="410"/>
      <c r="G1705" s="410"/>
      <c r="H1705" s="410"/>
      <c r="I1705" s="410"/>
      <c r="J1705" s="410"/>
      <c r="K1705" s="410"/>
      <c r="L1705" s="410"/>
      <c r="M1705" s="410"/>
      <c r="N1705" s="410"/>
      <c r="R1705" s="410"/>
      <c r="S1705" s="410"/>
      <c r="T1705" s="410"/>
      <c r="U1705" s="410"/>
      <c r="V1705" s="410"/>
      <c r="W1705" s="410"/>
      <c r="X1705" s="410"/>
      <c r="Y1705" s="410"/>
    </row>
    <row r="1706" spans="1:25" x14ac:dyDescent="0.2">
      <c r="A1706" s="410"/>
      <c r="B1706" s="410"/>
      <c r="C1706" s="410"/>
      <c r="D1706" s="410"/>
      <c r="E1706" s="410"/>
      <c r="F1706" s="410"/>
      <c r="G1706" s="410"/>
      <c r="H1706" s="410"/>
      <c r="I1706" s="410"/>
      <c r="J1706" s="410"/>
      <c r="K1706" s="410"/>
      <c r="L1706" s="410"/>
      <c r="M1706" s="410"/>
      <c r="N1706" s="410"/>
      <c r="R1706" s="410"/>
      <c r="S1706" s="410"/>
      <c r="T1706" s="410"/>
      <c r="U1706" s="410"/>
      <c r="V1706" s="410"/>
      <c r="W1706" s="410"/>
      <c r="X1706" s="410"/>
      <c r="Y1706" s="410"/>
    </row>
    <row r="1707" spans="1:25" x14ac:dyDescent="0.2">
      <c r="A1707" s="410"/>
      <c r="B1707" s="410"/>
      <c r="C1707" s="410"/>
      <c r="D1707" s="410"/>
      <c r="E1707" s="410"/>
      <c r="F1707" s="410"/>
      <c r="G1707" s="410"/>
      <c r="H1707" s="410"/>
      <c r="I1707" s="410"/>
      <c r="J1707" s="410"/>
      <c r="K1707" s="410"/>
      <c r="L1707" s="410"/>
      <c r="M1707" s="410"/>
      <c r="N1707" s="410"/>
      <c r="R1707" s="410"/>
      <c r="S1707" s="410"/>
      <c r="T1707" s="410"/>
      <c r="U1707" s="410"/>
      <c r="V1707" s="410"/>
      <c r="W1707" s="410"/>
      <c r="X1707" s="410"/>
      <c r="Y1707" s="410"/>
    </row>
    <row r="1708" spans="1:25" x14ac:dyDescent="0.2">
      <c r="A1708" s="410"/>
      <c r="B1708" s="410"/>
      <c r="C1708" s="410"/>
      <c r="D1708" s="410"/>
      <c r="E1708" s="410"/>
      <c r="F1708" s="410"/>
      <c r="G1708" s="410"/>
      <c r="H1708" s="410"/>
      <c r="I1708" s="410"/>
      <c r="J1708" s="410"/>
      <c r="K1708" s="410"/>
      <c r="L1708" s="410"/>
      <c r="M1708" s="410"/>
      <c r="N1708" s="410"/>
      <c r="R1708" s="410"/>
      <c r="S1708" s="410"/>
      <c r="T1708" s="410"/>
      <c r="U1708" s="410"/>
      <c r="V1708" s="410"/>
      <c r="W1708" s="410"/>
      <c r="X1708" s="410"/>
      <c r="Y1708" s="410"/>
    </row>
    <row r="1709" spans="1:25" x14ac:dyDescent="0.2">
      <c r="A1709" s="410"/>
      <c r="B1709" s="410"/>
      <c r="C1709" s="410"/>
      <c r="D1709" s="410"/>
      <c r="E1709" s="410"/>
      <c r="F1709" s="410"/>
      <c r="G1709" s="410"/>
      <c r="H1709" s="410"/>
      <c r="I1709" s="410"/>
      <c r="J1709" s="410"/>
      <c r="K1709" s="410"/>
      <c r="L1709" s="410"/>
      <c r="M1709" s="410"/>
      <c r="N1709" s="410"/>
      <c r="R1709" s="410"/>
      <c r="S1709" s="410"/>
      <c r="T1709" s="410"/>
      <c r="U1709" s="410"/>
      <c r="V1709" s="410"/>
      <c r="W1709" s="410"/>
      <c r="X1709" s="410"/>
      <c r="Y1709" s="410"/>
    </row>
    <row r="1710" spans="1:25" x14ac:dyDescent="0.2">
      <c r="A1710" s="410"/>
      <c r="B1710" s="410"/>
      <c r="C1710" s="410"/>
      <c r="D1710" s="410"/>
      <c r="E1710" s="410"/>
      <c r="F1710" s="410"/>
      <c r="G1710" s="410"/>
      <c r="H1710" s="410"/>
      <c r="I1710" s="410"/>
      <c r="J1710" s="410"/>
      <c r="K1710" s="410"/>
      <c r="L1710" s="410"/>
      <c r="M1710" s="410"/>
      <c r="N1710" s="410"/>
      <c r="R1710" s="410"/>
      <c r="S1710" s="410"/>
      <c r="T1710" s="410"/>
      <c r="U1710" s="410"/>
      <c r="V1710" s="410"/>
      <c r="W1710" s="410"/>
      <c r="X1710" s="410"/>
      <c r="Y1710" s="410"/>
    </row>
    <row r="1711" spans="1:25" x14ac:dyDescent="0.2">
      <c r="A1711" s="410"/>
      <c r="B1711" s="410"/>
      <c r="C1711" s="410"/>
      <c r="D1711" s="410"/>
      <c r="E1711" s="410"/>
      <c r="F1711" s="410"/>
      <c r="G1711" s="410"/>
      <c r="H1711" s="410"/>
      <c r="I1711" s="410"/>
      <c r="J1711" s="410"/>
      <c r="K1711" s="410"/>
      <c r="L1711" s="410"/>
      <c r="M1711" s="410"/>
      <c r="N1711" s="410"/>
      <c r="R1711" s="410"/>
      <c r="S1711" s="410"/>
      <c r="T1711" s="410"/>
      <c r="U1711" s="410"/>
      <c r="V1711" s="410"/>
      <c r="W1711" s="410"/>
      <c r="X1711" s="410"/>
      <c r="Y1711" s="410"/>
    </row>
    <row r="1712" spans="1:25" x14ac:dyDescent="0.2">
      <c r="A1712" s="410"/>
      <c r="B1712" s="410"/>
      <c r="C1712" s="410"/>
      <c r="D1712" s="410"/>
      <c r="E1712" s="410"/>
      <c r="F1712" s="410"/>
      <c r="G1712" s="410"/>
      <c r="H1712" s="410"/>
      <c r="I1712" s="410"/>
      <c r="J1712" s="410"/>
      <c r="K1712" s="410"/>
      <c r="L1712" s="410"/>
      <c r="M1712" s="410"/>
      <c r="N1712" s="410"/>
      <c r="R1712" s="410"/>
      <c r="S1712" s="410"/>
      <c r="T1712" s="410"/>
      <c r="U1712" s="410"/>
      <c r="V1712" s="410"/>
      <c r="W1712" s="410"/>
      <c r="X1712" s="410"/>
      <c r="Y1712" s="410"/>
    </row>
    <row r="1713" spans="1:25" x14ac:dyDescent="0.2">
      <c r="A1713" s="410"/>
      <c r="B1713" s="410"/>
      <c r="C1713" s="410"/>
      <c r="D1713" s="410"/>
      <c r="E1713" s="410"/>
      <c r="F1713" s="410"/>
      <c r="G1713" s="410"/>
      <c r="H1713" s="410"/>
      <c r="I1713" s="410"/>
      <c r="J1713" s="410"/>
      <c r="K1713" s="410"/>
      <c r="L1713" s="410"/>
      <c r="M1713" s="410"/>
      <c r="N1713" s="410"/>
      <c r="R1713" s="410"/>
      <c r="S1713" s="410"/>
      <c r="T1713" s="410"/>
      <c r="U1713" s="410"/>
      <c r="V1713" s="410"/>
      <c r="W1713" s="410"/>
      <c r="X1713" s="410"/>
      <c r="Y1713" s="410"/>
    </row>
    <row r="1714" spans="1:25" x14ac:dyDescent="0.2">
      <c r="A1714" s="410"/>
      <c r="B1714" s="410"/>
      <c r="C1714" s="410"/>
      <c r="D1714" s="410"/>
      <c r="E1714" s="410"/>
      <c r="F1714" s="410"/>
      <c r="G1714" s="410"/>
      <c r="H1714" s="410"/>
      <c r="I1714" s="410"/>
      <c r="J1714" s="410"/>
      <c r="K1714" s="410"/>
      <c r="L1714" s="410"/>
      <c r="M1714" s="410"/>
      <c r="N1714" s="410"/>
      <c r="R1714" s="410"/>
      <c r="S1714" s="410"/>
      <c r="T1714" s="410"/>
      <c r="U1714" s="410"/>
      <c r="V1714" s="410"/>
      <c r="W1714" s="410"/>
      <c r="X1714" s="410"/>
      <c r="Y1714" s="410"/>
    </row>
    <row r="1715" spans="1:25" x14ac:dyDescent="0.2">
      <c r="A1715" s="410"/>
      <c r="B1715" s="410"/>
      <c r="C1715" s="410"/>
      <c r="D1715" s="410"/>
      <c r="E1715" s="410"/>
      <c r="F1715" s="410"/>
      <c r="G1715" s="410"/>
      <c r="H1715" s="410"/>
      <c r="I1715" s="410"/>
      <c r="J1715" s="410"/>
      <c r="K1715" s="410"/>
      <c r="L1715" s="410"/>
      <c r="M1715" s="410"/>
      <c r="N1715" s="410"/>
      <c r="R1715" s="410"/>
      <c r="S1715" s="410"/>
      <c r="T1715" s="410"/>
      <c r="U1715" s="410"/>
      <c r="V1715" s="410"/>
      <c r="W1715" s="410"/>
      <c r="X1715" s="410"/>
      <c r="Y1715" s="410"/>
    </row>
    <row r="1716" spans="1:25" x14ac:dyDescent="0.2">
      <c r="A1716" s="410"/>
      <c r="B1716" s="410"/>
      <c r="C1716" s="410"/>
      <c r="D1716" s="410"/>
      <c r="E1716" s="410"/>
      <c r="F1716" s="410"/>
      <c r="G1716" s="410"/>
      <c r="H1716" s="410"/>
      <c r="I1716" s="410"/>
      <c r="J1716" s="410"/>
      <c r="K1716" s="410"/>
      <c r="L1716" s="410"/>
      <c r="M1716" s="410"/>
      <c r="N1716" s="410"/>
      <c r="R1716" s="410"/>
      <c r="S1716" s="410"/>
      <c r="T1716" s="410"/>
      <c r="U1716" s="410"/>
      <c r="V1716" s="410"/>
      <c r="W1716" s="410"/>
      <c r="X1716" s="410"/>
      <c r="Y1716" s="410"/>
    </row>
    <row r="1717" spans="1:25" x14ac:dyDescent="0.2">
      <c r="A1717" s="410"/>
      <c r="B1717" s="410"/>
      <c r="C1717" s="410"/>
      <c r="D1717" s="410"/>
      <c r="E1717" s="410"/>
      <c r="F1717" s="410"/>
      <c r="G1717" s="410"/>
      <c r="H1717" s="410"/>
      <c r="I1717" s="410"/>
      <c r="J1717" s="410"/>
      <c r="K1717" s="410"/>
      <c r="L1717" s="410"/>
      <c r="M1717" s="410"/>
      <c r="N1717" s="410"/>
      <c r="R1717" s="410"/>
      <c r="S1717" s="410"/>
      <c r="T1717" s="410"/>
      <c r="U1717" s="410"/>
      <c r="V1717" s="410"/>
      <c r="W1717" s="410"/>
      <c r="X1717" s="410"/>
      <c r="Y1717" s="410"/>
    </row>
    <row r="1718" spans="1:25" x14ac:dyDescent="0.2">
      <c r="A1718" s="410"/>
      <c r="B1718" s="410"/>
      <c r="C1718" s="410"/>
      <c r="D1718" s="410"/>
      <c r="E1718" s="410"/>
      <c r="F1718" s="410"/>
      <c r="G1718" s="410"/>
      <c r="H1718" s="410"/>
      <c r="I1718" s="410"/>
      <c r="J1718" s="410"/>
      <c r="K1718" s="410"/>
      <c r="L1718" s="410"/>
      <c r="M1718" s="410"/>
      <c r="N1718" s="410"/>
      <c r="R1718" s="410"/>
      <c r="S1718" s="410"/>
      <c r="T1718" s="410"/>
      <c r="U1718" s="410"/>
      <c r="V1718" s="410"/>
      <c r="W1718" s="410"/>
      <c r="X1718" s="410"/>
      <c r="Y1718" s="410"/>
    </row>
    <row r="1719" spans="1:25" x14ac:dyDescent="0.2">
      <c r="A1719" s="410"/>
      <c r="B1719" s="410"/>
      <c r="C1719" s="410"/>
      <c r="D1719" s="410"/>
      <c r="E1719" s="410"/>
      <c r="F1719" s="410"/>
      <c r="G1719" s="410"/>
      <c r="H1719" s="410"/>
      <c r="I1719" s="410"/>
      <c r="J1719" s="410"/>
      <c r="K1719" s="410"/>
      <c r="L1719" s="410"/>
      <c r="M1719" s="410"/>
      <c r="N1719" s="410"/>
      <c r="R1719" s="410"/>
      <c r="S1719" s="410"/>
      <c r="T1719" s="410"/>
      <c r="U1719" s="410"/>
      <c r="V1719" s="410"/>
      <c r="W1719" s="410"/>
      <c r="X1719" s="410"/>
      <c r="Y1719" s="410"/>
    </row>
    <row r="1720" spans="1:25" x14ac:dyDescent="0.2">
      <c r="A1720" s="410"/>
      <c r="B1720" s="410"/>
      <c r="C1720" s="410"/>
      <c r="D1720" s="410"/>
      <c r="E1720" s="410"/>
      <c r="F1720" s="410"/>
      <c r="G1720" s="410"/>
      <c r="H1720" s="410"/>
      <c r="I1720" s="410"/>
      <c r="J1720" s="410"/>
      <c r="K1720" s="410"/>
      <c r="L1720" s="410"/>
      <c r="M1720" s="410"/>
      <c r="N1720" s="410"/>
      <c r="R1720" s="410"/>
      <c r="S1720" s="410"/>
      <c r="T1720" s="410"/>
      <c r="U1720" s="410"/>
      <c r="V1720" s="410"/>
      <c r="W1720" s="410"/>
      <c r="X1720" s="410"/>
      <c r="Y1720" s="410"/>
    </row>
    <row r="1721" spans="1:25" x14ac:dyDescent="0.2">
      <c r="A1721" s="410"/>
      <c r="B1721" s="410"/>
      <c r="C1721" s="410"/>
      <c r="D1721" s="410"/>
      <c r="E1721" s="410"/>
      <c r="F1721" s="410"/>
      <c r="G1721" s="410"/>
      <c r="H1721" s="410"/>
      <c r="I1721" s="410"/>
      <c r="J1721" s="410"/>
      <c r="K1721" s="410"/>
      <c r="L1721" s="410"/>
      <c r="M1721" s="410"/>
      <c r="N1721" s="410"/>
      <c r="R1721" s="410"/>
      <c r="S1721" s="410"/>
      <c r="T1721" s="410"/>
      <c r="U1721" s="410"/>
      <c r="V1721" s="410"/>
      <c r="W1721" s="410"/>
      <c r="X1721" s="410"/>
      <c r="Y1721" s="410"/>
    </row>
    <row r="1722" spans="1:25" x14ac:dyDescent="0.2">
      <c r="A1722" s="410"/>
      <c r="B1722" s="410"/>
      <c r="C1722" s="410"/>
      <c r="D1722" s="410"/>
      <c r="E1722" s="410"/>
      <c r="F1722" s="410"/>
      <c r="G1722" s="410"/>
      <c r="H1722" s="410"/>
      <c r="I1722" s="410"/>
      <c r="J1722" s="410"/>
      <c r="K1722" s="410"/>
      <c r="L1722" s="410"/>
      <c r="M1722" s="410"/>
      <c r="N1722" s="410"/>
      <c r="R1722" s="410"/>
      <c r="S1722" s="410"/>
      <c r="T1722" s="410"/>
      <c r="U1722" s="410"/>
      <c r="V1722" s="410"/>
      <c r="W1722" s="410"/>
      <c r="X1722" s="410"/>
      <c r="Y1722" s="410"/>
    </row>
    <row r="1723" spans="1:25" x14ac:dyDescent="0.2">
      <c r="A1723" s="410"/>
      <c r="B1723" s="410"/>
      <c r="C1723" s="410"/>
      <c r="D1723" s="410"/>
      <c r="E1723" s="410"/>
      <c r="F1723" s="410"/>
      <c r="G1723" s="410"/>
      <c r="H1723" s="410"/>
      <c r="I1723" s="410"/>
      <c r="J1723" s="410"/>
      <c r="K1723" s="410"/>
      <c r="L1723" s="410"/>
      <c r="M1723" s="410"/>
      <c r="N1723" s="410"/>
      <c r="R1723" s="410"/>
      <c r="S1723" s="410"/>
      <c r="T1723" s="410"/>
      <c r="U1723" s="410"/>
      <c r="V1723" s="410"/>
      <c r="W1723" s="410"/>
      <c r="X1723" s="410"/>
      <c r="Y1723" s="410"/>
    </row>
    <row r="1724" spans="1:25" x14ac:dyDescent="0.2">
      <c r="A1724" s="410"/>
      <c r="B1724" s="410"/>
      <c r="C1724" s="410"/>
      <c r="D1724" s="410"/>
      <c r="E1724" s="410"/>
      <c r="F1724" s="410"/>
      <c r="G1724" s="410"/>
      <c r="H1724" s="410"/>
      <c r="I1724" s="410"/>
      <c r="J1724" s="410"/>
      <c r="K1724" s="410"/>
      <c r="L1724" s="410"/>
      <c r="M1724" s="410"/>
      <c r="N1724" s="410"/>
      <c r="R1724" s="410"/>
      <c r="S1724" s="410"/>
      <c r="T1724" s="410"/>
      <c r="U1724" s="410"/>
      <c r="V1724" s="410"/>
      <c r="W1724" s="410"/>
      <c r="X1724" s="410"/>
      <c r="Y1724" s="410"/>
    </row>
    <row r="1725" spans="1:25" x14ac:dyDescent="0.2">
      <c r="A1725" s="410"/>
      <c r="B1725" s="410"/>
      <c r="C1725" s="410"/>
      <c r="D1725" s="410"/>
      <c r="E1725" s="410"/>
      <c r="F1725" s="410"/>
      <c r="G1725" s="410"/>
      <c r="H1725" s="410"/>
      <c r="I1725" s="410"/>
      <c r="J1725" s="410"/>
      <c r="K1725" s="410"/>
      <c r="L1725" s="410"/>
      <c r="M1725" s="410"/>
      <c r="N1725" s="410"/>
      <c r="R1725" s="410"/>
      <c r="S1725" s="410"/>
      <c r="T1725" s="410"/>
      <c r="U1725" s="410"/>
      <c r="V1725" s="410"/>
      <c r="W1725" s="410"/>
      <c r="X1725" s="410"/>
      <c r="Y1725" s="410"/>
    </row>
    <row r="1726" spans="1:25" x14ac:dyDescent="0.2">
      <c r="A1726" s="410"/>
      <c r="B1726" s="410"/>
      <c r="C1726" s="410"/>
      <c r="D1726" s="410"/>
      <c r="E1726" s="410"/>
      <c r="F1726" s="410"/>
      <c r="G1726" s="410"/>
      <c r="H1726" s="410"/>
      <c r="I1726" s="410"/>
      <c r="J1726" s="410"/>
      <c r="K1726" s="410"/>
      <c r="L1726" s="410"/>
      <c r="M1726" s="410"/>
      <c r="N1726" s="410"/>
      <c r="R1726" s="410"/>
      <c r="S1726" s="410"/>
      <c r="T1726" s="410"/>
      <c r="U1726" s="410"/>
      <c r="V1726" s="410"/>
      <c r="W1726" s="410"/>
      <c r="X1726" s="410"/>
      <c r="Y1726" s="410"/>
    </row>
    <row r="1727" spans="1:25" x14ac:dyDescent="0.2">
      <c r="A1727" s="410"/>
      <c r="B1727" s="410"/>
      <c r="C1727" s="410"/>
      <c r="D1727" s="410"/>
      <c r="E1727" s="410"/>
      <c r="F1727" s="410"/>
      <c r="G1727" s="410"/>
      <c r="H1727" s="410"/>
      <c r="I1727" s="410"/>
      <c r="J1727" s="410"/>
      <c r="K1727" s="410"/>
      <c r="L1727" s="410"/>
      <c r="M1727" s="410"/>
      <c r="N1727" s="410"/>
      <c r="R1727" s="410"/>
      <c r="S1727" s="410"/>
      <c r="T1727" s="410"/>
      <c r="U1727" s="410"/>
      <c r="V1727" s="410"/>
      <c r="W1727" s="410"/>
      <c r="X1727" s="410"/>
      <c r="Y1727" s="410"/>
    </row>
    <row r="1728" spans="1:25" x14ac:dyDescent="0.2">
      <c r="A1728" s="410"/>
      <c r="B1728" s="410"/>
      <c r="C1728" s="410"/>
      <c r="D1728" s="410"/>
      <c r="E1728" s="410"/>
      <c r="F1728" s="410"/>
      <c r="G1728" s="410"/>
      <c r="H1728" s="410"/>
      <c r="I1728" s="410"/>
      <c r="J1728" s="410"/>
      <c r="K1728" s="410"/>
      <c r="L1728" s="410"/>
      <c r="M1728" s="410"/>
      <c r="N1728" s="410"/>
      <c r="R1728" s="410"/>
      <c r="S1728" s="410"/>
      <c r="T1728" s="410"/>
      <c r="U1728" s="410"/>
      <c r="V1728" s="410"/>
      <c r="W1728" s="410"/>
      <c r="X1728" s="410"/>
      <c r="Y1728" s="410"/>
    </row>
    <row r="1729" spans="1:25" x14ac:dyDescent="0.2">
      <c r="A1729" s="410"/>
      <c r="B1729" s="410"/>
      <c r="C1729" s="410"/>
      <c r="D1729" s="410"/>
      <c r="E1729" s="410"/>
      <c r="F1729" s="410"/>
      <c r="G1729" s="410"/>
      <c r="H1729" s="410"/>
      <c r="I1729" s="410"/>
      <c r="J1729" s="410"/>
      <c r="K1729" s="410"/>
      <c r="L1729" s="410"/>
      <c r="M1729" s="410"/>
      <c r="N1729" s="410"/>
      <c r="R1729" s="410"/>
      <c r="S1729" s="410"/>
      <c r="T1729" s="410"/>
      <c r="U1729" s="410"/>
      <c r="V1729" s="410"/>
      <c r="W1729" s="410"/>
      <c r="X1729" s="410"/>
      <c r="Y1729" s="410"/>
    </row>
    <row r="1730" spans="1:25" x14ac:dyDescent="0.2">
      <c r="A1730" s="410"/>
      <c r="B1730" s="410"/>
      <c r="C1730" s="410"/>
      <c r="D1730" s="410"/>
      <c r="E1730" s="410"/>
      <c r="F1730" s="410"/>
      <c r="G1730" s="410"/>
      <c r="H1730" s="410"/>
      <c r="I1730" s="410"/>
      <c r="J1730" s="410"/>
      <c r="K1730" s="410"/>
      <c r="L1730" s="410"/>
      <c r="M1730" s="410"/>
      <c r="N1730" s="410"/>
      <c r="R1730" s="410"/>
      <c r="S1730" s="410"/>
      <c r="T1730" s="410"/>
      <c r="U1730" s="410"/>
      <c r="V1730" s="410"/>
      <c r="W1730" s="410"/>
      <c r="X1730" s="410"/>
      <c r="Y1730" s="410"/>
    </row>
    <row r="1731" spans="1:25" x14ac:dyDescent="0.2">
      <c r="A1731" s="410"/>
      <c r="B1731" s="410"/>
      <c r="C1731" s="410"/>
      <c r="D1731" s="410"/>
      <c r="E1731" s="410"/>
      <c r="F1731" s="410"/>
      <c r="G1731" s="410"/>
      <c r="H1731" s="410"/>
      <c r="I1731" s="410"/>
      <c r="J1731" s="410"/>
      <c r="K1731" s="410"/>
      <c r="L1731" s="410"/>
      <c r="M1731" s="410"/>
      <c r="N1731" s="410"/>
      <c r="R1731" s="410"/>
      <c r="S1731" s="410"/>
      <c r="T1731" s="410"/>
      <c r="U1731" s="410"/>
      <c r="V1731" s="410"/>
      <c r="W1731" s="410"/>
      <c r="X1731" s="410"/>
      <c r="Y1731" s="410"/>
    </row>
    <row r="1732" spans="1:25" x14ac:dyDescent="0.2">
      <c r="A1732" s="410"/>
      <c r="B1732" s="410"/>
      <c r="C1732" s="410"/>
      <c r="D1732" s="410"/>
      <c r="E1732" s="410"/>
      <c r="F1732" s="410"/>
      <c r="G1732" s="410"/>
      <c r="H1732" s="410"/>
      <c r="I1732" s="410"/>
      <c r="J1732" s="410"/>
      <c r="K1732" s="410"/>
      <c r="L1732" s="410"/>
      <c r="M1732" s="410"/>
      <c r="N1732" s="410"/>
      <c r="R1732" s="410"/>
      <c r="S1732" s="410"/>
      <c r="T1732" s="410"/>
      <c r="U1732" s="410"/>
      <c r="V1732" s="410"/>
      <c r="W1732" s="410"/>
      <c r="X1732" s="410"/>
      <c r="Y1732" s="410"/>
    </row>
    <row r="1733" spans="1:25" x14ac:dyDescent="0.2">
      <c r="A1733" s="410"/>
      <c r="B1733" s="410"/>
      <c r="C1733" s="410"/>
      <c r="D1733" s="410"/>
      <c r="E1733" s="410"/>
      <c r="F1733" s="410"/>
      <c r="G1733" s="410"/>
      <c r="H1733" s="410"/>
      <c r="I1733" s="410"/>
      <c r="J1733" s="410"/>
      <c r="K1733" s="410"/>
      <c r="L1733" s="410"/>
      <c r="M1733" s="410"/>
      <c r="N1733" s="410"/>
      <c r="R1733" s="410"/>
      <c r="S1733" s="410"/>
      <c r="T1733" s="410"/>
      <c r="U1733" s="410"/>
      <c r="V1733" s="410"/>
      <c r="W1733" s="410"/>
      <c r="X1733" s="410"/>
      <c r="Y1733" s="410"/>
    </row>
    <row r="1734" spans="1:25" x14ac:dyDescent="0.2">
      <c r="A1734" s="410"/>
      <c r="B1734" s="410"/>
      <c r="C1734" s="410"/>
      <c r="D1734" s="410"/>
      <c r="E1734" s="410"/>
      <c r="F1734" s="410"/>
      <c r="G1734" s="410"/>
      <c r="H1734" s="410"/>
      <c r="I1734" s="410"/>
      <c r="J1734" s="410"/>
      <c r="K1734" s="410"/>
      <c r="L1734" s="410"/>
      <c r="M1734" s="410"/>
      <c r="N1734" s="410"/>
      <c r="R1734" s="410"/>
      <c r="S1734" s="410"/>
      <c r="T1734" s="410"/>
      <c r="U1734" s="410"/>
      <c r="V1734" s="410"/>
      <c r="W1734" s="410"/>
      <c r="X1734" s="410"/>
      <c r="Y1734" s="410"/>
    </row>
    <row r="1735" spans="1:25" x14ac:dyDescent="0.2">
      <c r="A1735" s="410"/>
      <c r="B1735" s="410"/>
      <c r="C1735" s="410"/>
      <c r="D1735" s="410"/>
      <c r="E1735" s="410"/>
      <c r="F1735" s="410"/>
      <c r="G1735" s="410"/>
      <c r="H1735" s="410"/>
      <c r="I1735" s="410"/>
      <c r="J1735" s="410"/>
      <c r="K1735" s="410"/>
      <c r="L1735" s="410"/>
      <c r="M1735" s="410"/>
      <c r="N1735" s="410"/>
      <c r="R1735" s="410"/>
      <c r="S1735" s="410"/>
      <c r="T1735" s="410"/>
      <c r="U1735" s="410"/>
      <c r="V1735" s="410"/>
      <c r="W1735" s="410"/>
      <c r="X1735" s="410"/>
      <c r="Y1735" s="410"/>
    </row>
    <row r="1736" spans="1:25" x14ac:dyDescent="0.2">
      <c r="A1736" s="410"/>
      <c r="B1736" s="410"/>
      <c r="C1736" s="410"/>
      <c r="D1736" s="410"/>
      <c r="E1736" s="410"/>
      <c r="F1736" s="410"/>
      <c r="G1736" s="410"/>
      <c r="H1736" s="410"/>
      <c r="I1736" s="410"/>
      <c r="J1736" s="410"/>
      <c r="K1736" s="410"/>
      <c r="L1736" s="410"/>
      <c r="M1736" s="410"/>
      <c r="N1736" s="410"/>
      <c r="R1736" s="410"/>
      <c r="S1736" s="410"/>
      <c r="T1736" s="410"/>
      <c r="U1736" s="410"/>
      <c r="V1736" s="410"/>
      <c r="W1736" s="410"/>
      <c r="X1736" s="410"/>
      <c r="Y1736" s="410"/>
    </row>
    <row r="1737" spans="1:25" x14ac:dyDescent="0.2">
      <c r="A1737" s="410"/>
      <c r="B1737" s="410"/>
      <c r="C1737" s="410"/>
      <c r="D1737" s="410"/>
      <c r="E1737" s="410"/>
      <c r="F1737" s="410"/>
      <c r="G1737" s="410"/>
      <c r="H1737" s="410"/>
      <c r="I1737" s="410"/>
      <c r="J1737" s="410"/>
      <c r="K1737" s="410"/>
      <c r="L1737" s="410"/>
      <c r="M1737" s="410"/>
      <c r="N1737" s="410"/>
      <c r="R1737" s="410"/>
      <c r="S1737" s="410"/>
      <c r="T1737" s="410"/>
      <c r="U1737" s="410"/>
      <c r="V1737" s="410"/>
      <c r="W1737" s="410"/>
      <c r="X1737" s="410"/>
      <c r="Y1737" s="410"/>
    </row>
    <row r="1738" spans="1:25" x14ac:dyDescent="0.2">
      <c r="A1738" s="410"/>
      <c r="B1738" s="410"/>
      <c r="C1738" s="410"/>
      <c r="D1738" s="410"/>
      <c r="E1738" s="410"/>
      <c r="F1738" s="410"/>
      <c r="G1738" s="410"/>
      <c r="H1738" s="410"/>
      <c r="I1738" s="410"/>
      <c r="J1738" s="410"/>
      <c r="K1738" s="410"/>
      <c r="L1738" s="410"/>
      <c r="M1738" s="410"/>
      <c r="N1738" s="410"/>
      <c r="R1738" s="410"/>
      <c r="S1738" s="410"/>
      <c r="T1738" s="410"/>
      <c r="U1738" s="410"/>
      <c r="V1738" s="410"/>
      <c r="W1738" s="410"/>
      <c r="X1738" s="410"/>
      <c r="Y1738" s="410"/>
    </row>
    <row r="1739" spans="1:25" x14ac:dyDescent="0.2">
      <c r="A1739" s="410"/>
      <c r="B1739" s="410"/>
      <c r="C1739" s="410"/>
      <c r="D1739" s="410"/>
      <c r="E1739" s="410"/>
      <c r="F1739" s="410"/>
      <c r="G1739" s="410"/>
      <c r="H1739" s="410"/>
      <c r="I1739" s="410"/>
      <c r="J1739" s="410"/>
      <c r="K1739" s="410"/>
      <c r="L1739" s="410"/>
      <c r="M1739" s="410"/>
      <c r="N1739" s="410"/>
      <c r="R1739" s="410"/>
      <c r="S1739" s="410"/>
      <c r="T1739" s="410"/>
      <c r="U1739" s="410"/>
      <c r="V1739" s="410"/>
      <c r="W1739" s="410"/>
      <c r="X1739" s="410"/>
      <c r="Y1739" s="410"/>
    </row>
    <row r="1740" spans="1:25" x14ac:dyDescent="0.2">
      <c r="A1740" s="410"/>
      <c r="B1740" s="410"/>
      <c r="C1740" s="410"/>
      <c r="D1740" s="410"/>
      <c r="E1740" s="410"/>
      <c r="F1740" s="410"/>
      <c r="G1740" s="410"/>
      <c r="H1740" s="410"/>
      <c r="I1740" s="410"/>
      <c r="J1740" s="410"/>
      <c r="K1740" s="410"/>
      <c r="L1740" s="410"/>
      <c r="M1740" s="410"/>
      <c r="N1740" s="410"/>
      <c r="R1740" s="410"/>
      <c r="S1740" s="410"/>
      <c r="T1740" s="410"/>
      <c r="U1740" s="410"/>
      <c r="V1740" s="410"/>
      <c r="W1740" s="410"/>
      <c r="X1740" s="410"/>
      <c r="Y1740" s="410"/>
    </row>
    <row r="1741" spans="1:25" x14ac:dyDescent="0.2">
      <c r="A1741" s="410"/>
      <c r="B1741" s="410"/>
      <c r="C1741" s="410"/>
      <c r="D1741" s="410"/>
      <c r="E1741" s="410"/>
      <c r="F1741" s="410"/>
      <c r="G1741" s="410"/>
      <c r="H1741" s="410"/>
      <c r="I1741" s="410"/>
      <c r="J1741" s="410"/>
      <c r="K1741" s="410"/>
      <c r="L1741" s="410"/>
      <c r="M1741" s="410"/>
      <c r="N1741" s="410"/>
      <c r="R1741" s="410"/>
      <c r="S1741" s="410"/>
      <c r="T1741" s="410"/>
      <c r="U1741" s="410"/>
      <c r="V1741" s="410"/>
      <c r="W1741" s="410"/>
      <c r="X1741" s="410"/>
      <c r="Y1741" s="410"/>
    </row>
    <row r="1742" spans="1:25" x14ac:dyDescent="0.2">
      <c r="A1742" s="410"/>
      <c r="B1742" s="410"/>
      <c r="C1742" s="410"/>
      <c r="D1742" s="410"/>
      <c r="E1742" s="410"/>
      <c r="F1742" s="410"/>
      <c r="G1742" s="410"/>
      <c r="H1742" s="410"/>
      <c r="I1742" s="410"/>
      <c r="J1742" s="410"/>
      <c r="K1742" s="410"/>
      <c r="L1742" s="410"/>
      <c r="M1742" s="410"/>
      <c r="N1742" s="410"/>
      <c r="R1742" s="410"/>
      <c r="S1742" s="410"/>
      <c r="T1742" s="410"/>
      <c r="U1742" s="410"/>
      <c r="V1742" s="410"/>
      <c r="W1742" s="410"/>
      <c r="X1742" s="410"/>
      <c r="Y1742" s="410"/>
    </row>
    <row r="1743" spans="1:25" x14ac:dyDescent="0.2">
      <c r="A1743" s="410"/>
      <c r="B1743" s="410"/>
      <c r="C1743" s="410"/>
      <c r="D1743" s="410"/>
      <c r="E1743" s="410"/>
      <c r="F1743" s="410"/>
      <c r="G1743" s="410"/>
      <c r="H1743" s="410"/>
      <c r="I1743" s="410"/>
      <c r="J1743" s="410"/>
      <c r="K1743" s="410"/>
      <c r="L1743" s="410"/>
      <c r="M1743" s="410"/>
      <c r="N1743" s="410"/>
      <c r="R1743" s="410"/>
      <c r="S1743" s="410"/>
      <c r="T1743" s="410"/>
      <c r="U1743" s="410"/>
      <c r="V1743" s="410"/>
      <c r="W1743" s="410"/>
      <c r="X1743" s="410"/>
      <c r="Y1743" s="410"/>
    </row>
    <row r="1744" spans="1:25" x14ac:dyDescent="0.2">
      <c r="A1744" s="410"/>
      <c r="B1744" s="410"/>
      <c r="C1744" s="410"/>
      <c r="D1744" s="410"/>
      <c r="E1744" s="410"/>
      <c r="F1744" s="410"/>
      <c r="G1744" s="410"/>
      <c r="H1744" s="410"/>
      <c r="I1744" s="410"/>
      <c r="J1744" s="410"/>
      <c r="K1744" s="410"/>
      <c r="L1744" s="410"/>
      <c r="M1744" s="410"/>
      <c r="N1744" s="410"/>
      <c r="R1744" s="410"/>
      <c r="S1744" s="410"/>
      <c r="T1744" s="410"/>
      <c r="U1744" s="410"/>
      <c r="V1744" s="410"/>
      <c r="W1744" s="410"/>
      <c r="X1744" s="410"/>
      <c r="Y1744" s="410"/>
    </row>
    <row r="1745" spans="1:25" x14ac:dyDescent="0.2">
      <c r="A1745" s="410"/>
      <c r="B1745" s="410"/>
      <c r="C1745" s="410"/>
      <c r="D1745" s="410"/>
      <c r="E1745" s="410"/>
      <c r="F1745" s="410"/>
      <c r="G1745" s="410"/>
      <c r="H1745" s="410"/>
      <c r="I1745" s="410"/>
      <c r="J1745" s="410"/>
      <c r="K1745" s="410"/>
      <c r="L1745" s="410"/>
      <c r="M1745" s="410"/>
      <c r="N1745" s="410"/>
      <c r="R1745" s="410"/>
      <c r="S1745" s="410"/>
      <c r="T1745" s="410"/>
      <c r="U1745" s="410"/>
      <c r="V1745" s="410"/>
      <c r="W1745" s="410"/>
      <c r="X1745" s="410"/>
      <c r="Y1745" s="410"/>
    </row>
    <row r="1746" spans="1:25" x14ac:dyDescent="0.2">
      <c r="A1746" s="410"/>
      <c r="B1746" s="410"/>
      <c r="C1746" s="410"/>
      <c r="D1746" s="410"/>
      <c r="E1746" s="410"/>
      <c r="F1746" s="410"/>
      <c r="G1746" s="410"/>
      <c r="H1746" s="410"/>
      <c r="I1746" s="410"/>
      <c r="J1746" s="410"/>
      <c r="K1746" s="410"/>
      <c r="L1746" s="410"/>
      <c r="M1746" s="410"/>
      <c r="N1746" s="410"/>
      <c r="R1746" s="410"/>
      <c r="S1746" s="410"/>
      <c r="T1746" s="410"/>
      <c r="U1746" s="410"/>
      <c r="V1746" s="410"/>
      <c r="W1746" s="410"/>
      <c r="X1746" s="410"/>
      <c r="Y1746" s="410"/>
    </row>
    <row r="1747" spans="1:25" x14ac:dyDescent="0.2">
      <c r="A1747" s="410"/>
      <c r="B1747" s="410"/>
      <c r="C1747" s="410"/>
      <c r="D1747" s="410"/>
      <c r="E1747" s="410"/>
      <c r="F1747" s="410"/>
      <c r="G1747" s="410"/>
      <c r="H1747" s="410"/>
      <c r="I1747" s="410"/>
      <c r="J1747" s="410"/>
      <c r="K1747" s="410"/>
      <c r="L1747" s="410"/>
      <c r="M1747" s="410"/>
      <c r="N1747" s="410"/>
      <c r="R1747" s="410"/>
      <c r="S1747" s="410"/>
      <c r="T1747" s="410"/>
      <c r="U1747" s="410"/>
      <c r="V1747" s="410"/>
      <c r="W1747" s="410"/>
      <c r="X1747" s="410"/>
      <c r="Y1747" s="410"/>
    </row>
    <row r="1748" spans="1:25" x14ac:dyDescent="0.2">
      <c r="A1748" s="410"/>
      <c r="B1748" s="410"/>
      <c r="C1748" s="410"/>
      <c r="D1748" s="410"/>
      <c r="E1748" s="410"/>
      <c r="F1748" s="410"/>
      <c r="G1748" s="410"/>
      <c r="H1748" s="410"/>
      <c r="I1748" s="410"/>
      <c r="J1748" s="410"/>
      <c r="K1748" s="410"/>
      <c r="L1748" s="410"/>
      <c r="M1748" s="410"/>
      <c r="N1748" s="410"/>
      <c r="R1748" s="410"/>
      <c r="S1748" s="410"/>
      <c r="T1748" s="410"/>
      <c r="U1748" s="410"/>
      <c r="V1748" s="410"/>
      <c r="W1748" s="410"/>
      <c r="X1748" s="410"/>
      <c r="Y1748" s="410"/>
    </row>
    <row r="1749" spans="1:25" x14ac:dyDescent="0.2">
      <c r="A1749" s="410"/>
      <c r="B1749" s="410"/>
      <c r="C1749" s="410"/>
      <c r="D1749" s="410"/>
      <c r="E1749" s="410"/>
      <c r="F1749" s="410"/>
      <c r="G1749" s="410"/>
      <c r="H1749" s="410"/>
      <c r="I1749" s="410"/>
      <c r="J1749" s="410"/>
      <c r="K1749" s="410"/>
      <c r="L1749" s="410"/>
      <c r="M1749" s="410"/>
      <c r="N1749" s="410"/>
      <c r="R1749" s="410"/>
      <c r="S1749" s="410"/>
      <c r="T1749" s="410"/>
      <c r="U1749" s="410"/>
      <c r="V1749" s="410"/>
      <c r="W1749" s="410"/>
      <c r="X1749" s="410"/>
      <c r="Y1749" s="410"/>
    </row>
    <row r="1750" spans="1:25" x14ac:dyDescent="0.2">
      <c r="A1750" s="410"/>
      <c r="B1750" s="410"/>
      <c r="C1750" s="410"/>
      <c r="D1750" s="410"/>
      <c r="E1750" s="410"/>
      <c r="F1750" s="410"/>
      <c r="G1750" s="410"/>
      <c r="H1750" s="410"/>
      <c r="I1750" s="410"/>
      <c r="J1750" s="410"/>
      <c r="K1750" s="410"/>
      <c r="L1750" s="410"/>
      <c r="M1750" s="410"/>
      <c r="N1750" s="410"/>
      <c r="R1750" s="410"/>
      <c r="S1750" s="410"/>
      <c r="T1750" s="410"/>
      <c r="U1750" s="410"/>
      <c r="V1750" s="410"/>
      <c r="W1750" s="410"/>
      <c r="X1750" s="410"/>
      <c r="Y1750" s="410"/>
    </row>
    <row r="1751" spans="1:25" x14ac:dyDescent="0.2">
      <c r="A1751" s="410"/>
      <c r="B1751" s="410"/>
      <c r="C1751" s="410"/>
      <c r="D1751" s="410"/>
      <c r="E1751" s="410"/>
      <c r="F1751" s="410"/>
      <c r="G1751" s="410"/>
      <c r="H1751" s="410"/>
      <c r="I1751" s="410"/>
      <c r="J1751" s="410"/>
      <c r="K1751" s="410"/>
      <c r="L1751" s="410"/>
      <c r="M1751" s="410"/>
      <c r="N1751" s="410"/>
      <c r="R1751" s="410"/>
      <c r="S1751" s="410"/>
      <c r="T1751" s="410"/>
      <c r="U1751" s="410"/>
      <c r="V1751" s="410"/>
      <c r="W1751" s="410"/>
      <c r="X1751" s="410"/>
      <c r="Y1751" s="410"/>
    </row>
    <row r="1752" spans="1:25" x14ac:dyDescent="0.2">
      <c r="A1752" s="410"/>
      <c r="B1752" s="410"/>
      <c r="C1752" s="410"/>
      <c r="D1752" s="410"/>
      <c r="E1752" s="410"/>
      <c r="F1752" s="410"/>
      <c r="G1752" s="410"/>
      <c r="H1752" s="410"/>
      <c r="I1752" s="410"/>
      <c r="J1752" s="410"/>
      <c r="K1752" s="410"/>
      <c r="L1752" s="410"/>
      <c r="M1752" s="410"/>
      <c r="N1752" s="410"/>
      <c r="R1752" s="410"/>
      <c r="S1752" s="410"/>
      <c r="T1752" s="410"/>
      <c r="U1752" s="410"/>
      <c r="V1752" s="410"/>
      <c r="W1752" s="410"/>
      <c r="X1752" s="410"/>
      <c r="Y1752" s="410"/>
    </row>
    <row r="1753" spans="1:25" x14ac:dyDescent="0.2">
      <c r="A1753" s="410"/>
      <c r="B1753" s="410"/>
      <c r="C1753" s="410"/>
      <c r="D1753" s="410"/>
      <c r="E1753" s="410"/>
      <c r="F1753" s="410"/>
      <c r="G1753" s="410"/>
      <c r="H1753" s="410"/>
      <c r="I1753" s="410"/>
      <c r="J1753" s="410"/>
      <c r="K1753" s="410"/>
      <c r="L1753" s="410"/>
      <c r="M1753" s="410"/>
      <c r="N1753" s="410"/>
      <c r="R1753" s="410"/>
      <c r="S1753" s="410"/>
      <c r="T1753" s="410"/>
      <c r="U1753" s="410"/>
      <c r="V1753" s="410"/>
      <c r="W1753" s="410"/>
      <c r="X1753" s="410"/>
      <c r="Y1753" s="410"/>
    </row>
    <row r="1754" spans="1:25" x14ac:dyDescent="0.2">
      <c r="A1754" s="410"/>
      <c r="B1754" s="410"/>
      <c r="C1754" s="410"/>
      <c r="D1754" s="410"/>
      <c r="E1754" s="410"/>
      <c r="F1754" s="410"/>
      <c r="G1754" s="410"/>
      <c r="H1754" s="410"/>
      <c r="I1754" s="410"/>
      <c r="J1754" s="410"/>
      <c r="K1754" s="410"/>
      <c r="L1754" s="410"/>
      <c r="M1754" s="410"/>
      <c r="N1754" s="410"/>
      <c r="R1754" s="410"/>
      <c r="S1754" s="410"/>
      <c r="T1754" s="410"/>
      <c r="U1754" s="410"/>
      <c r="V1754" s="410"/>
      <c r="W1754" s="410"/>
      <c r="X1754" s="410"/>
      <c r="Y1754" s="410"/>
    </row>
    <row r="1755" spans="1:25" x14ac:dyDescent="0.2">
      <c r="A1755" s="410"/>
      <c r="B1755" s="410"/>
      <c r="C1755" s="410"/>
      <c r="D1755" s="410"/>
      <c r="E1755" s="410"/>
      <c r="F1755" s="410"/>
      <c r="G1755" s="410"/>
      <c r="H1755" s="410"/>
      <c r="I1755" s="410"/>
      <c r="J1755" s="410"/>
      <c r="K1755" s="410"/>
      <c r="L1755" s="410"/>
      <c r="M1755" s="410"/>
      <c r="N1755" s="410"/>
      <c r="R1755" s="410"/>
      <c r="S1755" s="410"/>
      <c r="T1755" s="410"/>
      <c r="U1755" s="410"/>
      <c r="V1755" s="410"/>
      <c r="W1755" s="410"/>
      <c r="X1755" s="410"/>
      <c r="Y1755" s="410"/>
    </row>
    <row r="1756" spans="1:25" x14ac:dyDescent="0.2">
      <c r="A1756" s="410"/>
      <c r="B1756" s="410"/>
      <c r="C1756" s="410"/>
      <c r="D1756" s="410"/>
      <c r="E1756" s="410"/>
      <c r="F1756" s="410"/>
      <c r="G1756" s="410"/>
      <c r="H1756" s="410"/>
      <c r="I1756" s="410"/>
      <c r="J1756" s="410"/>
      <c r="K1756" s="410"/>
      <c r="L1756" s="410"/>
      <c r="M1756" s="410"/>
      <c r="N1756" s="410"/>
      <c r="R1756" s="410"/>
      <c r="S1756" s="410"/>
      <c r="T1756" s="410"/>
      <c r="U1756" s="410"/>
      <c r="V1756" s="410"/>
      <c r="W1756" s="410"/>
      <c r="X1756" s="410"/>
      <c r="Y1756" s="410"/>
    </row>
    <row r="1757" spans="1:25" x14ac:dyDescent="0.2">
      <c r="A1757" s="410"/>
      <c r="B1757" s="410"/>
      <c r="C1757" s="410"/>
      <c r="D1757" s="410"/>
      <c r="E1757" s="410"/>
      <c r="F1757" s="410"/>
      <c r="G1757" s="410"/>
      <c r="H1757" s="410"/>
      <c r="I1757" s="410"/>
      <c r="J1757" s="410"/>
      <c r="K1757" s="410"/>
      <c r="L1757" s="410"/>
      <c r="M1757" s="410"/>
      <c r="N1757" s="410"/>
      <c r="R1757" s="410"/>
      <c r="S1757" s="410"/>
      <c r="T1757" s="410"/>
      <c r="U1757" s="410"/>
      <c r="V1757" s="410"/>
      <c r="W1757" s="410"/>
      <c r="X1757" s="410"/>
      <c r="Y1757" s="410"/>
    </row>
    <row r="1758" spans="1:25" x14ac:dyDescent="0.2">
      <c r="A1758" s="410"/>
      <c r="B1758" s="410"/>
      <c r="C1758" s="410"/>
      <c r="D1758" s="410"/>
      <c r="E1758" s="410"/>
      <c r="F1758" s="410"/>
      <c r="G1758" s="410"/>
      <c r="H1758" s="410"/>
      <c r="I1758" s="410"/>
      <c r="J1758" s="410"/>
      <c r="K1758" s="410"/>
      <c r="L1758" s="410"/>
      <c r="M1758" s="410"/>
      <c r="N1758" s="410"/>
      <c r="R1758" s="410"/>
      <c r="S1758" s="410"/>
      <c r="T1758" s="410"/>
      <c r="U1758" s="410"/>
      <c r="V1758" s="410"/>
      <c r="W1758" s="410"/>
      <c r="X1758" s="410"/>
      <c r="Y1758" s="410"/>
    </row>
    <row r="1759" spans="1:25" x14ac:dyDescent="0.2">
      <c r="A1759" s="410"/>
      <c r="B1759" s="410"/>
      <c r="C1759" s="410"/>
      <c r="D1759" s="410"/>
      <c r="E1759" s="410"/>
      <c r="F1759" s="410"/>
      <c r="G1759" s="410"/>
      <c r="H1759" s="410"/>
      <c r="I1759" s="410"/>
      <c r="J1759" s="410"/>
      <c r="K1759" s="410"/>
      <c r="L1759" s="410"/>
      <c r="M1759" s="410"/>
      <c r="N1759" s="410"/>
      <c r="R1759" s="410"/>
      <c r="S1759" s="410"/>
      <c r="T1759" s="410"/>
      <c r="U1759" s="410"/>
      <c r="V1759" s="410"/>
      <c r="W1759" s="410"/>
      <c r="X1759" s="410"/>
      <c r="Y1759" s="410"/>
    </row>
    <row r="1760" spans="1:25" x14ac:dyDescent="0.2">
      <c r="A1760" s="410"/>
      <c r="B1760" s="410"/>
      <c r="C1760" s="410"/>
      <c r="D1760" s="410"/>
      <c r="E1760" s="410"/>
      <c r="F1760" s="410"/>
      <c r="G1760" s="410"/>
      <c r="H1760" s="410"/>
      <c r="I1760" s="410"/>
      <c r="J1760" s="410"/>
      <c r="K1760" s="410"/>
      <c r="L1760" s="410"/>
      <c r="M1760" s="410"/>
      <c r="N1760" s="410"/>
      <c r="R1760" s="410"/>
      <c r="S1760" s="410"/>
      <c r="T1760" s="410"/>
      <c r="U1760" s="410"/>
      <c r="V1760" s="410"/>
      <c r="W1760" s="410"/>
      <c r="X1760" s="410"/>
      <c r="Y1760" s="410"/>
    </row>
    <row r="1761" spans="1:25" x14ac:dyDescent="0.2">
      <c r="A1761" s="410"/>
      <c r="B1761" s="410"/>
      <c r="C1761" s="410"/>
      <c r="D1761" s="410"/>
      <c r="E1761" s="410"/>
      <c r="F1761" s="410"/>
      <c r="G1761" s="410"/>
      <c r="H1761" s="410"/>
      <c r="I1761" s="410"/>
      <c r="J1761" s="410"/>
      <c r="K1761" s="410"/>
      <c r="L1761" s="410"/>
      <c r="M1761" s="410"/>
      <c r="N1761" s="410"/>
      <c r="R1761" s="410"/>
      <c r="S1761" s="410"/>
      <c r="T1761" s="410"/>
      <c r="U1761" s="410"/>
      <c r="V1761" s="410"/>
      <c r="W1761" s="410"/>
      <c r="X1761" s="410"/>
      <c r="Y1761" s="410"/>
    </row>
    <row r="1762" spans="1:25" x14ac:dyDescent="0.2">
      <c r="A1762" s="410"/>
      <c r="B1762" s="410"/>
      <c r="C1762" s="410"/>
      <c r="D1762" s="410"/>
      <c r="E1762" s="410"/>
      <c r="F1762" s="410"/>
      <c r="G1762" s="410"/>
      <c r="H1762" s="410"/>
      <c r="I1762" s="410"/>
      <c r="J1762" s="410"/>
      <c r="K1762" s="410"/>
      <c r="L1762" s="410"/>
      <c r="M1762" s="410"/>
      <c r="N1762" s="410"/>
      <c r="R1762" s="410"/>
      <c r="S1762" s="410"/>
      <c r="T1762" s="410"/>
      <c r="U1762" s="410"/>
      <c r="V1762" s="410"/>
      <c r="W1762" s="410"/>
      <c r="X1762" s="410"/>
      <c r="Y1762" s="410"/>
    </row>
    <row r="1763" spans="1:25" x14ac:dyDescent="0.2">
      <c r="A1763" s="410"/>
      <c r="B1763" s="410"/>
      <c r="C1763" s="410"/>
      <c r="D1763" s="410"/>
      <c r="E1763" s="410"/>
      <c r="F1763" s="410"/>
      <c r="G1763" s="410"/>
      <c r="H1763" s="410"/>
      <c r="I1763" s="410"/>
      <c r="J1763" s="410"/>
      <c r="K1763" s="410"/>
      <c r="L1763" s="410"/>
      <c r="M1763" s="410"/>
      <c r="N1763" s="410"/>
      <c r="R1763" s="410"/>
      <c r="S1763" s="410"/>
      <c r="T1763" s="410"/>
      <c r="U1763" s="410"/>
      <c r="V1763" s="410"/>
      <c r="W1763" s="410"/>
      <c r="X1763" s="410"/>
      <c r="Y1763" s="410"/>
    </row>
    <row r="1764" spans="1:25" x14ac:dyDescent="0.2">
      <c r="A1764" s="410"/>
      <c r="B1764" s="410"/>
      <c r="C1764" s="410"/>
      <c r="D1764" s="410"/>
      <c r="E1764" s="410"/>
      <c r="F1764" s="410"/>
      <c r="G1764" s="410"/>
      <c r="H1764" s="410"/>
      <c r="I1764" s="410"/>
      <c r="J1764" s="410"/>
      <c r="K1764" s="410"/>
      <c r="L1764" s="410"/>
      <c r="M1764" s="410"/>
      <c r="N1764" s="410"/>
      <c r="R1764" s="410"/>
      <c r="S1764" s="410"/>
      <c r="T1764" s="410"/>
      <c r="U1764" s="410"/>
      <c r="V1764" s="410"/>
      <c r="W1764" s="410"/>
      <c r="X1764" s="410"/>
      <c r="Y1764" s="410"/>
    </row>
    <row r="1765" spans="1:25" x14ac:dyDescent="0.2">
      <c r="A1765" s="410"/>
      <c r="B1765" s="410"/>
      <c r="C1765" s="410"/>
      <c r="D1765" s="410"/>
      <c r="E1765" s="410"/>
      <c r="F1765" s="410"/>
      <c r="G1765" s="410"/>
      <c r="H1765" s="410"/>
      <c r="I1765" s="410"/>
      <c r="J1765" s="410"/>
      <c r="K1765" s="410"/>
      <c r="L1765" s="410"/>
      <c r="M1765" s="410"/>
      <c r="N1765" s="410"/>
      <c r="R1765" s="410"/>
      <c r="S1765" s="410"/>
      <c r="T1765" s="410"/>
      <c r="U1765" s="410"/>
      <c r="V1765" s="410"/>
      <c r="W1765" s="410"/>
      <c r="X1765" s="410"/>
      <c r="Y1765" s="410"/>
    </row>
    <row r="1766" spans="1:25" x14ac:dyDescent="0.2">
      <c r="A1766" s="410"/>
      <c r="B1766" s="410"/>
      <c r="C1766" s="410"/>
      <c r="D1766" s="410"/>
      <c r="E1766" s="410"/>
      <c r="F1766" s="410"/>
      <c r="G1766" s="410"/>
      <c r="H1766" s="410"/>
      <c r="I1766" s="410"/>
      <c r="J1766" s="410"/>
      <c r="K1766" s="410"/>
      <c r="L1766" s="410"/>
      <c r="M1766" s="410"/>
      <c r="N1766" s="410"/>
      <c r="R1766" s="410"/>
      <c r="S1766" s="410"/>
      <c r="T1766" s="410"/>
      <c r="U1766" s="410"/>
      <c r="V1766" s="410"/>
      <c r="W1766" s="410"/>
      <c r="X1766" s="410"/>
      <c r="Y1766" s="410"/>
    </row>
    <row r="1767" spans="1:25" x14ac:dyDescent="0.2">
      <c r="A1767" s="410"/>
      <c r="B1767" s="410"/>
      <c r="C1767" s="410"/>
      <c r="D1767" s="410"/>
      <c r="E1767" s="410"/>
      <c r="F1767" s="410"/>
      <c r="G1767" s="410"/>
      <c r="H1767" s="410"/>
      <c r="I1767" s="410"/>
      <c r="J1767" s="410"/>
      <c r="K1767" s="410"/>
      <c r="L1767" s="410"/>
      <c r="M1767" s="410"/>
      <c r="N1767" s="410"/>
      <c r="R1767" s="410"/>
      <c r="S1767" s="410"/>
      <c r="T1767" s="410"/>
      <c r="U1767" s="410"/>
      <c r="V1767" s="410"/>
      <c r="W1767" s="410"/>
      <c r="X1767" s="410"/>
      <c r="Y1767" s="410"/>
    </row>
    <row r="1768" spans="1:25" x14ac:dyDescent="0.2">
      <c r="A1768" s="410"/>
      <c r="B1768" s="410"/>
      <c r="C1768" s="410"/>
      <c r="D1768" s="410"/>
      <c r="E1768" s="410"/>
      <c r="F1768" s="410"/>
      <c r="G1768" s="410"/>
      <c r="H1768" s="410"/>
      <c r="I1768" s="410"/>
      <c r="J1768" s="410"/>
      <c r="K1768" s="410"/>
      <c r="L1768" s="410"/>
      <c r="M1768" s="410"/>
      <c r="N1768" s="410"/>
      <c r="R1768" s="410"/>
      <c r="S1768" s="410"/>
      <c r="T1768" s="410"/>
      <c r="U1768" s="410"/>
      <c r="V1768" s="410"/>
      <c r="W1768" s="410"/>
      <c r="X1768" s="410"/>
      <c r="Y1768" s="410"/>
    </row>
    <row r="1769" spans="1:25" x14ac:dyDescent="0.2">
      <c r="A1769" s="410"/>
      <c r="B1769" s="410"/>
      <c r="C1769" s="410"/>
      <c r="D1769" s="410"/>
      <c r="E1769" s="410"/>
      <c r="F1769" s="410"/>
      <c r="G1769" s="410"/>
      <c r="H1769" s="410"/>
      <c r="I1769" s="410"/>
      <c r="J1769" s="410"/>
      <c r="K1769" s="410"/>
      <c r="L1769" s="410"/>
      <c r="M1769" s="410"/>
      <c r="N1769" s="410"/>
      <c r="R1769" s="410"/>
      <c r="S1769" s="410"/>
      <c r="T1769" s="410"/>
      <c r="U1769" s="410"/>
      <c r="V1769" s="410"/>
      <c r="W1769" s="410"/>
      <c r="X1769" s="410"/>
      <c r="Y1769" s="410"/>
    </row>
    <row r="1770" spans="1:25" x14ac:dyDescent="0.2">
      <c r="A1770" s="410"/>
      <c r="B1770" s="410"/>
      <c r="C1770" s="410"/>
      <c r="D1770" s="410"/>
      <c r="E1770" s="410"/>
      <c r="F1770" s="410"/>
      <c r="G1770" s="410"/>
      <c r="H1770" s="410"/>
      <c r="I1770" s="410"/>
      <c r="J1770" s="410"/>
      <c r="K1770" s="410"/>
      <c r="L1770" s="410"/>
      <c r="M1770" s="410"/>
      <c r="N1770" s="410"/>
      <c r="R1770" s="410"/>
      <c r="S1770" s="410"/>
      <c r="T1770" s="410"/>
      <c r="U1770" s="410"/>
      <c r="V1770" s="410"/>
      <c r="W1770" s="410"/>
      <c r="X1770" s="410"/>
      <c r="Y1770" s="410"/>
    </row>
    <row r="1771" spans="1:25" x14ac:dyDescent="0.2">
      <c r="A1771" s="410"/>
      <c r="B1771" s="410"/>
      <c r="C1771" s="410"/>
      <c r="D1771" s="410"/>
      <c r="E1771" s="410"/>
      <c r="F1771" s="410"/>
      <c r="G1771" s="410"/>
      <c r="H1771" s="410"/>
      <c r="I1771" s="410"/>
      <c r="J1771" s="410"/>
      <c r="K1771" s="410"/>
      <c r="L1771" s="410"/>
      <c r="M1771" s="410"/>
      <c r="N1771" s="410"/>
      <c r="R1771" s="410"/>
      <c r="S1771" s="410"/>
      <c r="T1771" s="410"/>
      <c r="U1771" s="410"/>
      <c r="V1771" s="410"/>
      <c r="W1771" s="410"/>
      <c r="X1771" s="410"/>
      <c r="Y1771" s="410"/>
    </row>
    <row r="1772" spans="1:25" x14ac:dyDescent="0.2">
      <c r="A1772" s="410"/>
      <c r="B1772" s="410"/>
      <c r="C1772" s="410"/>
      <c r="D1772" s="410"/>
      <c r="E1772" s="410"/>
      <c r="F1772" s="410"/>
      <c r="G1772" s="410"/>
      <c r="H1772" s="410"/>
      <c r="I1772" s="410"/>
      <c r="J1772" s="410"/>
      <c r="K1772" s="410"/>
      <c r="L1772" s="410"/>
      <c r="M1772" s="410"/>
      <c r="N1772" s="410"/>
      <c r="R1772" s="410"/>
      <c r="S1772" s="410"/>
      <c r="T1772" s="410"/>
      <c r="U1772" s="410"/>
      <c r="V1772" s="410"/>
      <c r="W1772" s="410"/>
      <c r="X1772" s="410"/>
      <c r="Y1772" s="410"/>
    </row>
    <row r="1773" spans="1:25" x14ac:dyDescent="0.2">
      <c r="A1773" s="410"/>
      <c r="B1773" s="410"/>
      <c r="C1773" s="410"/>
      <c r="D1773" s="410"/>
      <c r="E1773" s="410"/>
      <c r="F1773" s="410"/>
      <c r="G1773" s="410"/>
      <c r="H1773" s="410"/>
      <c r="I1773" s="410"/>
      <c r="J1773" s="410"/>
      <c r="K1773" s="410"/>
      <c r="L1773" s="410"/>
      <c r="M1773" s="410"/>
      <c r="N1773" s="410"/>
      <c r="R1773" s="410"/>
      <c r="S1773" s="410"/>
      <c r="T1773" s="410"/>
      <c r="U1773" s="410"/>
      <c r="V1773" s="410"/>
      <c r="W1773" s="410"/>
      <c r="X1773" s="410"/>
      <c r="Y1773" s="410"/>
    </row>
    <row r="1774" spans="1:25" x14ac:dyDescent="0.2">
      <c r="A1774" s="410"/>
      <c r="B1774" s="410"/>
      <c r="C1774" s="410"/>
      <c r="D1774" s="410"/>
      <c r="E1774" s="410"/>
      <c r="F1774" s="410"/>
      <c r="G1774" s="410"/>
      <c r="H1774" s="410"/>
      <c r="I1774" s="410"/>
      <c r="J1774" s="410"/>
      <c r="K1774" s="410"/>
      <c r="L1774" s="410"/>
      <c r="M1774" s="410"/>
      <c r="N1774" s="410"/>
      <c r="R1774" s="410"/>
      <c r="S1774" s="410"/>
      <c r="T1774" s="410"/>
      <c r="U1774" s="410"/>
      <c r="V1774" s="410"/>
      <c r="W1774" s="410"/>
      <c r="X1774" s="410"/>
      <c r="Y1774" s="410"/>
    </row>
    <row r="1775" spans="1:25" x14ac:dyDescent="0.2">
      <c r="A1775" s="410"/>
      <c r="B1775" s="410"/>
      <c r="C1775" s="410"/>
      <c r="D1775" s="410"/>
      <c r="E1775" s="410"/>
      <c r="F1775" s="410"/>
      <c r="G1775" s="410"/>
      <c r="H1775" s="410"/>
      <c r="I1775" s="410"/>
      <c r="J1775" s="410"/>
      <c r="K1775" s="410"/>
      <c r="L1775" s="410"/>
      <c r="M1775" s="410"/>
      <c r="N1775" s="410"/>
      <c r="R1775" s="410"/>
      <c r="S1775" s="410"/>
      <c r="T1775" s="410"/>
      <c r="U1775" s="410"/>
      <c r="V1775" s="410"/>
      <c r="W1775" s="410"/>
      <c r="X1775" s="410"/>
      <c r="Y1775" s="410"/>
    </row>
    <row r="1776" spans="1:25" x14ac:dyDescent="0.2">
      <c r="A1776" s="410"/>
      <c r="B1776" s="410"/>
      <c r="C1776" s="410"/>
      <c r="D1776" s="410"/>
      <c r="E1776" s="410"/>
      <c r="F1776" s="410"/>
      <c r="G1776" s="410"/>
      <c r="H1776" s="410"/>
      <c r="I1776" s="410"/>
      <c r="J1776" s="410"/>
      <c r="K1776" s="410"/>
      <c r="L1776" s="410"/>
      <c r="M1776" s="410"/>
      <c r="N1776" s="410"/>
      <c r="R1776" s="410"/>
      <c r="S1776" s="410"/>
      <c r="T1776" s="410"/>
      <c r="U1776" s="410"/>
      <c r="V1776" s="410"/>
      <c r="W1776" s="410"/>
      <c r="X1776" s="410"/>
      <c r="Y1776" s="410"/>
    </row>
    <row r="1777" spans="1:25" x14ac:dyDescent="0.2">
      <c r="A1777" s="410"/>
      <c r="B1777" s="410"/>
      <c r="C1777" s="410"/>
      <c r="D1777" s="410"/>
      <c r="E1777" s="410"/>
      <c r="F1777" s="410"/>
      <c r="G1777" s="410"/>
      <c r="H1777" s="410"/>
      <c r="I1777" s="410"/>
      <c r="J1777" s="410"/>
      <c r="K1777" s="410"/>
      <c r="L1777" s="410"/>
      <c r="M1777" s="410"/>
      <c r="N1777" s="410"/>
      <c r="R1777" s="410"/>
      <c r="S1777" s="410"/>
      <c r="T1777" s="410"/>
      <c r="U1777" s="410"/>
      <c r="V1777" s="410"/>
      <c r="W1777" s="410"/>
      <c r="X1777" s="410"/>
      <c r="Y1777" s="410"/>
    </row>
    <row r="1778" spans="1:25" x14ac:dyDescent="0.2">
      <c r="A1778" s="410"/>
      <c r="B1778" s="410"/>
      <c r="C1778" s="410"/>
      <c r="D1778" s="410"/>
      <c r="E1778" s="410"/>
      <c r="F1778" s="410"/>
      <c r="G1778" s="410"/>
      <c r="H1778" s="410"/>
      <c r="I1778" s="410"/>
      <c r="J1778" s="410"/>
      <c r="K1778" s="410"/>
      <c r="L1778" s="410"/>
      <c r="M1778" s="410"/>
      <c r="N1778" s="410"/>
      <c r="R1778" s="410"/>
      <c r="S1778" s="410"/>
      <c r="T1778" s="410"/>
      <c r="U1778" s="410"/>
      <c r="V1778" s="410"/>
      <c r="W1778" s="410"/>
      <c r="X1778" s="410"/>
      <c r="Y1778" s="410"/>
    </row>
    <row r="1779" spans="1:25" x14ac:dyDescent="0.2">
      <c r="A1779" s="410"/>
      <c r="B1779" s="410"/>
      <c r="C1779" s="410"/>
      <c r="D1779" s="410"/>
      <c r="E1779" s="410"/>
      <c r="F1779" s="410"/>
      <c r="G1779" s="410"/>
      <c r="H1779" s="410"/>
      <c r="I1779" s="410"/>
      <c r="J1779" s="410"/>
      <c r="K1779" s="410"/>
      <c r="L1779" s="410"/>
      <c r="M1779" s="410"/>
      <c r="N1779" s="410"/>
      <c r="R1779" s="410"/>
      <c r="S1779" s="410"/>
      <c r="T1779" s="410"/>
      <c r="U1779" s="410"/>
      <c r="V1779" s="410"/>
      <c r="W1779" s="410"/>
      <c r="X1779" s="410"/>
      <c r="Y1779" s="410"/>
    </row>
    <row r="1780" spans="1:25" x14ac:dyDescent="0.2">
      <c r="A1780" s="410"/>
      <c r="B1780" s="410"/>
      <c r="C1780" s="410"/>
      <c r="D1780" s="410"/>
      <c r="E1780" s="410"/>
      <c r="F1780" s="410"/>
      <c r="G1780" s="410"/>
      <c r="H1780" s="410"/>
      <c r="I1780" s="410"/>
      <c r="J1780" s="410"/>
      <c r="K1780" s="410"/>
      <c r="L1780" s="410"/>
      <c r="M1780" s="410"/>
      <c r="N1780" s="410"/>
      <c r="R1780" s="410"/>
      <c r="S1780" s="410"/>
      <c r="T1780" s="410"/>
      <c r="U1780" s="410"/>
      <c r="V1780" s="410"/>
      <c r="W1780" s="410"/>
      <c r="X1780" s="410"/>
      <c r="Y1780" s="410"/>
    </row>
    <row r="1781" spans="1:25" x14ac:dyDescent="0.2">
      <c r="A1781" s="410"/>
      <c r="B1781" s="410"/>
      <c r="C1781" s="410"/>
      <c r="D1781" s="410"/>
      <c r="E1781" s="410"/>
      <c r="F1781" s="410"/>
      <c r="G1781" s="410"/>
      <c r="H1781" s="410"/>
      <c r="I1781" s="410"/>
      <c r="J1781" s="410"/>
      <c r="K1781" s="410"/>
      <c r="L1781" s="410"/>
      <c r="M1781" s="410"/>
      <c r="N1781" s="410"/>
      <c r="R1781" s="410"/>
      <c r="S1781" s="410"/>
      <c r="T1781" s="410"/>
      <c r="U1781" s="410"/>
      <c r="V1781" s="410"/>
      <c r="W1781" s="410"/>
      <c r="X1781" s="410"/>
      <c r="Y1781" s="410"/>
    </row>
    <row r="1782" spans="1:25" x14ac:dyDescent="0.2">
      <c r="A1782" s="410"/>
      <c r="B1782" s="410"/>
      <c r="C1782" s="410"/>
      <c r="D1782" s="410"/>
      <c r="E1782" s="410"/>
      <c r="F1782" s="410"/>
      <c r="G1782" s="410"/>
      <c r="H1782" s="410"/>
      <c r="I1782" s="410"/>
      <c r="J1782" s="410"/>
      <c r="K1782" s="410"/>
      <c r="L1782" s="410"/>
      <c r="M1782" s="410"/>
      <c r="N1782" s="410"/>
      <c r="R1782" s="410"/>
      <c r="S1782" s="410"/>
      <c r="T1782" s="410"/>
      <c r="U1782" s="410"/>
      <c r="V1782" s="410"/>
      <c r="W1782" s="410"/>
      <c r="X1782" s="410"/>
      <c r="Y1782" s="410"/>
    </row>
    <row r="1783" spans="1:25" x14ac:dyDescent="0.2">
      <c r="A1783" s="410"/>
      <c r="B1783" s="410"/>
      <c r="C1783" s="410"/>
      <c r="D1783" s="410"/>
      <c r="E1783" s="410"/>
      <c r="F1783" s="410"/>
      <c r="G1783" s="410"/>
      <c r="H1783" s="410"/>
      <c r="I1783" s="410"/>
      <c r="J1783" s="410"/>
      <c r="K1783" s="410"/>
      <c r="L1783" s="410"/>
      <c r="M1783" s="410"/>
      <c r="N1783" s="410"/>
      <c r="R1783" s="410"/>
      <c r="S1783" s="410"/>
      <c r="T1783" s="410"/>
      <c r="U1783" s="410"/>
      <c r="V1783" s="410"/>
      <c r="W1783" s="410"/>
      <c r="X1783" s="410"/>
      <c r="Y1783" s="410"/>
    </row>
    <row r="1784" spans="1:25" x14ac:dyDescent="0.2">
      <c r="A1784" s="410"/>
      <c r="B1784" s="410"/>
      <c r="C1784" s="410"/>
      <c r="D1784" s="410"/>
      <c r="E1784" s="410"/>
      <c r="F1784" s="410"/>
      <c r="G1784" s="410"/>
      <c r="H1784" s="410"/>
      <c r="I1784" s="410"/>
      <c r="J1784" s="410"/>
      <c r="K1784" s="410"/>
      <c r="L1784" s="410"/>
      <c r="M1784" s="410"/>
      <c r="N1784" s="410"/>
      <c r="R1784" s="410"/>
      <c r="S1784" s="410"/>
      <c r="T1784" s="410"/>
      <c r="U1784" s="410"/>
      <c r="V1784" s="410"/>
      <c r="W1784" s="410"/>
      <c r="X1784" s="410"/>
      <c r="Y1784" s="410"/>
    </row>
    <row r="1785" spans="1:25" x14ac:dyDescent="0.2">
      <c r="A1785" s="410"/>
      <c r="B1785" s="410"/>
      <c r="C1785" s="410"/>
      <c r="D1785" s="410"/>
      <c r="E1785" s="410"/>
      <c r="F1785" s="410"/>
      <c r="G1785" s="410"/>
      <c r="H1785" s="410"/>
      <c r="I1785" s="410"/>
      <c r="J1785" s="410"/>
      <c r="K1785" s="410"/>
      <c r="L1785" s="410"/>
      <c r="M1785" s="410"/>
      <c r="N1785" s="410"/>
      <c r="R1785" s="410"/>
      <c r="S1785" s="410"/>
      <c r="T1785" s="410"/>
      <c r="U1785" s="410"/>
      <c r="V1785" s="410"/>
      <c r="W1785" s="410"/>
      <c r="X1785" s="410"/>
      <c r="Y1785" s="410"/>
    </row>
    <row r="1786" spans="1:25" x14ac:dyDescent="0.2">
      <c r="A1786" s="410"/>
      <c r="B1786" s="410"/>
      <c r="C1786" s="410"/>
      <c r="D1786" s="410"/>
      <c r="E1786" s="410"/>
      <c r="F1786" s="410"/>
      <c r="G1786" s="410"/>
      <c r="H1786" s="410"/>
      <c r="I1786" s="410"/>
      <c r="J1786" s="410"/>
      <c r="K1786" s="410"/>
      <c r="L1786" s="410"/>
      <c r="M1786" s="410"/>
      <c r="N1786" s="410"/>
      <c r="R1786" s="410"/>
      <c r="S1786" s="410"/>
      <c r="T1786" s="410"/>
      <c r="U1786" s="410"/>
      <c r="V1786" s="410"/>
      <c r="W1786" s="410"/>
      <c r="X1786" s="410"/>
      <c r="Y1786" s="410"/>
    </row>
    <row r="1787" spans="1:25" x14ac:dyDescent="0.2">
      <c r="A1787" s="410"/>
      <c r="B1787" s="410"/>
      <c r="C1787" s="410"/>
      <c r="D1787" s="410"/>
      <c r="E1787" s="410"/>
      <c r="F1787" s="410"/>
      <c r="G1787" s="410"/>
      <c r="H1787" s="410"/>
      <c r="I1787" s="410"/>
      <c r="J1787" s="410"/>
      <c r="K1787" s="410"/>
      <c r="L1787" s="410"/>
      <c r="M1787" s="410"/>
      <c r="N1787" s="410"/>
      <c r="R1787" s="410"/>
      <c r="S1787" s="410"/>
      <c r="T1787" s="410"/>
      <c r="U1787" s="410"/>
      <c r="V1787" s="410"/>
      <c r="W1787" s="410"/>
      <c r="X1787" s="410"/>
      <c r="Y1787" s="410"/>
    </row>
    <row r="1788" spans="1:25" x14ac:dyDescent="0.2">
      <c r="A1788" s="410"/>
      <c r="B1788" s="410"/>
      <c r="C1788" s="410"/>
      <c r="D1788" s="410"/>
      <c r="E1788" s="410"/>
      <c r="F1788" s="410"/>
      <c r="G1788" s="410"/>
      <c r="H1788" s="410"/>
      <c r="I1788" s="410"/>
      <c r="J1788" s="410"/>
      <c r="K1788" s="410"/>
      <c r="L1788" s="410"/>
      <c r="M1788" s="410"/>
      <c r="N1788" s="410"/>
      <c r="R1788" s="410"/>
      <c r="S1788" s="410"/>
      <c r="T1788" s="410"/>
      <c r="U1788" s="410"/>
      <c r="V1788" s="410"/>
      <c r="W1788" s="410"/>
      <c r="X1788" s="410"/>
      <c r="Y1788" s="410"/>
    </row>
    <row r="1789" spans="1:25" x14ac:dyDescent="0.2">
      <c r="A1789" s="410"/>
      <c r="B1789" s="410"/>
      <c r="C1789" s="410"/>
      <c r="D1789" s="410"/>
      <c r="E1789" s="410"/>
      <c r="F1789" s="410"/>
      <c r="G1789" s="410"/>
      <c r="H1789" s="410"/>
      <c r="I1789" s="410"/>
      <c r="J1789" s="410"/>
      <c r="K1789" s="410"/>
      <c r="L1789" s="410"/>
      <c r="M1789" s="410"/>
      <c r="N1789" s="410"/>
      <c r="R1789" s="410"/>
      <c r="S1789" s="410"/>
      <c r="T1789" s="410"/>
      <c r="U1789" s="410"/>
      <c r="V1789" s="410"/>
      <c r="W1789" s="410"/>
      <c r="X1789" s="410"/>
      <c r="Y1789" s="410"/>
    </row>
    <row r="1790" spans="1:25" x14ac:dyDescent="0.2">
      <c r="A1790" s="410"/>
      <c r="B1790" s="410"/>
      <c r="C1790" s="410"/>
      <c r="D1790" s="410"/>
      <c r="E1790" s="410"/>
      <c r="F1790" s="410"/>
      <c r="G1790" s="410"/>
      <c r="H1790" s="410"/>
      <c r="I1790" s="410"/>
      <c r="J1790" s="410"/>
      <c r="K1790" s="410"/>
      <c r="L1790" s="410"/>
      <c r="M1790" s="410"/>
      <c r="N1790" s="410"/>
      <c r="R1790" s="410"/>
      <c r="S1790" s="410"/>
      <c r="T1790" s="410"/>
      <c r="U1790" s="410"/>
      <c r="V1790" s="410"/>
      <c r="W1790" s="410"/>
      <c r="X1790" s="410"/>
      <c r="Y1790" s="410"/>
    </row>
    <row r="1791" spans="1:25" x14ac:dyDescent="0.2">
      <c r="A1791" s="410"/>
      <c r="B1791" s="410"/>
      <c r="C1791" s="410"/>
      <c r="D1791" s="410"/>
      <c r="E1791" s="410"/>
      <c r="F1791" s="410"/>
      <c r="G1791" s="410"/>
      <c r="H1791" s="410"/>
      <c r="I1791" s="410"/>
      <c r="J1791" s="410"/>
      <c r="K1791" s="410"/>
      <c r="L1791" s="410"/>
      <c r="M1791" s="410"/>
      <c r="N1791" s="410"/>
      <c r="R1791" s="410"/>
      <c r="S1791" s="410"/>
      <c r="T1791" s="410"/>
      <c r="U1791" s="410"/>
      <c r="V1791" s="410"/>
      <c r="W1791" s="410"/>
      <c r="X1791" s="410"/>
      <c r="Y1791" s="410"/>
    </row>
    <row r="1792" spans="1:25" x14ac:dyDescent="0.2">
      <c r="A1792" s="410"/>
      <c r="B1792" s="410"/>
      <c r="C1792" s="410"/>
      <c r="D1792" s="410"/>
      <c r="E1792" s="410"/>
      <c r="F1792" s="410"/>
      <c r="G1792" s="410"/>
      <c r="H1792" s="410"/>
      <c r="I1792" s="410"/>
      <c r="J1792" s="410"/>
      <c r="K1792" s="410"/>
      <c r="L1792" s="410"/>
      <c r="M1792" s="410"/>
      <c r="N1792" s="410"/>
      <c r="R1792" s="410"/>
      <c r="S1792" s="410"/>
      <c r="T1792" s="410"/>
      <c r="U1792" s="410"/>
      <c r="V1792" s="410"/>
      <c r="W1792" s="410"/>
      <c r="X1792" s="410"/>
      <c r="Y1792" s="410"/>
    </row>
    <row r="1793" spans="1:25" x14ac:dyDescent="0.2">
      <c r="A1793" s="410"/>
      <c r="B1793" s="410"/>
      <c r="C1793" s="410"/>
      <c r="D1793" s="410"/>
      <c r="E1793" s="410"/>
      <c r="F1793" s="410"/>
      <c r="G1793" s="410"/>
      <c r="H1793" s="410"/>
      <c r="I1793" s="410"/>
      <c r="J1793" s="410"/>
      <c r="K1793" s="410"/>
      <c r="L1793" s="410"/>
      <c r="M1793" s="410"/>
      <c r="N1793" s="410"/>
      <c r="R1793" s="410"/>
      <c r="S1793" s="410"/>
      <c r="T1793" s="410"/>
      <c r="U1793" s="410"/>
      <c r="V1793" s="410"/>
      <c r="W1793" s="410"/>
      <c r="X1793" s="410"/>
      <c r="Y1793" s="410"/>
    </row>
    <row r="1794" spans="1:25" x14ac:dyDescent="0.2">
      <c r="A1794" s="410"/>
      <c r="B1794" s="410"/>
      <c r="C1794" s="410"/>
      <c r="D1794" s="410"/>
      <c r="E1794" s="410"/>
      <c r="F1794" s="410"/>
      <c r="G1794" s="410"/>
      <c r="H1794" s="410"/>
      <c r="I1794" s="410"/>
      <c r="J1794" s="410"/>
      <c r="K1794" s="410"/>
      <c r="L1794" s="410"/>
      <c r="M1794" s="410"/>
      <c r="N1794" s="410"/>
      <c r="R1794" s="410"/>
      <c r="S1794" s="410"/>
      <c r="T1794" s="410"/>
      <c r="U1794" s="410"/>
      <c r="V1794" s="410"/>
      <c r="W1794" s="410"/>
      <c r="X1794" s="410"/>
      <c r="Y1794" s="410"/>
    </row>
    <row r="1795" spans="1:25" x14ac:dyDescent="0.2">
      <c r="A1795" s="410"/>
      <c r="B1795" s="410"/>
      <c r="C1795" s="410"/>
      <c r="D1795" s="410"/>
      <c r="E1795" s="410"/>
      <c r="F1795" s="410"/>
      <c r="G1795" s="410"/>
      <c r="H1795" s="410"/>
      <c r="I1795" s="410"/>
      <c r="J1795" s="410"/>
      <c r="K1795" s="410"/>
      <c r="L1795" s="410"/>
      <c r="M1795" s="410"/>
      <c r="N1795" s="410"/>
      <c r="R1795" s="410"/>
      <c r="S1795" s="410"/>
      <c r="T1795" s="410"/>
      <c r="U1795" s="410"/>
      <c r="V1795" s="410"/>
      <c r="W1795" s="410"/>
      <c r="X1795" s="410"/>
      <c r="Y1795" s="410"/>
    </row>
    <row r="1796" spans="1:25" x14ac:dyDescent="0.2">
      <c r="A1796" s="410"/>
      <c r="B1796" s="410"/>
      <c r="C1796" s="410"/>
      <c r="D1796" s="410"/>
      <c r="E1796" s="410"/>
      <c r="F1796" s="410"/>
      <c r="G1796" s="410"/>
      <c r="H1796" s="410"/>
      <c r="I1796" s="410"/>
      <c r="J1796" s="410"/>
      <c r="K1796" s="410"/>
      <c r="L1796" s="410"/>
      <c r="M1796" s="410"/>
      <c r="N1796" s="410"/>
      <c r="R1796" s="410"/>
      <c r="S1796" s="410"/>
      <c r="T1796" s="410"/>
      <c r="U1796" s="410"/>
      <c r="V1796" s="410"/>
      <c r="W1796" s="410"/>
      <c r="X1796" s="410"/>
      <c r="Y1796" s="410"/>
    </row>
    <row r="1797" spans="1:25" x14ac:dyDescent="0.2">
      <c r="A1797" s="410"/>
      <c r="B1797" s="410"/>
      <c r="C1797" s="410"/>
      <c r="D1797" s="410"/>
      <c r="E1797" s="410"/>
      <c r="F1797" s="410"/>
      <c r="G1797" s="410"/>
      <c r="H1797" s="410"/>
      <c r="I1797" s="410"/>
      <c r="J1797" s="410"/>
      <c r="K1797" s="410"/>
      <c r="L1797" s="410"/>
      <c r="M1797" s="410"/>
      <c r="N1797" s="410"/>
      <c r="R1797" s="410"/>
      <c r="S1797" s="410"/>
      <c r="T1797" s="410"/>
      <c r="U1797" s="410"/>
      <c r="V1797" s="410"/>
      <c r="W1797" s="410"/>
      <c r="X1797" s="410"/>
      <c r="Y1797" s="410"/>
    </row>
    <row r="1798" spans="1:25" x14ac:dyDescent="0.2">
      <c r="A1798" s="410"/>
      <c r="B1798" s="410"/>
      <c r="C1798" s="410"/>
      <c r="D1798" s="410"/>
      <c r="E1798" s="410"/>
      <c r="F1798" s="410"/>
      <c r="G1798" s="410"/>
      <c r="H1798" s="410"/>
      <c r="I1798" s="410"/>
      <c r="J1798" s="410"/>
      <c r="K1798" s="410"/>
      <c r="L1798" s="410"/>
      <c r="M1798" s="410"/>
      <c r="N1798" s="410"/>
      <c r="R1798" s="410"/>
      <c r="S1798" s="410"/>
      <c r="T1798" s="410"/>
      <c r="U1798" s="410"/>
      <c r="V1798" s="410"/>
      <c r="W1798" s="410"/>
      <c r="X1798" s="410"/>
      <c r="Y1798" s="410"/>
    </row>
    <row r="1799" spans="1:25" x14ac:dyDescent="0.2">
      <c r="A1799" s="410"/>
      <c r="B1799" s="410"/>
      <c r="C1799" s="410"/>
      <c r="D1799" s="410"/>
      <c r="E1799" s="410"/>
      <c r="F1799" s="410"/>
      <c r="G1799" s="410"/>
      <c r="H1799" s="410"/>
      <c r="I1799" s="410"/>
      <c r="J1799" s="410"/>
      <c r="K1799" s="410"/>
      <c r="L1799" s="410"/>
      <c r="M1799" s="410"/>
      <c r="N1799" s="410"/>
      <c r="R1799" s="410"/>
      <c r="S1799" s="410"/>
      <c r="T1799" s="410"/>
      <c r="U1799" s="410"/>
      <c r="V1799" s="410"/>
      <c r="W1799" s="410"/>
      <c r="X1799" s="410"/>
      <c r="Y1799" s="410"/>
    </row>
    <row r="1800" spans="1:25" x14ac:dyDescent="0.2">
      <c r="A1800" s="410"/>
      <c r="B1800" s="410"/>
      <c r="C1800" s="410"/>
      <c r="D1800" s="410"/>
      <c r="E1800" s="410"/>
      <c r="F1800" s="410"/>
      <c r="G1800" s="410"/>
      <c r="H1800" s="410"/>
      <c r="I1800" s="410"/>
      <c r="J1800" s="410"/>
      <c r="K1800" s="410"/>
      <c r="L1800" s="410"/>
      <c r="M1800" s="410"/>
      <c r="N1800" s="410"/>
      <c r="R1800" s="410"/>
      <c r="S1800" s="410"/>
      <c r="T1800" s="410"/>
      <c r="U1800" s="410"/>
      <c r="V1800" s="410"/>
      <c r="W1800" s="410"/>
      <c r="X1800" s="410"/>
      <c r="Y1800" s="410"/>
    </row>
    <row r="1801" spans="1:25" x14ac:dyDescent="0.2">
      <c r="A1801" s="410"/>
      <c r="B1801" s="410"/>
      <c r="C1801" s="410"/>
      <c r="D1801" s="410"/>
      <c r="E1801" s="410"/>
      <c r="F1801" s="410"/>
      <c r="G1801" s="410"/>
      <c r="H1801" s="410"/>
      <c r="I1801" s="410"/>
      <c r="J1801" s="410"/>
      <c r="K1801" s="410"/>
      <c r="L1801" s="410"/>
      <c r="M1801" s="410"/>
      <c r="N1801" s="410"/>
      <c r="R1801" s="410"/>
      <c r="S1801" s="410"/>
      <c r="T1801" s="410"/>
      <c r="U1801" s="410"/>
      <c r="V1801" s="410"/>
      <c r="W1801" s="410"/>
      <c r="X1801" s="410"/>
      <c r="Y1801" s="410"/>
    </row>
    <row r="1802" spans="1:25" x14ac:dyDescent="0.2">
      <c r="A1802" s="410"/>
      <c r="B1802" s="410"/>
      <c r="C1802" s="410"/>
      <c r="D1802" s="410"/>
      <c r="E1802" s="410"/>
      <c r="F1802" s="410"/>
      <c r="G1802" s="410"/>
      <c r="H1802" s="410"/>
      <c r="I1802" s="410"/>
      <c r="J1802" s="410"/>
      <c r="K1802" s="410"/>
      <c r="L1802" s="410"/>
      <c r="M1802" s="410"/>
      <c r="N1802" s="410"/>
      <c r="R1802" s="410"/>
      <c r="S1802" s="410"/>
      <c r="T1802" s="410"/>
      <c r="U1802" s="410"/>
      <c r="V1802" s="410"/>
      <c r="W1802" s="410"/>
      <c r="X1802" s="410"/>
      <c r="Y1802" s="410"/>
    </row>
    <row r="1803" spans="1:25" x14ac:dyDescent="0.2">
      <c r="A1803" s="410"/>
      <c r="B1803" s="410"/>
      <c r="C1803" s="410"/>
      <c r="D1803" s="410"/>
      <c r="E1803" s="410"/>
      <c r="F1803" s="410"/>
      <c r="G1803" s="410"/>
      <c r="H1803" s="410"/>
      <c r="I1803" s="410"/>
      <c r="J1803" s="410"/>
      <c r="K1803" s="410"/>
      <c r="L1803" s="410"/>
      <c r="M1803" s="410"/>
      <c r="N1803" s="410"/>
      <c r="R1803" s="410"/>
      <c r="S1803" s="410"/>
      <c r="T1803" s="410"/>
      <c r="U1803" s="410"/>
      <c r="V1803" s="410"/>
      <c r="W1803" s="410"/>
      <c r="X1803" s="410"/>
      <c r="Y1803" s="410"/>
    </row>
    <row r="1804" spans="1:25" x14ac:dyDescent="0.2">
      <c r="A1804" s="410"/>
      <c r="B1804" s="410"/>
      <c r="C1804" s="410"/>
      <c r="D1804" s="410"/>
      <c r="E1804" s="410"/>
      <c r="F1804" s="410"/>
      <c r="G1804" s="410"/>
      <c r="H1804" s="410"/>
      <c r="I1804" s="410"/>
      <c r="J1804" s="410"/>
      <c r="K1804" s="410"/>
      <c r="L1804" s="410"/>
      <c r="M1804" s="410"/>
      <c r="N1804" s="410"/>
      <c r="R1804" s="410"/>
      <c r="S1804" s="410"/>
      <c r="T1804" s="410"/>
      <c r="U1804" s="410"/>
      <c r="V1804" s="410"/>
      <c r="W1804" s="410"/>
      <c r="X1804" s="410"/>
      <c r="Y1804" s="410"/>
    </row>
    <row r="1805" spans="1:25" x14ac:dyDescent="0.2">
      <c r="A1805" s="410"/>
      <c r="B1805" s="410"/>
      <c r="C1805" s="410"/>
      <c r="D1805" s="410"/>
      <c r="E1805" s="410"/>
      <c r="F1805" s="410"/>
      <c r="G1805" s="410"/>
      <c r="H1805" s="410"/>
      <c r="I1805" s="410"/>
      <c r="J1805" s="410"/>
      <c r="K1805" s="410"/>
      <c r="L1805" s="410"/>
      <c r="M1805" s="410"/>
      <c r="N1805" s="410"/>
      <c r="R1805" s="410"/>
      <c r="S1805" s="410"/>
      <c r="T1805" s="410"/>
      <c r="U1805" s="410"/>
      <c r="V1805" s="410"/>
      <c r="W1805" s="410"/>
      <c r="X1805" s="410"/>
      <c r="Y1805" s="410"/>
    </row>
    <row r="1806" spans="1:25" x14ac:dyDescent="0.2">
      <c r="A1806" s="410"/>
      <c r="B1806" s="410"/>
      <c r="C1806" s="410"/>
      <c r="D1806" s="410"/>
      <c r="E1806" s="410"/>
      <c r="F1806" s="410"/>
      <c r="G1806" s="410"/>
      <c r="H1806" s="410"/>
      <c r="I1806" s="410"/>
      <c r="J1806" s="410"/>
      <c r="K1806" s="410"/>
      <c r="L1806" s="410"/>
      <c r="M1806" s="410"/>
      <c r="N1806" s="410"/>
      <c r="R1806" s="410"/>
      <c r="S1806" s="410"/>
      <c r="T1806" s="410"/>
      <c r="U1806" s="410"/>
      <c r="V1806" s="410"/>
      <c r="W1806" s="410"/>
      <c r="X1806" s="410"/>
      <c r="Y1806" s="410"/>
    </row>
    <row r="1807" spans="1:25" x14ac:dyDescent="0.2">
      <c r="A1807" s="410"/>
      <c r="B1807" s="410"/>
      <c r="C1807" s="410"/>
      <c r="D1807" s="410"/>
      <c r="E1807" s="410"/>
      <c r="F1807" s="410"/>
      <c r="G1807" s="410"/>
      <c r="H1807" s="410"/>
      <c r="I1807" s="410"/>
      <c r="J1807" s="410"/>
      <c r="K1807" s="410"/>
      <c r="L1807" s="410"/>
      <c r="M1807" s="410"/>
      <c r="N1807" s="410"/>
      <c r="R1807" s="410"/>
      <c r="S1807" s="410"/>
      <c r="T1807" s="410"/>
      <c r="U1807" s="410"/>
      <c r="V1807" s="410"/>
      <c r="W1807" s="410"/>
      <c r="X1807" s="410"/>
      <c r="Y1807" s="410"/>
    </row>
    <row r="1808" spans="1:25" x14ac:dyDescent="0.2">
      <c r="A1808" s="410"/>
      <c r="B1808" s="410"/>
      <c r="C1808" s="410"/>
      <c r="D1808" s="410"/>
      <c r="E1808" s="410"/>
      <c r="F1808" s="410"/>
      <c r="G1808" s="410"/>
      <c r="H1808" s="410"/>
      <c r="I1808" s="410"/>
      <c r="J1808" s="410"/>
      <c r="K1808" s="410"/>
      <c r="L1808" s="410"/>
      <c r="M1808" s="410"/>
      <c r="N1808" s="410"/>
      <c r="R1808" s="410"/>
      <c r="S1808" s="410"/>
      <c r="T1808" s="410"/>
      <c r="U1808" s="410"/>
      <c r="V1808" s="410"/>
      <c r="W1808" s="410"/>
      <c r="X1808" s="410"/>
      <c r="Y1808" s="410"/>
    </row>
    <row r="1809" spans="1:25" x14ac:dyDescent="0.2">
      <c r="A1809" s="410"/>
      <c r="B1809" s="410"/>
      <c r="C1809" s="410"/>
      <c r="D1809" s="410"/>
      <c r="E1809" s="410"/>
      <c r="F1809" s="410"/>
      <c r="G1809" s="410"/>
      <c r="H1809" s="410"/>
      <c r="I1809" s="410"/>
      <c r="J1809" s="410"/>
      <c r="K1809" s="410"/>
      <c r="L1809" s="410"/>
      <c r="M1809" s="410"/>
      <c r="N1809" s="410"/>
      <c r="R1809" s="410"/>
      <c r="S1809" s="410"/>
      <c r="T1809" s="410"/>
      <c r="U1809" s="410"/>
      <c r="V1809" s="410"/>
      <c r="W1809" s="410"/>
      <c r="X1809" s="410"/>
      <c r="Y1809" s="410"/>
    </row>
    <row r="1810" spans="1:25" x14ac:dyDescent="0.2">
      <c r="A1810" s="410"/>
      <c r="B1810" s="410"/>
      <c r="C1810" s="410"/>
      <c r="D1810" s="410"/>
      <c r="E1810" s="410"/>
      <c r="F1810" s="410"/>
      <c r="G1810" s="410"/>
      <c r="H1810" s="410"/>
      <c r="I1810" s="410"/>
      <c r="J1810" s="410"/>
      <c r="K1810" s="410"/>
      <c r="L1810" s="410"/>
      <c r="M1810" s="410"/>
      <c r="N1810" s="410"/>
      <c r="R1810" s="410"/>
      <c r="S1810" s="410"/>
      <c r="T1810" s="410"/>
      <c r="U1810" s="410"/>
      <c r="V1810" s="410"/>
      <c r="W1810" s="410"/>
      <c r="X1810" s="410"/>
      <c r="Y1810" s="410"/>
    </row>
    <row r="1811" spans="1:25" x14ac:dyDescent="0.2">
      <c r="A1811" s="410"/>
      <c r="B1811" s="410"/>
      <c r="C1811" s="410"/>
      <c r="D1811" s="410"/>
      <c r="E1811" s="410"/>
      <c r="F1811" s="410"/>
      <c r="G1811" s="410"/>
      <c r="H1811" s="410"/>
      <c r="I1811" s="410"/>
      <c r="J1811" s="410"/>
      <c r="K1811" s="410"/>
      <c r="L1811" s="410"/>
      <c r="M1811" s="410"/>
      <c r="N1811" s="410"/>
      <c r="R1811" s="410"/>
      <c r="S1811" s="410"/>
      <c r="T1811" s="410"/>
      <c r="U1811" s="410"/>
      <c r="V1811" s="410"/>
      <c r="W1811" s="410"/>
      <c r="X1811" s="410"/>
      <c r="Y1811" s="410"/>
    </row>
    <row r="1812" spans="1:25" x14ac:dyDescent="0.2">
      <c r="A1812" s="410"/>
      <c r="B1812" s="410"/>
      <c r="C1812" s="410"/>
      <c r="D1812" s="410"/>
      <c r="E1812" s="410"/>
      <c r="F1812" s="410"/>
      <c r="G1812" s="410"/>
      <c r="H1812" s="410"/>
      <c r="I1812" s="410"/>
      <c r="J1812" s="410"/>
      <c r="K1812" s="410"/>
      <c r="L1812" s="410"/>
      <c r="M1812" s="410"/>
      <c r="N1812" s="410"/>
      <c r="R1812" s="410"/>
      <c r="S1812" s="410"/>
      <c r="T1812" s="410"/>
      <c r="U1812" s="410"/>
      <c r="V1812" s="410"/>
      <c r="W1812" s="410"/>
      <c r="X1812" s="410"/>
      <c r="Y1812" s="410"/>
    </row>
    <row r="1813" spans="1:25" x14ac:dyDescent="0.2">
      <c r="A1813" s="410"/>
      <c r="B1813" s="410"/>
      <c r="C1813" s="410"/>
      <c r="D1813" s="410"/>
      <c r="E1813" s="410"/>
      <c r="F1813" s="410"/>
      <c r="G1813" s="410"/>
      <c r="H1813" s="410"/>
      <c r="I1813" s="410"/>
      <c r="J1813" s="410"/>
      <c r="K1813" s="410"/>
      <c r="L1813" s="410"/>
      <c r="M1813" s="410"/>
      <c r="N1813" s="410"/>
      <c r="R1813" s="410"/>
      <c r="S1813" s="410"/>
      <c r="T1813" s="410"/>
      <c r="U1813" s="410"/>
      <c r="V1813" s="410"/>
      <c r="W1813" s="410"/>
      <c r="X1813" s="410"/>
      <c r="Y1813" s="410"/>
    </row>
    <row r="1814" spans="1:25" x14ac:dyDescent="0.2">
      <c r="A1814" s="410"/>
      <c r="B1814" s="410"/>
      <c r="C1814" s="410"/>
      <c r="D1814" s="410"/>
      <c r="E1814" s="410"/>
      <c r="F1814" s="410"/>
      <c r="G1814" s="410"/>
      <c r="H1814" s="410"/>
      <c r="I1814" s="410"/>
      <c r="J1814" s="410"/>
      <c r="K1814" s="410"/>
      <c r="L1814" s="410"/>
      <c r="M1814" s="410"/>
      <c r="N1814" s="410"/>
      <c r="R1814" s="410"/>
      <c r="S1814" s="410"/>
      <c r="T1814" s="410"/>
      <c r="U1814" s="410"/>
      <c r="V1814" s="410"/>
      <c r="W1814" s="410"/>
      <c r="X1814" s="410"/>
      <c r="Y1814" s="410"/>
    </row>
    <row r="1815" spans="1:25" x14ac:dyDescent="0.2">
      <c r="A1815" s="410"/>
      <c r="B1815" s="410"/>
      <c r="C1815" s="410"/>
      <c r="D1815" s="410"/>
      <c r="E1815" s="410"/>
      <c r="F1815" s="410"/>
      <c r="G1815" s="410"/>
      <c r="H1815" s="410"/>
      <c r="I1815" s="410"/>
      <c r="J1815" s="410"/>
      <c r="K1815" s="410"/>
      <c r="L1815" s="410"/>
      <c r="M1815" s="410"/>
      <c r="N1815" s="410"/>
      <c r="R1815" s="410"/>
      <c r="S1815" s="410"/>
      <c r="T1815" s="410"/>
      <c r="U1815" s="410"/>
      <c r="V1815" s="410"/>
      <c r="W1815" s="410"/>
      <c r="X1815" s="410"/>
      <c r="Y1815" s="410"/>
    </row>
    <row r="1816" spans="1:25" x14ac:dyDescent="0.2">
      <c r="A1816" s="410"/>
      <c r="B1816" s="410"/>
      <c r="C1816" s="410"/>
      <c r="D1816" s="410"/>
      <c r="E1816" s="410"/>
      <c r="F1816" s="410"/>
      <c r="G1816" s="410"/>
      <c r="H1816" s="410"/>
      <c r="I1816" s="410"/>
      <c r="J1816" s="410"/>
      <c r="K1816" s="410"/>
      <c r="L1816" s="410"/>
      <c r="M1816" s="410"/>
      <c r="N1816" s="410"/>
      <c r="R1816" s="410"/>
      <c r="S1816" s="410"/>
      <c r="T1816" s="410"/>
      <c r="U1816" s="410"/>
      <c r="V1816" s="410"/>
      <c r="W1816" s="410"/>
      <c r="X1816" s="410"/>
      <c r="Y1816" s="410"/>
    </row>
    <row r="1817" spans="1:25" x14ac:dyDescent="0.2">
      <c r="A1817" s="410"/>
      <c r="B1817" s="410"/>
      <c r="C1817" s="410"/>
      <c r="D1817" s="410"/>
      <c r="E1817" s="410"/>
      <c r="F1817" s="410"/>
      <c r="G1817" s="410"/>
      <c r="H1817" s="410"/>
      <c r="I1817" s="410"/>
      <c r="J1817" s="410"/>
      <c r="K1817" s="410"/>
      <c r="L1817" s="410"/>
      <c r="M1817" s="410"/>
      <c r="N1817" s="410"/>
      <c r="R1817" s="410"/>
      <c r="S1817" s="410"/>
      <c r="T1817" s="410"/>
      <c r="U1817" s="410"/>
      <c r="V1817" s="410"/>
      <c r="W1817" s="410"/>
      <c r="X1817" s="410"/>
      <c r="Y1817" s="410"/>
    </row>
    <row r="1818" spans="1:25" x14ac:dyDescent="0.2">
      <c r="A1818" s="410"/>
      <c r="B1818" s="410"/>
      <c r="C1818" s="410"/>
      <c r="D1818" s="410"/>
      <c r="E1818" s="410"/>
      <c r="F1818" s="410"/>
      <c r="G1818" s="410"/>
      <c r="H1818" s="410"/>
      <c r="I1818" s="410"/>
      <c r="J1818" s="410"/>
      <c r="K1818" s="410"/>
      <c r="L1818" s="410"/>
      <c r="M1818" s="410"/>
      <c r="N1818" s="410"/>
      <c r="R1818" s="410"/>
      <c r="S1818" s="410"/>
      <c r="T1818" s="410"/>
      <c r="U1818" s="410"/>
      <c r="V1818" s="410"/>
      <c r="W1818" s="410"/>
      <c r="X1818" s="410"/>
      <c r="Y1818" s="410"/>
    </row>
    <row r="1819" spans="1:25" x14ac:dyDescent="0.2">
      <c r="A1819" s="410"/>
      <c r="B1819" s="410"/>
      <c r="C1819" s="410"/>
      <c r="D1819" s="410"/>
      <c r="E1819" s="410"/>
      <c r="F1819" s="410"/>
      <c r="G1819" s="410"/>
      <c r="H1819" s="410"/>
      <c r="I1819" s="410"/>
      <c r="J1819" s="410"/>
      <c r="K1819" s="410"/>
      <c r="L1819" s="410"/>
      <c r="M1819" s="410"/>
      <c r="N1819" s="410"/>
      <c r="R1819" s="410"/>
      <c r="S1819" s="410"/>
      <c r="T1819" s="410"/>
      <c r="U1819" s="410"/>
      <c r="V1819" s="410"/>
      <c r="W1819" s="410"/>
      <c r="X1819" s="410"/>
      <c r="Y1819" s="410"/>
    </row>
    <row r="1820" spans="1:25" x14ac:dyDescent="0.2">
      <c r="A1820" s="410"/>
      <c r="B1820" s="410"/>
      <c r="C1820" s="410"/>
      <c r="D1820" s="410"/>
      <c r="E1820" s="410"/>
      <c r="F1820" s="410"/>
      <c r="G1820" s="410"/>
      <c r="H1820" s="410"/>
      <c r="I1820" s="410"/>
      <c r="J1820" s="410"/>
      <c r="K1820" s="410"/>
      <c r="L1820" s="410"/>
      <c r="M1820" s="410"/>
      <c r="N1820" s="410"/>
      <c r="R1820" s="410"/>
      <c r="S1820" s="410"/>
      <c r="T1820" s="410"/>
      <c r="U1820" s="410"/>
      <c r="V1820" s="410"/>
      <c r="W1820" s="410"/>
      <c r="X1820" s="410"/>
      <c r="Y1820" s="410"/>
    </row>
    <row r="1821" spans="1:25" x14ac:dyDescent="0.2">
      <c r="A1821" s="410"/>
      <c r="B1821" s="410"/>
      <c r="C1821" s="410"/>
      <c r="D1821" s="410"/>
      <c r="E1821" s="410"/>
      <c r="F1821" s="410"/>
      <c r="G1821" s="410"/>
      <c r="H1821" s="410"/>
      <c r="I1821" s="410"/>
      <c r="J1821" s="410"/>
      <c r="K1821" s="410"/>
      <c r="L1821" s="410"/>
      <c r="M1821" s="410"/>
      <c r="N1821" s="410"/>
      <c r="R1821" s="410"/>
      <c r="S1821" s="410"/>
      <c r="T1821" s="410"/>
      <c r="U1821" s="410"/>
      <c r="V1821" s="410"/>
      <c r="W1821" s="410"/>
      <c r="X1821" s="410"/>
      <c r="Y1821" s="410"/>
    </row>
    <row r="1822" spans="1:25" x14ac:dyDescent="0.2">
      <c r="A1822" s="410"/>
      <c r="B1822" s="410"/>
      <c r="C1822" s="410"/>
      <c r="D1822" s="410"/>
      <c r="E1822" s="410"/>
      <c r="F1822" s="410"/>
      <c r="G1822" s="410"/>
      <c r="H1822" s="410"/>
      <c r="I1822" s="410"/>
      <c r="J1822" s="410"/>
      <c r="K1822" s="410"/>
      <c r="L1822" s="410"/>
      <c r="M1822" s="410"/>
      <c r="N1822" s="410"/>
      <c r="R1822" s="410"/>
      <c r="S1822" s="410"/>
      <c r="T1822" s="410"/>
      <c r="U1822" s="410"/>
      <c r="V1822" s="410"/>
      <c r="W1822" s="410"/>
      <c r="X1822" s="410"/>
      <c r="Y1822" s="410"/>
    </row>
    <row r="1823" spans="1:25" x14ac:dyDescent="0.2">
      <c r="A1823" s="410"/>
      <c r="B1823" s="410"/>
      <c r="C1823" s="410"/>
      <c r="D1823" s="410"/>
      <c r="E1823" s="410"/>
      <c r="F1823" s="410"/>
      <c r="G1823" s="410"/>
      <c r="H1823" s="410"/>
      <c r="I1823" s="410"/>
      <c r="J1823" s="410"/>
      <c r="K1823" s="410"/>
      <c r="L1823" s="410"/>
      <c r="M1823" s="410"/>
      <c r="N1823" s="410"/>
      <c r="R1823" s="410"/>
      <c r="S1823" s="410"/>
      <c r="T1823" s="410"/>
      <c r="U1823" s="410"/>
      <c r="V1823" s="410"/>
      <c r="W1823" s="410"/>
      <c r="X1823" s="410"/>
      <c r="Y1823" s="410"/>
    </row>
    <row r="1824" spans="1:25" x14ac:dyDescent="0.2">
      <c r="A1824" s="410"/>
      <c r="B1824" s="410"/>
      <c r="C1824" s="410"/>
      <c r="D1824" s="410"/>
      <c r="E1824" s="410"/>
      <c r="F1824" s="410"/>
      <c r="G1824" s="410"/>
      <c r="H1824" s="410"/>
      <c r="I1824" s="410"/>
      <c r="J1824" s="410"/>
      <c r="K1824" s="410"/>
      <c r="L1824" s="410"/>
      <c r="M1824" s="410"/>
      <c r="N1824" s="410"/>
      <c r="R1824" s="410"/>
      <c r="S1824" s="410"/>
      <c r="T1824" s="410"/>
      <c r="U1824" s="410"/>
      <c r="V1824" s="410"/>
      <c r="W1824" s="410"/>
      <c r="X1824" s="410"/>
      <c r="Y1824" s="410"/>
    </row>
    <row r="1825" spans="1:25" x14ac:dyDescent="0.2">
      <c r="A1825" s="410"/>
      <c r="B1825" s="410"/>
      <c r="C1825" s="410"/>
      <c r="D1825" s="410"/>
      <c r="E1825" s="410"/>
      <c r="F1825" s="410"/>
      <c r="G1825" s="410"/>
      <c r="H1825" s="410"/>
      <c r="I1825" s="410"/>
      <c r="J1825" s="410"/>
      <c r="K1825" s="410"/>
      <c r="L1825" s="410"/>
      <c r="M1825" s="410"/>
      <c r="N1825" s="410"/>
      <c r="R1825" s="410"/>
      <c r="S1825" s="410"/>
      <c r="T1825" s="410"/>
      <c r="U1825" s="410"/>
      <c r="V1825" s="410"/>
      <c r="W1825" s="410"/>
      <c r="X1825" s="410"/>
      <c r="Y1825" s="410"/>
    </row>
    <row r="1826" spans="1:25" x14ac:dyDescent="0.2">
      <c r="A1826" s="410"/>
      <c r="B1826" s="410"/>
      <c r="C1826" s="410"/>
      <c r="D1826" s="410"/>
      <c r="E1826" s="410"/>
      <c r="F1826" s="410"/>
      <c r="G1826" s="410"/>
      <c r="H1826" s="410"/>
      <c r="I1826" s="410"/>
      <c r="J1826" s="410"/>
      <c r="K1826" s="410"/>
      <c r="L1826" s="410"/>
      <c r="M1826" s="410"/>
      <c r="N1826" s="410"/>
      <c r="R1826" s="410"/>
      <c r="S1826" s="410"/>
      <c r="T1826" s="410"/>
      <c r="U1826" s="410"/>
      <c r="V1826" s="410"/>
      <c r="W1826" s="410"/>
      <c r="X1826" s="410"/>
      <c r="Y1826" s="410"/>
    </row>
    <row r="1827" spans="1:25" x14ac:dyDescent="0.2">
      <c r="A1827" s="410"/>
      <c r="B1827" s="410"/>
      <c r="C1827" s="410"/>
      <c r="D1827" s="410"/>
      <c r="E1827" s="410"/>
      <c r="F1827" s="410"/>
      <c r="G1827" s="410"/>
      <c r="H1827" s="410"/>
      <c r="I1827" s="410"/>
      <c r="J1827" s="410"/>
      <c r="K1827" s="410"/>
      <c r="L1827" s="410"/>
      <c r="M1827" s="410"/>
      <c r="N1827" s="410"/>
      <c r="R1827" s="410"/>
      <c r="S1827" s="410"/>
      <c r="T1827" s="410"/>
      <c r="U1827" s="410"/>
      <c r="V1827" s="410"/>
      <c r="W1827" s="410"/>
      <c r="X1827" s="410"/>
      <c r="Y1827" s="410"/>
    </row>
    <row r="1828" spans="1:25" x14ac:dyDescent="0.2">
      <c r="A1828" s="410"/>
      <c r="B1828" s="410"/>
      <c r="C1828" s="410"/>
      <c r="D1828" s="410"/>
      <c r="E1828" s="410"/>
      <c r="F1828" s="410"/>
      <c r="G1828" s="410"/>
      <c r="H1828" s="410"/>
      <c r="I1828" s="410"/>
      <c r="J1828" s="410"/>
      <c r="K1828" s="410"/>
      <c r="L1828" s="410"/>
      <c r="M1828" s="410"/>
      <c r="N1828" s="410"/>
      <c r="R1828" s="410"/>
      <c r="S1828" s="410"/>
      <c r="T1828" s="410"/>
      <c r="U1828" s="410"/>
      <c r="V1828" s="410"/>
      <c r="W1828" s="410"/>
      <c r="X1828" s="410"/>
      <c r="Y1828" s="410"/>
    </row>
    <row r="1829" spans="1:25" x14ac:dyDescent="0.2">
      <c r="A1829" s="410"/>
      <c r="B1829" s="410"/>
      <c r="C1829" s="410"/>
      <c r="D1829" s="410"/>
      <c r="E1829" s="410"/>
      <c r="F1829" s="410"/>
      <c r="G1829" s="410"/>
      <c r="H1829" s="410"/>
      <c r="I1829" s="410"/>
      <c r="J1829" s="410"/>
      <c r="K1829" s="410"/>
      <c r="L1829" s="410"/>
      <c r="M1829" s="410"/>
      <c r="N1829" s="410"/>
      <c r="R1829" s="410"/>
      <c r="S1829" s="410"/>
      <c r="T1829" s="410"/>
      <c r="U1829" s="410"/>
      <c r="V1829" s="410"/>
      <c r="W1829" s="410"/>
      <c r="X1829" s="410"/>
      <c r="Y1829" s="410"/>
    </row>
    <row r="1830" spans="1:25" x14ac:dyDescent="0.2">
      <c r="A1830" s="410"/>
      <c r="B1830" s="410"/>
      <c r="C1830" s="410"/>
      <c r="D1830" s="410"/>
      <c r="E1830" s="410"/>
      <c r="F1830" s="410"/>
      <c r="G1830" s="410"/>
      <c r="H1830" s="410"/>
      <c r="I1830" s="410"/>
      <c r="J1830" s="410"/>
      <c r="K1830" s="410"/>
      <c r="L1830" s="410"/>
      <c r="M1830" s="410"/>
      <c r="N1830" s="410"/>
      <c r="R1830" s="410"/>
      <c r="S1830" s="410"/>
      <c r="T1830" s="410"/>
      <c r="U1830" s="410"/>
      <c r="V1830" s="410"/>
      <c r="W1830" s="410"/>
      <c r="X1830" s="410"/>
      <c r="Y1830" s="410"/>
    </row>
    <row r="1831" spans="1:25" x14ac:dyDescent="0.2">
      <c r="A1831" s="410"/>
      <c r="B1831" s="410"/>
      <c r="C1831" s="410"/>
      <c r="D1831" s="410"/>
      <c r="E1831" s="410"/>
      <c r="F1831" s="410"/>
      <c r="G1831" s="410"/>
      <c r="H1831" s="410"/>
      <c r="I1831" s="410"/>
      <c r="J1831" s="410"/>
      <c r="K1831" s="410"/>
      <c r="L1831" s="410"/>
      <c r="M1831" s="410"/>
      <c r="N1831" s="410"/>
      <c r="R1831" s="410"/>
      <c r="S1831" s="410"/>
      <c r="T1831" s="410"/>
      <c r="U1831" s="410"/>
      <c r="V1831" s="410"/>
      <c r="W1831" s="410"/>
      <c r="X1831" s="410"/>
      <c r="Y1831" s="410"/>
    </row>
    <row r="1832" spans="1:25" x14ac:dyDescent="0.2">
      <c r="A1832" s="410"/>
      <c r="B1832" s="410"/>
      <c r="C1832" s="410"/>
      <c r="D1832" s="410"/>
      <c r="E1832" s="410"/>
      <c r="F1832" s="410"/>
      <c r="G1832" s="410"/>
      <c r="H1832" s="410"/>
      <c r="I1832" s="410"/>
      <c r="J1832" s="410"/>
      <c r="K1832" s="410"/>
      <c r="L1832" s="410"/>
      <c r="M1832" s="410"/>
      <c r="N1832" s="410"/>
      <c r="R1832" s="410"/>
      <c r="S1832" s="410"/>
      <c r="T1832" s="410"/>
      <c r="U1832" s="410"/>
      <c r="V1832" s="410"/>
      <c r="W1832" s="410"/>
      <c r="X1832" s="410"/>
      <c r="Y1832" s="410"/>
    </row>
    <row r="1833" spans="1:25" x14ac:dyDescent="0.2">
      <c r="A1833" s="410"/>
      <c r="B1833" s="410"/>
      <c r="C1833" s="410"/>
      <c r="D1833" s="410"/>
      <c r="E1833" s="410"/>
      <c r="F1833" s="410"/>
      <c r="G1833" s="410"/>
      <c r="H1833" s="410"/>
      <c r="I1833" s="410"/>
      <c r="J1833" s="410"/>
      <c r="K1833" s="410"/>
      <c r="L1833" s="410"/>
      <c r="M1833" s="410"/>
      <c r="N1833" s="410"/>
      <c r="R1833" s="410"/>
      <c r="S1833" s="410"/>
      <c r="T1833" s="410"/>
      <c r="U1833" s="410"/>
      <c r="V1833" s="410"/>
      <c r="W1833" s="410"/>
      <c r="X1833" s="410"/>
      <c r="Y1833" s="410"/>
    </row>
    <row r="1834" spans="1:25" x14ac:dyDescent="0.2">
      <c r="A1834" s="410"/>
      <c r="B1834" s="410"/>
      <c r="C1834" s="410"/>
      <c r="D1834" s="410"/>
      <c r="E1834" s="410"/>
      <c r="F1834" s="410"/>
      <c r="G1834" s="410"/>
      <c r="H1834" s="410"/>
      <c r="I1834" s="410"/>
      <c r="J1834" s="410"/>
      <c r="K1834" s="410"/>
      <c r="L1834" s="410"/>
      <c r="M1834" s="410"/>
      <c r="N1834" s="410"/>
      <c r="R1834" s="410"/>
      <c r="S1834" s="410"/>
      <c r="T1834" s="410"/>
      <c r="U1834" s="410"/>
      <c r="V1834" s="410"/>
      <c r="W1834" s="410"/>
      <c r="X1834" s="410"/>
      <c r="Y1834" s="410"/>
    </row>
    <row r="1835" spans="1:25" x14ac:dyDescent="0.2">
      <c r="A1835" s="410"/>
      <c r="B1835" s="410"/>
      <c r="C1835" s="410"/>
      <c r="D1835" s="410"/>
      <c r="E1835" s="410"/>
      <c r="F1835" s="410"/>
      <c r="G1835" s="410"/>
      <c r="H1835" s="410"/>
      <c r="I1835" s="410"/>
      <c r="J1835" s="410"/>
      <c r="K1835" s="410"/>
      <c r="L1835" s="410"/>
      <c r="M1835" s="410"/>
      <c r="N1835" s="410"/>
      <c r="R1835" s="410"/>
      <c r="S1835" s="410"/>
      <c r="T1835" s="410"/>
      <c r="U1835" s="410"/>
      <c r="V1835" s="410"/>
      <c r="W1835" s="410"/>
      <c r="X1835" s="410"/>
      <c r="Y1835" s="410"/>
    </row>
    <row r="1836" spans="1:25" x14ac:dyDescent="0.2">
      <c r="A1836" s="410"/>
      <c r="B1836" s="410"/>
      <c r="C1836" s="410"/>
      <c r="D1836" s="410"/>
      <c r="E1836" s="410"/>
      <c r="F1836" s="410"/>
      <c r="G1836" s="410"/>
      <c r="H1836" s="410"/>
      <c r="I1836" s="410"/>
      <c r="J1836" s="410"/>
      <c r="K1836" s="410"/>
      <c r="L1836" s="410"/>
      <c r="M1836" s="410"/>
      <c r="N1836" s="410"/>
      <c r="R1836" s="410"/>
      <c r="S1836" s="410"/>
      <c r="T1836" s="410"/>
      <c r="U1836" s="410"/>
      <c r="V1836" s="410"/>
      <c r="W1836" s="410"/>
      <c r="X1836" s="410"/>
      <c r="Y1836" s="410"/>
    </row>
    <row r="1837" spans="1:25" x14ac:dyDescent="0.2">
      <c r="A1837" s="410"/>
      <c r="B1837" s="410"/>
      <c r="C1837" s="410"/>
      <c r="D1837" s="410"/>
      <c r="E1837" s="410"/>
      <c r="F1837" s="410"/>
      <c r="G1837" s="410"/>
      <c r="H1837" s="410"/>
      <c r="I1837" s="410"/>
      <c r="J1837" s="410"/>
      <c r="K1837" s="410"/>
      <c r="L1837" s="410"/>
      <c r="M1837" s="410"/>
      <c r="N1837" s="410"/>
      <c r="R1837" s="410"/>
      <c r="S1837" s="410"/>
      <c r="T1837" s="410"/>
      <c r="U1837" s="410"/>
      <c r="V1837" s="410"/>
      <c r="W1837" s="410"/>
      <c r="X1837" s="410"/>
      <c r="Y1837" s="410"/>
    </row>
    <row r="1838" spans="1:25" x14ac:dyDescent="0.2">
      <c r="A1838" s="410"/>
      <c r="B1838" s="410"/>
      <c r="C1838" s="410"/>
      <c r="D1838" s="410"/>
      <c r="E1838" s="410"/>
      <c r="F1838" s="410"/>
      <c r="G1838" s="410"/>
      <c r="H1838" s="410"/>
      <c r="I1838" s="410"/>
      <c r="J1838" s="410"/>
      <c r="K1838" s="410"/>
      <c r="L1838" s="410"/>
      <c r="M1838" s="410"/>
      <c r="N1838" s="410"/>
      <c r="R1838" s="410"/>
      <c r="S1838" s="410"/>
      <c r="T1838" s="410"/>
      <c r="U1838" s="410"/>
      <c r="V1838" s="410"/>
      <c r="W1838" s="410"/>
      <c r="X1838" s="410"/>
      <c r="Y1838" s="410"/>
    </row>
    <row r="1839" spans="1:25" x14ac:dyDescent="0.2">
      <c r="A1839" s="410"/>
      <c r="B1839" s="410"/>
      <c r="C1839" s="410"/>
      <c r="D1839" s="410"/>
      <c r="E1839" s="410"/>
      <c r="F1839" s="410"/>
      <c r="G1839" s="410"/>
      <c r="H1839" s="410"/>
      <c r="I1839" s="410"/>
      <c r="J1839" s="410"/>
      <c r="K1839" s="410"/>
      <c r="L1839" s="410"/>
      <c r="M1839" s="410"/>
      <c r="N1839" s="410"/>
      <c r="R1839" s="410"/>
      <c r="S1839" s="410"/>
      <c r="T1839" s="410"/>
      <c r="U1839" s="410"/>
      <c r="V1839" s="410"/>
      <c r="W1839" s="410"/>
      <c r="X1839" s="410"/>
      <c r="Y1839" s="410"/>
    </row>
    <row r="1840" spans="1:25" x14ac:dyDescent="0.2">
      <c r="A1840" s="410"/>
      <c r="B1840" s="410"/>
      <c r="C1840" s="410"/>
      <c r="D1840" s="410"/>
      <c r="E1840" s="410"/>
      <c r="F1840" s="410"/>
      <c r="G1840" s="410"/>
      <c r="H1840" s="410"/>
      <c r="I1840" s="410"/>
      <c r="J1840" s="410"/>
      <c r="K1840" s="410"/>
      <c r="L1840" s="410"/>
      <c r="M1840" s="410"/>
      <c r="N1840" s="410"/>
      <c r="R1840" s="410"/>
      <c r="S1840" s="410"/>
      <c r="T1840" s="410"/>
      <c r="U1840" s="410"/>
      <c r="V1840" s="410"/>
      <c r="W1840" s="410"/>
      <c r="X1840" s="410"/>
      <c r="Y1840" s="410"/>
    </row>
    <row r="1841" spans="1:25" x14ac:dyDescent="0.2">
      <c r="A1841" s="410"/>
      <c r="B1841" s="410"/>
      <c r="C1841" s="410"/>
      <c r="D1841" s="410"/>
      <c r="E1841" s="410"/>
      <c r="F1841" s="410"/>
      <c r="G1841" s="410"/>
      <c r="H1841" s="410"/>
      <c r="I1841" s="410"/>
      <c r="J1841" s="410"/>
      <c r="K1841" s="410"/>
      <c r="L1841" s="410"/>
      <c r="M1841" s="410"/>
      <c r="N1841" s="410"/>
      <c r="R1841" s="410"/>
      <c r="S1841" s="410"/>
      <c r="T1841" s="410"/>
      <c r="U1841" s="410"/>
      <c r="V1841" s="410"/>
      <c r="W1841" s="410"/>
      <c r="X1841" s="410"/>
      <c r="Y1841" s="410"/>
    </row>
    <row r="1842" spans="1:25" x14ac:dyDescent="0.2">
      <c r="A1842" s="410"/>
      <c r="B1842" s="410"/>
      <c r="C1842" s="410"/>
      <c r="D1842" s="410"/>
      <c r="E1842" s="410"/>
      <c r="F1842" s="410"/>
      <c r="G1842" s="410"/>
      <c r="H1842" s="410"/>
      <c r="I1842" s="410"/>
      <c r="J1842" s="410"/>
      <c r="K1842" s="410"/>
      <c r="L1842" s="410"/>
      <c r="M1842" s="410"/>
      <c r="N1842" s="410"/>
      <c r="R1842" s="410"/>
      <c r="S1842" s="410"/>
      <c r="T1842" s="410"/>
      <c r="U1842" s="410"/>
      <c r="V1842" s="410"/>
      <c r="W1842" s="410"/>
      <c r="X1842" s="410"/>
      <c r="Y1842" s="410"/>
    </row>
    <row r="1843" spans="1:25" x14ac:dyDescent="0.2">
      <c r="A1843" s="410"/>
      <c r="B1843" s="410"/>
      <c r="C1843" s="410"/>
      <c r="D1843" s="410"/>
      <c r="E1843" s="410"/>
      <c r="F1843" s="410"/>
      <c r="G1843" s="410"/>
      <c r="H1843" s="410"/>
      <c r="I1843" s="410"/>
      <c r="J1843" s="410"/>
      <c r="K1843" s="410"/>
      <c r="L1843" s="410"/>
      <c r="M1843" s="410"/>
      <c r="N1843" s="410"/>
      <c r="R1843" s="410"/>
      <c r="S1843" s="410"/>
      <c r="T1843" s="410"/>
      <c r="U1843" s="410"/>
      <c r="V1843" s="410"/>
      <c r="W1843" s="410"/>
      <c r="X1843" s="410"/>
      <c r="Y1843" s="410"/>
    </row>
    <row r="1844" spans="1:25" x14ac:dyDescent="0.2">
      <c r="A1844" s="410"/>
      <c r="B1844" s="410"/>
      <c r="C1844" s="410"/>
      <c r="D1844" s="410"/>
      <c r="E1844" s="410"/>
      <c r="F1844" s="410"/>
      <c r="G1844" s="410"/>
      <c r="H1844" s="410"/>
      <c r="I1844" s="410"/>
      <c r="J1844" s="410"/>
      <c r="K1844" s="410"/>
      <c r="L1844" s="410"/>
      <c r="M1844" s="410"/>
      <c r="N1844" s="410"/>
      <c r="R1844" s="410"/>
      <c r="S1844" s="410"/>
      <c r="T1844" s="410"/>
      <c r="U1844" s="410"/>
      <c r="V1844" s="410"/>
      <c r="W1844" s="410"/>
      <c r="X1844" s="410"/>
      <c r="Y1844" s="410"/>
    </row>
    <row r="1845" spans="1:25" x14ac:dyDescent="0.2">
      <c r="A1845" s="410"/>
      <c r="B1845" s="410"/>
      <c r="C1845" s="410"/>
      <c r="D1845" s="410"/>
      <c r="E1845" s="410"/>
      <c r="F1845" s="410"/>
      <c r="G1845" s="410"/>
      <c r="H1845" s="410"/>
      <c r="I1845" s="410"/>
      <c r="J1845" s="410"/>
      <c r="K1845" s="410"/>
      <c r="L1845" s="410"/>
      <c r="M1845" s="410"/>
      <c r="N1845" s="410"/>
      <c r="R1845" s="410"/>
      <c r="S1845" s="410"/>
      <c r="T1845" s="410"/>
      <c r="U1845" s="410"/>
      <c r="V1845" s="410"/>
      <c r="W1845" s="410"/>
      <c r="X1845" s="410"/>
      <c r="Y1845" s="410"/>
    </row>
    <row r="1846" spans="1:25" x14ac:dyDescent="0.2">
      <c r="A1846" s="410"/>
      <c r="B1846" s="410"/>
      <c r="C1846" s="410"/>
      <c r="D1846" s="410"/>
      <c r="E1846" s="410"/>
      <c r="F1846" s="410"/>
      <c r="G1846" s="410"/>
      <c r="H1846" s="410"/>
      <c r="I1846" s="410"/>
      <c r="J1846" s="410"/>
      <c r="K1846" s="410"/>
      <c r="L1846" s="410"/>
      <c r="M1846" s="410"/>
      <c r="N1846" s="410"/>
      <c r="R1846" s="410"/>
      <c r="S1846" s="410"/>
      <c r="T1846" s="410"/>
      <c r="U1846" s="410"/>
      <c r="V1846" s="410"/>
      <c r="W1846" s="410"/>
      <c r="X1846" s="410"/>
      <c r="Y1846" s="410"/>
    </row>
    <row r="1847" spans="1:25" x14ac:dyDescent="0.2">
      <c r="A1847" s="410"/>
      <c r="B1847" s="410"/>
      <c r="C1847" s="410"/>
      <c r="D1847" s="410"/>
      <c r="E1847" s="410"/>
      <c r="F1847" s="410"/>
      <c r="G1847" s="410"/>
      <c r="H1847" s="410"/>
      <c r="I1847" s="410"/>
      <c r="J1847" s="410"/>
      <c r="K1847" s="410"/>
      <c r="L1847" s="410"/>
      <c r="M1847" s="410"/>
      <c r="N1847" s="410"/>
      <c r="R1847" s="410"/>
      <c r="S1847" s="410"/>
      <c r="T1847" s="410"/>
      <c r="U1847" s="410"/>
      <c r="V1847" s="410"/>
      <c r="W1847" s="410"/>
      <c r="X1847" s="410"/>
      <c r="Y1847" s="410"/>
    </row>
    <row r="1848" spans="1:25" x14ac:dyDescent="0.2">
      <c r="A1848" s="410"/>
      <c r="B1848" s="410"/>
      <c r="C1848" s="410"/>
      <c r="D1848" s="410"/>
      <c r="E1848" s="410"/>
      <c r="F1848" s="410"/>
      <c r="G1848" s="410"/>
      <c r="H1848" s="410"/>
      <c r="I1848" s="410"/>
      <c r="J1848" s="410"/>
      <c r="K1848" s="410"/>
      <c r="L1848" s="410"/>
      <c r="M1848" s="410"/>
      <c r="N1848" s="410"/>
      <c r="R1848" s="410"/>
      <c r="S1848" s="410"/>
      <c r="T1848" s="410"/>
      <c r="U1848" s="410"/>
      <c r="V1848" s="410"/>
      <c r="W1848" s="410"/>
      <c r="X1848" s="410"/>
      <c r="Y1848" s="410"/>
    </row>
    <row r="1849" spans="1:25" x14ac:dyDescent="0.2">
      <c r="A1849" s="410"/>
      <c r="B1849" s="410"/>
      <c r="C1849" s="410"/>
      <c r="D1849" s="410"/>
      <c r="E1849" s="410"/>
      <c r="F1849" s="410"/>
      <c r="G1849" s="410"/>
      <c r="H1849" s="410"/>
      <c r="I1849" s="410"/>
      <c r="J1849" s="410"/>
      <c r="K1849" s="410"/>
      <c r="L1849" s="410"/>
      <c r="M1849" s="410"/>
      <c r="N1849" s="410"/>
      <c r="R1849" s="410"/>
      <c r="S1849" s="410"/>
      <c r="T1849" s="410"/>
      <c r="U1849" s="410"/>
      <c r="V1849" s="410"/>
      <c r="W1849" s="410"/>
      <c r="X1849" s="410"/>
      <c r="Y1849" s="410"/>
    </row>
    <row r="1850" spans="1:25" x14ac:dyDescent="0.2">
      <c r="A1850" s="410"/>
      <c r="B1850" s="410"/>
      <c r="C1850" s="410"/>
      <c r="D1850" s="410"/>
      <c r="E1850" s="410"/>
      <c r="F1850" s="410"/>
      <c r="G1850" s="410"/>
      <c r="H1850" s="410"/>
      <c r="I1850" s="410"/>
      <c r="J1850" s="410"/>
      <c r="K1850" s="410"/>
      <c r="L1850" s="410"/>
      <c r="M1850" s="410"/>
      <c r="N1850" s="410"/>
      <c r="R1850" s="410"/>
      <c r="S1850" s="410"/>
      <c r="T1850" s="410"/>
      <c r="U1850" s="410"/>
      <c r="V1850" s="410"/>
      <c r="W1850" s="410"/>
      <c r="X1850" s="410"/>
      <c r="Y1850" s="410"/>
    </row>
    <row r="1851" spans="1:25" x14ac:dyDescent="0.2">
      <c r="A1851" s="410"/>
      <c r="B1851" s="410"/>
      <c r="C1851" s="410"/>
      <c r="D1851" s="410"/>
      <c r="E1851" s="410"/>
      <c r="F1851" s="410"/>
      <c r="G1851" s="410"/>
      <c r="H1851" s="410"/>
      <c r="I1851" s="410"/>
      <c r="J1851" s="410"/>
      <c r="K1851" s="410"/>
      <c r="L1851" s="410"/>
      <c r="M1851" s="410"/>
      <c r="N1851" s="410"/>
      <c r="R1851" s="410"/>
      <c r="S1851" s="410"/>
      <c r="T1851" s="410"/>
      <c r="U1851" s="410"/>
      <c r="V1851" s="410"/>
      <c r="W1851" s="410"/>
      <c r="X1851" s="410"/>
      <c r="Y1851" s="410"/>
    </row>
    <row r="1852" spans="1:25" x14ac:dyDescent="0.2">
      <c r="A1852" s="410"/>
      <c r="B1852" s="410"/>
      <c r="C1852" s="410"/>
      <c r="D1852" s="410"/>
      <c r="E1852" s="410"/>
      <c r="F1852" s="410"/>
      <c r="G1852" s="410"/>
      <c r="H1852" s="410"/>
      <c r="I1852" s="410"/>
      <c r="J1852" s="410"/>
      <c r="K1852" s="410"/>
      <c r="L1852" s="410"/>
      <c r="M1852" s="410"/>
      <c r="N1852" s="410"/>
      <c r="R1852" s="410"/>
      <c r="S1852" s="410"/>
      <c r="T1852" s="410"/>
      <c r="U1852" s="410"/>
      <c r="V1852" s="410"/>
      <c r="W1852" s="410"/>
      <c r="X1852" s="410"/>
      <c r="Y1852" s="410"/>
    </row>
    <row r="1853" spans="1:25" x14ac:dyDescent="0.2">
      <c r="A1853" s="410"/>
      <c r="B1853" s="410"/>
      <c r="C1853" s="410"/>
      <c r="D1853" s="410"/>
      <c r="E1853" s="410"/>
      <c r="F1853" s="410"/>
      <c r="G1853" s="410"/>
      <c r="H1853" s="410"/>
      <c r="I1853" s="410"/>
      <c r="J1853" s="410"/>
      <c r="K1853" s="410"/>
      <c r="L1853" s="410"/>
      <c r="M1853" s="410"/>
      <c r="N1853" s="410"/>
      <c r="R1853" s="410"/>
      <c r="S1853" s="410"/>
      <c r="T1853" s="410"/>
      <c r="U1853" s="410"/>
      <c r="V1853" s="410"/>
      <c r="W1853" s="410"/>
      <c r="X1853" s="410"/>
      <c r="Y1853" s="410"/>
    </row>
    <row r="1854" spans="1:25" x14ac:dyDescent="0.2">
      <c r="A1854" s="410"/>
      <c r="B1854" s="410"/>
      <c r="C1854" s="410"/>
      <c r="D1854" s="410"/>
      <c r="E1854" s="410"/>
      <c r="F1854" s="410"/>
      <c r="G1854" s="410"/>
      <c r="H1854" s="410"/>
      <c r="I1854" s="410"/>
      <c r="J1854" s="410"/>
      <c r="K1854" s="410"/>
      <c r="L1854" s="410"/>
      <c r="M1854" s="410"/>
      <c r="N1854" s="410"/>
      <c r="R1854" s="410"/>
      <c r="S1854" s="410"/>
      <c r="T1854" s="410"/>
      <c r="U1854" s="410"/>
      <c r="V1854" s="410"/>
      <c r="W1854" s="410"/>
      <c r="X1854" s="410"/>
      <c r="Y1854" s="410"/>
    </row>
    <row r="1855" spans="1:25" x14ac:dyDescent="0.2">
      <c r="A1855" s="410"/>
      <c r="B1855" s="410"/>
      <c r="C1855" s="410"/>
      <c r="D1855" s="410"/>
      <c r="E1855" s="410"/>
      <c r="F1855" s="410"/>
      <c r="G1855" s="410"/>
      <c r="H1855" s="410"/>
      <c r="I1855" s="410"/>
      <c r="J1855" s="410"/>
      <c r="K1855" s="410"/>
      <c r="L1855" s="410"/>
      <c r="M1855" s="410"/>
      <c r="N1855" s="410"/>
      <c r="R1855" s="410"/>
      <c r="S1855" s="410"/>
      <c r="T1855" s="410"/>
      <c r="U1855" s="410"/>
      <c r="V1855" s="410"/>
      <c r="W1855" s="410"/>
      <c r="X1855" s="410"/>
      <c r="Y1855" s="410"/>
    </row>
    <row r="1856" spans="1:25" x14ac:dyDescent="0.2">
      <c r="A1856" s="410"/>
      <c r="B1856" s="410"/>
      <c r="C1856" s="410"/>
      <c r="D1856" s="410"/>
      <c r="E1856" s="410"/>
      <c r="F1856" s="410"/>
      <c r="G1856" s="410"/>
      <c r="H1856" s="410"/>
      <c r="I1856" s="410"/>
      <c r="J1856" s="410"/>
      <c r="K1856" s="410"/>
      <c r="L1856" s="410"/>
      <c r="M1856" s="410"/>
      <c r="N1856" s="410"/>
      <c r="R1856" s="410"/>
      <c r="S1856" s="410"/>
      <c r="T1856" s="410"/>
      <c r="U1856" s="410"/>
      <c r="V1856" s="410"/>
      <c r="W1856" s="410"/>
      <c r="X1856" s="410"/>
      <c r="Y1856" s="410"/>
    </row>
    <row r="1857" spans="1:25" x14ac:dyDescent="0.2">
      <c r="A1857" s="410"/>
      <c r="B1857" s="410"/>
      <c r="C1857" s="410"/>
      <c r="D1857" s="410"/>
      <c r="E1857" s="410"/>
      <c r="F1857" s="410"/>
      <c r="G1857" s="410"/>
      <c r="H1857" s="410"/>
      <c r="I1857" s="410"/>
      <c r="J1857" s="410"/>
      <c r="K1857" s="410"/>
      <c r="L1857" s="410"/>
      <c r="M1857" s="410"/>
      <c r="N1857" s="410"/>
      <c r="R1857" s="410"/>
      <c r="S1857" s="410"/>
      <c r="T1857" s="410"/>
      <c r="U1857" s="410"/>
      <c r="V1857" s="410"/>
      <c r="W1857" s="410"/>
      <c r="X1857" s="410"/>
      <c r="Y1857" s="410"/>
    </row>
    <row r="1858" spans="1:25" x14ac:dyDescent="0.2">
      <c r="A1858" s="410"/>
      <c r="B1858" s="410"/>
      <c r="C1858" s="410"/>
      <c r="D1858" s="410"/>
      <c r="E1858" s="410"/>
      <c r="F1858" s="410"/>
      <c r="G1858" s="410"/>
      <c r="H1858" s="410"/>
      <c r="I1858" s="410"/>
      <c r="J1858" s="410"/>
      <c r="K1858" s="410"/>
      <c r="L1858" s="410"/>
      <c r="M1858" s="410"/>
      <c r="N1858" s="410"/>
      <c r="R1858" s="410"/>
      <c r="S1858" s="410"/>
      <c r="T1858" s="410"/>
      <c r="U1858" s="410"/>
      <c r="V1858" s="410"/>
      <c r="W1858" s="410"/>
      <c r="X1858" s="410"/>
      <c r="Y1858" s="410"/>
    </row>
    <row r="1859" spans="1:25" x14ac:dyDescent="0.2">
      <c r="A1859" s="410"/>
      <c r="B1859" s="410"/>
      <c r="C1859" s="410"/>
      <c r="D1859" s="410"/>
      <c r="E1859" s="410"/>
      <c r="F1859" s="410"/>
      <c r="G1859" s="410"/>
      <c r="H1859" s="410"/>
      <c r="I1859" s="410"/>
      <c r="J1859" s="410"/>
      <c r="K1859" s="410"/>
      <c r="L1859" s="410"/>
      <c r="M1859" s="410"/>
      <c r="N1859" s="410"/>
      <c r="R1859" s="410"/>
      <c r="S1859" s="410"/>
      <c r="T1859" s="410"/>
      <c r="U1859" s="410"/>
      <c r="V1859" s="410"/>
      <c r="W1859" s="410"/>
      <c r="X1859" s="410"/>
      <c r="Y1859" s="410"/>
    </row>
    <row r="1860" spans="1:25" x14ac:dyDescent="0.2">
      <c r="A1860" s="410"/>
      <c r="B1860" s="410"/>
      <c r="C1860" s="410"/>
      <c r="D1860" s="410"/>
      <c r="E1860" s="410"/>
      <c r="F1860" s="410"/>
      <c r="G1860" s="410"/>
      <c r="H1860" s="410"/>
      <c r="I1860" s="410"/>
      <c r="J1860" s="410"/>
      <c r="K1860" s="410"/>
      <c r="L1860" s="410"/>
      <c r="M1860" s="410"/>
      <c r="N1860" s="410"/>
      <c r="R1860" s="410"/>
      <c r="S1860" s="410"/>
      <c r="T1860" s="410"/>
      <c r="U1860" s="410"/>
      <c r="V1860" s="410"/>
      <c r="W1860" s="410"/>
      <c r="X1860" s="410"/>
      <c r="Y1860" s="410"/>
    </row>
    <row r="1861" spans="1:25" x14ac:dyDescent="0.2">
      <c r="A1861" s="410"/>
      <c r="B1861" s="410"/>
      <c r="C1861" s="410"/>
      <c r="D1861" s="410"/>
      <c r="E1861" s="410"/>
      <c r="F1861" s="410"/>
      <c r="G1861" s="410"/>
      <c r="H1861" s="410"/>
      <c r="I1861" s="410"/>
      <c r="J1861" s="410"/>
      <c r="K1861" s="410"/>
      <c r="L1861" s="410"/>
      <c r="M1861" s="410"/>
      <c r="N1861" s="410"/>
      <c r="R1861" s="410"/>
      <c r="S1861" s="410"/>
      <c r="T1861" s="410"/>
      <c r="U1861" s="410"/>
      <c r="V1861" s="410"/>
      <c r="W1861" s="410"/>
      <c r="X1861" s="410"/>
      <c r="Y1861" s="410"/>
    </row>
    <row r="1862" spans="1:25" x14ac:dyDescent="0.2">
      <c r="A1862" s="410"/>
      <c r="B1862" s="410"/>
      <c r="C1862" s="410"/>
      <c r="D1862" s="410"/>
      <c r="E1862" s="410"/>
      <c r="F1862" s="410"/>
      <c r="G1862" s="410"/>
      <c r="H1862" s="410"/>
      <c r="I1862" s="410"/>
      <c r="J1862" s="410"/>
      <c r="K1862" s="410"/>
      <c r="L1862" s="410"/>
      <c r="M1862" s="410"/>
      <c r="N1862" s="410"/>
      <c r="R1862" s="410"/>
      <c r="S1862" s="410"/>
      <c r="T1862" s="410"/>
      <c r="U1862" s="410"/>
      <c r="V1862" s="410"/>
      <c r="W1862" s="410"/>
      <c r="X1862" s="410"/>
      <c r="Y1862" s="410"/>
    </row>
    <row r="1863" spans="1:25" x14ac:dyDescent="0.2">
      <c r="A1863" s="410"/>
      <c r="B1863" s="410"/>
      <c r="C1863" s="410"/>
      <c r="D1863" s="410"/>
      <c r="E1863" s="410"/>
      <c r="F1863" s="410"/>
      <c r="G1863" s="410"/>
      <c r="H1863" s="410"/>
      <c r="I1863" s="410"/>
      <c r="J1863" s="410"/>
      <c r="K1863" s="410"/>
      <c r="L1863" s="410"/>
      <c r="M1863" s="410"/>
      <c r="N1863" s="410"/>
      <c r="R1863" s="410"/>
      <c r="S1863" s="410"/>
      <c r="T1863" s="410"/>
      <c r="U1863" s="410"/>
      <c r="V1863" s="410"/>
      <c r="W1863" s="410"/>
      <c r="X1863" s="410"/>
      <c r="Y1863" s="410"/>
    </row>
    <row r="1864" spans="1:25" x14ac:dyDescent="0.2">
      <c r="A1864" s="410"/>
      <c r="B1864" s="410"/>
      <c r="C1864" s="410"/>
      <c r="D1864" s="410"/>
      <c r="E1864" s="410"/>
      <c r="F1864" s="410"/>
      <c r="G1864" s="410"/>
      <c r="H1864" s="410"/>
      <c r="I1864" s="410"/>
      <c r="J1864" s="410"/>
      <c r="K1864" s="410"/>
      <c r="L1864" s="410"/>
      <c r="M1864" s="410"/>
      <c r="N1864" s="410"/>
      <c r="R1864" s="410"/>
      <c r="S1864" s="410"/>
      <c r="T1864" s="410"/>
      <c r="U1864" s="410"/>
      <c r="V1864" s="410"/>
      <c r="W1864" s="410"/>
      <c r="X1864" s="410"/>
      <c r="Y1864" s="410"/>
    </row>
    <row r="1865" spans="1:25" x14ac:dyDescent="0.2">
      <c r="A1865" s="410"/>
      <c r="B1865" s="410"/>
      <c r="C1865" s="410"/>
      <c r="D1865" s="410"/>
      <c r="E1865" s="410"/>
      <c r="F1865" s="410"/>
      <c r="G1865" s="410"/>
      <c r="H1865" s="410"/>
      <c r="I1865" s="410"/>
      <c r="J1865" s="410"/>
      <c r="K1865" s="410"/>
      <c r="L1865" s="410"/>
      <c r="M1865" s="410"/>
      <c r="N1865" s="410"/>
      <c r="R1865" s="410"/>
      <c r="S1865" s="410"/>
      <c r="T1865" s="410"/>
      <c r="U1865" s="410"/>
      <c r="V1865" s="410"/>
      <c r="W1865" s="410"/>
      <c r="X1865" s="410"/>
      <c r="Y1865" s="410"/>
    </row>
    <row r="1866" spans="1:25" x14ac:dyDescent="0.2">
      <c r="A1866" s="410"/>
      <c r="B1866" s="410"/>
      <c r="C1866" s="410"/>
      <c r="D1866" s="410"/>
      <c r="E1866" s="410"/>
      <c r="F1866" s="410"/>
      <c r="G1866" s="410"/>
      <c r="H1866" s="410"/>
      <c r="I1866" s="410"/>
      <c r="J1866" s="410"/>
      <c r="K1866" s="410"/>
      <c r="L1866" s="410"/>
      <c r="M1866" s="410"/>
      <c r="N1866" s="410"/>
      <c r="R1866" s="410"/>
      <c r="S1866" s="410"/>
      <c r="T1866" s="410"/>
      <c r="U1866" s="410"/>
      <c r="V1866" s="410"/>
      <c r="W1866" s="410"/>
      <c r="X1866" s="410"/>
      <c r="Y1866" s="410"/>
    </row>
    <row r="1867" spans="1:25" x14ac:dyDescent="0.2">
      <c r="A1867" s="410"/>
      <c r="B1867" s="410"/>
      <c r="C1867" s="410"/>
      <c r="D1867" s="410"/>
      <c r="E1867" s="410"/>
      <c r="F1867" s="410"/>
      <c r="G1867" s="410"/>
      <c r="H1867" s="410"/>
      <c r="I1867" s="410"/>
      <c r="J1867" s="410"/>
      <c r="K1867" s="410"/>
      <c r="L1867" s="410"/>
      <c r="M1867" s="410"/>
      <c r="N1867" s="410"/>
      <c r="R1867" s="410"/>
      <c r="S1867" s="410"/>
      <c r="T1867" s="410"/>
      <c r="U1867" s="410"/>
      <c r="V1867" s="410"/>
      <c r="W1867" s="410"/>
      <c r="X1867" s="410"/>
      <c r="Y1867" s="410"/>
    </row>
    <row r="1868" spans="1:25" x14ac:dyDescent="0.2">
      <c r="A1868" s="410"/>
      <c r="B1868" s="410"/>
      <c r="C1868" s="410"/>
      <c r="D1868" s="410"/>
      <c r="E1868" s="410"/>
      <c r="F1868" s="410"/>
      <c r="G1868" s="410"/>
      <c r="H1868" s="410"/>
      <c r="I1868" s="410"/>
      <c r="J1868" s="410"/>
      <c r="K1868" s="410"/>
      <c r="L1868" s="410"/>
      <c r="M1868" s="410"/>
      <c r="N1868" s="410"/>
      <c r="R1868" s="410"/>
      <c r="S1868" s="410"/>
      <c r="T1868" s="410"/>
      <c r="U1868" s="410"/>
      <c r="V1868" s="410"/>
      <c r="W1868" s="410"/>
      <c r="X1868" s="410"/>
      <c r="Y1868" s="410"/>
    </row>
    <row r="1869" spans="1:25" x14ac:dyDescent="0.2">
      <c r="A1869" s="410"/>
      <c r="B1869" s="410"/>
      <c r="C1869" s="410"/>
      <c r="D1869" s="410"/>
      <c r="E1869" s="410"/>
      <c r="F1869" s="410"/>
      <c r="G1869" s="410"/>
      <c r="H1869" s="410"/>
      <c r="I1869" s="410"/>
      <c r="J1869" s="410"/>
      <c r="K1869" s="410"/>
      <c r="L1869" s="410"/>
      <c r="M1869" s="410"/>
      <c r="N1869" s="410"/>
      <c r="R1869" s="410"/>
      <c r="S1869" s="410"/>
      <c r="T1869" s="410"/>
      <c r="U1869" s="410"/>
      <c r="V1869" s="410"/>
      <c r="W1869" s="410"/>
      <c r="X1869" s="410"/>
      <c r="Y1869" s="410"/>
    </row>
    <row r="1870" spans="1:25" x14ac:dyDescent="0.2">
      <c r="A1870" s="410"/>
      <c r="B1870" s="410"/>
      <c r="C1870" s="410"/>
      <c r="D1870" s="410"/>
      <c r="E1870" s="410"/>
      <c r="F1870" s="410"/>
      <c r="G1870" s="410"/>
      <c r="H1870" s="410"/>
      <c r="I1870" s="410"/>
      <c r="J1870" s="410"/>
      <c r="K1870" s="410"/>
      <c r="L1870" s="410"/>
      <c r="M1870" s="410"/>
      <c r="N1870" s="410"/>
      <c r="R1870" s="410"/>
      <c r="S1870" s="410"/>
      <c r="T1870" s="410"/>
      <c r="U1870" s="410"/>
      <c r="V1870" s="410"/>
      <c r="W1870" s="410"/>
      <c r="X1870" s="410"/>
      <c r="Y1870" s="410"/>
    </row>
    <row r="1871" spans="1:25" x14ac:dyDescent="0.2">
      <c r="A1871" s="410"/>
      <c r="B1871" s="410"/>
      <c r="C1871" s="410"/>
      <c r="D1871" s="410"/>
      <c r="E1871" s="410"/>
      <c r="F1871" s="410"/>
      <c r="G1871" s="410"/>
      <c r="H1871" s="410"/>
      <c r="I1871" s="410"/>
      <c r="J1871" s="410"/>
      <c r="K1871" s="410"/>
      <c r="L1871" s="410"/>
      <c r="M1871" s="410"/>
      <c r="N1871" s="410"/>
      <c r="R1871" s="410"/>
      <c r="S1871" s="410"/>
      <c r="T1871" s="410"/>
      <c r="U1871" s="410"/>
      <c r="V1871" s="410"/>
      <c r="W1871" s="410"/>
      <c r="X1871" s="410"/>
      <c r="Y1871" s="410"/>
    </row>
    <row r="1872" spans="1:25" x14ac:dyDescent="0.2">
      <c r="A1872" s="410"/>
      <c r="B1872" s="410"/>
      <c r="C1872" s="410"/>
      <c r="D1872" s="410"/>
      <c r="E1872" s="410"/>
      <c r="F1872" s="410"/>
      <c r="G1872" s="410"/>
      <c r="H1872" s="410"/>
      <c r="I1872" s="410"/>
      <c r="J1872" s="410"/>
      <c r="K1872" s="410"/>
      <c r="L1872" s="410"/>
      <c r="M1872" s="410"/>
      <c r="N1872" s="410"/>
      <c r="R1872" s="410"/>
      <c r="S1872" s="410"/>
      <c r="T1872" s="410"/>
      <c r="U1872" s="410"/>
      <c r="V1872" s="410"/>
      <c r="W1872" s="410"/>
      <c r="X1872" s="410"/>
      <c r="Y1872" s="410"/>
    </row>
    <row r="1873" spans="1:25" x14ac:dyDescent="0.2">
      <c r="A1873" s="410"/>
      <c r="B1873" s="410"/>
      <c r="C1873" s="410"/>
      <c r="D1873" s="410"/>
      <c r="E1873" s="410"/>
      <c r="F1873" s="410"/>
      <c r="G1873" s="410"/>
      <c r="H1873" s="410"/>
      <c r="I1873" s="410"/>
      <c r="J1873" s="410"/>
      <c r="K1873" s="410"/>
      <c r="L1873" s="410"/>
      <c r="M1873" s="410"/>
      <c r="N1873" s="410"/>
      <c r="R1873" s="410"/>
      <c r="S1873" s="410"/>
      <c r="T1873" s="410"/>
      <c r="U1873" s="410"/>
      <c r="V1873" s="410"/>
      <c r="W1873" s="410"/>
      <c r="X1873" s="410"/>
      <c r="Y1873" s="410"/>
    </row>
    <row r="1874" spans="1:25" x14ac:dyDescent="0.2">
      <c r="A1874" s="410"/>
      <c r="B1874" s="410"/>
      <c r="C1874" s="410"/>
      <c r="D1874" s="410"/>
      <c r="E1874" s="410"/>
      <c r="F1874" s="410"/>
      <c r="G1874" s="410"/>
      <c r="H1874" s="410"/>
      <c r="I1874" s="410"/>
      <c r="J1874" s="410"/>
      <c r="K1874" s="410"/>
      <c r="L1874" s="410"/>
      <c r="M1874" s="410"/>
      <c r="N1874" s="410"/>
      <c r="R1874" s="410"/>
      <c r="S1874" s="410"/>
      <c r="T1874" s="410"/>
      <c r="U1874" s="410"/>
      <c r="V1874" s="410"/>
      <c r="W1874" s="410"/>
      <c r="X1874" s="410"/>
      <c r="Y1874" s="410"/>
    </row>
    <row r="1875" spans="1:25" x14ac:dyDescent="0.2">
      <c r="A1875" s="410"/>
      <c r="B1875" s="410"/>
      <c r="C1875" s="410"/>
      <c r="D1875" s="410"/>
      <c r="E1875" s="410"/>
      <c r="F1875" s="410"/>
      <c r="G1875" s="410"/>
      <c r="H1875" s="410"/>
      <c r="I1875" s="410"/>
      <c r="J1875" s="410"/>
      <c r="K1875" s="410"/>
      <c r="L1875" s="410"/>
      <c r="M1875" s="410"/>
      <c r="N1875" s="410"/>
      <c r="R1875" s="410"/>
      <c r="S1875" s="410"/>
      <c r="T1875" s="410"/>
      <c r="U1875" s="410"/>
      <c r="V1875" s="410"/>
      <c r="W1875" s="410"/>
      <c r="X1875" s="410"/>
      <c r="Y1875" s="410"/>
    </row>
    <row r="1876" spans="1:25" x14ac:dyDescent="0.2">
      <c r="A1876" s="410"/>
      <c r="B1876" s="410"/>
      <c r="C1876" s="410"/>
      <c r="D1876" s="410"/>
      <c r="E1876" s="410"/>
      <c r="F1876" s="410"/>
      <c r="G1876" s="410"/>
      <c r="H1876" s="410"/>
      <c r="I1876" s="410"/>
      <c r="J1876" s="410"/>
      <c r="K1876" s="410"/>
      <c r="L1876" s="410"/>
      <c r="M1876" s="410"/>
      <c r="N1876" s="410"/>
      <c r="R1876" s="410"/>
      <c r="S1876" s="410"/>
      <c r="T1876" s="410"/>
      <c r="U1876" s="410"/>
      <c r="V1876" s="410"/>
      <c r="W1876" s="410"/>
      <c r="X1876" s="410"/>
      <c r="Y1876" s="410"/>
    </row>
    <row r="1877" spans="1:25" x14ac:dyDescent="0.2">
      <c r="A1877" s="410"/>
      <c r="B1877" s="410"/>
      <c r="C1877" s="410"/>
      <c r="D1877" s="410"/>
      <c r="E1877" s="410"/>
      <c r="F1877" s="410"/>
      <c r="G1877" s="410"/>
      <c r="H1877" s="410"/>
      <c r="I1877" s="410"/>
      <c r="J1877" s="410"/>
      <c r="K1877" s="410"/>
      <c r="L1877" s="410"/>
      <c r="M1877" s="410"/>
      <c r="N1877" s="410"/>
      <c r="R1877" s="410"/>
      <c r="S1877" s="410"/>
      <c r="T1877" s="410"/>
      <c r="U1877" s="410"/>
      <c r="V1877" s="410"/>
      <c r="W1877" s="410"/>
      <c r="X1877" s="410"/>
      <c r="Y1877" s="410"/>
    </row>
    <row r="1878" spans="1:25" x14ac:dyDescent="0.2">
      <c r="A1878" s="410"/>
      <c r="B1878" s="410"/>
      <c r="C1878" s="410"/>
      <c r="D1878" s="410"/>
      <c r="E1878" s="410"/>
      <c r="F1878" s="410"/>
      <c r="G1878" s="410"/>
      <c r="H1878" s="410"/>
      <c r="I1878" s="410"/>
      <c r="J1878" s="410"/>
      <c r="K1878" s="410"/>
      <c r="L1878" s="410"/>
      <c r="M1878" s="410"/>
      <c r="N1878" s="410"/>
      <c r="R1878" s="410"/>
      <c r="S1878" s="410"/>
      <c r="T1878" s="410"/>
      <c r="U1878" s="410"/>
      <c r="V1878" s="410"/>
      <c r="W1878" s="410"/>
      <c r="X1878" s="410"/>
      <c r="Y1878" s="410"/>
    </row>
    <row r="1879" spans="1:25" x14ac:dyDescent="0.2">
      <c r="A1879" s="410"/>
      <c r="B1879" s="410"/>
      <c r="C1879" s="410"/>
      <c r="D1879" s="410"/>
      <c r="E1879" s="410"/>
      <c r="F1879" s="410"/>
      <c r="G1879" s="410"/>
      <c r="H1879" s="410"/>
      <c r="I1879" s="410"/>
      <c r="J1879" s="410"/>
      <c r="K1879" s="410"/>
      <c r="L1879" s="410"/>
      <c r="M1879" s="410"/>
      <c r="N1879" s="410"/>
      <c r="R1879" s="410"/>
      <c r="S1879" s="410"/>
      <c r="T1879" s="410"/>
      <c r="U1879" s="410"/>
      <c r="V1879" s="410"/>
      <c r="W1879" s="410"/>
      <c r="X1879" s="410"/>
      <c r="Y1879" s="410"/>
    </row>
    <row r="1880" spans="1:25" x14ac:dyDescent="0.2">
      <c r="A1880" s="410"/>
      <c r="B1880" s="410"/>
      <c r="C1880" s="410"/>
      <c r="D1880" s="410"/>
      <c r="E1880" s="410"/>
      <c r="F1880" s="410"/>
      <c r="G1880" s="410"/>
      <c r="H1880" s="410"/>
      <c r="I1880" s="410"/>
      <c r="J1880" s="410"/>
      <c r="K1880" s="410"/>
      <c r="L1880" s="410"/>
      <c r="M1880" s="410"/>
      <c r="N1880" s="410"/>
      <c r="R1880" s="410"/>
      <c r="S1880" s="410"/>
      <c r="T1880" s="410"/>
      <c r="U1880" s="410"/>
      <c r="V1880" s="410"/>
      <c r="W1880" s="410"/>
      <c r="X1880" s="410"/>
      <c r="Y1880" s="410"/>
    </row>
    <row r="1881" spans="1:25" x14ac:dyDescent="0.2">
      <c r="A1881" s="410"/>
      <c r="B1881" s="410"/>
      <c r="C1881" s="410"/>
      <c r="D1881" s="410"/>
      <c r="E1881" s="410"/>
      <c r="F1881" s="410"/>
      <c r="G1881" s="410"/>
      <c r="H1881" s="410"/>
      <c r="I1881" s="410"/>
      <c r="J1881" s="410"/>
      <c r="K1881" s="410"/>
      <c r="L1881" s="410"/>
      <c r="M1881" s="410"/>
      <c r="N1881" s="410"/>
      <c r="R1881" s="410"/>
      <c r="S1881" s="410"/>
      <c r="T1881" s="410"/>
      <c r="U1881" s="410"/>
      <c r="V1881" s="410"/>
      <c r="W1881" s="410"/>
      <c r="X1881" s="410"/>
      <c r="Y1881" s="410"/>
    </row>
    <row r="1882" spans="1:25" x14ac:dyDescent="0.2">
      <c r="A1882" s="410"/>
      <c r="B1882" s="410"/>
      <c r="C1882" s="410"/>
      <c r="D1882" s="410"/>
      <c r="E1882" s="410"/>
      <c r="F1882" s="410"/>
      <c r="G1882" s="410"/>
      <c r="H1882" s="410"/>
      <c r="I1882" s="410"/>
      <c r="J1882" s="410"/>
      <c r="K1882" s="410"/>
      <c r="L1882" s="410"/>
      <c r="M1882" s="410"/>
      <c r="N1882" s="410"/>
      <c r="R1882" s="410"/>
      <c r="S1882" s="410"/>
      <c r="T1882" s="410"/>
      <c r="U1882" s="410"/>
      <c r="V1882" s="410"/>
      <c r="W1882" s="410"/>
      <c r="X1882" s="410"/>
      <c r="Y1882" s="410"/>
    </row>
    <row r="1883" spans="1:25" x14ac:dyDescent="0.2">
      <c r="A1883" s="410"/>
      <c r="B1883" s="410"/>
      <c r="C1883" s="410"/>
      <c r="D1883" s="410"/>
      <c r="E1883" s="410"/>
      <c r="F1883" s="410"/>
      <c r="G1883" s="410"/>
      <c r="H1883" s="410"/>
      <c r="I1883" s="410"/>
      <c r="J1883" s="410"/>
      <c r="K1883" s="410"/>
      <c r="L1883" s="410"/>
      <c r="M1883" s="410"/>
      <c r="N1883" s="410"/>
      <c r="R1883" s="410"/>
      <c r="S1883" s="410"/>
      <c r="T1883" s="410"/>
      <c r="U1883" s="410"/>
      <c r="V1883" s="410"/>
      <c r="W1883" s="410"/>
      <c r="X1883" s="410"/>
      <c r="Y1883" s="410"/>
    </row>
    <row r="1884" spans="1:25" x14ac:dyDescent="0.2">
      <c r="A1884" s="410"/>
      <c r="B1884" s="410"/>
      <c r="C1884" s="410"/>
      <c r="D1884" s="410"/>
      <c r="E1884" s="410"/>
      <c r="F1884" s="410"/>
      <c r="G1884" s="410"/>
      <c r="H1884" s="410"/>
      <c r="I1884" s="410"/>
      <c r="J1884" s="410"/>
      <c r="K1884" s="410"/>
      <c r="L1884" s="410"/>
      <c r="M1884" s="410"/>
      <c r="N1884" s="410"/>
      <c r="R1884" s="410"/>
      <c r="S1884" s="410"/>
      <c r="T1884" s="410"/>
      <c r="U1884" s="410"/>
      <c r="V1884" s="410"/>
      <c r="W1884" s="410"/>
      <c r="X1884" s="410"/>
      <c r="Y1884" s="410"/>
    </row>
    <row r="1885" spans="1:25" x14ac:dyDescent="0.2">
      <c r="A1885" s="410"/>
      <c r="B1885" s="410"/>
      <c r="C1885" s="410"/>
      <c r="D1885" s="410"/>
      <c r="E1885" s="410"/>
      <c r="F1885" s="410"/>
      <c r="G1885" s="410"/>
      <c r="H1885" s="410"/>
      <c r="I1885" s="410"/>
      <c r="J1885" s="410"/>
      <c r="K1885" s="410"/>
      <c r="L1885" s="410"/>
      <c r="M1885" s="410"/>
      <c r="N1885" s="410"/>
      <c r="R1885" s="410"/>
      <c r="S1885" s="410"/>
      <c r="T1885" s="410"/>
      <c r="U1885" s="410"/>
      <c r="V1885" s="410"/>
      <c r="W1885" s="410"/>
      <c r="X1885" s="410"/>
      <c r="Y1885" s="410"/>
    </row>
    <row r="1886" spans="1:25" x14ac:dyDescent="0.2">
      <c r="A1886" s="410"/>
      <c r="B1886" s="410"/>
      <c r="C1886" s="410"/>
      <c r="D1886" s="410"/>
      <c r="E1886" s="410"/>
      <c r="F1886" s="410"/>
      <c r="G1886" s="410"/>
      <c r="H1886" s="410"/>
      <c r="I1886" s="410"/>
      <c r="J1886" s="410"/>
      <c r="K1886" s="410"/>
      <c r="L1886" s="410"/>
      <c r="M1886" s="410"/>
      <c r="N1886" s="410"/>
      <c r="R1886" s="410"/>
      <c r="S1886" s="410"/>
      <c r="T1886" s="410"/>
      <c r="U1886" s="410"/>
      <c r="V1886" s="410"/>
      <c r="W1886" s="410"/>
      <c r="X1886" s="410"/>
      <c r="Y1886" s="410"/>
    </row>
    <row r="1887" spans="1:25" x14ac:dyDescent="0.2">
      <c r="A1887" s="410"/>
      <c r="B1887" s="410"/>
      <c r="C1887" s="410"/>
      <c r="D1887" s="410"/>
      <c r="E1887" s="410"/>
      <c r="F1887" s="410"/>
      <c r="G1887" s="410"/>
      <c r="H1887" s="410"/>
      <c r="I1887" s="410"/>
      <c r="J1887" s="410"/>
      <c r="K1887" s="410"/>
      <c r="L1887" s="410"/>
      <c r="M1887" s="410"/>
      <c r="N1887" s="410"/>
      <c r="R1887" s="410"/>
      <c r="S1887" s="410"/>
      <c r="T1887" s="410"/>
      <c r="U1887" s="410"/>
      <c r="V1887" s="410"/>
      <c r="W1887" s="410"/>
      <c r="X1887" s="410"/>
      <c r="Y1887" s="410"/>
    </row>
    <row r="1888" spans="1:25" x14ac:dyDescent="0.2">
      <c r="A1888" s="410"/>
      <c r="B1888" s="410"/>
      <c r="C1888" s="410"/>
      <c r="D1888" s="410"/>
      <c r="E1888" s="410"/>
      <c r="F1888" s="410"/>
      <c r="G1888" s="410"/>
      <c r="H1888" s="410"/>
      <c r="I1888" s="410"/>
      <c r="J1888" s="410"/>
      <c r="K1888" s="410"/>
      <c r="L1888" s="410"/>
      <c r="M1888" s="410"/>
      <c r="N1888" s="410"/>
      <c r="R1888" s="410"/>
      <c r="S1888" s="410"/>
      <c r="T1888" s="410"/>
      <c r="U1888" s="410"/>
      <c r="V1888" s="410"/>
      <c r="W1888" s="410"/>
      <c r="X1888" s="410"/>
      <c r="Y1888" s="410"/>
    </row>
    <row r="1889" spans="1:25" x14ac:dyDescent="0.2">
      <c r="A1889" s="410"/>
      <c r="B1889" s="410"/>
      <c r="C1889" s="410"/>
      <c r="D1889" s="410"/>
      <c r="E1889" s="410"/>
      <c r="F1889" s="410"/>
      <c r="G1889" s="410"/>
      <c r="H1889" s="410"/>
      <c r="I1889" s="410"/>
      <c r="J1889" s="410"/>
      <c r="K1889" s="410"/>
      <c r="L1889" s="410"/>
      <c r="M1889" s="410"/>
      <c r="N1889" s="410"/>
      <c r="R1889" s="410"/>
      <c r="S1889" s="410"/>
      <c r="T1889" s="410"/>
      <c r="U1889" s="410"/>
      <c r="V1889" s="410"/>
      <c r="W1889" s="410"/>
      <c r="X1889" s="410"/>
      <c r="Y1889" s="410"/>
    </row>
    <row r="1890" spans="1:25" x14ac:dyDescent="0.2">
      <c r="A1890" s="410"/>
      <c r="B1890" s="410"/>
      <c r="C1890" s="410"/>
      <c r="D1890" s="410"/>
      <c r="E1890" s="410"/>
      <c r="F1890" s="410"/>
      <c r="G1890" s="410"/>
      <c r="H1890" s="410"/>
      <c r="I1890" s="410"/>
      <c r="J1890" s="410"/>
      <c r="K1890" s="410"/>
      <c r="L1890" s="410"/>
      <c r="M1890" s="410"/>
      <c r="N1890" s="410"/>
      <c r="R1890" s="410"/>
      <c r="S1890" s="410"/>
      <c r="T1890" s="410"/>
      <c r="U1890" s="410"/>
      <c r="V1890" s="410"/>
      <c r="W1890" s="410"/>
      <c r="X1890" s="410"/>
      <c r="Y1890" s="410"/>
    </row>
    <row r="1891" spans="1:25" x14ac:dyDescent="0.2">
      <c r="A1891" s="410"/>
      <c r="B1891" s="410"/>
      <c r="C1891" s="410"/>
      <c r="D1891" s="410"/>
      <c r="E1891" s="410"/>
      <c r="F1891" s="410"/>
      <c r="G1891" s="410"/>
      <c r="H1891" s="410"/>
      <c r="I1891" s="410"/>
      <c r="J1891" s="410"/>
      <c r="K1891" s="410"/>
      <c r="L1891" s="410"/>
      <c r="M1891" s="410"/>
      <c r="N1891" s="410"/>
      <c r="R1891" s="410"/>
      <c r="S1891" s="410"/>
      <c r="T1891" s="410"/>
      <c r="U1891" s="410"/>
      <c r="V1891" s="410"/>
      <c r="W1891" s="410"/>
      <c r="X1891" s="410"/>
      <c r="Y1891" s="410"/>
    </row>
    <row r="1892" spans="1:25" x14ac:dyDescent="0.2">
      <c r="A1892" s="410"/>
      <c r="B1892" s="410"/>
      <c r="C1892" s="410"/>
      <c r="D1892" s="410"/>
      <c r="E1892" s="410"/>
      <c r="F1892" s="410"/>
      <c r="G1892" s="410"/>
      <c r="H1892" s="410"/>
      <c r="I1892" s="410"/>
      <c r="J1892" s="410"/>
      <c r="K1892" s="410"/>
      <c r="L1892" s="410"/>
      <c r="M1892" s="410"/>
      <c r="N1892" s="410"/>
      <c r="R1892" s="410"/>
      <c r="S1892" s="410"/>
      <c r="T1892" s="410"/>
      <c r="U1892" s="410"/>
      <c r="V1892" s="410"/>
      <c r="W1892" s="410"/>
      <c r="X1892" s="410"/>
      <c r="Y1892" s="410"/>
    </row>
    <row r="1893" spans="1:25" x14ac:dyDescent="0.2">
      <c r="A1893" s="410"/>
      <c r="B1893" s="410"/>
      <c r="C1893" s="410"/>
      <c r="D1893" s="410"/>
      <c r="E1893" s="410"/>
      <c r="F1893" s="410"/>
      <c r="G1893" s="410"/>
      <c r="H1893" s="410"/>
      <c r="I1893" s="410"/>
      <c r="J1893" s="410"/>
      <c r="K1893" s="410"/>
      <c r="L1893" s="410"/>
      <c r="M1893" s="410"/>
      <c r="N1893" s="410"/>
      <c r="R1893" s="410"/>
      <c r="S1893" s="410"/>
      <c r="T1893" s="410"/>
      <c r="U1893" s="410"/>
      <c r="V1893" s="410"/>
      <c r="W1893" s="410"/>
      <c r="X1893" s="410"/>
      <c r="Y1893" s="410"/>
    </row>
    <row r="1894" spans="1:25" x14ac:dyDescent="0.2">
      <c r="A1894" s="410"/>
      <c r="B1894" s="410"/>
      <c r="C1894" s="410"/>
      <c r="D1894" s="410"/>
      <c r="E1894" s="410"/>
      <c r="F1894" s="410"/>
      <c r="G1894" s="410"/>
      <c r="H1894" s="410"/>
      <c r="I1894" s="410"/>
      <c r="J1894" s="410"/>
      <c r="K1894" s="410"/>
      <c r="L1894" s="410"/>
      <c r="M1894" s="410"/>
      <c r="N1894" s="410"/>
      <c r="R1894" s="410"/>
      <c r="S1894" s="410"/>
      <c r="T1894" s="410"/>
      <c r="U1894" s="410"/>
      <c r="V1894" s="410"/>
      <c r="W1894" s="410"/>
      <c r="X1894" s="410"/>
      <c r="Y1894" s="410"/>
    </row>
    <row r="1895" spans="1:25" x14ac:dyDescent="0.2">
      <c r="A1895" s="410"/>
      <c r="B1895" s="410"/>
      <c r="C1895" s="410"/>
      <c r="D1895" s="410"/>
      <c r="E1895" s="410"/>
      <c r="F1895" s="410"/>
      <c r="G1895" s="410"/>
      <c r="H1895" s="410"/>
      <c r="I1895" s="410"/>
      <c r="J1895" s="410"/>
      <c r="K1895" s="410"/>
      <c r="L1895" s="410"/>
      <c r="M1895" s="410"/>
      <c r="N1895" s="410"/>
      <c r="R1895" s="410"/>
      <c r="S1895" s="410"/>
      <c r="T1895" s="410"/>
      <c r="U1895" s="410"/>
      <c r="V1895" s="410"/>
      <c r="W1895" s="410"/>
      <c r="X1895" s="410"/>
      <c r="Y1895" s="410"/>
    </row>
    <row r="1896" spans="1:25" x14ac:dyDescent="0.2">
      <c r="A1896" s="410"/>
      <c r="B1896" s="410"/>
      <c r="C1896" s="410"/>
      <c r="D1896" s="410"/>
      <c r="E1896" s="410"/>
      <c r="F1896" s="410"/>
      <c r="G1896" s="410"/>
      <c r="H1896" s="410"/>
      <c r="I1896" s="410"/>
      <c r="J1896" s="410"/>
      <c r="K1896" s="410"/>
      <c r="L1896" s="410"/>
      <c r="M1896" s="410"/>
      <c r="N1896" s="410"/>
      <c r="R1896" s="410"/>
      <c r="S1896" s="410"/>
      <c r="T1896" s="410"/>
      <c r="U1896" s="410"/>
      <c r="V1896" s="410"/>
      <c r="W1896" s="410"/>
      <c r="X1896" s="410"/>
      <c r="Y1896" s="410"/>
    </row>
    <row r="1897" spans="1:25" x14ac:dyDescent="0.2">
      <c r="A1897" s="410"/>
      <c r="B1897" s="410"/>
      <c r="C1897" s="410"/>
      <c r="D1897" s="410"/>
      <c r="E1897" s="410"/>
      <c r="F1897" s="410"/>
      <c r="G1897" s="410"/>
      <c r="H1897" s="410"/>
      <c r="I1897" s="410"/>
      <c r="J1897" s="410"/>
      <c r="K1897" s="410"/>
      <c r="L1897" s="410"/>
      <c r="M1897" s="410"/>
      <c r="N1897" s="410"/>
      <c r="R1897" s="410"/>
      <c r="S1897" s="410"/>
      <c r="T1897" s="410"/>
      <c r="U1897" s="410"/>
      <c r="V1897" s="410"/>
      <c r="W1897" s="410"/>
      <c r="X1897" s="410"/>
      <c r="Y1897" s="410"/>
    </row>
    <row r="1898" spans="1:25" x14ac:dyDescent="0.2">
      <c r="A1898" s="410"/>
      <c r="B1898" s="410"/>
      <c r="C1898" s="410"/>
      <c r="D1898" s="410"/>
      <c r="E1898" s="410"/>
      <c r="F1898" s="410"/>
      <c r="G1898" s="410"/>
      <c r="H1898" s="410"/>
      <c r="I1898" s="410"/>
      <c r="J1898" s="410"/>
      <c r="K1898" s="410"/>
      <c r="L1898" s="410"/>
      <c r="M1898" s="410"/>
      <c r="N1898" s="410"/>
      <c r="R1898" s="410"/>
      <c r="S1898" s="410"/>
      <c r="T1898" s="410"/>
      <c r="U1898" s="410"/>
      <c r="V1898" s="410"/>
      <c r="W1898" s="410"/>
      <c r="X1898" s="410"/>
      <c r="Y1898" s="410"/>
    </row>
    <row r="1899" spans="1:25" x14ac:dyDescent="0.2">
      <c r="A1899" s="410"/>
      <c r="B1899" s="410"/>
      <c r="C1899" s="410"/>
      <c r="D1899" s="410"/>
      <c r="E1899" s="410"/>
      <c r="F1899" s="410"/>
      <c r="G1899" s="410"/>
      <c r="H1899" s="410"/>
      <c r="I1899" s="410"/>
      <c r="J1899" s="410"/>
      <c r="K1899" s="410"/>
      <c r="L1899" s="410"/>
      <c r="M1899" s="410"/>
      <c r="N1899" s="410"/>
      <c r="R1899" s="410"/>
      <c r="S1899" s="410"/>
      <c r="T1899" s="410"/>
      <c r="U1899" s="410"/>
      <c r="V1899" s="410"/>
      <c r="W1899" s="410"/>
      <c r="X1899" s="410"/>
      <c r="Y1899" s="410"/>
    </row>
    <row r="1900" spans="1:25" x14ac:dyDescent="0.2">
      <c r="A1900" s="410"/>
      <c r="B1900" s="410"/>
      <c r="C1900" s="410"/>
      <c r="D1900" s="410"/>
      <c r="E1900" s="410"/>
      <c r="F1900" s="410"/>
      <c r="G1900" s="410"/>
      <c r="H1900" s="410"/>
      <c r="I1900" s="410"/>
      <c r="J1900" s="410"/>
      <c r="K1900" s="410"/>
      <c r="L1900" s="410"/>
      <c r="M1900" s="410"/>
      <c r="N1900" s="410"/>
      <c r="R1900" s="410"/>
      <c r="S1900" s="410"/>
      <c r="T1900" s="410"/>
      <c r="U1900" s="410"/>
      <c r="V1900" s="410"/>
      <c r="W1900" s="410"/>
      <c r="X1900" s="410"/>
      <c r="Y1900" s="410"/>
    </row>
    <row r="1901" spans="1:25" x14ac:dyDescent="0.2">
      <c r="A1901" s="410"/>
      <c r="B1901" s="410"/>
      <c r="C1901" s="410"/>
      <c r="D1901" s="410"/>
      <c r="E1901" s="410"/>
      <c r="F1901" s="410"/>
      <c r="G1901" s="410"/>
      <c r="H1901" s="410"/>
      <c r="I1901" s="410"/>
      <c r="J1901" s="410"/>
      <c r="K1901" s="410"/>
      <c r="L1901" s="410"/>
      <c r="M1901" s="410"/>
      <c r="N1901" s="410"/>
      <c r="R1901" s="410"/>
      <c r="S1901" s="410"/>
      <c r="T1901" s="410"/>
      <c r="U1901" s="410"/>
      <c r="V1901" s="410"/>
      <c r="W1901" s="410"/>
      <c r="X1901" s="410"/>
      <c r="Y1901" s="410"/>
    </row>
    <row r="1902" spans="1:25" x14ac:dyDescent="0.2">
      <c r="A1902" s="410"/>
      <c r="B1902" s="410"/>
      <c r="C1902" s="410"/>
      <c r="D1902" s="410"/>
      <c r="E1902" s="410"/>
      <c r="F1902" s="410"/>
      <c r="G1902" s="410"/>
      <c r="H1902" s="410"/>
      <c r="I1902" s="410"/>
      <c r="J1902" s="410"/>
      <c r="K1902" s="410"/>
      <c r="L1902" s="410"/>
      <c r="M1902" s="410"/>
      <c r="N1902" s="410"/>
      <c r="R1902" s="410"/>
      <c r="S1902" s="410"/>
      <c r="T1902" s="410"/>
      <c r="U1902" s="410"/>
      <c r="V1902" s="410"/>
      <c r="W1902" s="410"/>
      <c r="X1902" s="410"/>
      <c r="Y1902" s="410"/>
    </row>
    <row r="1903" spans="1:25" x14ac:dyDescent="0.2">
      <c r="A1903" s="410"/>
      <c r="B1903" s="410"/>
      <c r="C1903" s="410"/>
      <c r="D1903" s="410"/>
      <c r="E1903" s="410"/>
      <c r="F1903" s="410"/>
      <c r="G1903" s="410"/>
      <c r="H1903" s="410"/>
      <c r="I1903" s="410"/>
      <c r="J1903" s="410"/>
      <c r="K1903" s="410"/>
      <c r="L1903" s="410"/>
      <c r="M1903" s="410"/>
      <c r="N1903" s="410"/>
      <c r="R1903" s="410"/>
      <c r="S1903" s="410"/>
      <c r="T1903" s="410"/>
      <c r="U1903" s="410"/>
      <c r="V1903" s="410"/>
      <c r="W1903" s="410"/>
      <c r="X1903" s="410"/>
      <c r="Y1903" s="410"/>
    </row>
    <row r="1904" spans="1:25" x14ac:dyDescent="0.2">
      <c r="A1904" s="410"/>
      <c r="B1904" s="410"/>
      <c r="C1904" s="410"/>
      <c r="D1904" s="410"/>
      <c r="E1904" s="410"/>
      <c r="F1904" s="410"/>
      <c r="G1904" s="410"/>
      <c r="H1904" s="410"/>
      <c r="I1904" s="410"/>
      <c r="J1904" s="410"/>
      <c r="K1904" s="410"/>
      <c r="L1904" s="410"/>
      <c r="M1904" s="410"/>
      <c r="N1904" s="410"/>
      <c r="R1904" s="410"/>
      <c r="S1904" s="410"/>
      <c r="T1904" s="410"/>
      <c r="U1904" s="410"/>
      <c r="V1904" s="410"/>
      <c r="W1904" s="410"/>
      <c r="X1904" s="410"/>
      <c r="Y1904" s="410"/>
    </row>
    <row r="1905" spans="1:25" x14ac:dyDescent="0.2">
      <c r="A1905" s="410"/>
      <c r="B1905" s="410"/>
      <c r="C1905" s="410"/>
      <c r="D1905" s="410"/>
      <c r="E1905" s="410"/>
      <c r="F1905" s="410"/>
      <c r="G1905" s="410"/>
      <c r="H1905" s="410"/>
      <c r="I1905" s="410"/>
      <c r="J1905" s="410"/>
      <c r="K1905" s="410"/>
      <c r="L1905" s="410"/>
      <c r="M1905" s="410"/>
      <c r="N1905" s="410"/>
      <c r="R1905" s="410"/>
      <c r="S1905" s="410"/>
      <c r="T1905" s="410"/>
      <c r="U1905" s="410"/>
      <c r="V1905" s="410"/>
      <c r="W1905" s="410"/>
      <c r="X1905" s="410"/>
      <c r="Y1905" s="410"/>
    </row>
    <row r="1906" spans="1:25" x14ac:dyDescent="0.2">
      <c r="A1906" s="410"/>
      <c r="B1906" s="410"/>
      <c r="C1906" s="410"/>
      <c r="D1906" s="410"/>
      <c r="E1906" s="410"/>
      <c r="F1906" s="410"/>
      <c r="G1906" s="410"/>
      <c r="H1906" s="410"/>
      <c r="I1906" s="410"/>
      <c r="J1906" s="410"/>
      <c r="K1906" s="410"/>
      <c r="L1906" s="410"/>
      <c r="M1906" s="410"/>
      <c r="N1906" s="410"/>
      <c r="R1906" s="410"/>
      <c r="S1906" s="410"/>
      <c r="T1906" s="410"/>
      <c r="U1906" s="410"/>
      <c r="V1906" s="410"/>
      <c r="W1906" s="410"/>
      <c r="X1906" s="410"/>
      <c r="Y1906" s="410"/>
    </row>
    <row r="1907" spans="1:25" x14ac:dyDescent="0.2">
      <c r="A1907" s="410"/>
      <c r="B1907" s="410"/>
      <c r="C1907" s="410"/>
      <c r="D1907" s="410"/>
      <c r="E1907" s="410"/>
      <c r="F1907" s="410"/>
      <c r="G1907" s="410"/>
      <c r="H1907" s="410"/>
      <c r="I1907" s="410"/>
      <c r="J1907" s="410"/>
      <c r="K1907" s="410"/>
      <c r="L1907" s="410"/>
      <c r="M1907" s="410"/>
      <c r="N1907" s="410"/>
      <c r="R1907" s="410"/>
      <c r="S1907" s="410"/>
      <c r="T1907" s="410"/>
      <c r="U1907" s="410"/>
      <c r="V1907" s="410"/>
      <c r="W1907" s="410"/>
      <c r="X1907" s="410"/>
      <c r="Y1907" s="410"/>
    </row>
    <row r="1908" spans="1:25" x14ac:dyDescent="0.2">
      <c r="A1908" s="410"/>
      <c r="B1908" s="410"/>
      <c r="C1908" s="410"/>
      <c r="D1908" s="410"/>
      <c r="E1908" s="410"/>
      <c r="F1908" s="410"/>
      <c r="G1908" s="410"/>
      <c r="H1908" s="410"/>
      <c r="I1908" s="410"/>
      <c r="J1908" s="410"/>
      <c r="K1908" s="410"/>
      <c r="L1908" s="410"/>
      <c r="M1908" s="410"/>
      <c r="N1908" s="410"/>
      <c r="R1908" s="410"/>
      <c r="S1908" s="410"/>
      <c r="T1908" s="410"/>
      <c r="U1908" s="410"/>
      <c r="V1908" s="410"/>
      <c r="W1908" s="410"/>
      <c r="X1908" s="410"/>
      <c r="Y1908" s="410"/>
    </row>
    <row r="1909" spans="1:25" x14ac:dyDescent="0.2">
      <c r="A1909" s="410"/>
      <c r="B1909" s="410"/>
      <c r="C1909" s="410"/>
      <c r="D1909" s="410"/>
      <c r="E1909" s="410"/>
      <c r="F1909" s="410"/>
      <c r="G1909" s="410"/>
      <c r="H1909" s="410"/>
      <c r="I1909" s="410"/>
      <c r="J1909" s="410"/>
      <c r="K1909" s="410"/>
      <c r="L1909" s="410"/>
      <c r="M1909" s="410"/>
      <c r="N1909" s="410"/>
      <c r="R1909" s="410"/>
      <c r="S1909" s="410"/>
      <c r="T1909" s="410"/>
      <c r="U1909" s="410"/>
      <c r="V1909" s="410"/>
      <c r="W1909" s="410"/>
      <c r="X1909" s="410"/>
      <c r="Y1909" s="410"/>
    </row>
    <row r="1910" spans="1:25" x14ac:dyDescent="0.2">
      <c r="A1910" s="410"/>
      <c r="B1910" s="410"/>
      <c r="C1910" s="410"/>
      <c r="D1910" s="410"/>
      <c r="E1910" s="410"/>
      <c r="F1910" s="410"/>
      <c r="G1910" s="410"/>
      <c r="H1910" s="410"/>
      <c r="I1910" s="410"/>
      <c r="J1910" s="410"/>
      <c r="K1910" s="410"/>
      <c r="L1910" s="410"/>
      <c r="M1910" s="410"/>
      <c r="N1910" s="410"/>
      <c r="R1910" s="410"/>
      <c r="S1910" s="410"/>
      <c r="T1910" s="410"/>
      <c r="U1910" s="410"/>
      <c r="V1910" s="410"/>
      <c r="W1910" s="410"/>
      <c r="X1910" s="410"/>
      <c r="Y1910" s="410"/>
    </row>
    <row r="1911" spans="1:25" x14ac:dyDescent="0.2">
      <c r="A1911" s="410"/>
      <c r="B1911" s="410"/>
      <c r="C1911" s="410"/>
      <c r="D1911" s="410"/>
      <c r="E1911" s="410"/>
      <c r="F1911" s="410"/>
      <c r="G1911" s="410"/>
      <c r="H1911" s="410"/>
      <c r="I1911" s="410"/>
      <c r="J1911" s="410"/>
      <c r="K1911" s="410"/>
      <c r="L1911" s="410"/>
      <c r="M1911" s="410"/>
      <c r="N1911" s="410"/>
      <c r="R1911" s="410"/>
      <c r="S1911" s="410"/>
      <c r="T1911" s="410"/>
      <c r="U1911" s="410"/>
      <c r="V1911" s="410"/>
      <c r="W1911" s="410"/>
      <c r="X1911" s="410"/>
      <c r="Y1911" s="410"/>
    </row>
    <row r="1912" spans="1:25" x14ac:dyDescent="0.2">
      <c r="A1912" s="410"/>
      <c r="B1912" s="410"/>
      <c r="C1912" s="410"/>
      <c r="D1912" s="410"/>
      <c r="E1912" s="410"/>
      <c r="F1912" s="410"/>
      <c r="G1912" s="410"/>
      <c r="H1912" s="410"/>
      <c r="I1912" s="410"/>
      <c r="J1912" s="410"/>
      <c r="K1912" s="410"/>
      <c r="L1912" s="410"/>
      <c r="M1912" s="410"/>
      <c r="N1912" s="410"/>
      <c r="R1912" s="410"/>
      <c r="S1912" s="410"/>
      <c r="T1912" s="410"/>
      <c r="U1912" s="410"/>
      <c r="V1912" s="410"/>
      <c r="W1912" s="410"/>
      <c r="X1912" s="410"/>
      <c r="Y1912" s="410"/>
    </row>
    <row r="1913" spans="1:25" x14ac:dyDescent="0.2">
      <c r="A1913" s="410"/>
      <c r="B1913" s="410"/>
      <c r="C1913" s="410"/>
      <c r="D1913" s="410"/>
      <c r="E1913" s="410"/>
      <c r="F1913" s="410"/>
      <c r="G1913" s="410"/>
      <c r="H1913" s="410"/>
      <c r="I1913" s="410"/>
      <c r="J1913" s="410"/>
      <c r="K1913" s="410"/>
      <c r="L1913" s="410"/>
      <c r="M1913" s="410"/>
      <c r="N1913" s="410"/>
      <c r="R1913" s="410"/>
      <c r="S1913" s="410"/>
      <c r="T1913" s="410"/>
      <c r="U1913" s="410"/>
      <c r="V1913" s="410"/>
      <c r="W1913" s="410"/>
      <c r="X1913" s="410"/>
      <c r="Y1913" s="410"/>
    </row>
    <row r="1914" spans="1:25" x14ac:dyDescent="0.2">
      <c r="A1914" s="410"/>
      <c r="B1914" s="410"/>
      <c r="C1914" s="410"/>
      <c r="D1914" s="410"/>
      <c r="E1914" s="410"/>
      <c r="F1914" s="410"/>
      <c r="G1914" s="410"/>
      <c r="H1914" s="410"/>
      <c r="I1914" s="410"/>
      <c r="J1914" s="410"/>
      <c r="K1914" s="410"/>
      <c r="L1914" s="410"/>
      <c r="M1914" s="410"/>
      <c r="N1914" s="410"/>
      <c r="R1914" s="410"/>
      <c r="S1914" s="410"/>
      <c r="T1914" s="410"/>
      <c r="U1914" s="410"/>
      <c r="V1914" s="410"/>
      <c r="W1914" s="410"/>
      <c r="X1914" s="410"/>
      <c r="Y1914" s="410"/>
    </row>
    <row r="1915" spans="1:25" x14ac:dyDescent="0.2">
      <c r="A1915" s="410"/>
      <c r="B1915" s="410"/>
      <c r="C1915" s="410"/>
      <c r="D1915" s="410"/>
      <c r="E1915" s="410"/>
      <c r="F1915" s="410"/>
      <c r="G1915" s="410"/>
      <c r="H1915" s="410"/>
      <c r="I1915" s="410"/>
      <c r="J1915" s="410"/>
      <c r="K1915" s="410"/>
      <c r="L1915" s="410"/>
      <c r="M1915" s="410"/>
      <c r="N1915" s="410"/>
      <c r="R1915" s="410"/>
      <c r="S1915" s="410"/>
      <c r="T1915" s="410"/>
      <c r="U1915" s="410"/>
      <c r="V1915" s="410"/>
      <c r="W1915" s="410"/>
      <c r="X1915" s="410"/>
      <c r="Y1915" s="410"/>
    </row>
    <row r="1916" spans="1:25" x14ac:dyDescent="0.2">
      <c r="A1916" s="410"/>
      <c r="B1916" s="410"/>
      <c r="C1916" s="410"/>
      <c r="D1916" s="410"/>
      <c r="E1916" s="410"/>
      <c r="F1916" s="410"/>
      <c r="G1916" s="410"/>
      <c r="H1916" s="410"/>
      <c r="I1916" s="410"/>
      <c r="J1916" s="410"/>
      <c r="K1916" s="410"/>
      <c r="L1916" s="410"/>
      <c r="M1916" s="410"/>
      <c r="N1916" s="410"/>
      <c r="R1916" s="410"/>
      <c r="S1916" s="410"/>
      <c r="T1916" s="410"/>
      <c r="U1916" s="410"/>
      <c r="V1916" s="410"/>
      <c r="W1916" s="410"/>
      <c r="X1916" s="410"/>
      <c r="Y1916" s="410"/>
    </row>
    <row r="1917" spans="1:25" x14ac:dyDescent="0.2">
      <c r="A1917" s="410"/>
      <c r="B1917" s="410"/>
      <c r="C1917" s="410"/>
      <c r="D1917" s="410"/>
      <c r="E1917" s="410"/>
      <c r="F1917" s="410"/>
      <c r="G1917" s="410"/>
      <c r="H1917" s="410"/>
      <c r="I1917" s="410"/>
      <c r="J1917" s="410"/>
      <c r="K1917" s="410"/>
      <c r="L1917" s="410"/>
      <c r="M1917" s="410"/>
      <c r="N1917" s="410"/>
      <c r="R1917" s="410"/>
      <c r="S1917" s="410"/>
      <c r="T1917" s="410"/>
      <c r="U1917" s="410"/>
      <c r="V1917" s="410"/>
      <c r="W1917" s="410"/>
      <c r="X1917" s="410"/>
      <c r="Y1917" s="410"/>
    </row>
    <row r="1918" spans="1:25" x14ac:dyDescent="0.2">
      <c r="A1918" s="410"/>
      <c r="B1918" s="410"/>
      <c r="C1918" s="410"/>
      <c r="D1918" s="410"/>
      <c r="E1918" s="410"/>
      <c r="F1918" s="410"/>
      <c r="G1918" s="410"/>
      <c r="H1918" s="410"/>
      <c r="I1918" s="410"/>
      <c r="J1918" s="410"/>
      <c r="K1918" s="410"/>
      <c r="L1918" s="410"/>
      <c r="M1918" s="410"/>
      <c r="N1918" s="410"/>
      <c r="R1918" s="410"/>
      <c r="S1918" s="410"/>
      <c r="T1918" s="410"/>
      <c r="U1918" s="410"/>
      <c r="V1918" s="410"/>
      <c r="W1918" s="410"/>
      <c r="X1918" s="410"/>
      <c r="Y1918" s="410"/>
    </row>
    <row r="1919" spans="1:25" x14ac:dyDescent="0.2">
      <c r="A1919" s="410"/>
      <c r="B1919" s="410"/>
      <c r="C1919" s="410"/>
      <c r="D1919" s="410"/>
      <c r="E1919" s="410"/>
      <c r="F1919" s="410"/>
      <c r="G1919" s="410"/>
      <c r="H1919" s="410"/>
      <c r="I1919" s="410"/>
      <c r="J1919" s="410"/>
      <c r="K1919" s="410"/>
      <c r="L1919" s="410"/>
      <c r="M1919" s="410"/>
      <c r="N1919" s="410"/>
      <c r="R1919" s="410"/>
      <c r="S1919" s="410"/>
      <c r="T1919" s="410"/>
      <c r="U1919" s="410"/>
      <c r="V1919" s="410"/>
      <c r="W1919" s="410"/>
      <c r="X1919" s="410"/>
      <c r="Y1919" s="410"/>
    </row>
    <row r="1920" spans="1:25" x14ac:dyDescent="0.2">
      <c r="A1920" s="410"/>
      <c r="B1920" s="410"/>
      <c r="C1920" s="410"/>
      <c r="D1920" s="410"/>
      <c r="E1920" s="410"/>
      <c r="F1920" s="410"/>
      <c r="G1920" s="410"/>
      <c r="H1920" s="410"/>
      <c r="I1920" s="410"/>
      <c r="J1920" s="410"/>
      <c r="K1920" s="410"/>
      <c r="L1920" s="410"/>
      <c r="M1920" s="410"/>
      <c r="N1920" s="410"/>
      <c r="R1920" s="410"/>
      <c r="S1920" s="410"/>
      <c r="T1920" s="410"/>
      <c r="U1920" s="410"/>
      <c r="V1920" s="410"/>
      <c r="W1920" s="410"/>
      <c r="X1920" s="410"/>
      <c r="Y1920" s="410"/>
    </row>
    <row r="1921" spans="1:25" x14ac:dyDescent="0.2">
      <c r="A1921" s="410"/>
      <c r="B1921" s="410"/>
      <c r="C1921" s="410"/>
      <c r="D1921" s="410"/>
      <c r="E1921" s="410"/>
      <c r="F1921" s="410"/>
      <c r="G1921" s="410"/>
      <c r="H1921" s="410"/>
      <c r="I1921" s="410"/>
      <c r="J1921" s="410"/>
      <c r="K1921" s="410"/>
      <c r="L1921" s="410"/>
      <c r="M1921" s="410"/>
      <c r="N1921" s="410"/>
      <c r="R1921" s="410"/>
      <c r="S1921" s="410"/>
      <c r="T1921" s="410"/>
      <c r="U1921" s="410"/>
      <c r="V1921" s="410"/>
      <c r="W1921" s="410"/>
      <c r="X1921" s="410"/>
      <c r="Y1921" s="410"/>
    </row>
    <row r="1922" spans="1:25" x14ac:dyDescent="0.2">
      <c r="A1922" s="410"/>
      <c r="B1922" s="410"/>
      <c r="C1922" s="410"/>
      <c r="D1922" s="410"/>
      <c r="E1922" s="410"/>
      <c r="F1922" s="410"/>
      <c r="G1922" s="410"/>
      <c r="H1922" s="410"/>
      <c r="I1922" s="410"/>
      <c r="J1922" s="410"/>
      <c r="K1922" s="410"/>
      <c r="L1922" s="410"/>
      <c r="M1922" s="410"/>
      <c r="N1922" s="410"/>
      <c r="R1922" s="410"/>
      <c r="S1922" s="410"/>
      <c r="T1922" s="410"/>
      <c r="U1922" s="410"/>
      <c r="V1922" s="410"/>
      <c r="W1922" s="410"/>
      <c r="X1922" s="410"/>
      <c r="Y1922" s="410"/>
    </row>
    <row r="1923" spans="1:25" x14ac:dyDescent="0.2">
      <c r="A1923" s="410"/>
      <c r="B1923" s="410"/>
      <c r="C1923" s="410"/>
      <c r="D1923" s="410"/>
      <c r="E1923" s="410"/>
      <c r="F1923" s="410"/>
      <c r="G1923" s="410"/>
      <c r="H1923" s="410"/>
      <c r="I1923" s="410"/>
      <c r="J1923" s="410"/>
      <c r="K1923" s="410"/>
      <c r="L1923" s="410"/>
      <c r="M1923" s="410"/>
      <c r="N1923" s="410"/>
      <c r="R1923" s="410"/>
      <c r="S1923" s="410"/>
      <c r="T1923" s="410"/>
      <c r="U1923" s="410"/>
      <c r="V1923" s="410"/>
      <c r="W1923" s="410"/>
      <c r="X1923" s="410"/>
      <c r="Y1923" s="410"/>
    </row>
    <row r="1924" spans="1:25" x14ac:dyDescent="0.2">
      <c r="A1924" s="410"/>
      <c r="B1924" s="410"/>
      <c r="C1924" s="410"/>
      <c r="D1924" s="410"/>
      <c r="E1924" s="410"/>
      <c r="F1924" s="410"/>
      <c r="G1924" s="410"/>
      <c r="H1924" s="410"/>
      <c r="I1924" s="410"/>
      <c r="J1924" s="410"/>
      <c r="K1924" s="410"/>
      <c r="L1924" s="410"/>
      <c r="M1924" s="410"/>
      <c r="N1924" s="410"/>
      <c r="R1924" s="410"/>
      <c r="S1924" s="410"/>
      <c r="T1924" s="410"/>
      <c r="U1924" s="410"/>
      <c r="V1924" s="410"/>
      <c r="W1924" s="410"/>
      <c r="X1924" s="410"/>
      <c r="Y1924" s="410"/>
    </row>
    <row r="1925" spans="1:25" x14ac:dyDescent="0.2">
      <c r="A1925" s="410"/>
      <c r="B1925" s="410"/>
      <c r="C1925" s="410"/>
      <c r="D1925" s="410"/>
      <c r="E1925" s="410"/>
      <c r="F1925" s="410"/>
      <c r="G1925" s="410"/>
      <c r="H1925" s="410"/>
      <c r="I1925" s="410"/>
      <c r="J1925" s="410"/>
      <c r="K1925" s="410"/>
      <c r="L1925" s="410"/>
      <c r="M1925" s="410"/>
      <c r="N1925" s="410"/>
      <c r="R1925" s="410"/>
      <c r="S1925" s="410"/>
      <c r="T1925" s="410"/>
      <c r="U1925" s="410"/>
      <c r="V1925" s="410"/>
      <c r="W1925" s="410"/>
      <c r="X1925" s="410"/>
      <c r="Y1925" s="410"/>
    </row>
    <row r="1926" spans="1:25" x14ac:dyDescent="0.2">
      <c r="A1926" s="410"/>
      <c r="B1926" s="410"/>
      <c r="C1926" s="410"/>
      <c r="D1926" s="410"/>
      <c r="E1926" s="410"/>
      <c r="F1926" s="410"/>
      <c r="G1926" s="410"/>
      <c r="H1926" s="410"/>
      <c r="I1926" s="410"/>
      <c r="J1926" s="410"/>
      <c r="K1926" s="410"/>
      <c r="L1926" s="410"/>
      <c r="M1926" s="410"/>
      <c r="N1926" s="410"/>
      <c r="R1926" s="410"/>
      <c r="S1926" s="410"/>
      <c r="T1926" s="410"/>
      <c r="U1926" s="410"/>
      <c r="V1926" s="410"/>
      <c r="W1926" s="410"/>
      <c r="X1926" s="410"/>
      <c r="Y1926" s="410"/>
    </row>
    <row r="1927" spans="1:25" x14ac:dyDescent="0.2">
      <c r="A1927" s="410"/>
      <c r="B1927" s="410"/>
      <c r="C1927" s="410"/>
      <c r="D1927" s="410"/>
      <c r="E1927" s="410"/>
      <c r="F1927" s="410"/>
      <c r="G1927" s="410"/>
      <c r="H1927" s="410"/>
      <c r="I1927" s="410"/>
      <c r="J1927" s="410"/>
      <c r="K1927" s="410"/>
      <c r="L1927" s="410"/>
      <c r="M1927" s="410"/>
      <c r="N1927" s="410"/>
      <c r="R1927" s="410"/>
      <c r="S1927" s="410"/>
      <c r="T1927" s="410"/>
      <c r="U1927" s="410"/>
      <c r="V1927" s="410"/>
      <c r="W1927" s="410"/>
      <c r="X1927" s="410"/>
      <c r="Y1927" s="410"/>
    </row>
    <row r="1928" spans="1:25" x14ac:dyDescent="0.2">
      <c r="A1928" s="410"/>
      <c r="B1928" s="410"/>
      <c r="C1928" s="410"/>
      <c r="D1928" s="410"/>
      <c r="E1928" s="410"/>
      <c r="F1928" s="410"/>
      <c r="G1928" s="410"/>
      <c r="H1928" s="410"/>
      <c r="I1928" s="410"/>
      <c r="J1928" s="410"/>
      <c r="K1928" s="410"/>
      <c r="L1928" s="410"/>
      <c r="M1928" s="410"/>
      <c r="N1928" s="410"/>
      <c r="R1928" s="410"/>
      <c r="S1928" s="410"/>
      <c r="T1928" s="410"/>
      <c r="U1928" s="410"/>
      <c r="V1928" s="410"/>
      <c r="W1928" s="410"/>
      <c r="X1928" s="410"/>
      <c r="Y1928" s="410"/>
    </row>
    <row r="1929" spans="1:25" x14ac:dyDescent="0.2">
      <c r="A1929" s="410"/>
      <c r="B1929" s="410"/>
      <c r="C1929" s="410"/>
      <c r="D1929" s="410"/>
      <c r="E1929" s="410"/>
      <c r="F1929" s="410"/>
      <c r="G1929" s="410"/>
      <c r="H1929" s="410"/>
      <c r="I1929" s="410"/>
      <c r="J1929" s="410"/>
      <c r="K1929" s="410"/>
      <c r="L1929" s="410"/>
      <c r="M1929" s="410"/>
      <c r="N1929" s="410"/>
      <c r="R1929" s="410"/>
      <c r="S1929" s="410"/>
      <c r="T1929" s="410"/>
      <c r="U1929" s="410"/>
      <c r="V1929" s="410"/>
      <c r="W1929" s="410"/>
      <c r="X1929" s="410"/>
      <c r="Y1929" s="410"/>
    </row>
    <row r="1930" spans="1:25" x14ac:dyDescent="0.2">
      <c r="A1930" s="410"/>
      <c r="B1930" s="410"/>
      <c r="C1930" s="410"/>
      <c r="D1930" s="410"/>
      <c r="E1930" s="410"/>
      <c r="F1930" s="410"/>
      <c r="G1930" s="410"/>
      <c r="H1930" s="410"/>
      <c r="I1930" s="410"/>
      <c r="J1930" s="410"/>
      <c r="K1930" s="410"/>
      <c r="L1930" s="410"/>
      <c r="M1930" s="410"/>
      <c r="N1930" s="410"/>
      <c r="R1930" s="410"/>
      <c r="S1930" s="410"/>
      <c r="T1930" s="410"/>
      <c r="U1930" s="410"/>
      <c r="V1930" s="410"/>
      <c r="W1930" s="410"/>
      <c r="X1930" s="410"/>
      <c r="Y1930" s="410"/>
    </row>
    <row r="1931" spans="1:25" x14ac:dyDescent="0.2">
      <c r="A1931" s="410"/>
      <c r="B1931" s="410"/>
      <c r="C1931" s="410"/>
      <c r="D1931" s="410"/>
      <c r="E1931" s="410"/>
      <c r="F1931" s="410"/>
      <c r="G1931" s="410"/>
      <c r="H1931" s="410"/>
      <c r="I1931" s="410"/>
      <c r="J1931" s="410"/>
      <c r="K1931" s="410"/>
      <c r="L1931" s="410"/>
      <c r="M1931" s="410"/>
      <c r="N1931" s="410"/>
      <c r="R1931" s="410"/>
      <c r="S1931" s="410"/>
      <c r="T1931" s="410"/>
      <c r="U1931" s="410"/>
      <c r="V1931" s="410"/>
      <c r="W1931" s="410"/>
      <c r="X1931" s="410"/>
      <c r="Y1931" s="410"/>
    </row>
    <row r="1932" spans="1:25" x14ac:dyDescent="0.2">
      <c r="A1932" s="410"/>
      <c r="B1932" s="410"/>
      <c r="C1932" s="410"/>
      <c r="D1932" s="410"/>
      <c r="E1932" s="410"/>
      <c r="F1932" s="410"/>
      <c r="G1932" s="410"/>
      <c r="H1932" s="410"/>
      <c r="I1932" s="410"/>
      <c r="J1932" s="410"/>
      <c r="K1932" s="410"/>
      <c r="L1932" s="410"/>
      <c r="M1932" s="410"/>
      <c r="N1932" s="410"/>
      <c r="R1932" s="410"/>
      <c r="S1932" s="410"/>
      <c r="T1932" s="410"/>
      <c r="U1932" s="410"/>
      <c r="V1932" s="410"/>
      <c r="W1932" s="410"/>
      <c r="X1932" s="410"/>
      <c r="Y1932" s="410"/>
    </row>
    <row r="1933" spans="1:25" x14ac:dyDescent="0.2">
      <c r="A1933" s="410"/>
      <c r="B1933" s="410"/>
      <c r="C1933" s="410"/>
      <c r="D1933" s="410"/>
      <c r="E1933" s="410"/>
      <c r="F1933" s="410"/>
      <c r="G1933" s="410"/>
      <c r="H1933" s="410"/>
      <c r="I1933" s="410"/>
      <c r="J1933" s="410"/>
      <c r="K1933" s="410"/>
      <c r="L1933" s="410"/>
      <c r="M1933" s="410"/>
      <c r="N1933" s="410"/>
      <c r="R1933" s="410"/>
      <c r="S1933" s="410"/>
      <c r="T1933" s="410"/>
      <c r="U1933" s="410"/>
      <c r="V1933" s="410"/>
      <c r="W1933" s="410"/>
      <c r="X1933" s="410"/>
      <c r="Y1933" s="410"/>
    </row>
    <row r="1934" spans="1:25" x14ac:dyDescent="0.2">
      <c r="A1934" s="410"/>
      <c r="B1934" s="410"/>
      <c r="C1934" s="410"/>
      <c r="D1934" s="410"/>
      <c r="E1934" s="410"/>
      <c r="F1934" s="410"/>
      <c r="G1934" s="410"/>
      <c r="H1934" s="410"/>
      <c r="I1934" s="410"/>
      <c r="J1934" s="410"/>
      <c r="K1934" s="410"/>
      <c r="L1934" s="410"/>
      <c r="M1934" s="410"/>
      <c r="N1934" s="410"/>
      <c r="R1934" s="410"/>
      <c r="S1934" s="410"/>
      <c r="T1934" s="410"/>
      <c r="U1934" s="410"/>
      <c r="V1934" s="410"/>
      <c r="W1934" s="410"/>
      <c r="X1934" s="410"/>
      <c r="Y1934" s="410"/>
    </row>
    <row r="1935" spans="1:25" x14ac:dyDescent="0.2">
      <c r="A1935" s="410"/>
      <c r="B1935" s="410"/>
      <c r="C1935" s="410"/>
      <c r="D1935" s="410"/>
      <c r="E1935" s="410"/>
      <c r="F1935" s="410"/>
      <c r="G1935" s="410"/>
      <c r="H1935" s="410"/>
      <c r="I1935" s="410"/>
      <c r="J1935" s="410"/>
      <c r="K1935" s="410"/>
      <c r="L1935" s="410"/>
      <c r="M1935" s="410"/>
      <c r="N1935" s="410"/>
      <c r="R1935" s="410"/>
      <c r="S1935" s="410"/>
      <c r="T1935" s="410"/>
      <c r="U1935" s="410"/>
      <c r="V1935" s="410"/>
      <c r="W1935" s="410"/>
      <c r="X1935" s="410"/>
      <c r="Y1935" s="410"/>
    </row>
    <row r="1936" spans="1:25" x14ac:dyDescent="0.2">
      <c r="A1936" s="410"/>
      <c r="B1936" s="410"/>
      <c r="C1936" s="410"/>
      <c r="D1936" s="410"/>
      <c r="E1936" s="410"/>
      <c r="F1936" s="410"/>
      <c r="G1936" s="410"/>
      <c r="H1936" s="410"/>
      <c r="I1936" s="410"/>
      <c r="J1936" s="410"/>
      <c r="K1936" s="410"/>
      <c r="L1936" s="410"/>
      <c r="M1936" s="410"/>
      <c r="N1936" s="410"/>
      <c r="R1936" s="410"/>
      <c r="S1936" s="410"/>
      <c r="T1936" s="410"/>
      <c r="U1936" s="410"/>
      <c r="V1936" s="410"/>
      <c r="W1936" s="410"/>
      <c r="X1936" s="410"/>
      <c r="Y1936" s="410"/>
    </row>
    <row r="1937" spans="1:25" x14ac:dyDescent="0.2">
      <c r="A1937" s="410"/>
      <c r="B1937" s="410"/>
      <c r="C1937" s="410"/>
      <c r="D1937" s="410"/>
      <c r="E1937" s="410"/>
      <c r="F1937" s="410"/>
      <c r="G1937" s="410"/>
      <c r="H1937" s="410"/>
      <c r="I1937" s="410"/>
      <c r="J1937" s="410"/>
      <c r="K1937" s="410"/>
      <c r="L1937" s="410"/>
      <c r="M1937" s="410"/>
      <c r="N1937" s="410"/>
      <c r="R1937" s="410"/>
      <c r="S1937" s="410"/>
      <c r="T1937" s="410"/>
      <c r="U1937" s="410"/>
      <c r="V1937" s="410"/>
      <c r="W1937" s="410"/>
      <c r="X1937" s="410"/>
      <c r="Y1937" s="410"/>
    </row>
    <row r="1938" spans="1:25" x14ac:dyDescent="0.2">
      <c r="A1938" s="410"/>
      <c r="B1938" s="410"/>
      <c r="C1938" s="410"/>
      <c r="D1938" s="410"/>
      <c r="E1938" s="410"/>
      <c r="F1938" s="410"/>
      <c r="G1938" s="410"/>
      <c r="H1938" s="410"/>
      <c r="I1938" s="410"/>
      <c r="J1938" s="410"/>
      <c r="K1938" s="410"/>
      <c r="L1938" s="410"/>
      <c r="M1938" s="410"/>
      <c r="N1938" s="410"/>
      <c r="R1938" s="410"/>
      <c r="S1938" s="410"/>
      <c r="T1938" s="410"/>
      <c r="U1938" s="410"/>
      <c r="V1938" s="410"/>
      <c r="W1938" s="410"/>
      <c r="X1938" s="410"/>
      <c r="Y1938" s="410"/>
    </row>
    <row r="1939" spans="1:25" x14ac:dyDescent="0.2">
      <c r="A1939" s="410"/>
      <c r="B1939" s="410"/>
      <c r="C1939" s="410"/>
      <c r="D1939" s="410"/>
      <c r="E1939" s="410"/>
      <c r="F1939" s="410"/>
      <c r="G1939" s="410"/>
      <c r="H1939" s="410"/>
      <c r="I1939" s="410"/>
      <c r="J1939" s="410"/>
      <c r="K1939" s="410"/>
      <c r="L1939" s="410"/>
      <c r="M1939" s="410"/>
      <c r="N1939" s="410"/>
      <c r="R1939" s="410"/>
      <c r="S1939" s="410"/>
      <c r="T1939" s="410"/>
      <c r="U1939" s="410"/>
      <c r="V1939" s="410"/>
      <c r="W1939" s="410"/>
      <c r="X1939" s="410"/>
      <c r="Y1939" s="410"/>
    </row>
    <row r="1940" spans="1:25" x14ac:dyDescent="0.2">
      <c r="A1940" s="410"/>
      <c r="B1940" s="410"/>
      <c r="C1940" s="410"/>
      <c r="D1940" s="410"/>
      <c r="E1940" s="410"/>
      <c r="F1940" s="410"/>
      <c r="G1940" s="410"/>
      <c r="H1940" s="410"/>
      <c r="I1940" s="410"/>
      <c r="J1940" s="410"/>
      <c r="K1940" s="410"/>
      <c r="L1940" s="410"/>
      <c r="M1940" s="410"/>
      <c r="N1940" s="410"/>
      <c r="R1940" s="410"/>
      <c r="S1940" s="410"/>
      <c r="T1940" s="410"/>
      <c r="U1940" s="410"/>
      <c r="V1940" s="410"/>
      <c r="W1940" s="410"/>
      <c r="X1940" s="410"/>
      <c r="Y1940" s="410"/>
    </row>
    <row r="1941" spans="1:25" x14ac:dyDescent="0.2">
      <c r="A1941" s="410"/>
      <c r="B1941" s="410"/>
      <c r="C1941" s="410"/>
      <c r="D1941" s="410"/>
      <c r="E1941" s="410"/>
      <c r="F1941" s="410"/>
      <c r="G1941" s="410"/>
      <c r="H1941" s="410"/>
      <c r="I1941" s="410"/>
      <c r="J1941" s="410"/>
      <c r="K1941" s="410"/>
      <c r="L1941" s="410"/>
      <c r="M1941" s="410"/>
      <c r="N1941" s="410"/>
      <c r="R1941" s="410"/>
      <c r="S1941" s="410"/>
      <c r="T1941" s="410"/>
      <c r="U1941" s="410"/>
      <c r="V1941" s="410"/>
      <c r="W1941" s="410"/>
      <c r="X1941" s="410"/>
      <c r="Y1941" s="410"/>
    </row>
    <row r="1942" spans="1:25" x14ac:dyDescent="0.2">
      <c r="A1942" s="410"/>
      <c r="B1942" s="410"/>
      <c r="C1942" s="410"/>
      <c r="D1942" s="410"/>
      <c r="E1942" s="410"/>
      <c r="F1942" s="410"/>
      <c r="G1942" s="410"/>
      <c r="H1942" s="410"/>
      <c r="I1942" s="410"/>
      <c r="J1942" s="410"/>
      <c r="K1942" s="410"/>
      <c r="L1942" s="410"/>
      <c r="M1942" s="410"/>
      <c r="N1942" s="410"/>
      <c r="R1942" s="410"/>
      <c r="S1942" s="410"/>
      <c r="T1942" s="410"/>
      <c r="U1942" s="410"/>
      <c r="V1942" s="410"/>
      <c r="W1942" s="410"/>
      <c r="X1942" s="410"/>
      <c r="Y1942" s="410"/>
    </row>
    <row r="1943" spans="1:25" x14ac:dyDescent="0.2">
      <c r="A1943" s="410"/>
      <c r="B1943" s="410"/>
      <c r="C1943" s="410"/>
      <c r="D1943" s="410"/>
      <c r="E1943" s="410"/>
      <c r="F1943" s="410"/>
      <c r="G1943" s="410"/>
      <c r="H1943" s="410"/>
      <c r="I1943" s="410"/>
      <c r="J1943" s="410"/>
      <c r="K1943" s="410"/>
      <c r="L1943" s="410"/>
      <c r="M1943" s="410"/>
      <c r="N1943" s="410"/>
      <c r="R1943" s="410"/>
      <c r="S1943" s="410"/>
      <c r="T1943" s="410"/>
      <c r="U1943" s="410"/>
      <c r="V1943" s="410"/>
      <c r="W1943" s="410"/>
      <c r="X1943" s="410"/>
      <c r="Y1943" s="410"/>
    </row>
    <row r="1944" spans="1:25" x14ac:dyDescent="0.2">
      <c r="A1944" s="410"/>
      <c r="B1944" s="410"/>
      <c r="C1944" s="410"/>
      <c r="D1944" s="410"/>
      <c r="E1944" s="410"/>
      <c r="F1944" s="410"/>
      <c r="G1944" s="410"/>
      <c r="H1944" s="410"/>
      <c r="I1944" s="410"/>
      <c r="J1944" s="410"/>
      <c r="K1944" s="410"/>
      <c r="L1944" s="410"/>
      <c r="M1944" s="410"/>
      <c r="N1944" s="410"/>
      <c r="R1944" s="410"/>
      <c r="S1944" s="410"/>
      <c r="T1944" s="410"/>
      <c r="U1944" s="410"/>
      <c r="V1944" s="410"/>
      <c r="W1944" s="410"/>
      <c r="X1944" s="410"/>
      <c r="Y1944" s="410"/>
    </row>
    <row r="1945" spans="1:25" x14ac:dyDescent="0.2">
      <c r="A1945" s="410"/>
      <c r="B1945" s="410"/>
      <c r="C1945" s="410"/>
      <c r="D1945" s="410"/>
      <c r="E1945" s="410"/>
      <c r="F1945" s="410"/>
      <c r="G1945" s="410"/>
      <c r="H1945" s="410"/>
      <c r="I1945" s="410"/>
      <c r="J1945" s="410"/>
      <c r="K1945" s="410"/>
      <c r="L1945" s="410"/>
      <c r="M1945" s="410"/>
      <c r="N1945" s="410"/>
      <c r="R1945" s="410"/>
      <c r="S1945" s="410"/>
      <c r="T1945" s="410"/>
      <c r="U1945" s="410"/>
      <c r="V1945" s="410"/>
      <c r="W1945" s="410"/>
      <c r="X1945" s="410"/>
      <c r="Y1945" s="410"/>
    </row>
    <row r="1946" spans="1:25" x14ac:dyDescent="0.2">
      <c r="A1946" s="410"/>
      <c r="B1946" s="410"/>
      <c r="C1946" s="410"/>
      <c r="D1946" s="410"/>
      <c r="E1946" s="410"/>
      <c r="F1946" s="410"/>
      <c r="G1946" s="410"/>
      <c r="H1946" s="410"/>
      <c r="I1946" s="410"/>
      <c r="J1946" s="410"/>
      <c r="K1946" s="410"/>
      <c r="L1946" s="410"/>
      <c r="M1946" s="410"/>
      <c r="N1946" s="410"/>
      <c r="R1946" s="410"/>
      <c r="S1946" s="410"/>
      <c r="T1946" s="410"/>
      <c r="U1946" s="410"/>
      <c r="V1946" s="410"/>
      <c r="W1946" s="410"/>
      <c r="X1946" s="410"/>
      <c r="Y1946" s="410"/>
    </row>
    <row r="1947" spans="1:25" x14ac:dyDescent="0.2">
      <c r="A1947" s="410"/>
      <c r="B1947" s="410"/>
      <c r="C1947" s="410"/>
      <c r="D1947" s="410"/>
      <c r="E1947" s="410"/>
      <c r="F1947" s="410"/>
      <c r="G1947" s="410"/>
      <c r="H1947" s="410"/>
      <c r="I1947" s="410"/>
      <c r="J1947" s="410"/>
      <c r="K1947" s="410"/>
      <c r="L1947" s="410"/>
      <c r="M1947" s="410"/>
      <c r="N1947" s="410"/>
      <c r="R1947" s="410"/>
      <c r="S1947" s="410"/>
      <c r="T1947" s="410"/>
      <c r="U1947" s="410"/>
      <c r="V1947" s="410"/>
      <c r="W1947" s="410"/>
      <c r="X1947" s="410"/>
      <c r="Y1947" s="410"/>
    </row>
    <row r="1948" spans="1:25" x14ac:dyDescent="0.2">
      <c r="A1948" s="410"/>
      <c r="B1948" s="410"/>
      <c r="C1948" s="410"/>
      <c r="D1948" s="410"/>
      <c r="E1948" s="410"/>
      <c r="F1948" s="410"/>
      <c r="G1948" s="410"/>
      <c r="H1948" s="410"/>
      <c r="I1948" s="410"/>
      <c r="J1948" s="410"/>
      <c r="K1948" s="410"/>
      <c r="L1948" s="410"/>
      <c r="M1948" s="410"/>
      <c r="N1948" s="410"/>
      <c r="R1948" s="410"/>
      <c r="S1948" s="410"/>
      <c r="T1948" s="410"/>
      <c r="U1948" s="410"/>
      <c r="V1948" s="410"/>
      <c r="W1948" s="410"/>
      <c r="X1948" s="410"/>
      <c r="Y1948" s="410"/>
    </row>
    <row r="1949" spans="1:25" x14ac:dyDescent="0.2">
      <c r="A1949" s="410"/>
      <c r="B1949" s="410"/>
      <c r="C1949" s="410"/>
      <c r="D1949" s="410"/>
      <c r="E1949" s="410"/>
      <c r="F1949" s="410"/>
      <c r="G1949" s="410"/>
      <c r="H1949" s="410"/>
      <c r="I1949" s="410"/>
      <c r="J1949" s="410"/>
      <c r="K1949" s="410"/>
      <c r="L1949" s="410"/>
      <c r="M1949" s="410"/>
      <c r="N1949" s="410"/>
      <c r="R1949" s="410"/>
      <c r="S1949" s="410"/>
      <c r="T1949" s="410"/>
      <c r="U1949" s="410"/>
      <c r="V1949" s="410"/>
      <c r="W1949" s="410"/>
      <c r="X1949" s="410"/>
      <c r="Y1949" s="410"/>
    </row>
    <row r="1950" spans="1:25" x14ac:dyDescent="0.2">
      <c r="A1950" s="410"/>
      <c r="B1950" s="410"/>
      <c r="C1950" s="410"/>
      <c r="D1950" s="410"/>
      <c r="E1950" s="410"/>
      <c r="F1950" s="410"/>
      <c r="G1950" s="410"/>
      <c r="H1950" s="410"/>
      <c r="I1950" s="410"/>
      <c r="J1950" s="410"/>
      <c r="K1950" s="410"/>
      <c r="L1950" s="410"/>
      <c r="M1950" s="410"/>
      <c r="N1950" s="410"/>
      <c r="R1950" s="410"/>
      <c r="S1950" s="410"/>
      <c r="T1950" s="410"/>
      <c r="U1950" s="410"/>
      <c r="V1950" s="410"/>
      <c r="W1950" s="410"/>
      <c r="X1950" s="410"/>
      <c r="Y1950" s="410"/>
    </row>
    <row r="1951" spans="1:25" x14ac:dyDescent="0.2">
      <c r="A1951" s="410"/>
      <c r="B1951" s="410"/>
      <c r="C1951" s="410"/>
      <c r="D1951" s="410"/>
      <c r="E1951" s="410"/>
      <c r="F1951" s="410"/>
      <c r="G1951" s="410"/>
      <c r="H1951" s="410"/>
      <c r="I1951" s="410"/>
      <c r="J1951" s="410"/>
      <c r="K1951" s="410"/>
      <c r="L1951" s="410"/>
      <c r="M1951" s="410"/>
      <c r="N1951" s="410"/>
      <c r="R1951" s="410"/>
      <c r="S1951" s="410"/>
      <c r="T1951" s="410"/>
      <c r="U1951" s="410"/>
      <c r="V1951" s="410"/>
      <c r="W1951" s="410"/>
      <c r="X1951" s="410"/>
      <c r="Y1951" s="410"/>
    </row>
    <row r="1952" spans="1:25" x14ac:dyDescent="0.2">
      <c r="A1952" s="410"/>
      <c r="B1952" s="410"/>
      <c r="C1952" s="410"/>
      <c r="D1952" s="410"/>
      <c r="E1952" s="410"/>
      <c r="F1952" s="410"/>
      <c r="G1952" s="410"/>
      <c r="H1952" s="410"/>
      <c r="I1952" s="410"/>
      <c r="J1952" s="410"/>
      <c r="K1952" s="410"/>
      <c r="L1952" s="410"/>
      <c r="M1952" s="410"/>
      <c r="N1952" s="410"/>
      <c r="R1952" s="410"/>
      <c r="S1952" s="410"/>
      <c r="T1952" s="410"/>
      <c r="U1952" s="410"/>
      <c r="V1952" s="410"/>
      <c r="W1952" s="410"/>
      <c r="X1952" s="410"/>
      <c r="Y1952" s="410"/>
    </row>
    <row r="1953" spans="1:25" x14ac:dyDescent="0.2">
      <c r="A1953" s="410"/>
      <c r="B1953" s="410"/>
      <c r="C1953" s="410"/>
      <c r="D1953" s="410"/>
      <c r="E1953" s="410"/>
      <c r="F1953" s="410"/>
      <c r="G1953" s="410"/>
      <c r="H1953" s="410"/>
      <c r="I1953" s="410"/>
      <c r="J1953" s="410"/>
      <c r="K1953" s="410"/>
      <c r="L1953" s="410"/>
      <c r="M1953" s="410"/>
      <c r="N1953" s="410"/>
      <c r="R1953" s="410"/>
      <c r="S1953" s="410"/>
      <c r="T1953" s="410"/>
      <c r="U1953" s="410"/>
      <c r="V1953" s="410"/>
      <c r="W1953" s="410"/>
      <c r="X1953" s="410"/>
      <c r="Y1953" s="410"/>
    </row>
    <row r="1954" spans="1:25" x14ac:dyDescent="0.2">
      <c r="A1954" s="410"/>
      <c r="B1954" s="410"/>
      <c r="C1954" s="410"/>
      <c r="D1954" s="410"/>
      <c r="E1954" s="410"/>
      <c r="F1954" s="410"/>
      <c r="G1954" s="410"/>
      <c r="H1954" s="410"/>
      <c r="I1954" s="410"/>
      <c r="J1954" s="410"/>
      <c r="K1954" s="410"/>
      <c r="L1954" s="410"/>
      <c r="M1954" s="410"/>
      <c r="N1954" s="410"/>
      <c r="R1954" s="410"/>
      <c r="S1954" s="410"/>
      <c r="T1954" s="410"/>
      <c r="U1954" s="410"/>
      <c r="V1954" s="410"/>
      <c r="W1954" s="410"/>
      <c r="X1954" s="410"/>
      <c r="Y1954" s="410"/>
    </row>
    <row r="1955" spans="1:25" x14ac:dyDescent="0.2">
      <c r="A1955" s="410"/>
      <c r="B1955" s="410"/>
      <c r="C1955" s="410"/>
      <c r="D1955" s="410"/>
      <c r="E1955" s="410"/>
      <c r="F1955" s="410"/>
      <c r="G1955" s="410"/>
      <c r="H1955" s="410"/>
      <c r="I1955" s="410"/>
      <c r="J1955" s="410"/>
      <c r="K1955" s="410"/>
      <c r="L1955" s="410"/>
      <c r="M1955" s="410"/>
      <c r="N1955" s="410"/>
      <c r="R1955" s="410"/>
      <c r="S1955" s="410"/>
      <c r="T1955" s="410"/>
      <c r="U1955" s="410"/>
      <c r="V1955" s="410"/>
      <c r="W1955" s="410"/>
      <c r="X1955" s="410"/>
      <c r="Y1955" s="410"/>
    </row>
    <row r="1956" spans="1:25" x14ac:dyDescent="0.2">
      <c r="A1956" s="410"/>
      <c r="B1956" s="410"/>
      <c r="C1956" s="410"/>
      <c r="D1956" s="410"/>
      <c r="E1956" s="410"/>
      <c r="F1956" s="410"/>
      <c r="G1956" s="410"/>
      <c r="H1956" s="410"/>
      <c r="I1956" s="410"/>
      <c r="J1956" s="410"/>
      <c r="K1956" s="410"/>
      <c r="L1956" s="410"/>
      <c r="M1956" s="410"/>
      <c r="N1956" s="410"/>
      <c r="R1956" s="410"/>
      <c r="S1956" s="410"/>
      <c r="T1956" s="410"/>
      <c r="U1956" s="410"/>
      <c r="V1956" s="410"/>
      <c r="W1956" s="410"/>
      <c r="X1956" s="410"/>
      <c r="Y1956" s="410"/>
    </row>
    <row r="1957" spans="1:25" x14ac:dyDescent="0.2">
      <c r="A1957" s="410"/>
      <c r="B1957" s="410"/>
      <c r="C1957" s="410"/>
      <c r="D1957" s="410"/>
      <c r="E1957" s="410"/>
      <c r="F1957" s="410"/>
      <c r="G1957" s="410"/>
      <c r="H1957" s="410"/>
      <c r="I1957" s="410"/>
      <c r="J1957" s="410"/>
      <c r="K1957" s="410"/>
      <c r="L1957" s="410"/>
      <c r="M1957" s="410"/>
      <c r="N1957" s="410"/>
      <c r="R1957" s="410"/>
      <c r="S1957" s="410"/>
      <c r="T1957" s="410"/>
      <c r="U1957" s="410"/>
      <c r="V1957" s="410"/>
      <c r="W1957" s="410"/>
      <c r="X1957" s="410"/>
      <c r="Y1957" s="410"/>
    </row>
    <row r="1958" spans="1:25" x14ac:dyDescent="0.2">
      <c r="A1958" s="410"/>
      <c r="B1958" s="410"/>
      <c r="C1958" s="410"/>
      <c r="D1958" s="410"/>
      <c r="E1958" s="410"/>
      <c r="F1958" s="410"/>
      <c r="G1958" s="410"/>
      <c r="H1958" s="410"/>
      <c r="I1958" s="410"/>
      <c r="J1958" s="410"/>
      <c r="K1958" s="410"/>
      <c r="L1958" s="410"/>
      <c r="M1958" s="410"/>
      <c r="N1958" s="410"/>
      <c r="R1958" s="410"/>
      <c r="S1958" s="410"/>
      <c r="T1958" s="410"/>
      <c r="U1958" s="410"/>
      <c r="V1958" s="410"/>
      <c r="W1958" s="410"/>
      <c r="X1958" s="410"/>
      <c r="Y1958" s="410"/>
    </row>
    <row r="1959" spans="1:25" x14ac:dyDescent="0.2">
      <c r="A1959" s="410"/>
      <c r="B1959" s="410"/>
      <c r="C1959" s="410"/>
      <c r="D1959" s="410"/>
      <c r="E1959" s="410"/>
      <c r="F1959" s="410"/>
      <c r="G1959" s="410"/>
      <c r="H1959" s="410"/>
      <c r="I1959" s="410"/>
      <c r="J1959" s="410"/>
      <c r="K1959" s="410"/>
      <c r="L1959" s="410"/>
      <c r="M1959" s="410"/>
      <c r="N1959" s="410"/>
      <c r="R1959" s="410"/>
      <c r="S1959" s="410"/>
      <c r="T1959" s="410"/>
      <c r="U1959" s="410"/>
      <c r="V1959" s="410"/>
      <c r="W1959" s="410"/>
      <c r="X1959" s="410"/>
      <c r="Y1959" s="410"/>
    </row>
    <row r="1960" spans="1:25" x14ac:dyDescent="0.2">
      <c r="A1960" s="410"/>
      <c r="B1960" s="410"/>
      <c r="C1960" s="410"/>
      <c r="D1960" s="410"/>
      <c r="E1960" s="410"/>
      <c r="F1960" s="410"/>
      <c r="G1960" s="410"/>
      <c r="H1960" s="410"/>
      <c r="I1960" s="410"/>
      <c r="J1960" s="410"/>
      <c r="K1960" s="410"/>
      <c r="L1960" s="410"/>
      <c r="M1960" s="410"/>
      <c r="N1960" s="410"/>
      <c r="R1960" s="410"/>
      <c r="S1960" s="410"/>
      <c r="T1960" s="410"/>
      <c r="U1960" s="410"/>
      <c r="V1960" s="410"/>
      <c r="W1960" s="410"/>
      <c r="X1960" s="410"/>
      <c r="Y1960" s="410"/>
    </row>
    <row r="1961" spans="1:25" x14ac:dyDescent="0.2">
      <c r="A1961" s="410"/>
      <c r="B1961" s="410"/>
      <c r="C1961" s="410"/>
      <c r="D1961" s="410"/>
      <c r="E1961" s="410"/>
      <c r="F1961" s="410"/>
      <c r="G1961" s="410"/>
      <c r="H1961" s="410"/>
      <c r="I1961" s="410"/>
      <c r="J1961" s="410"/>
      <c r="K1961" s="410"/>
      <c r="L1961" s="410"/>
      <c r="M1961" s="410"/>
      <c r="N1961" s="410"/>
      <c r="R1961" s="410"/>
      <c r="S1961" s="410"/>
      <c r="T1961" s="410"/>
      <c r="U1961" s="410"/>
      <c r="V1961" s="410"/>
      <c r="W1961" s="410"/>
      <c r="X1961" s="410"/>
      <c r="Y1961" s="410"/>
    </row>
    <row r="1962" spans="1:25" x14ac:dyDescent="0.2">
      <c r="A1962" s="410"/>
      <c r="B1962" s="410"/>
      <c r="C1962" s="410"/>
      <c r="D1962" s="410"/>
      <c r="E1962" s="410"/>
      <c r="F1962" s="410"/>
      <c r="G1962" s="410"/>
      <c r="H1962" s="410"/>
      <c r="I1962" s="410"/>
      <c r="J1962" s="410"/>
      <c r="K1962" s="410"/>
      <c r="L1962" s="410"/>
      <c r="M1962" s="410"/>
      <c r="N1962" s="410"/>
      <c r="R1962" s="410"/>
      <c r="S1962" s="410"/>
      <c r="T1962" s="410"/>
      <c r="U1962" s="410"/>
      <c r="V1962" s="410"/>
      <c r="W1962" s="410"/>
      <c r="X1962" s="410"/>
      <c r="Y1962" s="410"/>
    </row>
    <row r="1963" spans="1:25" x14ac:dyDescent="0.2">
      <c r="A1963" s="410"/>
      <c r="B1963" s="410"/>
      <c r="C1963" s="410"/>
      <c r="D1963" s="410"/>
      <c r="E1963" s="410"/>
      <c r="F1963" s="410"/>
      <c r="G1963" s="410"/>
      <c r="H1963" s="410"/>
      <c r="I1963" s="410"/>
      <c r="J1963" s="410"/>
      <c r="K1963" s="410"/>
      <c r="L1963" s="410"/>
      <c r="M1963" s="410"/>
      <c r="N1963" s="410"/>
      <c r="R1963" s="410"/>
      <c r="S1963" s="410"/>
      <c r="T1963" s="410"/>
      <c r="U1963" s="410"/>
      <c r="V1963" s="410"/>
      <c r="W1963" s="410"/>
      <c r="X1963" s="410"/>
      <c r="Y1963" s="410"/>
    </row>
    <row r="1964" spans="1:25" x14ac:dyDescent="0.2">
      <c r="A1964" s="410"/>
      <c r="B1964" s="410"/>
      <c r="C1964" s="410"/>
      <c r="D1964" s="410"/>
      <c r="E1964" s="410"/>
      <c r="F1964" s="410"/>
      <c r="G1964" s="410"/>
      <c r="H1964" s="410"/>
      <c r="I1964" s="410"/>
      <c r="J1964" s="410"/>
      <c r="K1964" s="410"/>
      <c r="L1964" s="410"/>
      <c r="M1964" s="410"/>
      <c r="N1964" s="410"/>
      <c r="R1964" s="410"/>
      <c r="S1964" s="410"/>
      <c r="T1964" s="410"/>
      <c r="U1964" s="410"/>
      <c r="V1964" s="410"/>
      <c r="W1964" s="410"/>
      <c r="X1964" s="410"/>
      <c r="Y1964" s="410"/>
    </row>
    <row r="1965" spans="1:25" x14ac:dyDescent="0.2">
      <c r="A1965" s="410"/>
      <c r="B1965" s="410"/>
      <c r="C1965" s="410"/>
      <c r="D1965" s="410"/>
      <c r="E1965" s="410"/>
      <c r="F1965" s="410"/>
      <c r="G1965" s="410"/>
      <c r="H1965" s="410"/>
      <c r="I1965" s="410"/>
      <c r="J1965" s="410"/>
      <c r="K1965" s="410"/>
      <c r="L1965" s="410"/>
      <c r="M1965" s="410"/>
      <c r="N1965" s="410"/>
      <c r="R1965" s="410"/>
      <c r="S1965" s="410"/>
      <c r="T1965" s="410"/>
      <c r="U1965" s="410"/>
      <c r="V1965" s="410"/>
      <c r="W1965" s="410"/>
      <c r="X1965" s="410"/>
      <c r="Y1965" s="410"/>
    </row>
    <row r="1966" spans="1:25" x14ac:dyDescent="0.2">
      <c r="A1966" s="410"/>
      <c r="B1966" s="410"/>
      <c r="C1966" s="410"/>
      <c r="D1966" s="410"/>
      <c r="E1966" s="410"/>
      <c r="F1966" s="410"/>
      <c r="G1966" s="410"/>
      <c r="H1966" s="410"/>
      <c r="I1966" s="410"/>
      <c r="J1966" s="410"/>
      <c r="K1966" s="410"/>
      <c r="L1966" s="410"/>
      <c r="M1966" s="410"/>
      <c r="N1966" s="410"/>
      <c r="R1966" s="410"/>
      <c r="S1966" s="410"/>
      <c r="T1966" s="410"/>
      <c r="U1966" s="410"/>
      <c r="V1966" s="410"/>
      <c r="W1966" s="410"/>
      <c r="X1966" s="410"/>
      <c r="Y1966" s="410"/>
    </row>
    <row r="1967" spans="1:25" x14ac:dyDescent="0.2">
      <c r="A1967" s="410"/>
      <c r="B1967" s="410"/>
      <c r="C1967" s="410"/>
      <c r="D1967" s="410"/>
      <c r="E1967" s="410"/>
      <c r="F1967" s="410"/>
      <c r="G1967" s="410"/>
      <c r="H1967" s="410"/>
      <c r="I1967" s="410"/>
      <c r="J1967" s="410"/>
      <c r="K1967" s="410"/>
      <c r="L1967" s="410"/>
      <c r="M1967" s="410"/>
      <c r="N1967" s="410"/>
      <c r="R1967" s="410"/>
      <c r="S1967" s="410"/>
      <c r="T1967" s="410"/>
      <c r="U1967" s="410"/>
      <c r="V1967" s="410"/>
      <c r="W1967" s="410"/>
      <c r="X1967" s="410"/>
      <c r="Y1967" s="410"/>
    </row>
    <row r="1968" spans="1:25" x14ac:dyDescent="0.2">
      <c r="A1968" s="410"/>
      <c r="B1968" s="410"/>
      <c r="C1968" s="410"/>
      <c r="D1968" s="410"/>
      <c r="E1968" s="410"/>
      <c r="F1968" s="410"/>
      <c r="G1968" s="410"/>
      <c r="H1968" s="410"/>
      <c r="I1968" s="410"/>
      <c r="J1968" s="410"/>
      <c r="K1968" s="410"/>
      <c r="L1968" s="410"/>
      <c r="M1968" s="410"/>
      <c r="N1968" s="410"/>
      <c r="R1968" s="410"/>
      <c r="S1968" s="410"/>
      <c r="T1968" s="410"/>
      <c r="U1968" s="410"/>
      <c r="V1968" s="410"/>
      <c r="W1968" s="410"/>
      <c r="X1968" s="410"/>
      <c r="Y1968" s="410"/>
    </row>
    <row r="1969" spans="1:25" x14ac:dyDescent="0.2">
      <c r="A1969" s="410"/>
      <c r="B1969" s="410"/>
      <c r="C1969" s="410"/>
      <c r="D1969" s="410"/>
      <c r="E1969" s="410"/>
      <c r="F1969" s="410"/>
      <c r="G1969" s="410"/>
      <c r="H1969" s="410"/>
      <c r="I1969" s="410"/>
      <c r="J1969" s="410"/>
      <c r="K1969" s="410"/>
      <c r="L1969" s="410"/>
      <c r="M1969" s="410"/>
      <c r="N1969" s="410"/>
      <c r="R1969" s="410"/>
      <c r="S1969" s="410"/>
      <c r="T1969" s="410"/>
      <c r="U1969" s="410"/>
      <c r="V1969" s="410"/>
      <c r="W1969" s="410"/>
      <c r="X1969" s="410"/>
      <c r="Y1969" s="410"/>
    </row>
    <row r="1970" spans="1:25" x14ac:dyDescent="0.2">
      <c r="A1970" s="410"/>
      <c r="B1970" s="410"/>
      <c r="C1970" s="410"/>
      <c r="D1970" s="410"/>
      <c r="E1970" s="410"/>
      <c r="F1970" s="410"/>
      <c r="G1970" s="410"/>
      <c r="H1970" s="410"/>
      <c r="I1970" s="410"/>
      <c r="J1970" s="410"/>
      <c r="K1970" s="410"/>
      <c r="L1970" s="410"/>
      <c r="M1970" s="410"/>
      <c r="N1970" s="410"/>
      <c r="R1970" s="410"/>
      <c r="S1970" s="410"/>
      <c r="T1970" s="410"/>
      <c r="U1970" s="410"/>
      <c r="V1970" s="410"/>
      <c r="W1970" s="410"/>
      <c r="X1970" s="410"/>
      <c r="Y1970" s="410"/>
    </row>
    <row r="1971" spans="1:25" x14ac:dyDescent="0.2">
      <c r="A1971" s="410"/>
      <c r="B1971" s="410"/>
      <c r="C1971" s="410"/>
      <c r="D1971" s="410"/>
      <c r="E1971" s="410"/>
      <c r="F1971" s="410"/>
      <c r="G1971" s="410"/>
      <c r="H1971" s="410"/>
      <c r="I1971" s="410"/>
      <c r="J1971" s="410"/>
      <c r="K1971" s="410"/>
      <c r="L1971" s="410"/>
      <c r="M1971" s="410"/>
      <c r="N1971" s="410"/>
      <c r="R1971" s="410"/>
      <c r="S1971" s="410"/>
      <c r="T1971" s="410"/>
      <c r="U1971" s="410"/>
      <c r="V1971" s="410"/>
      <c r="W1971" s="410"/>
      <c r="X1971" s="410"/>
      <c r="Y1971" s="410"/>
    </row>
    <row r="1972" spans="1:25" x14ac:dyDescent="0.2">
      <c r="A1972" s="410"/>
      <c r="B1972" s="410"/>
      <c r="C1972" s="410"/>
      <c r="D1972" s="410"/>
      <c r="E1972" s="410"/>
      <c r="F1972" s="410"/>
      <c r="G1972" s="410"/>
      <c r="H1972" s="410"/>
      <c r="I1972" s="410"/>
      <c r="J1972" s="410"/>
      <c r="K1972" s="410"/>
      <c r="L1972" s="410"/>
      <c r="M1972" s="410"/>
      <c r="N1972" s="410"/>
      <c r="R1972" s="410"/>
      <c r="S1972" s="410"/>
      <c r="T1972" s="410"/>
      <c r="U1972" s="410"/>
      <c r="V1972" s="410"/>
      <c r="W1972" s="410"/>
      <c r="X1972" s="410"/>
      <c r="Y1972" s="410"/>
    </row>
    <row r="1973" spans="1:25" x14ac:dyDescent="0.2">
      <c r="A1973" s="410"/>
      <c r="B1973" s="410"/>
      <c r="C1973" s="410"/>
      <c r="D1973" s="410"/>
      <c r="E1973" s="410"/>
      <c r="F1973" s="410"/>
      <c r="G1973" s="410"/>
      <c r="H1973" s="410"/>
      <c r="I1973" s="410"/>
      <c r="J1973" s="410"/>
      <c r="K1973" s="410"/>
      <c r="L1973" s="410"/>
      <c r="M1973" s="410"/>
      <c r="N1973" s="410"/>
      <c r="R1973" s="410"/>
      <c r="S1973" s="410"/>
      <c r="T1973" s="410"/>
      <c r="U1973" s="410"/>
      <c r="V1973" s="410"/>
      <c r="W1973" s="410"/>
      <c r="X1973" s="410"/>
      <c r="Y1973" s="410"/>
    </row>
    <row r="1974" spans="1:25" x14ac:dyDescent="0.2">
      <c r="A1974" s="410"/>
      <c r="B1974" s="410"/>
      <c r="C1974" s="410"/>
      <c r="D1974" s="410"/>
      <c r="E1974" s="410"/>
      <c r="F1974" s="410"/>
      <c r="G1974" s="410"/>
      <c r="H1974" s="410"/>
      <c r="I1974" s="410"/>
      <c r="J1974" s="410"/>
      <c r="K1974" s="410"/>
      <c r="L1974" s="410"/>
      <c r="M1974" s="410"/>
      <c r="N1974" s="410"/>
      <c r="R1974" s="410"/>
      <c r="S1974" s="410"/>
      <c r="T1974" s="410"/>
      <c r="U1974" s="410"/>
      <c r="V1974" s="410"/>
      <c r="W1974" s="410"/>
      <c r="X1974" s="410"/>
      <c r="Y1974" s="410"/>
    </row>
    <row r="1975" spans="1:25" x14ac:dyDescent="0.2">
      <c r="A1975" s="410"/>
      <c r="B1975" s="410"/>
      <c r="C1975" s="410"/>
      <c r="D1975" s="410"/>
      <c r="E1975" s="410"/>
      <c r="F1975" s="410"/>
      <c r="G1975" s="410"/>
      <c r="H1975" s="410"/>
      <c r="I1975" s="410"/>
      <c r="J1975" s="410"/>
      <c r="K1975" s="410"/>
      <c r="L1975" s="410"/>
      <c r="M1975" s="410"/>
      <c r="N1975" s="410"/>
      <c r="R1975" s="410"/>
      <c r="S1975" s="410"/>
      <c r="T1975" s="410"/>
      <c r="U1975" s="410"/>
      <c r="V1975" s="410"/>
      <c r="W1975" s="410"/>
      <c r="X1975" s="410"/>
      <c r="Y1975" s="410"/>
    </row>
    <row r="1976" spans="1:25" x14ac:dyDescent="0.2">
      <c r="A1976" s="410"/>
      <c r="B1976" s="410"/>
      <c r="C1976" s="410"/>
      <c r="D1976" s="410"/>
      <c r="E1976" s="410"/>
      <c r="F1976" s="410"/>
      <c r="G1976" s="410"/>
      <c r="H1976" s="410"/>
      <c r="I1976" s="410"/>
      <c r="J1976" s="410"/>
      <c r="K1976" s="410"/>
      <c r="L1976" s="410"/>
      <c r="M1976" s="410"/>
      <c r="N1976" s="410"/>
      <c r="R1976" s="410"/>
      <c r="S1976" s="410"/>
      <c r="T1976" s="410"/>
      <c r="U1976" s="410"/>
      <c r="V1976" s="410"/>
      <c r="W1976" s="410"/>
      <c r="X1976" s="410"/>
      <c r="Y1976" s="410"/>
    </row>
    <row r="1977" spans="1:25" x14ac:dyDescent="0.2">
      <c r="A1977" s="410"/>
      <c r="B1977" s="410"/>
      <c r="C1977" s="410"/>
      <c r="D1977" s="410"/>
      <c r="E1977" s="410"/>
      <c r="F1977" s="410"/>
      <c r="G1977" s="410"/>
      <c r="H1977" s="410"/>
      <c r="I1977" s="410"/>
      <c r="J1977" s="410"/>
      <c r="K1977" s="410"/>
      <c r="L1977" s="410"/>
      <c r="M1977" s="410"/>
      <c r="N1977" s="410"/>
      <c r="R1977" s="410"/>
      <c r="S1977" s="410"/>
      <c r="T1977" s="410"/>
      <c r="U1977" s="410"/>
      <c r="V1977" s="410"/>
      <c r="W1977" s="410"/>
      <c r="X1977" s="410"/>
      <c r="Y1977" s="410"/>
    </row>
    <row r="1978" spans="1:25" x14ac:dyDescent="0.2">
      <c r="A1978" s="410"/>
      <c r="B1978" s="410"/>
      <c r="C1978" s="410"/>
      <c r="D1978" s="410"/>
      <c r="E1978" s="410"/>
      <c r="F1978" s="410"/>
      <c r="G1978" s="410"/>
      <c r="H1978" s="410"/>
      <c r="I1978" s="410"/>
      <c r="J1978" s="410"/>
      <c r="K1978" s="410"/>
      <c r="L1978" s="410"/>
      <c r="M1978" s="410"/>
      <c r="N1978" s="410"/>
      <c r="R1978" s="410"/>
      <c r="S1978" s="410"/>
      <c r="T1978" s="410"/>
      <c r="U1978" s="410"/>
      <c r="V1978" s="410"/>
      <c r="W1978" s="410"/>
      <c r="X1978" s="410"/>
      <c r="Y1978" s="410"/>
    </row>
    <row r="1979" spans="1:25" x14ac:dyDescent="0.2">
      <c r="A1979" s="410"/>
      <c r="B1979" s="410"/>
      <c r="C1979" s="410"/>
      <c r="D1979" s="410"/>
      <c r="E1979" s="410"/>
      <c r="F1979" s="410"/>
      <c r="G1979" s="410"/>
      <c r="H1979" s="410"/>
      <c r="I1979" s="410"/>
      <c r="J1979" s="410"/>
      <c r="K1979" s="410"/>
      <c r="L1979" s="410"/>
      <c r="M1979" s="410"/>
      <c r="N1979" s="410"/>
      <c r="R1979" s="410"/>
      <c r="S1979" s="410"/>
      <c r="T1979" s="410"/>
      <c r="U1979" s="410"/>
      <c r="V1979" s="410"/>
      <c r="W1979" s="410"/>
      <c r="X1979" s="410"/>
      <c r="Y1979" s="410"/>
    </row>
    <row r="1980" spans="1:25" x14ac:dyDescent="0.2">
      <c r="A1980" s="410"/>
      <c r="B1980" s="410"/>
      <c r="C1980" s="410"/>
      <c r="D1980" s="410"/>
      <c r="E1980" s="410"/>
      <c r="F1980" s="410"/>
      <c r="G1980" s="410"/>
      <c r="H1980" s="410"/>
      <c r="I1980" s="410"/>
      <c r="J1980" s="410"/>
      <c r="K1980" s="410"/>
      <c r="L1980" s="410"/>
      <c r="M1980" s="410"/>
      <c r="N1980" s="410"/>
      <c r="R1980" s="410"/>
      <c r="S1980" s="410"/>
      <c r="T1980" s="410"/>
      <c r="U1980" s="410"/>
      <c r="V1980" s="410"/>
      <c r="W1980" s="410"/>
      <c r="X1980" s="410"/>
      <c r="Y1980" s="410"/>
    </row>
    <row r="1981" spans="1:25" x14ac:dyDescent="0.2">
      <c r="A1981" s="410"/>
      <c r="B1981" s="410"/>
      <c r="C1981" s="410"/>
      <c r="D1981" s="410"/>
      <c r="E1981" s="410"/>
      <c r="F1981" s="410"/>
      <c r="G1981" s="410"/>
      <c r="H1981" s="410"/>
      <c r="I1981" s="410"/>
      <c r="J1981" s="410"/>
      <c r="K1981" s="410"/>
      <c r="L1981" s="410"/>
      <c r="M1981" s="410"/>
      <c r="N1981" s="410"/>
      <c r="R1981" s="410"/>
      <c r="S1981" s="410"/>
      <c r="T1981" s="410"/>
      <c r="U1981" s="410"/>
      <c r="V1981" s="410"/>
      <c r="W1981" s="410"/>
      <c r="X1981" s="410"/>
      <c r="Y1981" s="410"/>
    </row>
    <row r="1982" spans="1:25" x14ac:dyDescent="0.2">
      <c r="A1982" s="410"/>
      <c r="B1982" s="410"/>
      <c r="C1982" s="410"/>
      <c r="D1982" s="410"/>
      <c r="E1982" s="410"/>
      <c r="F1982" s="410"/>
      <c r="G1982" s="410"/>
      <c r="H1982" s="410"/>
      <c r="I1982" s="410"/>
      <c r="J1982" s="410"/>
      <c r="K1982" s="410"/>
      <c r="L1982" s="410"/>
      <c r="M1982" s="410"/>
      <c r="N1982" s="410"/>
      <c r="R1982" s="410"/>
      <c r="S1982" s="410"/>
      <c r="T1982" s="410"/>
      <c r="U1982" s="410"/>
      <c r="V1982" s="410"/>
      <c r="W1982" s="410"/>
      <c r="X1982" s="410"/>
      <c r="Y1982" s="410"/>
    </row>
    <row r="1983" spans="1:25" x14ac:dyDescent="0.2">
      <c r="A1983" s="410"/>
      <c r="B1983" s="410"/>
      <c r="C1983" s="410"/>
      <c r="D1983" s="410"/>
      <c r="E1983" s="410"/>
      <c r="F1983" s="410"/>
      <c r="G1983" s="410"/>
      <c r="H1983" s="410"/>
      <c r="I1983" s="410"/>
      <c r="J1983" s="410"/>
      <c r="K1983" s="410"/>
      <c r="L1983" s="410"/>
      <c r="M1983" s="410"/>
      <c r="N1983" s="410"/>
      <c r="R1983" s="410"/>
      <c r="S1983" s="410"/>
      <c r="T1983" s="410"/>
      <c r="U1983" s="410"/>
      <c r="V1983" s="410"/>
      <c r="W1983" s="410"/>
      <c r="X1983" s="410"/>
      <c r="Y1983" s="410"/>
    </row>
    <row r="1984" spans="1:25" x14ac:dyDescent="0.2">
      <c r="A1984" s="410"/>
      <c r="B1984" s="410"/>
      <c r="C1984" s="410"/>
      <c r="D1984" s="410"/>
      <c r="E1984" s="410"/>
      <c r="F1984" s="410"/>
      <c r="G1984" s="410"/>
      <c r="H1984" s="410"/>
      <c r="I1984" s="410"/>
      <c r="J1984" s="410"/>
      <c r="K1984" s="410"/>
      <c r="L1984" s="410"/>
      <c r="M1984" s="410"/>
      <c r="N1984" s="410"/>
      <c r="R1984" s="410"/>
      <c r="S1984" s="410"/>
      <c r="T1984" s="410"/>
      <c r="U1984" s="410"/>
      <c r="V1984" s="410"/>
      <c r="W1984" s="410"/>
      <c r="X1984" s="410"/>
      <c r="Y1984" s="410"/>
    </row>
    <row r="1985" spans="1:25" x14ac:dyDescent="0.2">
      <c r="A1985" s="410"/>
      <c r="B1985" s="410"/>
      <c r="C1985" s="410"/>
      <c r="D1985" s="410"/>
      <c r="E1985" s="410"/>
      <c r="F1985" s="410"/>
      <c r="G1985" s="410"/>
      <c r="H1985" s="410"/>
      <c r="I1985" s="410"/>
      <c r="J1985" s="410"/>
      <c r="K1985" s="410"/>
      <c r="L1985" s="410"/>
      <c r="M1985" s="410"/>
      <c r="N1985" s="410"/>
      <c r="R1985" s="410"/>
      <c r="S1985" s="410"/>
      <c r="T1985" s="410"/>
      <c r="U1985" s="410"/>
      <c r="V1985" s="410"/>
      <c r="W1985" s="410"/>
      <c r="X1985" s="410"/>
      <c r="Y1985" s="410"/>
    </row>
    <row r="1986" spans="1:25" x14ac:dyDescent="0.2">
      <c r="A1986" s="410"/>
      <c r="B1986" s="410"/>
      <c r="C1986" s="410"/>
      <c r="D1986" s="410"/>
      <c r="E1986" s="410"/>
      <c r="F1986" s="410"/>
      <c r="G1986" s="410"/>
      <c r="H1986" s="410"/>
      <c r="I1986" s="410"/>
      <c r="J1986" s="410"/>
      <c r="K1986" s="410"/>
      <c r="L1986" s="410"/>
      <c r="M1986" s="410"/>
      <c r="N1986" s="410"/>
      <c r="R1986" s="410"/>
      <c r="S1986" s="410"/>
      <c r="T1986" s="410"/>
      <c r="U1986" s="410"/>
      <c r="V1986" s="410"/>
      <c r="W1986" s="410"/>
      <c r="X1986" s="410"/>
      <c r="Y1986" s="410"/>
    </row>
    <row r="1987" spans="1:25" x14ac:dyDescent="0.2">
      <c r="A1987" s="410"/>
      <c r="B1987" s="410"/>
      <c r="C1987" s="410"/>
      <c r="D1987" s="410"/>
      <c r="E1987" s="410"/>
      <c r="F1987" s="410"/>
      <c r="G1987" s="410"/>
      <c r="H1987" s="410"/>
      <c r="I1987" s="410"/>
      <c r="J1987" s="410"/>
      <c r="K1987" s="410"/>
      <c r="L1987" s="410"/>
      <c r="M1987" s="410"/>
      <c r="N1987" s="410"/>
      <c r="R1987" s="410"/>
      <c r="S1987" s="410"/>
      <c r="T1987" s="410"/>
      <c r="U1987" s="410"/>
      <c r="V1987" s="410"/>
      <c r="W1987" s="410"/>
      <c r="X1987" s="410"/>
      <c r="Y1987" s="410"/>
    </row>
    <row r="1988" spans="1:25" x14ac:dyDescent="0.2">
      <c r="A1988" s="410"/>
      <c r="B1988" s="410"/>
      <c r="C1988" s="410"/>
      <c r="D1988" s="410"/>
      <c r="E1988" s="410"/>
      <c r="F1988" s="410"/>
      <c r="G1988" s="410"/>
      <c r="H1988" s="410"/>
      <c r="I1988" s="410"/>
      <c r="J1988" s="410"/>
      <c r="K1988" s="410"/>
      <c r="L1988" s="410"/>
      <c r="M1988" s="410"/>
      <c r="N1988" s="410"/>
      <c r="R1988" s="410"/>
      <c r="S1988" s="410"/>
      <c r="T1988" s="410"/>
      <c r="U1988" s="410"/>
      <c r="V1988" s="410"/>
      <c r="W1988" s="410"/>
      <c r="X1988" s="410"/>
      <c r="Y1988" s="410"/>
    </row>
    <row r="1989" spans="1:25" x14ac:dyDescent="0.2">
      <c r="A1989" s="410"/>
      <c r="B1989" s="410"/>
      <c r="C1989" s="410"/>
      <c r="D1989" s="410"/>
      <c r="E1989" s="410"/>
      <c r="F1989" s="410"/>
      <c r="G1989" s="410"/>
      <c r="H1989" s="410"/>
      <c r="I1989" s="410"/>
      <c r="J1989" s="410"/>
      <c r="K1989" s="410"/>
      <c r="L1989" s="410"/>
      <c r="M1989" s="410"/>
      <c r="N1989" s="410"/>
      <c r="R1989" s="410"/>
      <c r="S1989" s="410"/>
      <c r="T1989" s="410"/>
      <c r="U1989" s="410"/>
      <c r="V1989" s="410"/>
      <c r="W1989" s="410"/>
      <c r="X1989" s="410"/>
      <c r="Y1989" s="410"/>
    </row>
    <row r="1990" spans="1:25" x14ac:dyDescent="0.2">
      <c r="A1990" s="410"/>
      <c r="B1990" s="410"/>
      <c r="C1990" s="410"/>
      <c r="D1990" s="410"/>
      <c r="E1990" s="410"/>
      <c r="F1990" s="410"/>
      <c r="G1990" s="410"/>
      <c r="H1990" s="410"/>
      <c r="I1990" s="410"/>
      <c r="J1990" s="410"/>
      <c r="K1990" s="410"/>
      <c r="L1990" s="410"/>
      <c r="M1990" s="410"/>
      <c r="N1990" s="410"/>
      <c r="R1990" s="410"/>
      <c r="S1990" s="410"/>
      <c r="T1990" s="410"/>
      <c r="U1990" s="410"/>
      <c r="V1990" s="410"/>
      <c r="W1990" s="410"/>
      <c r="X1990" s="410"/>
      <c r="Y1990" s="410"/>
    </row>
    <row r="1991" spans="1:25" x14ac:dyDescent="0.2">
      <c r="A1991" s="410"/>
      <c r="B1991" s="410"/>
      <c r="C1991" s="410"/>
      <c r="D1991" s="410"/>
      <c r="E1991" s="410"/>
      <c r="F1991" s="410"/>
      <c r="G1991" s="410"/>
      <c r="H1991" s="410"/>
      <c r="I1991" s="410"/>
      <c r="J1991" s="410"/>
      <c r="K1991" s="410"/>
      <c r="L1991" s="410"/>
      <c r="M1991" s="410"/>
      <c r="N1991" s="410"/>
      <c r="R1991" s="410"/>
      <c r="S1991" s="410"/>
      <c r="T1991" s="410"/>
      <c r="U1991" s="410"/>
      <c r="V1991" s="410"/>
      <c r="W1991" s="410"/>
      <c r="X1991" s="410"/>
      <c r="Y1991" s="410"/>
    </row>
    <row r="1992" spans="1:25" x14ac:dyDescent="0.2">
      <c r="A1992" s="410"/>
      <c r="B1992" s="410"/>
      <c r="C1992" s="410"/>
      <c r="D1992" s="410"/>
      <c r="E1992" s="410"/>
      <c r="F1992" s="410"/>
      <c r="G1992" s="410"/>
      <c r="H1992" s="410"/>
      <c r="I1992" s="410"/>
      <c r="J1992" s="410"/>
      <c r="K1992" s="410"/>
      <c r="L1992" s="410"/>
      <c r="M1992" s="410"/>
      <c r="N1992" s="410"/>
      <c r="R1992" s="410"/>
      <c r="S1992" s="410"/>
      <c r="T1992" s="410"/>
      <c r="U1992" s="410"/>
      <c r="V1992" s="410"/>
      <c r="W1992" s="410"/>
      <c r="X1992" s="410"/>
      <c r="Y1992" s="410"/>
    </row>
    <row r="1993" spans="1:25" x14ac:dyDescent="0.2">
      <c r="A1993" s="410"/>
      <c r="B1993" s="410"/>
      <c r="C1993" s="410"/>
      <c r="D1993" s="410"/>
      <c r="E1993" s="410"/>
      <c r="F1993" s="410"/>
      <c r="G1993" s="410"/>
      <c r="H1993" s="410"/>
      <c r="I1993" s="410"/>
      <c r="J1993" s="410"/>
      <c r="K1993" s="410"/>
      <c r="L1993" s="410"/>
      <c r="M1993" s="410"/>
      <c r="N1993" s="410"/>
      <c r="R1993" s="410"/>
      <c r="S1993" s="410"/>
      <c r="T1993" s="410"/>
      <c r="U1993" s="410"/>
      <c r="V1993" s="410"/>
      <c r="W1993" s="410"/>
      <c r="X1993" s="410"/>
      <c r="Y1993" s="410"/>
    </row>
    <row r="1994" spans="1:25" x14ac:dyDescent="0.2">
      <c r="A1994" s="410"/>
      <c r="B1994" s="410"/>
      <c r="C1994" s="410"/>
      <c r="D1994" s="410"/>
      <c r="E1994" s="410"/>
      <c r="F1994" s="410"/>
      <c r="G1994" s="410"/>
      <c r="H1994" s="410"/>
      <c r="I1994" s="410"/>
      <c r="J1994" s="410"/>
      <c r="K1994" s="410"/>
      <c r="L1994" s="410"/>
      <c r="M1994" s="410"/>
      <c r="N1994" s="410"/>
      <c r="R1994" s="410"/>
      <c r="S1994" s="410"/>
      <c r="T1994" s="410"/>
      <c r="U1994" s="410"/>
      <c r="V1994" s="410"/>
      <c r="W1994" s="410"/>
      <c r="X1994" s="410"/>
      <c r="Y1994" s="410"/>
    </row>
    <row r="1995" spans="1:25" x14ac:dyDescent="0.2">
      <c r="A1995" s="410"/>
      <c r="B1995" s="410"/>
      <c r="C1995" s="410"/>
      <c r="D1995" s="410"/>
      <c r="E1995" s="410"/>
      <c r="F1995" s="410"/>
      <c r="G1995" s="410"/>
      <c r="H1995" s="410"/>
      <c r="I1995" s="410"/>
      <c r="J1995" s="410"/>
      <c r="K1995" s="410"/>
      <c r="L1995" s="410"/>
      <c r="M1995" s="410"/>
      <c r="N1995" s="410"/>
      <c r="R1995" s="410"/>
      <c r="S1995" s="410"/>
      <c r="T1995" s="410"/>
      <c r="U1995" s="410"/>
      <c r="V1995" s="410"/>
      <c r="W1995" s="410"/>
      <c r="X1995" s="410"/>
      <c r="Y1995" s="410"/>
    </row>
    <row r="1996" spans="1:25" x14ac:dyDescent="0.2">
      <c r="A1996" s="410"/>
      <c r="B1996" s="410"/>
      <c r="C1996" s="410"/>
      <c r="D1996" s="410"/>
      <c r="E1996" s="410"/>
      <c r="F1996" s="410"/>
      <c r="G1996" s="410"/>
      <c r="H1996" s="410"/>
      <c r="I1996" s="410"/>
      <c r="J1996" s="410"/>
      <c r="K1996" s="410"/>
      <c r="L1996" s="410"/>
      <c r="M1996" s="410"/>
      <c r="N1996" s="410"/>
      <c r="R1996" s="410"/>
      <c r="S1996" s="410"/>
      <c r="T1996" s="410"/>
      <c r="U1996" s="410"/>
      <c r="V1996" s="410"/>
      <c r="W1996" s="410"/>
      <c r="X1996" s="410"/>
      <c r="Y1996" s="410"/>
    </row>
    <row r="1997" spans="1:25" x14ac:dyDescent="0.2">
      <c r="A1997" s="410"/>
      <c r="B1997" s="410"/>
      <c r="C1997" s="410"/>
      <c r="D1997" s="410"/>
      <c r="E1997" s="410"/>
      <c r="F1997" s="410"/>
      <c r="G1997" s="410"/>
      <c r="H1997" s="410"/>
      <c r="I1997" s="410"/>
      <c r="J1997" s="410"/>
      <c r="K1997" s="410"/>
      <c r="L1997" s="410"/>
      <c r="M1997" s="410"/>
      <c r="N1997" s="410"/>
      <c r="R1997" s="410"/>
      <c r="S1997" s="410"/>
      <c r="T1997" s="410"/>
      <c r="U1997" s="410"/>
      <c r="V1997" s="410"/>
      <c r="W1997" s="410"/>
      <c r="X1997" s="410"/>
      <c r="Y1997" s="410"/>
    </row>
    <row r="1998" spans="1:25" x14ac:dyDescent="0.2">
      <c r="A1998" s="410"/>
      <c r="B1998" s="410"/>
      <c r="C1998" s="410"/>
      <c r="D1998" s="410"/>
      <c r="E1998" s="410"/>
      <c r="F1998" s="410"/>
      <c r="G1998" s="410"/>
      <c r="H1998" s="410"/>
      <c r="I1998" s="410"/>
      <c r="J1998" s="410"/>
      <c r="K1998" s="410"/>
      <c r="L1998" s="410"/>
      <c r="M1998" s="410"/>
      <c r="N1998" s="410"/>
      <c r="R1998" s="410"/>
      <c r="S1998" s="410"/>
      <c r="T1998" s="410"/>
      <c r="U1998" s="410"/>
      <c r="V1998" s="410"/>
      <c r="W1998" s="410"/>
      <c r="X1998" s="410"/>
      <c r="Y1998" s="410"/>
    </row>
    <row r="1999" spans="1:25" x14ac:dyDescent="0.2">
      <c r="A1999" s="410"/>
      <c r="B1999" s="410"/>
      <c r="C1999" s="410"/>
      <c r="D1999" s="410"/>
      <c r="E1999" s="410"/>
      <c r="F1999" s="410"/>
      <c r="G1999" s="410"/>
      <c r="H1999" s="410"/>
      <c r="I1999" s="410"/>
      <c r="J1999" s="410"/>
      <c r="K1999" s="410"/>
      <c r="L1999" s="410"/>
      <c r="M1999" s="410"/>
      <c r="N1999" s="410"/>
      <c r="R1999" s="410"/>
      <c r="S1999" s="410"/>
      <c r="T1999" s="410"/>
      <c r="U1999" s="410"/>
      <c r="V1999" s="410"/>
      <c r="W1999" s="410"/>
      <c r="X1999" s="410"/>
      <c r="Y1999" s="410"/>
    </row>
    <row r="2000" spans="1:25" x14ac:dyDescent="0.2">
      <c r="A2000" s="410"/>
      <c r="B2000" s="410"/>
      <c r="C2000" s="410"/>
      <c r="D2000" s="410"/>
      <c r="E2000" s="410"/>
      <c r="F2000" s="410"/>
      <c r="G2000" s="410"/>
      <c r="H2000" s="410"/>
      <c r="I2000" s="410"/>
      <c r="J2000" s="410"/>
      <c r="K2000" s="410"/>
      <c r="L2000" s="410"/>
      <c r="M2000" s="410"/>
      <c r="N2000" s="410"/>
      <c r="R2000" s="410"/>
      <c r="S2000" s="410"/>
      <c r="T2000" s="410"/>
      <c r="U2000" s="410"/>
      <c r="V2000" s="410"/>
      <c r="W2000" s="410"/>
      <c r="X2000" s="410"/>
      <c r="Y2000" s="410"/>
    </row>
    <row r="2001" spans="1:25" x14ac:dyDescent="0.2">
      <c r="A2001" s="410"/>
      <c r="B2001" s="410"/>
      <c r="C2001" s="410"/>
      <c r="D2001" s="410"/>
      <c r="E2001" s="410"/>
      <c r="F2001" s="410"/>
      <c r="G2001" s="410"/>
      <c r="H2001" s="410"/>
      <c r="I2001" s="410"/>
      <c r="J2001" s="410"/>
      <c r="K2001" s="410"/>
      <c r="L2001" s="410"/>
      <c r="M2001" s="410"/>
      <c r="N2001" s="410"/>
      <c r="R2001" s="410"/>
      <c r="S2001" s="410"/>
      <c r="T2001" s="410"/>
      <c r="U2001" s="410"/>
      <c r="V2001" s="410"/>
      <c r="W2001" s="410"/>
      <c r="X2001" s="410"/>
      <c r="Y2001" s="410"/>
    </row>
    <row r="2002" spans="1:25" x14ac:dyDescent="0.2">
      <c r="A2002" s="410"/>
      <c r="B2002" s="410"/>
      <c r="C2002" s="410"/>
      <c r="D2002" s="410"/>
      <c r="E2002" s="410"/>
      <c r="F2002" s="410"/>
      <c r="G2002" s="410"/>
      <c r="H2002" s="410"/>
      <c r="I2002" s="410"/>
      <c r="J2002" s="410"/>
      <c r="K2002" s="410"/>
      <c r="L2002" s="410"/>
      <c r="M2002" s="410"/>
      <c r="N2002" s="410"/>
      <c r="R2002" s="410"/>
      <c r="S2002" s="410"/>
      <c r="T2002" s="410"/>
      <c r="U2002" s="410"/>
      <c r="V2002" s="410"/>
      <c r="W2002" s="410"/>
      <c r="X2002" s="410"/>
      <c r="Y2002" s="410"/>
    </row>
    <row r="2003" spans="1:25" x14ac:dyDescent="0.2">
      <c r="A2003" s="410"/>
      <c r="B2003" s="410"/>
      <c r="C2003" s="410"/>
      <c r="D2003" s="410"/>
      <c r="E2003" s="410"/>
      <c r="F2003" s="410"/>
      <c r="G2003" s="410"/>
      <c r="H2003" s="410"/>
      <c r="I2003" s="410"/>
      <c r="J2003" s="410"/>
      <c r="K2003" s="410"/>
      <c r="L2003" s="410"/>
      <c r="M2003" s="410"/>
      <c r="N2003" s="410"/>
      <c r="R2003" s="410"/>
      <c r="S2003" s="410"/>
      <c r="T2003" s="410"/>
      <c r="U2003" s="410"/>
      <c r="V2003" s="410"/>
      <c r="W2003" s="410"/>
      <c r="X2003" s="410"/>
      <c r="Y2003" s="410"/>
    </row>
    <row r="2004" spans="1:25" x14ac:dyDescent="0.2">
      <c r="A2004" s="410"/>
      <c r="B2004" s="410"/>
      <c r="C2004" s="410"/>
      <c r="D2004" s="410"/>
      <c r="E2004" s="410"/>
      <c r="F2004" s="410"/>
      <c r="G2004" s="410"/>
      <c r="H2004" s="410"/>
      <c r="I2004" s="410"/>
      <c r="J2004" s="410"/>
      <c r="K2004" s="410"/>
      <c r="L2004" s="410"/>
      <c r="M2004" s="410"/>
      <c r="N2004" s="410"/>
      <c r="R2004" s="410"/>
      <c r="S2004" s="410"/>
      <c r="T2004" s="410"/>
      <c r="U2004" s="410"/>
      <c r="V2004" s="410"/>
      <c r="W2004" s="410"/>
      <c r="X2004" s="410"/>
      <c r="Y2004" s="410"/>
    </row>
    <row r="2005" spans="1:25" x14ac:dyDescent="0.2">
      <c r="A2005" s="410"/>
      <c r="B2005" s="410"/>
      <c r="C2005" s="410"/>
      <c r="D2005" s="410"/>
      <c r="E2005" s="410"/>
      <c r="F2005" s="410"/>
      <c r="G2005" s="410"/>
      <c r="H2005" s="410"/>
      <c r="I2005" s="410"/>
      <c r="J2005" s="410"/>
      <c r="K2005" s="410"/>
      <c r="L2005" s="410"/>
      <c r="M2005" s="410"/>
      <c r="N2005" s="410"/>
      <c r="R2005" s="410"/>
      <c r="S2005" s="410"/>
      <c r="T2005" s="410"/>
      <c r="U2005" s="410"/>
      <c r="V2005" s="410"/>
      <c r="W2005" s="410"/>
      <c r="X2005" s="410"/>
      <c r="Y2005" s="410"/>
    </row>
    <row r="2006" spans="1:25" x14ac:dyDescent="0.2">
      <c r="A2006" s="410"/>
      <c r="B2006" s="410"/>
      <c r="C2006" s="410"/>
      <c r="D2006" s="410"/>
      <c r="E2006" s="410"/>
      <c r="F2006" s="410"/>
      <c r="G2006" s="410"/>
      <c r="H2006" s="410"/>
      <c r="I2006" s="410"/>
      <c r="J2006" s="410"/>
      <c r="K2006" s="410"/>
      <c r="L2006" s="410"/>
      <c r="M2006" s="410"/>
      <c r="N2006" s="410"/>
      <c r="R2006" s="410"/>
      <c r="S2006" s="410"/>
      <c r="T2006" s="410"/>
      <c r="U2006" s="410"/>
      <c r="V2006" s="410"/>
      <c r="W2006" s="410"/>
      <c r="X2006" s="410"/>
      <c r="Y2006" s="410"/>
    </row>
    <row r="2007" spans="1:25" x14ac:dyDescent="0.2">
      <c r="A2007" s="410"/>
      <c r="B2007" s="410"/>
      <c r="C2007" s="410"/>
      <c r="D2007" s="410"/>
      <c r="E2007" s="410"/>
      <c r="F2007" s="410"/>
      <c r="G2007" s="410"/>
      <c r="H2007" s="410"/>
      <c r="I2007" s="410"/>
      <c r="J2007" s="410"/>
      <c r="K2007" s="410"/>
      <c r="L2007" s="410"/>
      <c r="M2007" s="410"/>
      <c r="N2007" s="410"/>
      <c r="R2007" s="410"/>
      <c r="S2007" s="410"/>
      <c r="T2007" s="410"/>
      <c r="U2007" s="410"/>
      <c r="V2007" s="410"/>
      <c r="W2007" s="410"/>
      <c r="X2007" s="410"/>
      <c r="Y2007" s="410"/>
    </row>
    <row r="2008" spans="1:25" x14ac:dyDescent="0.2">
      <c r="A2008" s="410"/>
      <c r="B2008" s="410"/>
      <c r="C2008" s="410"/>
      <c r="D2008" s="410"/>
      <c r="E2008" s="410"/>
      <c r="F2008" s="410"/>
      <c r="G2008" s="410"/>
      <c r="H2008" s="410"/>
      <c r="I2008" s="410"/>
      <c r="J2008" s="410"/>
      <c r="K2008" s="410"/>
      <c r="L2008" s="410"/>
      <c r="M2008" s="410"/>
      <c r="N2008" s="410"/>
      <c r="R2008" s="410"/>
      <c r="S2008" s="410"/>
      <c r="T2008" s="410"/>
      <c r="U2008" s="410"/>
      <c r="V2008" s="410"/>
      <c r="W2008" s="410"/>
      <c r="X2008" s="410"/>
      <c r="Y2008" s="410"/>
    </row>
    <row r="2009" spans="1:25" x14ac:dyDescent="0.2">
      <c r="A2009" s="410"/>
      <c r="B2009" s="410"/>
      <c r="C2009" s="410"/>
      <c r="D2009" s="410"/>
      <c r="E2009" s="410"/>
      <c r="F2009" s="410"/>
      <c r="G2009" s="410"/>
      <c r="H2009" s="410"/>
      <c r="I2009" s="410"/>
      <c r="J2009" s="410"/>
      <c r="K2009" s="410"/>
      <c r="L2009" s="410"/>
      <c r="M2009" s="410"/>
      <c r="N2009" s="410"/>
      <c r="R2009" s="410"/>
      <c r="S2009" s="410"/>
      <c r="T2009" s="410"/>
      <c r="U2009" s="410"/>
      <c r="V2009" s="410"/>
      <c r="W2009" s="410"/>
      <c r="X2009" s="410"/>
      <c r="Y2009" s="410"/>
    </row>
    <row r="2010" spans="1:25" x14ac:dyDescent="0.2">
      <c r="A2010" s="410"/>
      <c r="B2010" s="410"/>
      <c r="C2010" s="410"/>
      <c r="D2010" s="410"/>
      <c r="E2010" s="410"/>
      <c r="F2010" s="410"/>
      <c r="G2010" s="410"/>
      <c r="H2010" s="410"/>
      <c r="I2010" s="410"/>
      <c r="J2010" s="410"/>
      <c r="K2010" s="410"/>
      <c r="L2010" s="410"/>
      <c r="M2010" s="410"/>
      <c r="N2010" s="410"/>
      <c r="R2010" s="410"/>
      <c r="S2010" s="410"/>
      <c r="T2010" s="410"/>
      <c r="U2010" s="410"/>
      <c r="V2010" s="410"/>
      <c r="W2010" s="410"/>
      <c r="X2010" s="410"/>
      <c r="Y2010" s="410"/>
    </row>
    <row r="2011" spans="1:25" x14ac:dyDescent="0.2">
      <c r="A2011" s="410"/>
      <c r="B2011" s="410"/>
      <c r="C2011" s="410"/>
      <c r="D2011" s="410"/>
      <c r="E2011" s="410"/>
      <c r="F2011" s="410"/>
      <c r="G2011" s="410"/>
      <c r="H2011" s="410"/>
      <c r="I2011" s="410"/>
      <c r="J2011" s="410"/>
      <c r="K2011" s="410"/>
      <c r="L2011" s="410"/>
      <c r="M2011" s="410"/>
      <c r="N2011" s="410"/>
      <c r="R2011" s="410"/>
      <c r="S2011" s="410"/>
      <c r="T2011" s="410"/>
      <c r="U2011" s="410"/>
      <c r="V2011" s="410"/>
      <c r="W2011" s="410"/>
      <c r="X2011" s="410"/>
      <c r="Y2011" s="410"/>
    </row>
    <row r="2012" spans="1:25" x14ac:dyDescent="0.2">
      <c r="A2012" s="410"/>
      <c r="B2012" s="410"/>
      <c r="C2012" s="410"/>
      <c r="D2012" s="410"/>
      <c r="E2012" s="410"/>
      <c r="F2012" s="410"/>
      <c r="G2012" s="410"/>
      <c r="H2012" s="410"/>
      <c r="I2012" s="410"/>
      <c r="J2012" s="410"/>
      <c r="K2012" s="410"/>
      <c r="L2012" s="410"/>
      <c r="M2012" s="410"/>
      <c r="N2012" s="410"/>
      <c r="R2012" s="410"/>
      <c r="S2012" s="410"/>
      <c r="T2012" s="410"/>
      <c r="U2012" s="410"/>
      <c r="V2012" s="410"/>
      <c r="W2012" s="410"/>
      <c r="X2012" s="410"/>
      <c r="Y2012" s="410"/>
    </row>
    <row r="2013" spans="1:25" x14ac:dyDescent="0.2">
      <c r="A2013" s="410"/>
      <c r="B2013" s="410"/>
      <c r="C2013" s="410"/>
      <c r="D2013" s="410"/>
      <c r="E2013" s="410"/>
      <c r="F2013" s="410"/>
      <c r="G2013" s="410"/>
      <c r="H2013" s="410"/>
      <c r="I2013" s="410"/>
      <c r="J2013" s="410"/>
      <c r="K2013" s="410"/>
      <c r="L2013" s="410"/>
      <c r="M2013" s="410"/>
      <c r="N2013" s="410"/>
      <c r="R2013" s="410"/>
      <c r="S2013" s="410"/>
      <c r="T2013" s="410"/>
      <c r="U2013" s="410"/>
      <c r="V2013" s="410"/>
      <c r="W2013" s="410"/>
      <c r="X2013" s="410"/>
      <c r="Y2013" s="410"/>
    </row>
    <row r="2014" spans="1:25" x14ac:dyDescent="0.2">
      <c r="A2014" s="410"/>
      <c r="B2014" s="410"/>
      <c r="C2014" s="410"/>
      <c r="D2014" s="410"/>
      <c r="E2014" s="410"/>
      <c r="F2014" s="410"/>
      <c r="G2014" s="410"/>
      <c r="H2014" s="410"/>
      <c r="I2014" s="410"/>
      <c r="J2014" s="410"/>
      <c r="K2014" s="410"/>
      <c r="L2014" s="410"/>
      <c r="M2014" s="410"/>
      <c r="N2014" s="410"/>
      <c r="R2014" s="410"/>
      <c r="S2014" s="410"/>
      <c r="T2014" s="410"/>
      <c r="U2014" s="410"/>
      <c r="V2014" s="410"/>
      <c r="W2014" s="410"/>
      <c r="X2014" s="410"/>
      <c r="Y2014" s="410"/>
    </row>
    <row r="2015" spans="1:25" x14ac:dyDescent="0.2">
      <c r="A2015" s="410"/>
      <c r="B2015" s="410"/>
      <c r="C2015" s="410"/>
      <c r="D2015" s="410"/>
      <c r="E2015" s="410"/>
      <c r="F2015" s="410"/>
      <c r="G2015" s="410"/>
      <c r="H2015" s="410"/>
      <c r="I2015" s="410"/>
      <c r="J2015" s="410"/>
      <c r="K2015" s="410"/>
      <c r="L2015" s="410"/>
      <c r="M2015" s="410"/>
      <c r="N2015" s="410"/>
      <c r="R2015" s="410"/>
      <c r="S2015" s="410"/>
      <c r="T2015" s="410"/>
      <c r="U2015" s="410"/>
      <c r="V2015" s="410"/>
      <c r="W2015" s="410"/>
      <c r="X2015" s="410"/>
      <c r="Y2015" s="410"/>
    </row>
    <row r="2016" spans="1:25" x14ac:dyDescent="0.2">
      <c r="A2016" s="410"/>
      <c r="B2016" s="410"/>
      <c r="C2016" s="410"/>
      <c r="D2016" s="410"/>
      <c r="E2016" s="410"/>
      <c r="F2016" s="410"/>
      <c r="G2016" s="410"/>
      <c r="H2016" s="410"/>
      <c r="I2016" s="410"/>
      <c r="J2016" s="410"/>
      <c r="K2016" s="410"/>
      <c r="L2016" s="410"/>
      <c r="M2016" s="410"/>
      <c r="N2016" s="410"/>
      <c r="R2016" s="410"/>
      <c r="S2016" s="410"/>
      <c r="T2016" s="410"/>
      <c r="U2016" s="410"/>
      <c r="V2016" s="410"/>
      <c r="W2016" s="410"/>
      <c r="X2016" s="410"/>
      <c r="Y2016" s="410"/>
    </row>
    <row r="2017" spans="1:25" x14ac:dyDescent="0.2">
      <c r="A2017" s="410"/>
      <c r="B2017" s="410"/>
      <c r="C2017" s="410"/>
      <c r="D2017" s="410"/>
      <c r="E2017" s="410"/>
      <c r="F2017" s="410"/>
      <c r="G2017" s="410"/>
      <c r="H2017" s="410"/>
      <c r="I2017" s="410"/>
      <c r="J2017" s="410"/>
      <c r="K2017" s="410"/>
      <c r="L2017" s="410"/>
      <c r="M2017" s="410"/>
      <c r="N2017" s="410"/>
      <c r="R2017" s="410"/>
      <c r="S2017" s="410"/>
      <c r="T2017" s="410"/>
      <c r="U2017" s="410"/>
      <c r="V2017" s="410"/>
      <c r="W2017" s="410"/>
      <c r="X2017" s="410"/>
      <c r="Y2017" s="410"/>
    </row>
    <row r="2018" spans="1:25" x14ac:dyDescent="0.2">
      <c r="A2018" s="410"/>
      <c r="B2018" s="410"/>
      <c r="C2018" s="410"/>
      <c r="D2018" s="410"/>
      <c r="E2018" s="410"/>
      <c r="F2018" s="410"/>
      <c r="G2018" s="410"/>
      <c r="H2018" s="410"/>
      <c r="I2018" s="410"/>
      <c r="J2018" s="410"/>
      <c r="K2018" s="410"/>
      <c r="L2018" s="410"/>
      <c r="M2018" s="410"/>
      <c r="N2018" s="410"/>
      <c r="R2018" s="410"/>
      <c r="S2018" s="410"/>
      <c r="T2018" s="410"/>
      <c r="U2018" s="410"/>
      <c r="V2018" s="410"/>
      <c r="W2018" s="410"/>
      <c r="X2018" s="410"/>
      <c r="Y2018" s="410"/>
    </row>
    <row r="2019" spans="1:25" x14ac:dyDescent="0.2">
      <c r="A2019" s="410"/>
      <c r="B2019" s="410"/>
      <c r="C2019" s="410"/>
      <c r="D2019" s="410"/>
      <c r="E2019" s="410"/>
      <c r="F2019" s="410"/>
      <c r="G2019" s="410"/>
      <c r="H2019" s="410"/>
      <c r="I2019" s="410"/>
      <c r="J2019" s="410"/>
      <c r="K2019" s="410"/>
      <c r="L2019" s="410"/>
      <c r="M2019" s="410"/>
      <c r="N2019" s="410"/>
      <c r="R2019" s="410"/>
      <c r="S2019" s="410"/>
      <c r="T2019" s="410"/>
      <c r="U2019" s="410"/>
      <c r="V2019" s="410"/>
      <c r="W2019" s="410"/>
      <c r="X2019" s="410"/>
      <c r="Y2019" s="410"/>
    </row>
    <row r="2020" spans="1:25" x14ac:dyDescent="0.2">
      <c r="A2020" s="410"/>
      <c r="B2020" s="410"/>
      <c r="C2020" s="410"/>
      <c r="D2020" s="410"/>
      <c r="E2020" s="410"/>
      <c r="F2020" s="410"/>
      <c r="G2020" s="410"/>
      <c r="H2020" s="410"/>
      <c r="I2020" s="410"/>
      <c r="J2020" s="410"/>
      <c r="K2020" s="410"/>
      <c r="L2020" s="410"/>
      <c r="M2020" s="410"/>
      <c r="N2020" s="410"/>
      <c r="R2020" s="410"/>
      <c r="S2020" s="410"/>
      <c r="T2020" s="410"/>
      <c r="U2020" s="410"/>
      <c r="V2020" s="410"/>
      <c r="W2020" s="410"/>
      <c r="X2020" s="410"/>
      <c r="Y2020" s="410"/>
    </row>
    <row r="2021" spans="1:25" x14ac:dyDescent="0.2">
      <c r="A2021" s="410"/>
      <c r="B2021" s="410"/>
      <c r="C2021" s="410"/>
      <c r="D2021" s="410"/>
      <c r="E2021" s="410"/>
      <c r="F2021" s="410"/>
      <c r="G2021" s="410"/>
      <c r="H2021" s="410"/>
      <c r="I2021" s="410"/>
      <c r="J2021" s="410"/>
      <c r="K2021" s="410"/>
      <c r="L2021" s="410"/>
      <c r="M2021" s="410"/>
      <c r="N2021" s="410"/>
      <c r="R2021" s="410"/>
      <c r="S2021" s="410"/>
      <c r="T2021" s="410"/>
      <c r="U2021" s="410"/>
      <c r="V2021" s="410"/>
      <c r="W2021" s="410"/>
      <c r="X2021" s="410"/>
      <c r="Y2021" s="410"/>
    </row>
    <row r="2022" spans="1:25" x14ac:dyDescent="0.2">
      <c r="A2022" s="410"/>
      <c r="B2022" s="410"/>
      <c r="C2022" s="410"/>
      <c r="D2022" s="410"/>
      <c r="E2022" s="410"/>
      <c r="F2022" s="410"/>
      <c r="G2022" s="410"/>
      <c r="H2022" s="410"/>
      <c r="I2022" s="410"/>
      <c r="J2022" s="410"/>
      <c r="K2022" s="410"/>
      <c r="L2022" s="410"/>
      <c r="M2022" s="410"/>
      <c r="N2022" s="410"/>
      <c r="R2022" s="410"/>
      <c r="S2022" s="410"/>
      <c r="T2022" s="410"/>
      <c r="U2022" s="410"/>
      <c r="V2022" s="410"/>
      <c r="W2022" s="410"/>
      <c r="X2022" s="410"/>
      <c r="Y2022" s="410"/>
    </row>
    <row r="2023" spans="1:25" x14ac:dyDescent="0.2">
      <c r="A2023" s="410"/>
      <c r="B2023" s="410"/>
      <c r="C2023" s="410"/>
      <c r="D2023" s="410"/>
      <c r="E2023" s="410"/>
      <c r="F2023" s="410"/>
      <c r="G2023" s="410"/>
      <c r="H2023" s="410"/>
      <c r="I2023" s="410"/>
      <c r="J2023" s="410"/>
      <c r="K2023" s="410"/>
      <c r="L2023" s="410"/>
      <c r="M2023" s="410"/>
      <c r="N2023" s="410"/>
      <c r="R2023" s="410"/>
      <c r="S2023" s="410"/>
      <c r="T2023" s="410"/>
      <c r="U2023" s="410"/>
      <c r="V2023" s="410"/>
      <c r="W2023" s="410"/>
      <c r="X2023" s="410"/>
      <c r="Y2023" s="410"/>
    </row>
    <row r="2024" spans="1:25" x14ac:dyDescent="0.2">
      <c r="A2024" s="410"/>
      <c r="B2024" s="410"/>
      <c r="C2024" s="410"/>
      <c r="D2024" s="410"/>
      <c r="E2024" s="410"/>
      <c r="F2024" s="410"/>
      <c r="G2024" s="410"/>
      <c r="H2024" s="410"/>
      <c r="I2024" s="410"/>
      <c r="J2024" s="410"/>
      <c r="K2024" s="410"/>
      <c r="L2024" s="410"/>
      <c r="M2024" s="410"/>
      <c r="N2024" s="410"/>
      <c r="R2024" s="410"/>
      <c r="S2024" s="410"/>
      <c r="T2024" s="410"/>
      <c r="U2024" s="410"/>
      <c r="V2024" s="410"/>
      <c r="W2024" s="410"/>
      <c r="X2024" s="410"/>
      <c r="Y2024" s="410"/>
    </row>
    <row r="2025" spans="1:25" x14ac:dyDescent="0.2">
      <c r="A2025" s="410"/>
      <c r="B2025" s="410"/>
      <c r="C2025" s="410"/>
      <c r="D2025" s="410"/>
      <c r="E2025" s="410"/>
      <c r="F2025" s="410"/>
      <c r="G2025" s="410"/>
      <c r="H2025" s="410"/>
      <c r="I2025" s="410"/>
      <c r="J2025" s="410"/>
      <c r="K2025" s="410"/>
      <c r="L2025" s="410"/>
      <c r="M2025" s="410"/>
      <c r="N2025" s="410"/>
      <c r="R2025" s="410"/>
      <c r="S2025" s="410"/>
      <c r="T2025" s="410"/>
      <c r="U2025" s="410"/>
      <c r="V2025" s="410"/>
      <c r="W2025" s="410"/>
      <c r="X2025" s="410"/>
      <c r="Y2025" s="410"/>
    </row>
    <row r="2026" spans="1:25" x14ac:dyDescent="0.2">
      <c r="A2026" s="410"/>
      <c r="B2026" s="410"/>
      <c r="C2026" s="410"/>
      <c r="D2026" s="410"/>
      <c r="E2026" s="410"/>
      <c r="F2026" s="410"/>
      <c r="G2026" s="410"/>
      <c r="H2026" s="410"/>
      <c r="I2026" s="410"/>
      <c r="J2026" s="410"/>
      <c r="K2026" s="410"/>
      <c r="L2026" s="410"/>
      <c r="M2026" s="410"/>
      <c r="N2026" s="410"/>
      <c r="R2026" s="410"/>
      <c r="S2026" s="410"/>
      <c r="T2026" s="410"/>
      <c r="U2026" s="410"/>
      <c r="V2026" s="410"/>
      <c r="W2026" s="410"/>
      <c r="X2026" s="410"/>
      <c r="Y2026" s="410"/>
    </row>
    <row r="2027" spans="1:25" x14ac:dyDescent="0.2">
      <c r="A2027" s="410"/>
      <c r="B2027" s="410"/>
      <c r="C2027" s="410"/>
      <c r="D2027" s="410"/>
      <c r="E2027" s="410"/>
      <c r="F2027" s="410"/>
      <c r="G2027" s="410"/>
      <c r="H2027" s="410"/>
      <c r="I2027" s="410"/>
      <c r="J2027" s="410"/>
      <c r="K2027" s="410"/>
      <c r="L2027" s="410"/>
      <c r="M2027" s="410"/>
      <c r="N2027" s="410"/>
      <c r="R2027" s="410"/>
      <c r="S2027" s="410"/>
      <c r="T2027" s="410"/>
      <c r="U2027" s="410"/>
      <c r="V2027" s="410"/>
      <c r="W2027" s="410"/>
      <c r="X2027" s="410"/>
      <c r="Y2027" s="410"/>
    </row>
    <row r="2028" spans="1:25" x14ac:dyDescent="0.2">
      <c r="A2028" s="410"/>
      <c r="B2028" s="410"/>
      <c r="C2028" s="410"/>
      <c r="D2028" s="410"/>
      <c r="E2028" s="410"/>
      <c r="F2028" s="410"/>
      <c r="G2028" s="410"/>
      <c r="H2028" s="410"/>
      <c r="I2028" s="410"/>
      <c r="J2028" s="410"/>
      <c r="K2028" s="410"/>
      <c r="L2028" s="410"/>
      <c r="M2028" s="410"/>
      <c r="N2028" s="410"/>
      <c r="R2028" s="410"/>
      <c r="S2028" s="410"/>
      <c r="T2028" s="410"/>
      <c r="U2028" s="410"/>
      <c r="V2028" s="410"/>
      <c r="W2028" s="410"/>
      <c r="X2028" s="410"/>
      <c r="Y2028" s="410"/>
    </row>
    <row r="2029" spans="1:25" x14ac:dyDescent="0.2">
      <c r="A2029" s="410"/>
      <c r="B2029" s="410"/>
      <c r="C2029" s="410"/>
      <c r="D2029" s="410"/>
      <c r="E2029" s="410"/>
      <c r="F2029" s="410"/>
      <c r="G2029" s="410"/>
      <c r="H2029" s="410"/>
      <c r="I2029" s="410"/>
      <c r="J2029" s="410"/>
      <c r="K2029" s="410"/>
      <c r="L2029" s="410"/>
      <c r="M2029" s="410"/>
      <c r="N2029" s="410"/>
      <c r="R2029" s="410"/>
      <c r="S2029" s="410"/>
      <c r="T2029" s="410"/>
      <c r="U2029" s="410"/>
      <c r="V2029" s="410"/>
      <c r="W2029" s="410"/>
      <c r="X2029" s="410"/>
      <c r="Y2029" s="410"/>
    </row>
    <row r="2030" spans="1:25" x14ac:dyDescent="0.2">
      <c r="A2030" s="410"/>
      <c r="B2030" s="410"/>
      <c r="C2030" s="410"/>
      <c r="D2030" s="410"/>
      <c r="E2030" s="410"/>
      <c r="F2030" s="410"/>
      <c r="G2030" s="410"/>
      <c r="H2030" s="410"/>
      <c r="I2030" s="410"/>
      <c r="J2030" s="410"/>
      <c r="K2030" s="410"/>
      <c r="L2030" s="410"/>
      <c r="M2030" s="410"/>
      <c r="N2030" s="410"/>
      <c r="R2030" s="410"/>
      <c r="S2030" s="410"/>
      <c r="T2030" s="410"/>
      <c r="U2030" s="410"/>
      <c r="V2030" s="410"/>
      <c r="W2030" s="410"/>
      <c r="X2030" s="410"/>
      <c r="Y2030" s="410"/>
    </row>
    <row r="2031" spans="1:25" x14ac:dyDescent="0.2">
      <c r="A2031" s="410"/>
      <c r="B2031" s="410"/>
      <c r="C2031" s="410"/>
      <c r="D2031" s="410"/>
      <c r="E2031" s="410"/>
      <c r="F2031" s="410"/>
      <c r="G2031" s="410"/>
      <c r="H2031" s="410"/>
      <c r="I2031" s="410"/>
      <c r="J2031" s="410"/>
      <c r="K2031" s="410"/>
      <c r="L2031" s="410"/>
      <c r="M2031" s="410"/>
      <c r="N2031" s="410"/>
      <c r="R2031" s="410"/>
      <c r="S2031" s="410"/>
      <c r="T2031" s="410"/>
      <c r="U2031" s="410"/>
      <c r="V2031" s="410"/>
      <c r="W2031" s="410"/>
      <c r="X2031" s="410"/>
      <c r="Y2031" s="410"/>
    </row>
    <row r="2032" spans="1:25" x14ac:dyDescent="0.2">
      <c r="A2032" s="410"/>
      <c r="B2032" s="410"/>
      <c r="C2032" s="410"/>
      <c r="D2032" s="410"/>
      <c r="E2032" s="410"/>
      <c r="F2032" s="410"/>
      <c r="G2032" s="410"/>
      <c r="H2032" s="410"/>
      <c r="I2032" s="410"/>
      <c r="J2032" s="410"/>
      <c r="K2032" s="410"/>
      <c r="L2032" s="410"/>
      <c r="M2032" s="410"/>
      <c r="N2032" s="410"/>
      <c r="R2032" s="410"/>
      <c r="S2032" s="410"/>
      <c r="T2032" s="410"/>
      <c r="U2032" s="410"/>
      <c r="V2032" s="410"/>
      <c r="W2032" s="410"/>
      <c r="X2032" s="410"/>
      <c r="Y2032" s="410"/>
    </row>
    <row r="2033" spans="1:25" x14ac:dyDescent="0.2">
      <c r="A2033" s="410"/>
      <c r="B2033" s="410"/>
      <c r="C2033" s="410"/>
      <c r="D2033" s="410"/>
      <c r="E2033" s="410"/>
      <c r="F2033" s="410"/>
      <c r="G2033" s="410"/>
      <c r="H2033" s="410"/>
      <c r="I2033" s="410"/>
      <c r="J2033" s="410"/>
      <c r="K2033" s="410"/>
      <c r="L2033" s="410"/>
      <c r="M2033" s="410"/>
      <c r="N2033" s="410"/>
      <c r="R2033" s="410"/>
      <c r="S2033" s="410"/>
      <c r="T2033" s="410"/>
      <c r="U2033" s="410"/>
      <c r="V2033" s="410"/>
      <c r="W2033" s="410"/>
      <c r="X2033" s="410"/>
      <c r="Y2033" s="410"/>
    </row>
    <row r="2034" spans="1:25" x14ac:dyDescent="0.2">
      <c r="A2034" s="410"/>
      <c r="B2034" s="410"/>
      <c r="C2034" s="410"/>
      <c r="D2034" s="410"/>
      <c r="E2034" s="410"/>
      <c r="F2034" s="410"/>
      <c r="G2034" s="410"/>
      <c r="H2034" s="410"/>
      <c r="I2034" s="410"/>
      <c r="J2034" s="410"/>
      <c r="K2034" s="410"/>
      <c r="L2034" s="410"/>
      <c r="M2034" s="410"/>
      <c r="N2034" s="410"/>
      <c r="R2034" s="410"/>
      <c r="S2034" s="410"/>
      <c r="T2034" s="410"/>
      <c r="U2034" s="410"/>
      <c r="V2034" s="410"/>
      <c r="W2034" s="410"/>
      <c r="X2034" s="410"/>
      <c r="Y2034" s="410"/>
    </row>
    <row r="2035" spans="1:25" x14ac:dyDescent="0.2">
      <c r="A2035" s="410"/>
      <c r="B2035" s="410"/>
      <c r="C2035" s="410"/>
      <c r="D2035" s="410"/>
      <c r="E2035" s="410"/>
      <c r="F2035" s="410"/>
      <c r="G2035" s="410"/>
      <c r="H2035" s="410"/>
      <c r="I2035" s="410"/>
      <c r="J2035" s="410"/>
      <c r="K2035" s="410"/>
      <c r="L2035" s="410"/>
      <c r="M2035" s="410"/>
      <c r="N2035" s="410"/>
      <c r="R2035" s="410"/>
      <c r="S2035" s="410"/>
      <c r="T2035" s="410"/>
      <c r="U2035" s="410"/>
      <c r="V2035" s="410"/>
      <c r="W2035" s="410"/>
      <c r="X2035" s="410"/>
      <c r="Y2035" s="410"/>
    </row>
    <row r="2036" spans="1:25" x14ac:dyDescent="0.2">
      <c r="A2036" s="410"/>
      <c r="B2036" s="410"/>
      <c r="C2036" s="410"/>
      <c r="D2036" s="410"/>
      <c r="E2036" s="410"/>
      <c r="F2036" s="410"/>
      <c r="G2036" s="410"/>
      <c r="H2036" s="410"/>
      <c r="I2036" s="410"/>
      <c r="J2036" s="410"/>
      <c r="K2036" s="410"/>
      <c r="L2036" s="410"/>
      <c r="M2036" s="410"/>
      <c r="N2036" s="410"/>
      <c r="R2036" s="410"/>
      <c r="S2036" s="410"/>
      <c r="T2036" s="410"/>
      <c r="U2036" s="410"/>
      <c r="V2036" s="410"/>
      <c r="W2036" s="410"/>
      <c r="X2036" s="410"/>
      <c r="Y2036" s="410"/>
    </row>
    <row r="2037" spans="1:25" x14ac:dyDescent="0.2">
      <c r="A2037" s="410"/>
      <c r="B2037" s="410"/>
      <c r="C2037" s="410"/>
      <c r="D2037" s="410"/>
      <c r="E2037" s="410"/>
      <c r="F2037" s="410"/>
      <c r="G2037" s="410"/>
      <c r="H2037" s="410"/>
      <c r="I2037" s="410"/>
      <c r="J2037" s="410"/>
      <c r="K2037" s="410"/>
      <c r="L2037" s="410"/>
      <c r="M2037" s="410"/>
      <c r="N2037" s="410"/>
      <c r="R2037" s="410"/>
      <c r="S2037" s="410"/>
      <c r="T2037" s="410"/>
      <c r="U2037" s="410"/>
      <c r="V2037" s="410"/>
      <c r="W2037" s="410"/>
      <c r="X2037" s="410"/>
      <c r="Y2037" s="410"/>
    </row>
    <row r="2038" spans="1:25" x14ac:dyDescent="0.2">
      <c r="A2038" s="410"/>
      <c r="B2038" s="410"/>
      <c r="C2038" s="410"/>
      <c r="D2038" s="410"/>
      <c r="E2038" s="410"/>
      <c r="F2038" s="410"/>
      <c r="G2038" s="410"/>
      <c r="H2038" s="410"/>
      <c r="I2038" s="410"/>
      <c r="J2038" s="410"/>
      <c r="K2038" s="410"/>
      <c r="L2038" s="410"/>
      <c r="M2038" s="410"/>
      <c r="N2038" s="410"/>
      <c r="R2038" s="410"/>
      <c r="S2038" s="410"/>
      <c r="T2038" s="410"/>
      <c r="U2038" s="410"/>
      <c r="V2038" s="410"/>
      <c r="W2038" s="410"/>
      <c r="X2038" s="410"/>
      <c r="Y2038" s="410"/>
    </row>
    <row r="2039" spans="1:25" x14ac:dyDescent="0.2">
      <c r="A2039" s="410"/>
      <c r="B2039" s="410"/>
      <c r="C2039" s="410"/>
      <c r="D2039" s="410"/>
      <c r="E2039" s="410"/>
      <c r="F2039" s="410"/>
      <c r="G2039" s="410"/>
      <c r="H2039" s="410"/>
      <c r="I2039" s="410"/>
      <c r="J2039" s="410"/>
      <c r="K2039" s="410"/>
      <c r="L2039" s="410"/>
      <c r="M2039" s="410"/>
      <c r="N2039" s="410"/>
      <c r="R2039" s="410"/>
      <c r="S2039" s="410"/>
      <c r="T2039" s="410"/>
      <c r="U2039" s="410"/>
      <c r="V2039" s="410"/>
      <c r="W2039" s="410"/>
      <c r="X2039" s="410"/>
      <c r="Y2039" s="410"/>
    </row>
    <row r="2040" spans="1:25" x14ac:dyDescent="0.2">
      <c r="A2040" s="410"/>
      <c r="B2040" s="410"/>
      <c r="C2040" s="410"/>
      <c r="D2040" s="410"/>
      <c r="E2040" s="410"/>
      <c r="F2040" s="410"/>
      <c r="G2040" s="410"/>
      <c r="H2040" s="410"/>
      <c r="I2040" s="410"/>
      <c r="J2040" s="410"/>
      <c r="K2040" s="410"/>
      <c r="L2040" s="410"/>
      <c r="M2040" s="410"/>
      <c r="N2040" s="410"/>
      <c r="R2040" s="410"/>
      <c r="S2040" s="410"/>
      <c r="T2040" s="410"/>
      <c r="U2040" s="410"/>
      <c r="V2040" s="410"/>
      <c r="W2040" s="410"/>
      <c r="X2040" s="410"/>
      <c r="Y2040" s="410"/>
    </row>
    <row r="2041" spans="1:25" x14ac:dyDescent="0.2">
      <c r="A2041" s="410"/>
      <c r="B2041" s="410"/>
      <c r="C2041" s="410"/>
      <c r="D2041" s="410"/>
      <c r="E2041" s="410"/>
      <c r="F2041" s="410"/>
      <c r="G2041" s="410"/>
      <c r="H2041" s="410"/>
      <c r="I2041" s="410"/>
      <c r="J2041" s="410"/>
      <c r="K2041" s="410"/>
      <c r="L2041" s="410"/>
      <c r="M2041" s="410"/>
      <c r="N2041" s="410"/>
      <c r="R2041" s="410"/>
      <c r="S2041" s="410"/>
      <c r="T2041" s="410"/>
      <c r="U2041" s="410"/>
      <c r="V2041" s="410"/>
      <c r="W2041" s="410"/>
      <c r="X2041" s="410"/>
      <c r="Y2041" s="410"/>
    </row>
    <row r="2042" spans="1:25" x14ac:dyDescent="0.2">
      <c r="A2042" s="410"/>
      <c r="B2042" s="410"/>
      <c r="C2042" s="410"/>
      <c r="D2042" s="410"/>
      <c r="E2042" s="410"/>
      <c r="F2042" s="410"/>
      <c r="G2042" s="410"/>
      <c r="H2042" s="410"/>
      <c r="I2042" s="410"/>
      <c r="J2042" s="410"/>
      <c r="K2042" s="410"/>
      <c r="L2042" s="410"/>
      <c r="M2042" s="410"/>
      <c r="N2042" s="410"/>
      <c r="R2042" s="410"/>
      <c r="S2042" s="410"/>
      <c r="T2042" s="410"/>
      <c r="U2042" s="410"/>
      <c r="V2042" s="410"/>
      <c r="W2042" s="410"/>
      <c r="X2042" s="410"/>
      <c r="Y2042" s="410"/>
    </row>
    <row r="2043" spans="1:25" x14ac:dyDescent="0.2">
      <c r="A2043" s="410"/>
      <c r="B2043" s="410"/>
      <c r="C2043" s="410"/>
      <c r="D2043" s="410"/>
      <c r="E2043" s="410"/>
      <c r="F2043" s="410"/>
      <c r="G2043" s="410"/>
      <c r="H2043" s="410"/>
      <c r="I2043" s="410"/>
      <c r="J2043" s="410"/>
      <c r="K2043" s="410"/>
      <c r="L2043" s="410"/>
      <c r="M2043" s="410"/>
      <c r="N2043" s="410"/>
      <c r="R2043" s="410"/>
      <c r="S2043" s="410"/>
      <c r="T2043" s="410"/>
      <c r="U2043" s="410"/>
      <c r="V2043" s="410"/>
      <c r="W2043" s="410"/>
      <c r="X2043" s="410"/>
      <c r="Y2043" s="410"/>
    </row>
    <row r="2044" spans="1:25" x14ac:dyDescent="0.2">
      <c r="A2044" s="410"/>
      <c r="B2044" s="410"/>
      <c r="C2044" s="410"/>
      <c r="D2044" s="410"/>
      <c r="E2044" s="410"/>
      <c r="F2044" s="410"/>
      <c r="G2044" s="410"/>
      <c r="H2044" s="410"/>
      <c r="I2044" s="410"/>
      <c r="J2044" s="410"/>
      <c r="K2044" s="410"/>
      <c r="L2044" s="410"/>
      <c r="M2044" s="410"/>
      <c r="N2044" s="410"/>
      <c r="R2044" s="410"/>
      <c r="S2044" s="410"/>
      <c r="T2044" s="410"/>
      <c r="U2044" s="410"/>
      <c r="V2044" s="410"/>
      <c r="W2044" s="410"/>
      <c r="X2044" s="410"/>
      <c r="Y2044" s="410"/>
    </row>
    <row r="2045" spans="1:25" x14ac:dyDescent="0.2">
      <c r="A2045" s="410"/>
      <c r="B2045" s="410"/>
      <c r="C2045" s="410"/>
      <c r="D2045" s="410"/>
      <c r="E2045" s="410"/>
      <c r="F2045" s="410"/>
      <c r="G2045" s="410"/>
      <c r="H2045" s="410"/>
      <c r="I2045" s="410"/>
      <c r="J2045" s="410"/>
      <c r="K2045" s="410"/>
      <c r="L2045" s="410"/>
      <c r="M2045" s="410"/>
      <c r="N2045" s="410"/>
      <c r="R2045" s="410"/>
      <c r="S2045" s="410"/>
      <c r="T2045" s="410"/>
      <c r="U2045" s="410"/>
      <c r="V2045" s="410"/>
      <c r="W2045" s="410"/>
      <c r="X2045" s="410"/>
      <c r="Y2045" s="410"/>
    </row>
    <row r="2046" spans="1:25" x14ac:dyDescent="0.2">
      <c r="A2046" s="410"/>
      <c r="B2046" s="410"/>
      <c r="C2046" s="410"/>
      <c r="D2046" s="410"/>
      <c r="E2046" s="410"/>
      <c r="F2046" s="410"/>
      <c r="G2046" s="410"/>
      <c r="H2046" s="410"/>
      <c r="I2046" s="410"/>
      <c r="J2046" s="410"/>
      <c r="K2046" s="410"/>
      <c r="L2046" s="410"/>
      <c r="M2046" s="410"/>
      <c r="N2046" s="410"/>
      <c r="R2046" s="410"/>
      <c r="S2046" s="410"/>
      <c r="T2046" s="410"/>
      <c r="U2046" s="410"/>
      <c r="V2046" s="410"/>
      <c r="W2046" s="410"/>
      <c r="X2046" s="410"/>
      <c r="Y2046" s="410"/>
    </row>
    <row r="2047" spans="1:25" x14ac:dyDescent="0.2">
      <c r="A2047" s="410"/>
      <c r="B2047" s="410"/>
      <c r="C2047" s="410"/>
      <c r="D2047" s="410"/>
      <c r="E2047" s="410"/>
      <c r="F2047" s="410"/>
      <c r="G2047" s="410"/>
      <c r="H2047" s="410"/>
      <c r="I2047" s="410"/>
      <c r="J2047" s="410"/>
      <c r="K2047" s="410"/>
      <c r="L2047" s="410"/>
      <c r="M2047" s="410"/>
      <c r="N2047" s="410"/>
      <c r="R2047" s="410"/>
      <c r="S2047" s="410"/>
      <c r="T2047" s="410"/>
      <c r="U2047" s="410"/>
      <c r="V2047" s="410"/>
      <c r="W2047" s="410"/>
      <c r="X2047" s="410"/>
      <c r="Y2047" s="410"/>
    </row>
    <row r="2048" spans="1:25" x14ac:dyDescent="0.2">
      <c r="A2048" s="410"/>
      <c r="B2048" s="410"/>
      <c r="C2048" s="410"/>
      <c r="D2048" s="410"/>
      <c r="E2048" s="410"/>
      <c r="F2048" s="410"/>
      <c r="G2048" s="410"/>
      <c r="H2048" s="410"/>
      <c r="I2048" s="410"/>
      <c r="J2048" s="410"/>
      <c r="K2048" s="410"/>
      <c r="L2048" s="410"/>
      <c r="M2048" s="410"/>
      <c r="N2048" s="410"/>
      <c r="R2048" s="410"/>
      <c r="S2048" s="410"/>
      <c r="T2048" s="410"/>
      <c r="U2048" s="410"/>
      <c r="V2048" s="410"/>
      <c r="W2048" s="410"/>
      <c r="X2048" s="410"/>
      <c r="Y2048" s="410"/>
    </row>
    <row r="2049" spans="1:25" x14ac:dyDescent="0.2">
      <c r="A2049" s="410"/>
      <c r="B2049" s="410"/>
      <c r="C2049" s="410"/>
      <c r="D2049" s="410"/>
      <c r="E2049" s="410"/>
      <c r="F2049" s="410"/>
      <c r="G2049" s="410"/>
      <c r="H2049" s="410"/>
      <c r="I2049" s="410"/>
      <c r="J2049" s="410"/>
      <c r="K2049" s="410"/>
      <c r="L2049" s="410"/>
      <c r="M2049" s="410"/>
      <c r="N2049" s="410"/>
      <c r="R2049" s="410"/>
      <c r="S2049" s="410"/>
      <c r="T2049" s="410"/>
      <c r="U2049" s="410"/>
      <c r="V2049" s="410"/>
      <c r="W2049" s="410"/>
      <c r="X2049" s="410"/>
      <c r="Y2049" s="410"/>
    </row>
    <row r="2050" spans="1:25" x14ac:dyDescent="0.2">
      <c r="A2050" s="410"/>
      <c r="B2050" s="410"/>
      <c r="C2050" s="410"/>
      <c r="D2050" s="410"/>
      <c r="E2050" s="410"/>
      <c r="F2050" s="410"/>
      <c r="G2050" s="410"/>
      <c r="H2050" s="410"/>
      <c r="I2050" s="410"/>
      <c r="J2050" s="410"/>
      <c r="K2050" s="410"/>
      <c r="L2050" s="410"/>
      <c r="M2050" s="410"/>
      <c r="N2050" s="410"/>
      <c r="R2050" s="410"/>
      <c r="S2050" s="410"/>
      <c r="T2050" s="410"/>
      <c r="U2050" s="410"/>
      <c r="V2050" s="410"/>
      <c r="W2050" s="410"/>
      <c r="X2050" s="410"/>
      <c r="Y2050" s="410"/>
    </row>
    <row r="2051" spans="1:25" x14ac:dyDescent="0.2">
      <c r="A2051" s="410"/>
      <c r="B2051" s="410"/>
      <c r="C2051" s="410"/>
      <c r="D2051" s="410"/>
      <c r="E2051" s="410"/>
      <c r="F2051" s="410"/>
      <c r="G2051" s="410"/>
      <c r="H2051" s="410"/>
      <c r="I2051" s="410"/>
      <c r="J2051" s="410"/>
      <c r="K2051" s="410"/>
      <c r="L2051" s="410"/>
      <c r="M2051" s="410"/>
      <c r="N2051" s="410"/>
      <c r="R2051" s="410"/>
      <c r="S2051" s="410"/>
      <c r="T2051" s="410"/>
      <c r="U2051" s="410"/>
      <c r="V2051" s="410"/>
      <c r="W2051" s="410"/>
      <c r="X2051" s="410"/>
      <c r="Y2051" s="410"/>
    </row>
    <row r="2052" spans="1:25" x14ac:dyDescent="0.2">
      <c r="A2052" s="410"/>
      <c r="B2052" s="410"/>
      <c r="C2052" s="410"/>
      <c r="D2052" s="410"/>
      <c r="E2052" s="410"/>
      <c r="F2052" s="410"/>
      <c r="G2052" s="410"/>
      <c r="H2052" s="410"/>
      <c r="I2052" s="410"/>
      <c r="J2052" s="410"/>
      <c r="K2052" s="410"/>
      <c r="L2052" s="410"/>
      <c r="M2052" s="410"/>
      <c r="N2052" s="410"/>
      <c r="R2052" s="410"/>
      <c r="S2052" s="410"/>
      <c r="T2052" s="410"/>
      <c r="U2052" s="410"/>
      <c r="V2052" s="410"/>
      <c r="W2052" s="410"/>
      <c r="X2052" s="410"/>
      <c r="Y2052" s="410"/>
    </row>
    <row r="2053" spans="1:25" x14ac:dyDescent="0.2">
      <c r="A2053" s="410"/>
      <c r="B2053" s="410"/>
      <c r="C2053" s="410"/>
      <c r="D2053" s="410"/>
      <c r="E2053" s="410"/>
      <c r="F2053" s="410"/>
      <c r="G2053" s="410"/>
      <c r="H2053" s="410"/>
      <c r="I2053" s="410"/>
      <c r="J2053" s="410"/>
      <c r="K2053" s="410"/>
      <c r="L2053" s="410"/>
      <c r="M2053" s="410"/>
      <c r="N2053" s="410"/>
      <c r="R2053" s="410"/>
      <c r="S2053" s="410"/>
      <c r="T2053" s="410"/>
      <c r="U2053" s="410"/>
      <c r="V2053" s="410"/>
      <c r="W2053" s="410"/>
      <c r="X2053" s="410"/>
      <c r="Y2053" s="410"/>
    </row>
    <row r="2054" spans="1:25" x14ac:dyDescent="0.2">
      <c r="A2054" s="410"/>
      <c r="B2054" s="410"/>
      <c r="C2054" s="410"/>
      <c r="D2054" s="410"/>
      <c r="E2054" s="410"/>
      <c r="F2054" s="410"/>
      <c r="G2054" s="410"/>
      <c r="H2054" s="410"/>
      <c r="I2054" s="410"/>
      <c r="J2054" s="410"/>
      <c r="K2054" s="410"/>
      <c r="L2054" s="410"/>
      <c r="M2054" s="410"/>
      <c r="N2054" s="410"/>
      <c r="R2054" s="410"/>
      <c r="S2054" s="410"/>
      <c r="T2054" s="410"/>
      <c r="U2054" s="410"/>
      <c r="V2054" s="410"/>
      <c r="W2054" s="410"/>
      <c r="X2054" s="410"/>
      <c r="Y2054" s="410"/>
    </row>
    <row r="2055" spans="1:25" x14ac:dyDescent="0.2">
      <c r="A2055" s="410"/>
      <c r="B2055" s="410"/>
      <c r="C2055" s="410"/>
      <c r="D2055" s="410"/>
      <c r="E2055" s="410"/>
      <c r="F2055" s="410"/>
      <c r="G2055" s="410"/>
      <c r="H2055" s="410"/>
      <c r="I2055" s="410"/>
      <c r="J2055" s="410"/>
      <c r="K2055" s="410"/>
      <c r="L2055" s="410"/>
      <c r="M2055" s="410"/>
      <c r="N2055" s="410"/>
      <c r="R2055" s="410"/>
      <c r="S2055" s="410"/>
      <c r="T2055" s="410"/>
      <c r="U2055" s="410"/>
      <c r="V2055" s="410"/>
      <c r="W2055" s="410"/>
      <c r="X2055" s="410"/>
      <c r="Y2055" s="410"/>
    </row>
    <row r="2056" spans="1:25" x14ac:dyDescent="0.2">
      <c r="A2056" s="410"/>
      <c r="B2056" s="410"/>
      <c r="C2056" s="410"/>
      <c r="D2056" s="410"/>
      <c r="E2056" s="410"/>
      <c r="F2056" s="410"/>
      <c r="G2056" s="410"/>
      <c r="H2056" s="410"/>
      <c r="I2056" s="410"/>
      <c r="J2056" s="410"/>
      <c r="K2056" s="410"/>
      <c r="L2056" s="410"/>
      <c r="M2056" s="410"/>
      <c r="N2056" s="410"/>
      <c r="R2056" s="410"/>
      <c r="S2056" s="410"/>
      <c r="T2056" s="410"/>
      <c r="U2056" s="410"/>
      <c r="V2056" s="410"/>
      <c r="W2056" s="410"/>
      <c r="X2056" s="410"/>
      <c r="Y2056" s="410"/>
    </row>
    <row r="2057" spans="1:25" x14ac:dyDescent="0.2">
      <c r="A2057" s="410"/>
      <c r="B2057" s="410"/>
      <c r="C2057" s="410"/>
      <c r="D2057" s="410"/>
      <c r="E2057" s="410"/>
      <c r="F2057" s="410"/>
      <c r="G2057" s="410"/>
      <c r="H2057" s="410"/>
      <c r="I2057" s="410"/>
      <c r="J2057" s="410"/>
      <c r="K2057" s="410"/>
      <c r="L2057" s="410"/>
      <c r="M2057" s="410"/>
      <c r="N2057" s="410"/>
      <c r="R2057" s="410"/>
      <c r="S2057" s="410"/>
      <c r="T2057" s="410"/>
      <c r="U2057" s="410"/>
      <c r="V2057" s="410"/>
      <c r="W2057" s="410"/>
      <c r="X2057" s="410"/>
      <c r="Y2057" s="410"/>
    </row>
    <row r="2058" spans="1:25" x14ac:dyDescent="0.2">
      <c r="A2058" s="410"/>
      <c r="B2058" s="410"/>
      <c r="C2058" s="410"/>
      <c r="D2058" s="410"/>
      <c r="E2058" s="410"/>
      <c r="F2058" s="410"/>
      <c r="G2058" s="410"/>
      <c r="H2058" s="410"/>
      <c r="I2058" s="410"/>
      <c r="J2058" s="410"/>
      <c r="K2058" s="410"/>
      <c r="L2058" s="410"/>
      <c r="M2058" s="410"/>
      <c r="N2058" s="410"/>
      <c r="R2058" s="410"/>
      <c r="S2058" s="410"/>
      <c r="T2058" s="410"/>
      <c r="U2058" s="410"/>
      <c r="V2058" s="410"/>
      <c r="W2058" s="410"/>
      <c r="X2058" s="410"/>
      <c r="Y2058" s="410"/>
    </row>
    <row r="2059" spans="1:25" x14ac:dyDescent="0.2">
      <c r="A2059" s="410"/>
      <c r="B2059" s="410"/>
      <c r="C2059" s="410"/>
      <c r="D2059" s="410"/>
      <c r="E2059" s="410"/>
      <c r="F2059" s="410"/>
      <c r="G2059" s="410"/>
      <c r="H2059" s="410"/>
      <c r="I2059" s="410"/>
      <c r="J2059" s="410"/>
      <c r="K2059" s="410"/>
      <c r="L2059" s="410"/>
      <c r="M2059" s="410"/>
      <c r="N2059" s="410"/>
      <c r="R2059" s="410"/>
      <c r="S2059" s="410"/>
      <c r="T2059" s="410"/>
      <c r="U2059" s="410"/>
      <c r="V2059" s="410"/>
      <c r="W2059" s="410"/>
      <c r="X2059" s="410"/>
      <c r="Y2059" s="410"/>
    </row>
    <row r="2060" spans="1:25" x14ac:dyDescent="0.2">
      <c r="A2060" s="410"/>
      <c r="B2060" s="410"/>
      <c r="C2060" s="410"/>
      <c r="D2060" s="410"/>
      <c r="E2060" s="410"/>
      <c r="F2060" s="410"/>
      <c r="G2060" s="410"/>
      <c r="H2060" s="410"/>
      <c r="I2060" s="410"/>
      <c r="J2060" s="410"/>
      <c r="K2060" s="410"/>
      <c r="L2060" s="410"/>
      <c r="M2060" s="410"/>
      <c r="N2060" s="410"/>
      <c r="R2060" s="410"/>
      <c r="S2060" s="410"/>
      <c r="T2060" s="410"/>
      <c r="U2060" s="410"/>
      <c r="V2060" s="410"/>
      <c r="W2060" s="410"/>
      <c r="X2060" s="410"/>
      <c r="Y2060" s="410"/>
    </row>
    <row r="2061" spans="1:25" x14ac:dyDescent="0.2">
      <c r="A2061" s="410"/>
      <c r="B2061" s="410"/>
      <c r="C2061" s="410"/>
      <c r="D2061" s="410"/>
      <c r="E2061" s="410"/>
      <c r="F2061" s="410"/>
      <c r="G2061" s="410"/>
      <c r="H2061" s="410"/>
      <c r="I2061" s="410"/>
      <c r="J2061" s="410"/>
      <c r="K2061" s="410"/>
      <c r="L2061" s="410"/>
      <c r="M2061" s="410"/>
      <c r="N2061" s="410"/>
      <c r="R2061" s="410"/>
      <c r="S2061" s="410"/>
      <c r="T2061" s="410"/>
      <c r="U2061" s="410"/>
      <c r="V2061" s="410"/>
      <c r="W2061" s="410"/>
      <c r="X2061" s="410"/>
      <c r="Y2061" s="410"/>
    </row>
    <row r="2062" spans="1:25" x14ac:dyDescent="0.2">
      <c r="A2062" s="410"/>
      <c r="B2062" s="410"/>
      <c r="C2062" s="410"/>
      <c r="D2062" s="410"/>
      <c r="E2062" s="410"/>
      <c r="F2062" s="410"/>
      <c r="G2062" s="410"/>
      <c r="H2062" s="410"/>
      <c r="I2062" s="410"/>
      <c r="J2062" s="410"/>
      <c r="K2062" s="410"/>
      <c r="L2062" s="410"/>
      <c r="M2062" s="410"/>
      <c r="N2062" s="410"/>
      <c r="R2062" s="410"/>
      <c r="S2062" s="410"/>
      <c r="T2062" s="410"/>
      <c r="U2062" s="410"/>
      <c r="V2062" s="410"/>
      <c r="W2062" s="410"/>
      <c r="X2062" s="410"/>
      <c r="Y2062" s="410"/>
    </row>
    <row r="2063" spans="1:25" x14ac:dyDescent="0.2">
      <c r="A2063" s="410"/>
      <c r="B2063" s="410"/>
      <c r="C2063" s="410"/>
      <c r="D2063" s="410"/>
      <c r="E2063" s="410"/>
      <c r="F2063" s="410"/>
      <c r="G2063" s="410"/>
      <c r="H2063" s="410"/>
      <c r="I2063" s="410"/>
      <c r="J2063" s="410"/>
      <c r="K2063" s="410"/>
      <c r="L2063" s="410"/>
      <c r="M2063" s="410"/>
      <c r="N2063" s="410"/>
      <c r="R2063" s="410"/>
      <c r="S2063" s="410"/>
      <c r="T2063" s="410"/>
      <c r="U2063" s="410"/>
      <c r="V2063" s="410"/>
      <c r="W2063" s="410"/>
      <c r="X2063" s="410"/>
      <c r="Y2063" s="410"/>
    </row>
    <row r="2064" spans="1:25" x14ac:dyDescent="0.2">
      <c r="A2064" s="410"/>
      <c r="B2064" s="410"/>
      <c r="C2064" s="410"/>
      <c r="D2064" s="410"/>
      <c r="E2064" s="410"/>
      <c r="F2064" s="410"/>
      <c r="G2064" s="410"/>
      <c r="H2064" s="410"/>
      <c r="I2064" s="410"/>
      <c r="J2064" s="410"/>
      <c r="K2064" s="410"/>
      <c r="L2064" s="410"/>
      <c r="M2064" s="410"/>
      <c r="N2064" s="410"/>
      <c r="R2064" s="410"/>
      <c r="S2064" s="410"/>
      <c r="T2064" s="410"/>
      <c r="U2064" s="410"/>
      <c r="V2064" s="410"/>
      <c r="W2064" s="410"/>
      <c r="X2064" s="410"/>
      <c r="Y2064" s="410"/>
    </row>
    <row r="2065" spans="1:25" x14ac:dyDescent="0.2">
      <c r="A2065" s="410"/>
      <c r="B2065" s="410"/>
      <c r="C2065" s="410"/>
      <c r="D2065" s="410"/>
      <c r="E2065" s="410"/>
      <c r="F2065" s="410"/>
      <c r="G2065" s="410"/>
      <c r="H2065" s="410"/>
      <c r="I2065" s="410"/>
      <c r="J2065" s="410"/>
      <c r="K2065" s="410"/>
      <c r="L2065" s="410"/>
      <c r="M2065" s="410"/>
      <c r="N2065" s="410"/>
      <c r="R2065" s="410"/>
      <c r="S2065" s="410"/>
      <c r="T2065" s="410"/>
      <c r="U2065" s="410"/>
      <c r="V2065" s="410"/>
      <c r="W2065" s="410"/>
      <c r="X2065" s="410"/>
      <c r="Y2065" s="410"/>
    </row>
    <row r="2066" spans="1:25" x14ac:dyDescent="0.2">
      <c r="A2066" s="410"/>
      <c r="B2066" s="410"/>
      <c r="C2066" s="410"/>
      <c r="D2066" s="410"/>
      <c r="E2066" s="410"/>
      <c r="F2066" s="410"/>
      <c r="G2066" s="410"/>
      <c r="H2066" s="410"/>
      <c r="I2066" s="410"/>
      <c r="J2066" s="410"/>
      <c r="K2066" s="410"/>
      <c r="L2066" s="410"/>
      <c r="M2066" s="410"/>
      <c r="N2066" s="410"/>
      <c r="R2066" s="410"/>
      <c r="S2066" s="410"/>
      <c r="T2066" s="410"/>
      <c r="U2066" s="410"/>
      <c r="V2066" s="410"/>
      <c r="W2066" s="410"/>
      <c r="X2066" s="410"/>
      <c r="Y2066" s="410"/>
    </row>
    <row r="2067" spans="1:25" x14ac:dyDescent="0.2">
      <c r="A2067" s="410"/>
      <c r="B2067" s="410"/>
      <c r="C2067" s="410"/>
      <c r="D2067" s="410"/>
      <c r="E2067" s="410"/>
      <c r="F2067" s="410"/>
      <c r="G2067" s="410"/>
      <c r="H2067" s="410"/>
      <c r="I2067" s="410"/>
      <c r="J2067" s="410"/>
      <c r="K2067" s="410"/>
      <c r="L2067" s="410"/>
      <c r="M2067" s="410"/>
      <c r="N2067" s="410"/>
      <c r="R2067" s="410"/>
      <c r="S2067" s="410"/>
      <c r="T2067" s="410"/>
      <c r="U2067" s="410"/>
      <c r="V2067" s="410"/>
      <c r="W2067" s="410"/>
      <c r="X2067" s="410"/>
      <c r="Y2067" s="410"/>
    </row>
    <row r="2068" spans="1:25" x14ac:dyDescent="0.2">
      <c r="A2068" s="410"/>
      <c r="B2068" s="410"/>
      <c r="C2068" s="410"/>
      <c r="D2068" s="410"/>
      <c r="E2068" s="410"/>
      <c r="F2068" s="410"/>
      <c r="G2068" s="410"/>
      <c r="H2068" s="410"/>
      <c r="I2068" s="410"/>
      <c r="J2068" s="410"/>
      <c r="K2068" s="410"/>
      <c r="L2068" s="410"/>
      <c r="M2068" s="410"/>
      <c r="N2068" s="410"/>
      <c r="R2068" s="410"/>
      <c r="S2068" s="410"/>
      <c r="T2068" s="410"/>
      <c r="U2068" s="410"/>
      <c r="V2068" s="410"/>
      <c r="W2068" s="410"/>
      <c r="X2068" s="410"/>
      <c r="Y2068" s="410"/>
    </row>
    <row r="2069" spans="1:25" x14ac:dyDescent="0.2">
      <c r="A2069" s="410"/>
      <c r="B2069" s="410"/>
      <c r="C2069" s="410"/>
      <c r="D2069" s="410"/>
      <c r="E2069" s="410"/>
      <c r="F2069" s="410"/>
      <c r="G2069" s="410"/>
      <c r="H2069" s="410"/>
      <c r="I2069" s="410"/>
      <c r="J2069" s="410"/>
      <c r="K2069" s="410"/>
      <c r="L2069" s="410"/>
      <c r="M2069" s="410"/>
      <c r="N2069" s="410"/>
      <c r="R2069" s="410"/>
      <c r="S2069" s="410"/>
      <c r="T2069" s="410"/>
      <c r="U2069" s="410"/>
      <c r="V2069" s="410"/>
      <c r="W2069" s="410"/>
      <c r="X2069" s="410"/>
      <c r="Y2069" s="410"/>
    </row>
    <row r="2070" spans="1:25" x14ac:dyDescent="0.2">
      <c r="A2070" s="410"/>
      <c r="B2070" s="410"/>
      <c r="C2070" s="410"/>
      <c r="D2070" s="410"/>
      <c r="E2070" s="410"/>
      <c r="F2070" s="410"/>
      <c r="G2070" s="410"/>
      <c r="H2070" s="410"/>
      <c r="I2070" s="410"/>
      <c r="J2070" s="410"/>
      <c r="K2070" s="410"/>
      <c r="L2070" s="410"/>
      <c r="M2070" s="410"/>
      <c r="N2070" s="410"/>
      <c r="R2070" s="410"/>
      <c r="S2070" s="410"/>
      <c r="T2070" s="410"/>
      <c r="U2070" s="410"/>
      <c r="V2070" s="410"/>
      <c r="W2070" s="410"/>
      <c r="X2070" s="410"/>
      <c r="Y2070" s="410"/>
    </row>
    <row r="2071" spans="1:25" x14ac:dyDescent="0.2">
      <c r="A2071" s="410"/>
      <c r="B2071" s="410"/>
      <c r="C2071" s="410"/>
      <c r="D2071" s="410"/>
      <c r="E2071" s="410"/>
      <c r="F2071" s="410"/>
      <c r="G2071" s="410"/>
      <c r="H2071" s="410"/>
      <c r="I2071" s="410"/>
      <c r="J2071" s="410"/>
      <c r="K2071" s="410"/>
      <c r="L2071" s="410"/>
      <c r="M2071" s="410"/>
      <c r="N2071" s="410"/>
      <c r="R2071" s="410"/>
      <c r="S2071" s="410"/>
      <c r="T2071" s="410"/>
      <c r="U2071" s="410"/>
      <c r="V2071" s="410"/>
      <c r="W2071" s="410"/>
      <c r="X2071" s="410"/>
      <c r="Y2071" s="410"/>
    </row>
    <row r="2072" spans="1:25" x14ac:dyDescent="0.2">
      <c r="A2072" s="410"/>
      <c r="B2072" s="410"/>
      <c r="C2072" s="410"/>
      <c r="D2072" s="410"/>
      <c r="E2072" s="410"/>
      <c r="F2072" s="410"/>
      <c r="G2072" s="410"/>
      <c r="H2072" s="410"/>
      <c r="I2072" s="410"/>
      <c r="J2072" s="410"/>
      <c r="K2072" s="410"/>
      <c r="L2072" s="410"/>
      <c r="M2072" s="410"/>
      <c r="N2072" s="410"/>
      <c r="R2072" s="410"/>
      <c r="S2072" s="410"/>
      <c r="T2072" s="410"/>
      <c r="U2072" s="410"/>
      <c r="V2072" s="410"/>
      <c r="W2072" s="410"/>
      <c r="X2072" s="410"/>
      <c r="Y2072" s="410"/>
    </row>
    <row r="2073" spans="1:25" x14ac:dyDescent="0.2">
      <c r="A2073" s="410"/>
      <c r="B2073" s="410"/>
      <c r="C2073" s="410"/>
      <c r="D2073" s="410"/>
      <c r="E2073" s="410"/>
      <c r="F2073" s="410"/>
      <c r="G2073" s="410"/>
      <c r="H2073" s="410"/>
      <c r="I2073" s="410"/>
      <c r="J2073" s="410"/>
      <c r="K2073" s="410"/>
      <c r="L2073" s="410"/>
      <c r="M2073" s="410"/>
      <c r="N2073" s="410"/>
      <c r="R2073" s="410"/>
      <c r="S2073" s="410"/>
      <c r="T2073" s="410"/>
      <c r="U2073" s="410"/>
      <c r="V2073" s="410"/>
      <c r="W2073" s="410"/>
      <c r="X2073" s="410"/>
      <c r="Y2073" s="410"/>
    </row>
    <row r="2074" spans="1:25" x14ac:dyDescent="0.2">
      <c r="A2074" s="410"/>
      <c r="B2074" s="410"/>
      <c r="C2074" s="410"/>
      <c r="D2074" s="410"/>
      <c r="E2074" s="410"/>
      <c r="F2074" s="410"/>
      <c r="G2074" s="410"/>
      <c r="H2074" s="410"/>
      <c r="I2074" s="410"/>
      <c r="J2074" s="410"/>
      <c r="K2074" s="410"/>
      <c r="L2074" s="410"/>
      <c r="M2074" s="410"/>
      <c r="N2074" s="410"/>
      <c r="R2074" s="410"/>
      <c r="S2074" s="410"/>
      <c r="T2074" s="410"/>
      <c r="U2074" s="410"/>
      <c r="V2074" s="410"/>
      <c r="W2074" s="410"/>
      <c r="X2074" s="410"/>
      <c r="Y2074" s="410"/>
    </row>
    <row r="2075" spans="1:25" x14ac:dyDescent="0.2">
      <c r="A2075" s="410"/>
      <c r="B2075" s="410"/>
      <c r="C2075" s="410"/>
      <c r="D2075" s="410"/>
      <c r="E2075" s="410"/>
      <c r="F2075" s="410"/>
      <c r="G2075" s="410"/>
      <c r="H2075" s="410"/>
      <c r="I2075" s="410"/>
      <c r="J2075" s="410"/>
      <c r="K2075" s="410"/>
      <c r="L2075" s="410"/>
      <c r="M2075" s="410"/>
      <c r="N2075" s="410"/>
      <c r="R2075" s="410"/>
      <c r="S2075" s="410"/>
      <c r="T2075" s="410"/>
      <c r="U2075" s="410"/>
      <c r="V2075" s="410"/>
      <c r="W2075" s="410"/>
      <c r="X2075" s="410"/>
      <c r="Y2075" s="410"/>
    </row>
    <row r="2076" spans="1:25" x14ac:dyDescent="0.2">
      <c r="A2076" s="410"/>
      <c r="B2076" s="410"/>
      <c r="C2076" s="410"/>
      <c r="D2076" s="410"/>
      <c r="E2076" s="410"/>
      <c r="F2076" s="410"/>
      <c r="G2076" s="410"/>
      <c r="H2076" s="410"/>
      <c r="I2076" s="410"/>
      <c r="J2076" s="410"/>
      <c r="K2076" s="410"/>
      <c r="L2076" s="410"/>
      <c r="M2076" s="410"/>
      <c r="N2076" s="410"/>
      <c r="R2076" s="410"/>
      <c r="S2076" s="410"/>
      <c r="T2076" s="410"/>
      <c r="U2076" s="410"/>
      <c r="V2076" s="410"/>
      <c r="W2076" s="410"/>
      <c r="X2076" s="410"/>
      <c r="Y2076" s="410"/>
    </row>
    <row r="2077" spans="1:25" x14ac:dyDescent="0.2">
      <c r="A2077" s="410"/>
      <c r="B2077" s="410"/>
      <c r="C2077" s="410"/>
      <c r="D2077" s="410"/>
      <c r="E2077" s="410"/>
      <c r="F2077" s="410"/>
      <c r="G2077" s="410"/>
      <c r="H2077" s="410"/>
      <c r="I2077" s="410"/>
      <c r="J2077" s="410"/>
      <c r="K2077" s="410"/>
      <c r="L2077" s="410"/>
      <c r="M2077" s="410"/>
      <c r="N2077" s="410"/>
      <c r="R2077" s="410"/>
      <c r="S2077" s="410"/>
      <c r="T2077" s="410"/>
      <c r="U2077" s="410"/>
      <c r="V2077" s="410"/>
      <c r="W2077" s="410"/>
      <c r="X2077" s="410"/>
      <c r="Y2077" s="410"/>
    </row>
    <row r="2078" spans="1:25" x14ac:dyDescent="0.2">
      <c r="A2078" s="410"/>
      <c r="B2078" s="410"/>
      <c r="C2078" s="410"/>
      <c r="D2078" s="410"/>
      <c r="E2078" s="410"/>
      <c r="F2078" s="410"/>
      <c r="G2078" s="410"/>
      <c r="H2078" s="410"/>
      <c r="I2078" s="410"/>
      <c r="J2078" s="410"/>
      <c r="K2078" s="410"/>
      <c r="L2078" s="410"/>
      <c r="M2078" s="410"/>
      <c r="N2078" s="410"/>
      <c r="R2078" s="410"/>
      <c r="S2078" s="410"/>
      <c r="T2078" s="410"/>
      <c r="U2078" s="410"/>
      <c r="V2078" s="410"/>
      <c r="W2078" s="410"/>
      <c r="X2078" s="410"/>
      <c r="Y2078" s="410"/>
    </row>
    <row r="2079" spans="1:25" x14ac:dyDescent="0.2">
      <c r="A2079" s="410"/>
      <c r="B2079" s="410"/>
      <c r="C2079" s="410"/>
      <c r="D2079" s="410"/>
      <c r="E2079" s="410"/>
      <c r="F2079" s="410"/>
      <c r="G2079" s="410"/>
      <c r="H2079" s="410"/>
      <c r="I2079" s="410"/>
      <c r="J2079" s="410"/>
      <c r="K2079" s="410"/>
      <c r="L2079" s="410"/>
      <c r="M2079" s="410"/>
      <c r="N2079" s="410"/>
      <c r="R2079" s="410"/>
      <c r="S2079" s="410"/>
      <c r="T2079" s="410"/>
      <c r="U2079" s="410"/>
      <c r="V2079" s="410"/>
      <c r="W2079" s="410"/>
      <c r="X2079" s="410"/>
      <c r="Y2079" s="410"/>
    </row>
  </sheetData>
  <sheetProtection selectLockedCells="1" selectUnlockedCells="1"/>
  <customSheetViews>
    <customSheetView guid="{4DE99834-7080-40E5-9A2F-2BF27F7EDEBF}" scale="80" showGridLines="0" outlineSymbols="0" showRuler="0" topLeftCell="A7">
      <selection activeCell="H33" sqref="H33"/>
      <colBreaks count="1" manualBreakCount="1">
        <brk id="10" max="1048575" man="1"/>
      </colBreaks>
      <pageMargins left="0.75" right="0.75" top="1" bottom="1" header="0.5" footer="0.5"/>
      <pageSetup paperSize="9" orientation="portrait" horizontalDpi="360" verticalDpi="144" r:id="rId1"/>
      <headerFooter alignWithMargins="0"/>
    </customSheetView>
  </customSheetViews>
  <mergeCells count="132">
    <mergeCell ref="W95:Y95"/>
    <mergeCell ref="W74:Y74"/>
    <mergeCell ref="W77:Y77"/>
    <mergeCell ref="W75:Y75"/>
    <mergeCell ref="W76:Y76"/>
    <mergeCell ref="W89:Y89"/>
    <mergeCell ref="W85:Y85"/>
    <mergeCell ref="W86:Y86"/>
    <mergeCell ref="W87:Y87"/>
    <mergeCell ref="W83:Y83"/>
    <mergeCell ref="B34:E34"/>
    <mergeCell ref="B33:E33"/>
    <mergeCell ref="B16:C16"/>
    <mergeCell ref="B22:C22"/>
    <mergeCell ref="B13:C13"/>
    <mergeCell ref="B15:C15"/>
    <mergeCell ref="N33:O33"/>
    <mergeCell ref="W88:Y88"/>
    <mergeCell ref="W78:Y78"/>
    <mergeCell ref="W79:Y79"/>
    <mergeCell ref="W80:Y80"/>
    <mergeCell ref="N34:O35"/>
    <mergeCell ref="W84:Y84"/>
    <mergeCell ref="W91:Y91"/>
    <mergeCell ref="W92:Y92"/>
    <mergeCell ref="W97:Y97"/>
    <mergeCell ref="W106:Y106"/>
    <mergeCell ref="W99:Y99"/>
    <mergeCell ref="W100:Y100"/>
    <mergeCell ref="W101:Y101"/>
    <mergeCell ref="W102:Y102"/>
    <mergeCell ref="W104:Y104"/>
    <mergeCell ref="W103:Y103"/>
    <mergeCell ref="Z121:AC121"/>
    <mergeCell ref="Z122:AC122"/>
    <mergeCell ref="Z124:AC124"/>
    <mergeCell ref="W96:Y96"/>
    <mergeCell ref="W105:Y105"/>
    <mergeCell ref="AF113:AF117"/>
    <mergeCell ref="W98:Y98"/>
    <mergeCell ref="Z132:AA132"/>
    <mergeCell ref="AG113:AG117"/>
    <mergeCell ref="AD113:AD117"/>
    <mergeCell ref="AE113:AE117"/>
    <mergeCell ref="Z118:AC118"/>
    <mergeCell ref="Z113:AC117"/>
    <mergeCell ref="Z127:AA127"/>
    <mergeCell ref="Z123:AC123"/>
    <mergeCell ref="Z119:AC119"/>
    <mergeCell ref="Z120:AC120"/>
    <mergeCell ref="V236:V245"/>
    <mergeCell ref="V180:V189"/>
    <mergeCell ref="V141:V150"/>
    <mergeCell ref="V154:V163"/>
    <mergeCell ref="V167:V176"/>
    <mergeCell ref="V223:V232"/>
    <mergeCell ref="V210:V219"/>
    <mergeCell ref="I68:I75"/>
    <mergeCell ref="I76:I83"/>
    <mergeCell ref="B37:D37"/>
    <mergeCell ref="I92:I99"/>
    <mergeCell ref="I84:I91"/>
    <mergeCell ref="W93:Y93"/>
    <mergeCell ref="W94:Y94"/>
    <mergeCell ref="W81:Y81"/>
    <mergeCell ref="W82:Y82"/>
    <mergeCell ref="W90:Y90"/>
    <mergeCell ref="B4:C4"/>
    <mergeCell ref="B5:C5"/>
    <mergeCell ref="B6:C6"/>
    <mergeCell ref="B7:C7"/>
    <mergeCell ref="B36:E36"/>
    <mergeCell ref="B8:C8"/>
    <mergeCell ref="B9:C9"/>
    <mergeCell ref="B10:C10"/>
    <mergeCell ref="B11:C11"/>
    <mergeCell ref="B35:E35"/>
    <mergeCell ref="E9:F10"/>
    <mergeCell ref="B12:C12"/>
    <mergeCell ref="B14:C14"/>
    <mergeCell ref="D198:D207"/>
    <mergeCell ref="D138:D147"/>
    <mergeCell ref="D148:D157"/>
    <mergeCell ref="D158:D167"/>
    <mergeCell ref="D168:D177"/>
    <mergeCell ref="D178:D187"/>
    <mergeCell ref="D188:D197"/>
    <mergeCell ref="AB3:AC3"/>
    <mergeCell ref="AB10:AC10"/>
    <mergeCell ref="AB4:AC4"/>
    <mergeCell ref="AB5:AC5"/>
    <mergeCell ref="AB6:AC6"/>
    <mergeCell ref="AB9:AC9"/>
    <mergeCell ref="AB7:AC7"/>
    <mergeCell ref="AB8:AC8"/>
    <mergeCell ref="M9:N9"/>
    <mergeCell ref="M10:N10"/>
    <mergeCell ref="N29:O29"/>
    <mergeCell ref="N28:O28"/>
    <mergeCell ref="M13:N13"/>
    <mergeCell ref="M15:N15"/>
    <mergeCell ref="M11:N11"/>
    <mergeCell ref="D2:D3"/>
    <mergeCell ref="M14:N14"/>
    <mergeCell ref="M16:N16"/>
    <mergeCell ref="I2:M2"/>
    <mergeCell ref="I4:N4"/>
    <mergeCell ref="I5:N5"/>
    <mergeCell ref="I6:N6"/>
    <mergeCell ref="G8:L8"/>
    <mergeCell ref="M12:N12"/>
    <mergeCell ref="M8:N8"/>
    <mergeCell ref="I100:I107"/>
    <mergeCell ref="I108:I115"/>
    <mergeCell ref="AI154:AI157"/>
    <mergeCell ref="AI138:AI141"/>
    <mergeCell ref="W108:Y108"/>
    <mergeCell ref="Y113:Y117"/>
    <mergeCell ref="Z129:AA129"/>
    <mergeCell ref="Z128:AA128"/>
    <mergeCell ref="Z133:AA133"/>
    <mergeCell ref="W107:Y107"/>
    <mergeCell ref="AI158:AI161"/>
    <mergeCell ref="AI162:AI165"/>
    <mergeCell ref="AI142:AI145"/>
    <mergeCell ref="AI146:AI149"/>
    <mergeCell ref="AI150:AI153"/>
    <mergeCell ref="I116:I123"/>
    <mergeCell ref="Z135:AA135"/>
    <mergeCell ref="Z134:AA134"/>
    <mergeCell ref="Z130:AA130"/>
    <mergeCell ref="Z131:AA131"/>
  </mergeCells>
  <phoneticPr fontId="0" type="noConversion"/>
  <dataValidations count="3">
    <dataValidation type="whole" allowBlank="1" showInputMessage="1" showErrorMessage="1" errorTitle="ВНИМАНИЕ!!!" error="ЗДЕСЬ НЕТ НЕОБХОДИМОСТИ ВВОДИТЬ ДАННЫЕ !!!" sqref="Y149:Y153 S8:S99 P98:Q105 R98:R99 R101:R105 P12:P16 Q10:Q15 A167 A171:A311 A99 A97 A95 A93 A103:A165 A35:A91 X3:Z3 AD165:AD225 A3:A20 H24:H26 G24:G32 S3:S4 U17:U18 U3:U15 AB16 AB11:AB14 AC11:AC33 AA23:AA25 AA11 Z5:Z11 AF139:AF143 V3 P8:P10 G22:H22 F21:F22 AF146 G3 H2:H12 R165:R168 B21:B22 C21:C24 Y39:AE39 Y37:AE37 Y35:AE35 AE125:AE232 A22:A24 AD152:AD156 D12:D16 E11:F16 M21:M24 L24 B10:C13 R161:R163 R149:R150 Q234:Q245 Q221:Q232 Q191:Q219 Q178:Q189 Q165:Q176 Q152:Q163 Q135:Q150 P135:P311 L101:L103 L97:L99 L93:L95 L89:L91 L85:L87 L81:L83 L77:L79 L73:L75 L69:L71 L121:L137 Y136:Y140 G37:G38 AD227:AD232 A2:C2 Q6:Q7 P6 E2 AD125:AD137 B171:B176 Z125:AA129 Y41:Y134 R135:S140 B16:C16 G61:G137 Z13:Z33 AA13:AA20 Y144:Y145 Y238:Y240 S147:T311 L37:L66 R147 L105:L107 AD41:AD121 D21:D22 E21:E24 L21:L22 O3:Q4 I8:L12 I3:N3 N1 AH125:AH311 E3:F8 A169 L35 Y231:Y234 Y219:Y227 AD139:AD150 G208:O311 L117:L119 N39:N137 R174:R179 N24:N33 H28:H32 D4:D8 O7 Y212:Y214 V117:V311 AA32:AA33 P127 S104:S127 N36:N37 I22:I32 A101 AD158:AD163 B219:B273 AF148:AF150 AF153:AF156 O100:O127 P22:P27 F140:F276 F39:F138 B24 B3:C5 B7:C8 G40 D38:D276 E38:E311 M28:M137 C275:C276 AF3:AF123 B38:B39 B98:B137 R3:R31 AC3:AC9 AD3:AE33 X11:X311 B61:B67 O21:O33 Y5:Y33 R183:R311 C40:C273 R170:R172 F24 C35:E35 G55 G52 G49 G46 G58 H56:H57 H53:H54 H50:H51 H47:H48 H44:H45 H41:H42 P117:P123 AA113:AA123 U117:U150 Q17:Q31 Q247:Q311 D24 G43 L113:L115 G34:H34 B275:B311 B33:E33 B26:B31 F278:F311 AA185:AA311 Z135:Z311 O39:O89 A26:A33 U234:U245 U221:U232 U191:U219 U178:U189 U165:U176 U152:U163 AB18:AB33 Y244:Y311 L109:L111 R39:R89 O203:O206 O198:O201 O193:O196 O188:O191 O183:O186 O178:O181 O173:O176 O168:O171 O163:O166 O158:O161 O153:O156 O148:O151 O143:O146 C278:D311 U247:U311 AF234:AF238 AF228:AF232 AF221:AF225 AF215:AF219 AF208:AF212 AF185:AF206 AF178:AF182 AF172:AF176 AF165:AF169 AF159:AF163 G5:G12 AF125:AF137 R152:R154 F32 C38 AF241:AF311 H38:H39 L28:L33 N21:N22 Z131:AA133 I34:I137 H59:H137 R159 J21:K137 B198:B213 AH3:AH116 L26:M26 AE41:AE123 O135:O141 AA135:AA182 AB135:AC135 R157 AB137:AC311 Q33:R36 AB125:AC127 AD234:AE311 Q113:R127 W19:W311 Y189:Y208 Y176:Y179 Y184 Y170:Y171 Y161:Y166 Y157:Y158 Z41:Z123 AB41:AC123 AA53 AA65 AA77 AA89 AA101 U20:U21 V12:V21 Q39:Q94 O91 P92:P94 P39:P90 T3:T105 T113:T140">
      <formula1>-1000</formula1>
      <formula2>-1000</formula2>
    </dataValidation>
    <dataValidation type="whole" allowBlank="1" showInputMessage="1" showErrorMessage="1" sqref="H13:H16">
      <formula1>-1000</formula1>
      <formula2>-1000</formula2>
    </dataValidation>
    <dataValidation type="decimal" allowBlank="1" showInputMessage="1" showErrorMessage="1" sqref="H37">
      <formula1>-1000</formula1>
      <formula2>-1000</formula2>
    </dataValidation>
  </dataValidations>
  <pageMargins left="0.75" right="0.75" top="1" bottom="1" header="0.5" footer="0.5"/>
  <pageSetup paperSize="9" orientation="portrait" horizontalDpi="360" verticalDpi="144" r:id="rId2"/>
  <headerFooter alignWithMargins="0"/>
  <colBreaks count="1" manualBreakCount="1">
    <brk id="10" max="1048575" man="1"/>
  </colBreaks>
  <cellWatches>
    <cellWatch r="G8"/>
  </cellWatches>
  <drawing r:id="rId3"/>
  <legacyDrawing r:id="rId4"/>
  <controls>
    <mc:AlternateContent xmlns:mc="http://schemas.openxmlformats.org/markup-compatibility/2006">
      <mc:Choice Requires="x14">
        <control shapeId="30731" r:id="rId5" name="CommandButton1">
          <controlPr defaultSize="0" autoLine="0" r:id="rId6">
            <anchor moveWithCells="1">
              <from>
                <xdr:col>6</xdr:col>
                <xdr:colOff>2076450</xdr:colOff>
                <xdr:row>0</xdr:row>
                <xdr:rowOff>9525</xdr:rowOff>
              </from>
              <to>
                <xdr:col>6</xdr:col>
                <xdr:colOff>2933700</xdr:colOff>
                <xdr:row>0</xdr:row>
                <xdr:rowOff>466725</xdr:rowOff>
              </to>
            </anchor>
          </controlPr>
        </control>
      </mc:Choice>
      <mc:Fallback>
        <control shapeId="30731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indexed="9"/>
  </sheetPr>
  <dimension ref="A1:DN152"/>
  <sheetViews>
    <sheetView showGridLines="0" showZeros="0" tabSelected="1" topLeftCell="A43" zoomScale="80" zoomScaleNormal="85" zoomScaleSheetLayoutView="85" workbookViewId="0">
      <selection activeCell="F38" sqref="F38:J40"/>
    </sheetView>
  </sheetViews>
  <sheetFormatPr defaultColWidth="2.140625" defaultRowHeight="12.75" x14ac:dyDescent="0.2"/>
  <cols>
    <col min="1" max="1" width="40.28515625" style="6" customWidth="1"/>
    <col min="2" max="2" width="3.140625" style="6" customWidth="1"/>
    <col min="3" max="3" width="3.140625" style="7" customWidth="1"/>
    <col min="4" max="4" width="3.85546875" style="6" customWidth="1"/>
    <col min="5" max="5" width="15.5703125" style="6" customWidth="1"/>
    <col min="6" max="6" width="6.140625" style="6" customWidth="1"/>
    <col min="7" max="7" width="9.5703125" style="6" customWidth="1"/>
    <col min="8" max="8" width="9.28515625" style="6" customWidth="1"/>
    <col min="9" max="9" width="15.5703125" style="6" customWidth="1"/>
    <col min="10" max="10" width="15" style="6" customWidth="1"/>
    <col min="11" max="13" width="5.85546875" style="6" customWidth="1"/>
    <col min="14" max="14" width="4.140625" style="8" customWidth="1"/>
    <col min="15" max="20" width="5.42578125" style="6" customWidth="1"/>
    <col min="21" max="21" width="5.42578125" style="69" customWidth="1"/>
    <col min="22" max="23" width="5.42578125" style="6" customWidth="1"/>
    <col min="24" max="24" width="5.28515625" style="6" customWidth="1"/>
    <col min="25" max="25" width="6" style="6" customWidth="1"/>
    <col min="26" max="26" width="5.7109375" style="6" customWidth="1"/>
    <col min="27" max="27" width="3.28515625" style="6" customWidth="1"/>
    <col min="28" max="28" width="5.85546875" style="6" customWidth="1"/>
    <col min="29" max="29" width="5.28515625" style="6" customWidth="1"/>
    <col min="30" max="31" width="4.5703125" style="6" customWidth="1"/>
    <col min="32" max="33" width="4.85546875" style="6" customWidth="1"/>
    <col min="34" max="34" width="5" style="6" customWidth="1"/>
    <col min="35" max="36" width="4.7109375" style="6" customWidth="1"/>
    <col min="37" max="37" width="6.7109375" style="6" customWidth="1"/>
    <col min="38" max="38" width="5.85546875" style="6" customWidth="1"/>
    <col min="39" max="39" width="5.140625" style="6" customWidth="1"/>
    <col min="40" max="40" width="4.85546875" style="8" customWidth="1"/>
    <col min="41" max="41" width="4.7109375" style="8" customWidth="1"/>
    <col min="42" max="42" width="5.140625" style="6" customWidth="1"/>
    <col min="43" max="43" width="4.7109375" style="6" customWidth="1"/>
    <col min="44" max="44" width="4.85546875" style="6" customWidth="1"/>
    <col min="45" max="45" width="4.140625" style="6" customWidth="1"/>
    <col min="46" max="47" width="4.42578125" style="6" customWidth="1"/>
    <col min="48" max="48" width="5.140625" style="6" customWidth="1"/>
    <col min="49" max="49" width="4.5703125" style="6" customWidth="1"/>
    <col min="50" max="50" width="5.140625" style="6" customWidth="1"/>
    <col min="51" max="51" width="4.7109375" style="6" customWidth="1"/>
    <col min="52" max="52" width="6.140625" style="6" customWidth="1"/>
    <col min="53" max="53" width="5" style="6" customWidth="1"/>
    <col min="54" max="54" width="5.5703125" style="6" customWidth="1"/>
    <col min="55" max="56" width="5" style="6" customWidth="1"/>
    <col min="57" max="60" width="5.140625" style="9" customWidth="1"/>
    <col min="61" max="62" width="3.7109375" style="6" customWidth="1"/>
    <col min="63" max="63" width="4.42578125" style="8" customWidth="1"/>
    <col min="64" max="64" width="3.7109375" style="8" customWidth="1"/>
    <col min="65" max="65" width="4.140625" style="8" customWidth="1"/>
    <col min="66" max="66" width="3.7109375" style="8" customWidth="1"/>
    <col min="67" max="67" width="4.28515625" style="8" customWidth="1"/>
    <col min="68" max="68" width="5.7109375" style="82" customWidth="1"/>
    <col min="69" max="69" width="6.5703125" style="82" customWidth="1"/>
    <col min="70" max="70" width="11" style="290" hidden="1" customWidth="1"/>
    <col min="71" max="71" width="9.7109375" style="764" hidden="1" customWidth="1"/>
    <col min="72" max="74" width="8.7109375" style="764" hidden="1" customWidth="1"/>
    <col min="75" max="75" width="7" style="764" hidden="1" customWidth="1"/>
    <col min="76" max="76" width="8.7109375" style="764" hidden="1" customWidth="1"/>
    <col min="77" max="78" width="9.5703125" style="764" hidden="1" customWidth="1"/>
    <col min="79" max="79" width="11.7109375" style="765" hidden="1" customWidth="1"/>
    <col min="80" max="80" width="5.5703125" style="765" hidden="1" customWidth="1"/>
    <col min="81" max="81" width="8.7109375" style="764" hidden="1" customWidth="1"/>
    <col min="82" max="82" width="7.28515625" style="765" hidden="1" customWidth="1"/>
    <col min="83" max="83" width="9.28515625" style="764" hidden="1" customWidth="1"/>
    <col min="84" max="84" width="19.7109375" style="764" hidden="1" customWidth="1"/>
    <col min="85" max="85" width="7.7109375" style="764" hidden="1" customWidth="1"/>
    <col min="86" max="86" width="5.7109375" style="290" hidden="1" customWidth="1"/>
    <col min="87" max="87" width="6" style="290" hidden="1" customWidth="1"/>
    <col min="88" max="91" width="4.28515625" style="290" hidden="1" customWidth="1"/>
    <col min="92" max="94" width="4.28515625" style="10" hidden="1" customWidth="1"/>
    <col min="95" max="95" width="9.140625" style="10" hidden="1" customWidth="1"/>
    <col min="96" max="101" width="2.140625" style="10" customWidth="1"/>
    <col min="102" max="16384" width="2.140625" style="6"/>
  </cols>
  <sheetData>
    <row r="1" spans="1:101" ht="33" customHeight="1" x14ac:dyDescent="0.2">
      <c r="A1" s="787">
        <v>1</v>
      </c>
      <c r="BN1" s="81"/>
      <c r="BO1" s="81"/>
      <c r="BP1" s="380">
        <v>1</v>
      </c>
      <c r="BQ1" s="377"/>
      <c r="BR1" s="290">
        <f>IF('Блок ввода'!Y40=0,150,IF('Блок ввода'!Y40=1,80,IF('Блок ввода'!Y40=2,130,IF('Блок ввода'!Y40=3,120,IF('Блок ввода'!Y40=4,33)))))</f>
        <v>150</v>
      </c>
      <c r="BS1" s="290">
        <f>IF('Блок ввода'!Z40=0,150,IF('Блок ввода'!Z40=1,80,IF('Блок ввода'!Z40=2,130,IF('Блок ввода'!Z40=3,130,IF('Блок ввода'!Z40=4,33)))))</f>
        <v>150</v>
      </c>
      <c r="BT1" s="290">
        <f>IF('Блок ввода'!AA40=0,150,IF('Блок ввода'!AA40=1,80,IF('Блок ввода'!AA40=2,130,IF('Блок ввода'!AA40=3,130,IF('Блок ввода'!AA40=4,33)))))</f>
        <v>150</v>
      </c>
      <c r="BU1" s="290">
        <f>IF('Блок ввода'!AB40=0,150,IF('Блок ввода'!AB40=1,80,IF('Блок ввода'!AB40=2,130,IF('Блок ввода'!AB40=3,130,IF('Блок ввода'!AB40=4,33)))))</f>
        <v>150</v>
      </c>
      <c r="BV1" s="290">
        <f>IF('Блок ввода'!AC40=0,150,IF('Блок ввода'!AC40=1,80,IF('Блок ввода'!AC40=2,130,IF('Блок ввода'!AC40=3,130,IF('Блок ввода'!AC40=4,33)))))</f>
        <v>150</v>
      </c>
      <c r="BW1" s="290">
        <f>IF('Блок ввода'!AD40=0,150,IF('Блок ввода'!AD40=1,80,IF('Блок ввода'!AD40=2,130,IF('Блок ввода'!AD40=3,130,IF('Блок ввода'!AD40=4,33)))))</f>
        <v>150</v>
      </c>
      <c r="BX1" s="290">
        <f>IF('Блок ввода'!AE40=0,150,IF('Блок ввода'!AE40=1,80,IF('Блок ввода'!AE40=2,130,IF('Блок ввода'!AE40=3,130,IF('Блок ввода'!AE40=4,33)))))</f>
        <v>150</v>
      </c>
      <c r="CD1" s="765">
        <f>SUM(AZ29:AZ30,AZ42:AZ43,AZ55:AZ56,AZ68:AZ69,AZ98:AZ99,AZ111:AZ112,AZ124:AZ125)</f>
        <v>1400</v>
      </c>
    </row>
    <row r="2" spans="1:101" ht="4.5" hidden="1" customHeight="1" x14ac:dyDescent="0.2">
      <c r="A2" s="370" t="s">
        <v>570</v>
      </c>
      <c r="K2" s="78" t="s">
        <v>259</v>
      </c>
      <c r="L2" s="11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11"/>
      <c r="BC2" s="11"/>
      <c r="BD2" s="11"/>
    </row>
    <row r="3" spans="1:101" ht="17.25" customHeight="1" x14ac:dyDescent="0.25">
      <c r="A3" s="133">
        <f>'Блок ввода'!I4</f>
        <v>40091</v>
      </c>
      <c r="C3" s="1488" t="str">
        <f>IF('Блок ввода'!$G$4=1,"У Т В Е Р Ж Д А Ю ","Зарегистрируйте программу")</f>
        <v>Зарегистрируйте программу</v>
      </c>
      <c r="D3" s="1488"/>
      <c r="E3" s="1488"/>
      <c r="F3" s="1488"/>
      <c r="G3" s="1488"/>
      <c r="H3" s="1488"/>
      <c r="I3" s="1488"/>
      <c r="J3" s="1488"/>
      <c r="K3" s="233"/>
      <c r="L3" s="232"/>
      <c r="M3" s="233"/>
      <c r="N3" s="233"/>
      <c r="O3" s="233"/>
      <c r="P3" s="233"/>
      <c r="Q3" s="233"/>
      <c r="R3" s="233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78"/>
      <c r="AW3" s="78"/>
      <c r="AX3" s="78"/>
      <c r="AY3" s="78"/>
      <c r="AZ3" s="78"/>
      <c r="BA3" s="78"/>
      <c r="BB3" s="11"/>
      <c r="BC3" s="13">
        <f>IF('Блок ввода'!A37=1,1,IF('Блок ввода'!I37=1,2,0))</f>
        <v>0</v>
      </c>
      <c r="BD3" s="13"/>
      <c r="BM3" s="1382" t="s">
        <v>29</v>
      </c>
      <c r="BN3" s="1382"/>
      <c r="BO3" s="1382"/>
      <c r="BP3" s="1382"/>
      <c r="BR3" s="290">
        <f>IF('Блок ввода'!Y42=0,100,IF('Блок ввода'!Y42=1,80,IF('Блок ввода'!Y42=2,130,IF('Блок ввода'!Y42=3,120,IF('Блок ввода'!Y42=4,33)))))</f>
        <v>100</v>
      </c>
      <c r="BS3" s="764">
        <f>IF('Блок ввода'!Z42=0,100,IF('Блок ввода'!Z42=1,80,IF('Блок ввода'!Z42=2,130,IF('Блок ввода'!Z42=3,130,IF('Блок ввода'!Z42=4,33)))))</f>
        <v>100</v>
      </c>
      <c r="BT3" s="764">
        <f>IF('Блок ввода'!AA42=0,100,IF('Блок ввода'!AA42=1,80,IF('Блок ввода'!AA42=2,130,IF('Блок ввода'!AA42=3,130,IF('Блок ввода'!AA42=4,33)))))</f>
        <v>100</v>
      </c>
      <c r="BU3" s="764">
        <f>IF('Блок ввода'!AB42=0,100,IF('Блок ввода'!AB42=1,80,IF('Блок ввода'!AB42=2,130,IF('Блок ввода'!AB42=3,130,IF('Блок ввода'!AB42=4,33)))))</f>
        <v>100</v>
      </c>
      <c r="BV3" s="764">
        <f>IF('Блок ввода'!AC42=0,100,IF('Блок ввода'!AC42=1,80,IF('Блок ввода'!AC42=2,130,IF('Блок ввода'!AC42=3,130,IF('Блок ввода'!AC42=4,33)))))</f>
        <v>100</v>
      </c>
      <c r="BW3" s="764">
        <f>IF('Блок ввода'!AD42=0,100,IF('Блок ввода'!AD42=1,80,IF('Блок ввода'!AD42=2,130,IF('Блок ввода'!AD42=3,130,IF('Блок ввода'!AD42=4,33)))))</f>
        <v>100</v>
      </c>
      <c r="BX3" s="764">
        <f>IF('Блок ввода'!AE42=0,100,IF('Блок ввода'!AE42=1,80,IF('Блок ввода'!AE42=2,130,IF('Блок ввода'!AE42=3,130,IF('Блок ввода'!AE42=4,33)))))</f>
        <v>100</v>
      </c>
    </row>
    <row r="4" spans="1:101" ht="18" customHeight="1" x14ac:dyDescent="0.2">
      <c r="A4" s="371">
        <v>4</v>
      </c>
      <c r="B4" s="1491" t="str">
        <f>CONCATENATE('Блок ввода'!F8," ",'Блок ввода'!G8,"  ",'Блок ввода'!N1)</f>
        <v>Командир войсковой части  00000</v>
      </c>
      <c r="C4" s="1491"/>
      <c r="D4" s="1491"/>
      <c r="E4" s="1491"/>
      <c r="F4" s="1491"/>
      <c r="G4" s="1491"/>
      <c r="H4" s="1491"/>
      <c r="I4" s="1491"/>
      <c r="J4" s="1491"/>
      <c r="K4" s="78"/>
      <c r="L4" s="233"/>
      <c r="M4" s="233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11"/>
      <c r="BC4" s="11"/>
      <c r="BD4" s="11"/>
      <c r="BE4" s="15"/>
      <c r="BF4" s="15"/>
      <c r="BG4" s="15"/>
      <c r="BH4" s="15"/>
      <c r="BI4" s="16"/>
      <c r="BJ4" s="16"/>
      <c r="BK4" s="17"/>
      <c r="BL4" s="17"/>
      <c r="BM4" s="17"/>
      <c r="BN4" s="17"/>
      <c r="BO4" s="17"/>
      <c r="BP4" s="83"/>
      <c r="BQ4" s="83"/>
    </row>
    <row r="5" spans="1:101" ht="3.75" customHeight="1" x14ac:dyDescent="0.2">
      <c r="A5" s="14"/>
      <c r="C5" s="1489"/>
      <c r="D5" s="1490"/>
      <c r="E5" s="1490"/>
      <c r="F5" s="1490"/>
      <c r="G5" s="1490"/>
      <c r="H5" s="1490"/>
      <c r="I5" s="18"/>
      <c r="J5" s="18"/>
      <c r="K5" s="19"/>
      <c r="L5" s="234"/>
      <c r="M5" s="234"/>
      <c r="N5" s="234"/>
      <c r="O5" s="234"/>
      <c r="P5" s="234"/>
      <c r="Q5" s="21"/>
      <c r="R5" s="19"/>
      <c r="S5" s="19"/>
      <c r="T5" s="19"/>
      <c r="U5" s="70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20"/>
      <c r="AO5" s="20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22"/>
      <c r="BF5" s="22"/>
      <c r="BG5" s="22"/>
      <c r="BH5" s="22"/>
      <c r="BI5" s="19"/>
      <c r="BJ5" s="19"/>
      <c r="BK5" s="20"/>
      <c r="BL5" s="20"/>
      <c r="BM5" s="20"/>
      <c r="BN5" s="20"/>
      <c r="BO5" s="20"/>
      <c r="BP5" s="84"/>
      <c r="BQ5" s="84"/>
    </row>
    <row r="6" spans="1:101" ht="20.25" x14ac:dyDescent="0.3">
      <c r="A6" s="14"/>
      <c r="C6" s="1494" t="str">
        <f>'Блок ввода'!M8</f>
        <v>генерал-майор</v>
      </c>
      <c r="D6" s="1494"/>
      <c r="E6" s="1494"/>
      <c r="F6" s="1494"/>
      <c r="G6" s="293"/>
      <c r="H6" s="293"/>
      <c r="I6" s="1493"/>
      <c r="J6" s="1493"/>
      <c r="L6" s="50"/>
      <c r="M6" s="50"/>
      <c r="N6" s="50"/>
      <c r="O6" s="81"/>
      <c r="P6" s="81"/>
      <c r="S6" s="1367" t="str">
        <f>CONCATENATE("по    нормам   ",'Блок ввода'!B21,"   пайка   ",'Блок ввода'!G8,"    ",'Блок ввода'!N1)</f>
        <v>по    нормам   общевойскового   пайка   войсковой части    00000</v>
      </c>
      <c r="T6" s="1367"/>
      <c r="U6" s="1367"/>
      <c r="V6" s="1367"/>
      <c r="W6" s="1367"/>
      <c r="X6" s="1367"/>
      <c r="Y6" s="1367"/>
      <c r="Z6" s="1367"/>
      <c r="AA6" s="1367"/>
      <c r="AB6" s="1367"/>
      <c r="AC6" s="1367"/>
      <c r="AD6" s="1367"/>
      <c r="AE6" s="1367"/>
      <c r="AF6" s="1367"/>
      <c r="AG6" s="1367"/>
      <c r="AH6" s="1367"/>
      <c r="AI6" s="1367"/>
      <c r="AJ6" s="1367"/>
      <c r="AK6" s="1367"/>
      <c r="AL6" s="1367"/>
      <c r="AM6" s="1367"/>
      <c r="AN6" s="1367"/>
      <c r="AO6" s="1367"/>
      <c r="AP6" s="1367"/>
      <c r="AQ6" s="1367"/>
      <c r="AR6" s="1367"/>
      <c r="AS6" s="1367"/>
      <c r="AT6" s="1367"/>
      <c r="AU6" s="1367"/>
      <c r="AV6" s="1367"/>
      <c r="AW6" s="23"/>
      <c r="AX6" s="23"/>
      <c r="AY6" s="23"/>
      <c r="AZ6" s="23"/>
      <c r="BA6" s="23"/>
      <c r="BB6" s="23"/>
      <c r="BC6" s="23"/>
      <c r="BD6" s="23"/>
      <c r="BE6" s="24"/>
      <c r="BF6" s="24"/>
      <c r="BG6" s="24"/>
      <c r="BH6" s="24"/>
      <c r="BI6" s="23"/>
      <c r="BJ6" s="23"/>
      <c r="BK6" s="25"/>
      <c r="BL6" s="25"/>
      <c r="BM6" s="25"/>
      <c r="BN6" s="25"/>
      <c r="BO6" s="25"/>
      <c r="BP6" s="85"/>
      <c r="BQ6" s="85"/>
    </row>
    <row r="7" spans="1:101" ht="18" customHeight="1" x14ac:dyDescent="0.2">
      <c r="A7" s="14"/>
      <c r="C7" s="1492"/>
      <c r="D7" s="1492"/>
      <c r="E7" s="1492"/>
      <c r="F7" s="1492"/>
      <c r="G7" s="1492"/>
      <c r="H7" s="1492"/>
      <c r="I7" s="1495" t="str">
        <f>'Блок ввода'!O8</f>
        <v>В.ПЕТРОВ</v>
      </c>
      <c r="J7" s="1495"/>
      <c r="K7" s="19"/>
      <c r="L7" s="50">
        <v>75</v>
      </c>
      <c r="M7" s="235"/>
      <c r="N7" s="226">
        <v>2</v>
      </c>
      <c r="O7" s="234"/>
      <c r="P7" s="234"/>
      <c r="Q7" s="19"/>
      <c r="R7" s="19"/>
      <c r="S7" s="19"/>
      <c r="T7" s="19"/>
      <c r="U7" s="70"/>
      <c r="V7" s="19"/>
      <c r="W7" s="19"/>
      <c r="X7" s="19"/>
      <c r="Y7" s="1397" t="s">
        <v>30</v>
      </c>
      <c r="Z7" s="1397"/>
      <c r="AA7" s="1397"/>
      <c r="AB7" s="1397"/>
      <c r="AC7" s="1397"/>
      <c r="AD7" s="1397"/>
      <c r="AE7" s="1397"/>
      <c r="AF7" s="1397"/>
      <c r="AG7" s="1397"/>
      <c r="AH7" s="19"/>
      <c r="AI7" s="19"/>
      <c r="AJ7" s="1397" t="s">
        <v>31</v>
      </c>
      <c r="AK7" s="1397"/>
      <c r="AL7" s="1397"/>
      <c r="AM7" s="1397"/>
      <c r="AN7" s="1397"/>
      <c r="AO7" s="1397"/>
      <c r="AP7" s="1397"/>
      <c r="AQ7" s="1397"/>
      <c r="AR7" s="1397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22"/>
      <c r="BF7" s="22"/>
      <c r="BG7" s="22"/>
      <c r="BH7" s="22"/>
      <c r="BI7" s="19"/>
      <c r="BJ7" s="19"/>
      <c r="BK7" s="20"/>
      <c r="BL7" s="20"/>
      <c r="BM7" s="20"/>
      <c r="BN7" s="20"/>
      <c r="BO7" s="20"/>
      <c r="BP7" s="84"/>
      <c r="BQ7" s="84"/>
    </row>
    <row r="8" spans="1:101" ht="20.25" x14ac:dyDescent="0.3">
      <c r="A8" s="294"/>
      <c r="B8" s="26"/>
      <c r="C8" s="1478">
        <f>'Блок ввода'!I4-3</f>
        <v>40088</v>
      </c>
      <c r="D8" s="1478"/>
      <c r="E8" s="1478"/>
      <c r="F8" s="1478"/>
      <c r="G8" s="1478"/>
      <c r="H8" s="1478"/>
      <c r="I8" s="1478"/>
      <c r="J8" s="481">
        <f>'Блок ввода'!M4</f>
        <v>0</v>
      </c>
      <c r="K8" s="28"/>
      <c r="L8" s="231">
        <f>IF('Блок ввода'!H36=2,120,IF('Блок ввода'!H36=3,140,0))</f>
        <v>0</v>
      </c>
      <c r="M8" s="236"/>
      <c r="N8" s="226">
        <v>1750</v>
      </c>
      <c r="O8" s="240"/>
      <c r="P8" s="81"/>
      <c r="Q8" s="28"/>
      <c r="V8" s="1383" t="s">
        <v>47</v>
      </c>
      <c r="W8" s="1383"/>
      <c r="X8" s="1383"/>
      <c r="Y8" s="1384"/>
      <c r="Z8" s="1466">
        <f>C25</f>
        <v>40091</v>
      </c>
      <c r="AA8" s="1467"/>
      <c r="AB8" s="1467"/>
      <c r="AC8" s="1467"/>
      <c r="AD8" s="1467"/>
      <c r="AE8" s="1467"/>
      <c r="AF8" s="1468"/>
      <c r="AG8" s="30"/>
      <c r="AH8" s="1383" t="s">
        <v>46</v>
      </c>
      <c r="AI8" s="1383"/>
      <c r="AJ8" s="1383"/>
      <c r="AK8" s="1384"/>
      <c r="AL8" s="1466">
        <f>C120</f>
        <v>40097</v>
      </c>
      <c r="AM8" s="1467"/>
      <c r="AN8" s="1467"/>
      <c r="AO8" s="1467"/>
      <c r="AP8" s="1467"/>
      <c r="AQ8" s="1467"/>
      <c r="AR8" s="1467"/>
      <c r="AS8" s="1468"/>
      <c r="AT8" s="31"/>
      <c r="AU8" s="28"/>
      <c r="AV8" s="29"/>
      <c r="AW8" s="29"/>
      <c r="AX8" s="29"/>
      <c r="AY8" s="29"/>
      <c r="AZ8" s="29"/>
      <c r="BA8" s="29"/>
      <c r="BB8" s="29"/>
      <c r="BC8" s="29"/>
      <c r="BD8" s="29"/>
    </row>
    <row r="9" spans="1:101" ht="6" customHeight="1" thickBot="1" x14ac:dyDescent="0.3">
      <c r="A9" s="14"/>
      <c r="C9" s="32"/>
      <c r="D9" s="33"/>
      <c r="E9" s="33"/>
      <c r="F9" s="33"/>
      <c r="G9" s="33"/>
      <c r="H9" s="33"/>
      <c r="I9" s="33"/>
      <c r="J9" s="33"/>
      <c r="K9" s="34"/>
      <c r="L9" s="241">
        <f>IF('Блок ввода'!H36=2,85,IF('Блок ввода'!H36=3,95,0))</f>
        <v>0</v>
      </c>
      <c r="M9" s="241"/>
      <c r="N9" s="241"/>
      <c r="O9" s="241"/>
      <c r="P9" s="241"/>
      <c r="Q9" s="34"/>
      <c r="R9" s="34"/>
      <c r="S9" s="34"/>
      <c r="T9" s="34"/>
      <c r="U9" s="71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5"/>
      <c r="AO9" s="35"/>
      <c r="AP9" s="34"/>
      <c r="AQ9" s="34"/>
      <c r="AR9" s="34"/>
      <c r="AS9" s="34"/>
      <c r="AT9" s="34"/>
      <c r="AU9" s="36"/>
      <c r="AV9" s="34"/>
      <c r="AW9" s="34"/>
      <c r="AX9" s="34"/>
      <c r="AY9" s="34"/>
      <c r="AZ9" s="34"/>
      <c r="BA9" s="34"/>
      <c r="BB9" s="34"/>
      <c r="BC9" s="34"/>
      <c r="BD9" s="34"/>
    </row>
    <row r="10" spans="1:101" ht="18.75" hidden="1" customHeight="1" thickBot="1" x14ac:dyDescent="0.3">
      <c r="A10" s="14"/>
      <c r="C10" s="32"/>
      <c r="D10" s="33"/>
      <c r="E10" s="33"/>
      <c r="F10" s="33"/>
      <c r="G10" s="33"/>
      <c r="H10" s="33"/>
      <c r="I10" s="33"/>
      <c r="J10" s="33"/>
      <c r="K10" s="34"/>
      <c r="L10" s="34"/>
      <c r="M10" s="34"/>
      <c r="N10" s="35"/>
      <c r="O10" s="34"/>
      <c r="P10" s="34"/>
      <c r="Q10" s="34"/>
      <c r="R10" s="34"/>
      <c r="S10" s="34"/>
      <c r="T10" s="34"/>
      <c r="U10" s="71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5"/>
      <c r="AO10" s="35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</row>
    <row r="11" spans="1:101" ht="19.5" hidden="1" customHeight="1" thickBot="1" x14ac:dyDescent="0.25">
      <c r="A11" s="14"/>
    </row>
    <row r="12" spans="1:101" ht="20.100000000000001" customHeight="1" thickBot="1" x14ac:dyDescent="0.35">
      <c r="A12" s="37"/>
      <c r="B12" s="1405" t="s">
        <v>454</v>
      </c>
      <c r="C12" s="1406"/>
      <c r="D12" s="1300" t="s">
        <v>0</v>
      </c>
      <c r="E12" s="1321"/>
      <c r="F12" s="1469" t="s">
        <v>1</v>
      </c>
      <c r="G12" s="1329"/>
      <c r="H12" s="1329"/>
      <c r="I12" s="1329"/>
      <c r="J12" s="1470"/>
      <c r="K12" s="1284" t="s">
        <v>2</v>
      </c>
      <c r="L12" s="1285"/>
      <c r="M12" s="1285"/>
      <c r="N12" s="1285"/>
      <c r="O12" s="1285"/>
      <c r="P12" s="1285"/>
      <c r="Q12" s="1285"/>
      <c r="R12" s="1285"/>
      <c r="S12" s="1285"/>
      <c r="T12" s="1285"/>
      <c r="U12" s="1285"/>
      <c r="V12" s="1285"/>
      <c r="W12" s="1285"/>
      <c r="X12" s="1285"/>
      <c r="Y12" s="1285"/>
      <c r="Z12" s="1285"/>
      <c r="AA12" s="1285"/>
      <c r="AB12" s="1285"/>
      <c r="AC12" s="1285"/>
      <c r="AD12" s="1285"/>
      <c r="AE12" s="1285"/>
      <c r="AF12" s="1285"/>
      <c r="AG12" s="1285"/>
      <c r="AH12" s="1285"/>
      <c r="AI12" s="1285"/>
      <c r="AJ12" s="1285"/>
      <c r="AK12" s="1285"/>
      <c r="AL12" s="1285"/>
      <c r="AM12" s="1285"/>
      <c r="AN12" s="1285"/>
      <c r="AO12" s="1285"/>
      <c r="AP12" s="1285"/>
      <c r="AQ12" s="1285"/>
      <c r="AR12" s="1285"/>
      <c r="AS12" s="1285"/>
      <c r="AT12" s="1285"/>
      <c r="AU12" s="1285"/>
      <c r="AV12" s="1285"/>
      <c r="AW12" s="1285"/>
      <c r="AX12" s="1285"/>
      <c r="AY12" s="1285"/>
      <c r="AZ12" s="1285"/>
      <c r="BA12" s="1285"/>
      <c r="BB12" s="1285"/>
      <c r="BC12" s="1285"/>
      <c r="BD12" s="1285"/>
      <c r="BE12" s="1285"/>
      <c r="BF12" s="1285"/>
      <c r="BG12" s="1285"/>
      <c r="BH12" s="1285"/>
      <c r="BI12" s="1285"/>
      <c r="BJ12" s="1286"/>
      <c r="BK12" s="1385" t="s">
        <v>245</v>
      </c>
      <c r="BL12" s="1386"/>
      <c r="BM12" s="1386"/>
      <c r="BN12" s="1386"/>
      <c r="BO12" s="1387"/>
      <c r="BP12" s="1446" t="s">
        <v>26</v>
      </c>
      <c r="BQ12" s="1450" t="s">
        <v>37</v>
      </c>
      <c r="BR12" s="766"/>
      <c r="BY12" s="765"/>
      <c r="BZ12" s="1438" t="s">
        <v>49</v>
      </c>
      <c r="CA12" s="1438" t="s">
        <v>50</v>
      </c>
      <c r="CC12" s="765"/>
    </row>
    <row r="13" spans="1:101" ht="20.100000000000001" customHeight="1" thickBot="1" x14ac:dyDescent="0.35">
      <c r="A13" s="38">
        <f>CD134</f>
        <v>1710.7142857142858</v>
      </c>
      <c r="B13" s="1407"/>
      <c r="C13" s="1408"/>
      <c r="D13" s="1302"/>
      <c r="E13" s="1322"/>
      <c r="F13" s="1471"/>
      <c r="G13" s="1330"/>
      <c r="H13" s="1330"/>
      <c r="I13" s="1330"/>
      <c r="J13" s="1472"/>
      <c r="K13" s="1295" t="s">
        <v>347</v>
      </c>
      <c r="L13" s="1298" t="str">
        <f>IF('Блок ввода'!$H$36=2,"Хлеб из муки пш.высш. сорта",IF('Блок ввода'!$H$36=3,"Батон простой и нарезной из пш. муки 1 с.","Хлеб из муки пшен. 1 сорта"))</f>
        <v>Хлеб из муки пшен. 1 сорта</v>
      </c>
      <c r="M13" s="1288" t="s">
        <v>455</v>
      </c>
      <c r="N13" s="1483" t="str">
        <f>IF('Блок ввода'!H26=1,"Мука пш. 1 с.","Мука пш. 2 с.")</f>
        <v>Мука пш. 1 с.</v>
      </c>
      <c r="O13" s="1460" t="s">
        <v>576</v>
      </c>
      <c r="P13" s="1486" t="s">
        <v>8</v>
      </c>
      <c r="Q13" s="1418" t="s">
        <v>3</v>
      </c>
      <c r="R13" s="1419"/>
      <c r="S13" s="1419"/>
      <c r="T13" s="1419"/>
      <c r="U13" s="1419"/>
      <c r="V13" s="1419"/>
      <c r="W13" s="1420"/>
      <c r="X13" s="1415" t="s">
        <v>61</v>
      </c>
      <c r="Y13" s="1418" t="s">
        <v>4</v>
      </c>
      <c r="Z13" s="1419"/>
      <c r="AA13" s="1419"/>
      <c r="AB13" s="1419"/>
      <c r="AC13" s="1420"/>
      <c r="AD13" s="1418" t="s">
        <v>5</v>
      </c>
      <c r="AE13" s="1419"/>
      <c r="AF13" s="1420"/>
      <c r="AG13" s="1295" t="s">
        <v>16</v>
      </c>
      <c r="AH13" s="1288" t="str">
        <f>IF('Блок ввода'!$Y$39=TRUE,"К о ф е","Ч  а  й")</f>
        <v>Ч  а  й</v>
      </c>
      <c r="AI13" s="1395" t="str">
        <f>IF('Блок ввода'!AA32=1,"Фрукты свежие","Фрукты сушеные")</f>
        <v>Фрукты сушеные</v>
      </c>
      <c r="AJ13" s="1292" t="s">
        <v>17</v>
      </c>
      <c r="AK13" s="1418" t="s">
        <v>6</v>
      </c>
      <c r="AL13" s="1419"/>
      <c r="AM13" s="1419"/>
      <c r="AN13" s="1419"/>
      <c r="AO13" s="1419"/>
      <c r="AP13" s="1420"/>
      <c r="AQ13" s="1284" t="s">
        <v>183</v>
      </c>
      <c r="AR13" s="1285"/>
      <c r="AS13" s="1285"/>
      <c r="AT13" s="1285"/>
      <c r="AU13" s="1285"/>
      <c r="AV13" s="1285"/>
      <c r="AW13" s="1285"/>
      <c r="AX13" s="1285"/>
      <c r="AY13" s="1285"/>
      <c r="AZ13" s="1285"/>
      <c r="BA13" s="1285"/>
      <c r="BB13" s="1285"/>
      <c r="BC13" s="1285"/>
      <c r="BD13" s="1285"/>
      <c r="BE13" s="1285"/>
      <c r="BF13" s="1285"/>
      <c r="BG13" s="1285"/>
      <c r="BH13" s="1285"/>
      <c r="BI13" s="1285"/>
      <c r="BJ13" s="1286"/>
      <c r="BK13" s="1388"/>
      <c r="BL13" s="1389"/>
      <c r="BM13" s="1389"/>
      <c r="BN13" s="1389"/>
      <c r="BO13" s="1390"/>
      <c r="BP13" s="1447"/>
      <c r="BQ13" s="1451"/>
      <c r="BR13" s="766"/>
      <c r="BY13" s="765"/>
      <c r="BZ13" s="1438"/>
      <c r="CA13" s="1438"/>
      <c r="CC13" s="765"/>
    </row>
    <row r="14" spans="1:101" ht="20.100000000000001" customHeight="1" thickBot="1" x14ac:dyDescent="0.25">
      <c r="A14" s="14"/>
      <c r="B14" s="1407"/>
      <c r="C14" s="1408"/>
      <c r="D14" s="1302"/>
      <c r="E14" s="1322"/>
      <c r="F14" s="1471"/>
      <c r="G14" s="1330"/>
      <c r="H14" s="1330"/>
      <c r="I14" s="1330"/>
      <c r="J14" s="1472"/>
      <c r="K14" s="1296"/>
      <c r="L14" s="1393"/>
      <c r="M14" s="1288"/>
      <c r="N14" s="1484"/>
      <c r="O14" s="1416"/>
      <c r="P14" s="1487"/>
      <c r="Q14" s="1482" t="s">
        <v>34</v>
      </c>
      <c r="R14" s="1411" t="s">
        <v>40</v>
      </c>
      <c r="S14" s="1411" t="s">
        <v>172</v>
      </c>
      <c r="T14" s="1287" t="s">
        <v>171</v>
      </c>
      <c r="U14" s="1481" t="s">
        <v>35</v>
      </c>
      <c r="V14" s="1411" t="s">
        <v>105</v>
      </c>
      <c r="W14" s="1462" t="str">
        <f>'Блок ввода'!B37</f>
        <v>Овсяная</v>
      </c>
      <c r="X14" s="1416"/>
      <c r="Y14" s="1412" t="s">
        <v>378</v>
      </c>
      <c r="Z14" s="1298" t="s">
        <v>10</v>
      </c>
      <c r="AA14" s="1287" t="s">
        <v>185</v>
      </c>
      <c r="AB14" s="1298" t="s">
        <v>11</v>
      </c>
      <c r="AC14" s="1483" t="s">
        <v>12</v>
      </c>
      <c r="AD14" s="1295" t="s">
        <v>13</v>
      </c>
      <c r="AE14" s="1298" t="s">
        <v>14</v>
      </c>
      <c r="AF14" s="1292" t="s">
        <v>15</v>
      </c>
      <c r="AG14" s="1296"/>
      <c r="AH14" s="1288"/>
      <c r="AI14" s="1395"/>
      <c r="AJ14" s="1293"/>
      <c r="AK14" s="1295" t="s">
        <v>18</v>
      </c>
      <c r="AL14" s="1298" t="s">
        <v>19</v>
      </c>
      <c r="AM14" s="1298" t="s">
        <v>225</v>
      </c>
      <c r="AN14" s="1298" t="s">
        <v>48</v>
      </c>
      <c r="AO14" s="1298" t="s">
        <v>577</v>
      </c>
      <c r="AP14" s="1292" t="s">
        <v>578</v>
      </c>
      <c r="AQ14" s="1500" t="s">
        <v>212</v>
      </c>
      <c r="AR14" s="1504" t="s">
        <v>359</v>
      </c>
      <c r="AS14" s="1496" t="s">
        <v>579</v>
      </c>
      <c r="AT14" s="1287" t="s">
        <v>23</v>
      </c>
      <c r="AU14" s="1287" t="s">
        <v>24</v>
      </c>
      <c r="AV14" s="1287" t="s">
        <v>251</v>
      </c>
      <c r="AW14" s="1287" t="s">
        <v>25</v>
      </c>
      <c r="AX14" s="1287" t="str">
        <f>IF('Блок ввода'!G32=TRUE,"порошок яичный","Я  й ц о")</f>
        <v>Я  й ц о</v>
      </c>
      <c r="AY14" s="1287" t="s">
        <v>36</v>
      </c>
      <c r="AZ14" s="1287" t="s">
        <v>361</v>
      </c>
      <c r="BA14" s="1287" t="str">
        <f>IF('Блок ввода'!$A$34=1,"Молоко  сгущ.","Молоко  сух.")</f>
        <v>Молоко  сух.</v>
      </c>
      <c r="BB14" s="1287" t="s">
        <v>386</v>
      </c>
      <c r="BC14" s="1287" t="s">
        <v>580</v>
      </c>
      <c r="BD14" s="1287" t="str">
        <f>IF(AND('Блок ввода'!A25=1,'Блок ввода'!I23="Чеснока"),"Чеснок","")</f>
        <v/>
      </c>
      <c r="BE14" s="1501" t="s">
        <v>187</v>
      </c>
      <c r="BF14" s="1398" t="s">
        <v>265</v>
      </c>
      <c r="BG14" s="1479" t="s">
        <v>260</v>
      </c>
      <c r="BH14" s="1541" t="str">
        <f>IF('Блок ввода'!$B$223=1,"Дрожжи сушеные","Дрожжи пресованные")</f>
        <v>Дрожжи пресованные</v>
      </c>
      <c r="BI14" s="1287" t="s">
        <v>518</v>
      </c>
      <c r="BJ14" s="1290" t="s">
        <v>519</v>
      </c>
      <c r="BK14" s="1389"/>
      <c r="BL14" s="1389"/>
      <c r="BM14" s="1389"/>
      <c r="BN14" s="1389"/>
      <c r="BO14" s="1390"/>
      <c r="BP14" s="1447"/>
      <c r="BQ14" s="1451"/>
      <c r="BR14" s="766"/>
      <c r="BY14" s="765"/>
      <c r="BZ14" s="1438"/>
      <c r="CA14" s="1438"/>
      <c r="CC14" s="765"/>
      <c r="CW14" s="6"/>
    </row>
    <row r="15" spans="1:101" ht="20.100000000000001" customHeight="1" thickBot="1" x14ac:dyDescent="0.25">
      <c r="B15" s="1407"/>
      <c r="C15" s="1408"/>
      <c r="D15" s="1302"/>
      <c r="E15" s="1322"/>
      <c r="F15" s="1471"/>
      <c r="G15" s="1330"/>
      <c r="H15" s="1330"/>
      <c r="I15" s="1330"/>
      <c r="J15" s="1472"/>
      <c r="K15" s="1296"/>
      <c r="L15" s="1393"/>
      <c r="M15" s="1288"/>
      <c r="N15" s="1484"/>
      <c r="O15" s="1416"/>
      <c r="P15" s="1487"/>
      <c r="Q15" s="1482"/>
      <c r="R15" s="1411"/>
      <c r="S15" s="1411"/>
      <c r="T15" s="1288"/>
      <c r="U15" s="1481"/>
      <c r="V15" s="1411"/>
      <c r="W15" s="1463"/>
      <c r="X15" s="1416"/>
      <c r="Y15" s="1413"/>
      <c r="Z15" s="1393"/>
      <c r="AA15" s="1288"/>
      <c r="AB15" s="1393"/>
      <c r="AC15" s="1484"/>
      <c r="AD15" s="1296"/>
      <c r="AE15" s="1393"/>
      <c r="AF15" s="1293"/>
      <c r="AG15" s="1296"/>
      <c r="AH15" s="1288"/>
      <c r="AI15" s="1395"/>
      <c r="AJ15" s="1293"/>
      <c r="AK15" s="1296"/>
      <c r="AL15" s="1393"/>
      <c r="AM15" s="1393"/>
      <c r="AN15" s="1393"/>
      <c r="AO15" s="1393"/>
      <c r="AP15" s="1293"/>
      <c r="AQ15" s="1296"/>
      <c r="AR15" s="1505"/>
      <c r="AS15" s="1393"/>
      <c r="AT15" s="1288"/>
      <c r="AU15" s="1288"/>
      <c r="AV15" s="1288"/>
      <c r="AW15" s="1288"/>
      <c r="AX15" s="1288"/>
      <c r="AY15" s="1288"/>
      <c r="AZ15" s="1288"/>
      <c r="BA15" s="1288"/>
      <c r="BB15" s="1288"/>
      <c r="BC15" s="1288"/>
      <c r="BD15" s="1288"/>
      <c r="BE15" s="1502"/>
      <c r="BF15" s="1399"/>
      <c r="BG15" s="1480"/>
      <c r="BH15" s="1542"/>
      <c r="BI15" s="1288"/>
      <c r="BJ15" s="1291"/>
      <c r="BK15" s="1391"/>
      <c r="BL15" s="1391"/>
      <c r="BM15" s="1391"/>
      <c r="BN15" s="1391"/>
      <c r="BO15" s="1392"/>
      <c r="BP15" s="1447"/>
      <c r="BQ15" s="1451"/>
      <c r="BR15" s="766"/>
      <c r="BY15" s="765"/>
      <c r="BZ15" s="1438"/>
      <c r="CA15" s="1438"/>
      <c r="CC15" s="765"/>
    </row>
    <row r="16" spans="1:101" ht="20.100000000000001" hidden="1" customHeight="1" thickBot="1" x14ac:dyDescent="0.25">
      <c r="B16" s="1407"/>
      <c r="C16" s="1408"/>
      <c r="D16" s="1302"/>
      <c r="E16" s="1322"/>
      <c r="F16" s="1471"/>
      <c r="G16" s="1330"/>
      <c r="H16" s="1330"/>
      <c r="I16" s="1330"/>
      <c r="J16" s="1472"/>
      <c r="K16" s="1296"/>
      <c r="L16" s="1393"/>
      <c r="M16" s="1288"/>
      <c r="N16" s="1484"/>
      <c r="O16" s="1416"/>
      <c r="P16" s="1487"/>
      <c r="Q16" s="1482"/>
      <c r="R16" s="1411"/>
      <c r="S16" s="1411"/>
      <c r="T16" s="1288"/>
      <c r="U16" s="1481"/>
      <c r="V16" s="1411"/>
      <c r="W16" s="1463"/>
      <c r="X16" s="1416"/>
      <c r="Y16" s="1413"/>
      <c r="Z16" s="1393"/>
      <c r="AA16" s="1288"/>
      <c r="AB16" s="1393"/>
      <c r="AC16" s="1484"/>
      <c r="AD16" s="1296"/>
      <c r="AE16" s="1393"/>
      <c r="AF16" s="1293"/>
      <c r="AG16" s="1296"/>
      <c r="AH16" s="1288"/>
      <c r="AI16" s="1395"/>
      <c r="AJ16" s="1293"/>
      <c r="AK16" s="1296"/>
      <c r="AL16" s="1393"/>
      <c r="AM16" s="1393"/>
      <c r="AN16" s="1393"/>
      <c r="AO16" s="1393"/>
      <c r="AP16" s="1293"/>
      <c r="AQ16" s="1296"/>
      <c r="AR16" s="1505"/>
      <c r="AS16" s="1393"/>
      <c r="AT16" s="1288"/>
      <c r="AU16" s="1288"/>
      <c r="AV16" s="1288"/>
      <c r="AW16" s="1288"/>
      <c r="AX16" s="1288"/>
      <c r="AY16" s="1288"/>
      <c r="AZ16" s="1288"/>
      <c r="BA16" s="1288"/>
      <c r="BB16" s="1288"/>
      <c r="BC16" s="1288"/>
      <c r="BD16" s="1288"/>
      <c r="BE16" s="1502"/>
      <c r="BF16" s="1399"/>
      <c r="BG16" s="1480"/>
      <c r="BH16" s="1542"/>
      <c r="BI16" s="1288"/>
      <c r="BJ16" s="1291"/>
      <c r="BK16" s="807"/>
      <c r="BL16" s="807"/>
      <c r="BM16" s="807"/>
      <c r="BN16" s="807"/>
      <c r="BO16" s="808"/>
      <c r="BP16" s="1447"/>
      <c r="BQ16" s="1451"/>
      <c r="BR16" s="766"/>
      <c r="BY16" s="765"/>
      <c r="BZ16" s="1438"/>
      <c r="CA16" s="1438"/>
      <c r="CC16" s="765"/>
    </row>
    <row r="17" spans="1:118" ht="20.100000000000001" hidden="1" customHeight="1" thickBot="1" x14ac:dyDescent="0.25">
      <c r="B17" s="1407"/>
      <c r="C17" s="1408"/>
      <c r="D17" s="1302"/>
      <c r="E17" s="1322"/>
      <c r="F17" s="1471"/>
      <c r="G17" s="1330"/>
      <c r="H17" s="1330"/>
      <c r="I17" s="1330"/>
      <c r="J17" s="1472"/>
      <c r="K17" s="1296"/>
      <c r="L17" s="1393"/>
      <c r="M17" s="1288"/>
      <c r="N17" s="1484"/>
      <c r="O17" s="1416"/>
      <c r="P17" s="1487"/>
      <c r="Q17" s="1482"/>
      <c r="R17" s="1411"/>
      <c r="S17" s="1411"/>
      <c r="T17" s="1288"/>
      <c r="U17" s="1481"/>
      <c r="V17" s="1411"/>
      <c r="W17" s="1463"/>
      <c r="X17" s="1416"/>
      <c r="Y17" s="1413"/>
      <c r="Z17" s="1393"/>
      <c r="AA17" s="1288"/>
      <c r="AB17" s="1393"/>
      <c r="AC17" s="1484"/>
      <c r="AD17" s="1296"/>
      <c r="AE17" s="1393"/>
      <c r="AF17" s="1293"/>
      <c r="AG17" s="1296"/>
      <c r="AH17" s="1288"/>
      <c r="AI17" s="1395"/>
      <c r="AJ17" s="1293"/>
      <c r="AK17" s="1296"/>
      <c r="AL17" s="1393"/>
      <c r="AM17" s="1393"/>
      <c r="AN17" s="1393"/>
      <c r="AO17" s="1393"/>
      <c r="AP17" s="1293"/>
      <c r="AQ17" s="1296"/>
      <c r="AR17" s="1505"/>
      <c r="AS17" s="1393"/>
      <c r="AT17" s="1288"/>
      <c r="AU17" s="1288"/>
      <c r="AV17" s="1288"/>
      <c r="AW17" s="1288"/>
      <c r="AX17" s="1288"/>
      <c r="AY17" s="1288"/>
      <c r="AZ17" s="1288"/>
      <c r="BA17" s="1288"/>
      <c r="BB17" s="1288"/>
      <c r="BC17" s="1288"/>
      <c r="BD17" s="1288"/>
      <c r="BE17" s="1502"/>
      <c r="BF17" s="1399"/>
      <c r="BG17" s="1480"/>
      <c r="BH17" s="1542"/>
      <c r="BI17" s="1288"/>
      <c r="BJ17" s="1291"/>
      <c r="BK17" s="807"/>
      <c r="BL17" s="807"/>
      <c r="BM17" s="807"/>
      <c r="BN17" s="807"/>
      <c r="BO17" s="808"/>
      <c r="BP17" s="1447"/>
      <c r="BQ17" s="1451"/>
      <c r="BR17" s="766"/>
      <c r="BY17" s="765"/>
      <c r="BZ17" s="1438"/>
      <c r="CA17" s="1438"/>
      <c r="CC17" s="765"/>
    </row>
    <row r="18" spans="1:118" ht="20.100000000000001" hidden="1" customHeight="1" thickBot="1" x14ac:dyDescent="0.25">
      <c r="B18" s="1407"/>
      <c r="C18" s="1408"/>
      <c r="D18" s="1302"/>
      <c r="E18" s="1322"/>
      <c r="F18" s="1471"/>
      <c r="G18" s="1330"/>
      <c r="H18" s="1330"/>
      <c r="I18" s="1330"/>
      <c r="J18" s="1472"/>
      <c r="K18" s="1296"/>
      <c r="L18" s="1393"/>
      <c r="M18" s="1288"/>
      <c r="N18" s="1484"/>
      <c r="O18" s="1416"/>
      <c r="P18" s="1487"/>
      <c r="Q18" s="1482"/>
      <c r="R18" s="1411"/>
      <c r="S18" s="1411"/>
      <c r="T18" s="1288"/>
      <c r="U18" s="1481"/>
      <c r="V18" s="1411"/>
      <c r="W18" s="1463"/>
      <c r="X18" s="1416"/>
      <c r="Y18" s="1413"/>
      <c r="Z18" s="1393"/>
      <c r="AA18" s="1288"/>
      <c r="AB18" s="1393"/>
      <c r="AC18" s="1484"/>
      <c r="AD18" s="1296"/>
      <c r="AE18" s="1393"/>
      <c r="AF18" s="1293"/>
      <c r="AG18" s="1296"/>
      <c r="AH18" s="1288"/>
      <c r="AI18" s="1395"/>
      <c r="AJ18" s="1293"/>
      <c r="AK18" s="1296"/>
      <c r="AL18" s="1393"/>
      <c r="AM18" s="1393"/>
      <c r="AN18" s="1393"/>
      <c r="AO18" s="1393"/>
      <c r="AP18" s="1293"/>
      <c r="AQ18" s="1296"/>
      <c r="AR18" s="1505"/>
      <c r="AS18" s="1393"/>
      <c r="AT18" s="1288"/>
      <c r="AU18" s="1288"/>
      <c r="AV18" s="1288"/>
      <c r="AW18" s="1288"/>
      <c r="AX18" s="1288"/>
      <c r="AY18" s="1288"/>
      <c r="AZ18" s="1288"/>
      <c r="BA18" s="1288"/>
      <c r="BB18" s="1288"/>
      <c r="BC18" s="1288"/>
      <c r="BD18" s="1288"/>
      <c r="BE18" s="1502"/>
      <c r="BF18" s="1399"/>
      <c r="BG18" s="1480"/>
      <c r="BH18" s="1542"/>
      <c r="BI18" s="1288"/>
      <c r="BJ18" s="1291"/>
      <c r="BK18" s="807"/>
      <c r="BL18" s="807"/>
      <c r="BM18" s="807"/>
      <c r="BN18" s="807"/>
      <c r="BO18" s="808"/>
      <c r="BP18" s="1447"/>
      <c r="BQ18" s="1451"/>
      <c r="BR18" s="766"/>
      <c r="BY18" s="765"/>
      <c r="BZ18" s="1438"/>
      <c r="CA18" s="1438"/>
      <c r="CC18" s="765"/>
    </row>
    <row r="19" spans="1:118" ht="20.100000000000001" customHeight="1" thickBot="1" x14ac:dyDescent="0.25">
      <c r="B19" s="1407"/>
      <c r="C19" s="1408"/>
      <c r="D19" s="1302"/>
      <c r="E19" s="1322"/>
      <c r="F19" s="1471"/>
      <c r="G19" s="1330"/>
      <c r="H19" s="1330"/>
      <c r="I19" s="1330"/>
      <c r="J19" s="1472"/>
      <c r="K19" s="1296"/>
      <c r="L19" s="1393"/>
      <c r="M19" s="1288"/>
      <c r="N19" s="1484"/>
      <c r="O19" s="1416"/>
      <c r="P19" s="1487"/>
      <c r="Q19" s="1482"/>
      <c r="R19" s="1411"/>
      <c r="S19" s="1411"/>
      <c r="T19" s="1288"/>
      <c r="U19" s="1481"/>
      <c r="V19" s="1411"/>
      <c r="W19" s="1463"/>
      <c r="X19" s="1416"/>
      <c r="Y19" s="1413"/>
      <c r="Z19" s="1393"/>
      <c r="AA19" s="1288"/>
      <c r="AB19" s="1393"/>
      <c r="AC19" s="1484"/>
      <c r="AD19" s="1296"/>
      <c r="AE19" s="1393"/>
      <c r="AF19" s="1293"/>
      <c r="AG19" s="1296"/>
      <c r="AH19" s="1288"/>
      <c r="AI19" s="1395"/>
      <c r="AJ19" s="1293"/>
      <c r="AK19" s="1296"/>
      <c r="AL19" s="1393"/>
      <c r="AM19" s="1393"/>
      <c r="AN19" s="1393"/>
      <c r="AO19" s="1393"/>
      <c r="AP19" s="1293"/>
      <c r="AQ19" s="1296"/>
      <c r="AR19" s="1505"/>
      <c r="AS19" s="1393"/>
      <c r="AT19" s="1288"/>
      <c r="AU19" s="1288"/>
      <c r="AV19" s="1288"/>
      <c r="AW19" s="1288"/>
      <c r="AX19" s="1288"/>
      <c r="AY19" s="1288"/>
      <c r="AZ19" s="1288"/>
      <c r="BA19" s="1288"/>
      <c r="BB19" s="1288"/>
      <c r="BC19" s="1288"/>
      <c r="BD19" s="1288"/>
      <c r="BE19" s="1502"/>
      <c r="BF19" s="1399"/>
      <c r="BG19" s="1480"/>
      <c r="BH19" s="1542"/>
      <c r="BI19" s="1288"/>
      <c r="BJ19" s="1291"/>
      <c r="BK19" s="1444" t="s">
        <v>255</v>
      </c>
      <c r="BL19" s="1441" t="s">
        <v>241</v>
      </c>
      <c r="BM19" s="1441" t="s">
        <v>242</v>
      </c>
      <c r="BN19" s="1439" t="s">
        <v>243</v>
      </c>
      <c r="BO19" s="1497" t="s">
        <v>244</v>
      </c>
      <c r="BP19" s="1448"/>
      <c r="BQ19" s="1451"/>
      <c r="BR19" s="766"/>
      <c r="BY19" s="765"/>
      <c r="BZ19" s="1438"/>
      <c r="CA19" s="1438"/>
      <c r="CC19" s="765"/>
    </row>
    <row r="20" spans="1:118" ht="60" customHeight="1" thickBot="1" x14ac:dyDescent="0.25">
      <c r="A20" s="93" t="s">
        <v>270</v>
      </c>
      <c r="B20" s="1407"/>
      <c r="C20" s="1408"/>
      <c r="D20" s="1302"/>
      <c r="E20" s="1322"/>
      <c r="F20" s="1471"/>
      <c r="G20" s="1330"/>
      <c r="H20" s="1330"/>
      <c r="I20" s="1330"/>
      <c r="J20" s="1472"/>
      <c r="K20" s="1296"/>
      <c r="L20" s="1393"/>
      <c r="M20" s="1298"/>
      <c r="N20" s="1484"/>
      <c r="O20" s="1416"/>
      <c r="P20" s="1487"/>
      <c r="Q20" s="1482"/>
      <c r="R20" s="1411"/>
      <c r="S20" s="1411"/>
      <c r="T20" s="1289"/>
      <c r="U20" s="1481"/>
      <c r="V20" s="1411"/>
      <c r="W20" s="1463"/>
      <c r="X20" s="1416"/>
      <c r="Y20" s="1413"/>
      <c r="Z20" s="1393"/>
      <c r="AA20" s="1288"/>
      <c r="AB20" s="1393"/>
      <c r="AC20" s="1484"/>
      <c r="AD20" s="1296"/>
      <c r="AE20" s="1393"/>
      <c r="AF20" s="1293"/>
      <c r="AG20" s="1296"/>
      <c r="AH20" s="1298"/>
      <c r="AI20" s="1395"/>
      <c r="AJ20" s="1293"/>
      <c r="AK20" s="1296"/>
      <c r="AL20" s="1393"/>
      <c r="AM20" s="1393"/>
      <c r="AN20" s="1393"/>
      <c r="AO20" s="1393"/>
      <c r="AP20" s="1293"/>
      <c r="AQ20" s="1296"/>
      <c r="AR20" s="1505"/>
      <c r="AS20" s="1393"/>
      <c r="AT20" s="1298"/>
      <c r="AU20" s="1298"/>
      <c r="AV20" s="1298"/>
      <c r="AW20" s="1298"/>
      <c r="AX20" s="1298"/>
      <c r="AY20" s="1298"/>
      <c r="AZ20" s="1298"/>
      <c r="BA20" s="1298"/>
      <c r="BB20" s="1298"/>
      <c r="BC20" s="1288"/>
      <c r="BD20" s="1288"/>
      <c r="BE20" s="1502"/>
      <c r="BF20" s="1400"/>
      <c r="BG20" s="1480"/>
      <c r="BH20" s="1542"/>
      <c r="BI20" s="1288"/>
      <c r="BJ20" s="1292"/>
      <c r="BK20" s="1445"/>
      <c r="BL20" s="1442"/>
      <c r="BM20" s="1442"/>
      <c r="BN20" s="1440"/>
      <c r="BO20" s="1498"/>
      <c r="BP20" s="1448"/>
      <c r="BQ20" s="1451"/>
      <c r="BR20" s="766"/>
      <c r="BY20" s="765"/>
      <c r="BZ20" s="1438"/>
      <c r="CA20" s="1438"/>
      <c r="CC20" s="765"/>
      <c r="CG20" s="764">
        <v>0</v>
      </c>
      <c r="CH20" s="290">
        <v>0</v>
      </c>
    </row>
    <row r="21" spans="1:118" ht="45.75" hidden="1" customHeight="1" thickBot="1" x14ac:dyDescent="0.35">
      <c r="B21" s="1407"/>
      <c r="C21" s="1408"/>
      <c r="D21" s="1302"/>
      <c r="E21" s="1322"/>
      <c r="F21" s="1471"/>
      <c r="G21" s="1330"/>
      <c r="H21" s="1330"/>
      <c r="I21" s="1330"/>
      <c r="J21" s="1472"/>
      <c r="K21" s="1296"/>
      <c r="L21" s="1393"/>
      <c r="M21" s="792"/>
      <c r="N21" s="1484"/>
      <c r="O21" s="1416"/>
      <c r="P21" s="1487"/>
      <c r="Q21" s="1482"/>
      <c r="R21" s="1411"/>
      <c r="S21" s="1411"/>
      <c r="T21" s="809"/>
      <c r="U21" s="1481"/>
      <c r="V21" s="1411"/>
      <c r="W21" s="810"/>
      <c r="X21" s="1416"/>
      <c r="Y21" s="1413"/>
      <c r="Z21" s="1393"/>
      <c r="AA21" s="791"/>
      <c r="AB21" s="1393"/>
      <c r="AC21" s="1484"/>
      <c r="AD21" s="1296"/>
      <c r="AE21" s="1393"/>
      <c r="AF21" s="1293"/>
      <c r="AG21" s="1296"/>
      <c r="AH21" s="792"/>
      <c r="AI21" s="1395"/>
      <c r="AJ21" s="1293"/>
      <c r="AK21" s="1296"/>
      <c r="AL21" s="1393"/>
      <c r="AM21" s="1393"/>
      <c r="AN21" s="1393"/>
      <c r="AO21" s="1393"/>
      <c r="AP21" s="1293"/>
      <c r="AQ21" s="1296"/>
      <c r="AR21" s="800"/>
      <c r="AS21" s="1393"/>
      <c r="AT21" s="792"/>
      <c r="AU21" s="792"/>
      <c r="AV21" s="792"/>
      <c r="AW21" s="792"/>
      <c r="AX21" s="792"/>
      <c r="AY21" s="792"/>
      <c r="AZ21" s="792"/>
      <c r="BA21" s="792"/>
      <c r="BB21" s="799"/>
      <c r="BC21" s="801"/>
      <c r="BD21" s="801"/>
      <c r="BE21" s="1502"/>
      <c r="BF21" s="802"/>
      <c r="BG21" s="803"/>
      <c r="BH21" s="802"/>
      <c r="BI21" s="1288"/>
      <c r="BJ21" s="804"/>
      <c r="BK21" s="793"/>
      <c r="BL21" s="1442"/>
      <c r="BM21" s="1442"/>
      <c r="BN21" s="794"/>
      <c r="BO21" s="1498"/>
      <c r="BP21" s="1448"/>
      <c r="BQ21" s="1451"/>
      <c r="BR21" s="766"/>
      <c r="BY21" s="765"/>
      <c r="BZ21" s="1438"/>
      <c r="CA21" s="1438"/>
      <c r="CC21" s="765"/>
    </row>
    <row r="22" spans="1:118" ht="5.25" hidden="1" customHeight="1" thickBot="1" x14ac:dyDescent="0.35">
      <c r="B22" s="1407"/>
      <c r="C22" s="1408"/>
      <c r="D22" s="1302"/>
      <c r="E22" s="1322"/>
      <c r="F22" s="1471"/>
      <c r="G22" s="1330"/>
      <c r="H22" s="1330"/>
      <c r="I22" s="1330"/>
      <c r="J22" s="1472"/>
      <c r="K22" s="1296"/>
      <c r="L22" s="1393"/>
      <c r="M22" s="792"/>
      <c r="N22" s="1484"/>
      <c r="O22" s="1416"/>
      <c r="P22" s="1487"/>
      <c r="Q22" s="1482"/>
      <c r="R22" s="1411"/>
      <c r="S22" s="1411"/>
      <c r="T22" s="809"/>
      <c r="U22" s="1481"/>
      <c r="V22" s="1411"/>
      <c r="W22" s="811"/>
      <c r="X22" s="1416"/>
      <c r="Y22" s="1413"/>
      <c r="Z22" s="1393"/>
      <c r="AA22" s="792"/>
      <c r="AB22" s="1393"/>
      <c r="AC22" s="1484"/>
      <c r="AD22" s="1296"/>
      <c r="AE22" s="1393"/>
      <c r="AF22" s="1293"/>
      <c r="AG22" s="1296"/>
      <c r="AH22" s="792"/>
      <c r="AI22" s="1395"/>
      <c r="AJ22" s="1293"/>
      <c r="AK22" s="1296"/>
      <c r="AL22" s="1393"/>
      <c r="AM22" s="1393"/>
      <c r="AN22" s="1393"/>
      <c r="AO22" s="1393"/>
      <c r="AP22" s="1293"/>
      <c r="AQ22" s="1296"/>
      <c r="AR22" s="800"/>
      <c r="AS22" s="1393"/>
      <c r="AT22" s="792"/>
      <c r="AU22" s="792"/>
      <c r="AV22" s="792"/>
      <c r="AW22" s="792"/>
      <c r="AX22" s="792"/>
      <c r="AY22" s="792"/>
      <c r="AZ22" s="792"/>
      <c r="BA22" s="792"/>
      <c r="BB22" s="799"/>
      <c r="BC22" s="801"/>
      <c r="BD22" s="801"/>
      <c r="BE22" s="1502"/>
      <c r="BF22" s="802"/>
      <c r="BG22" s="803"/>
      <c r="BH22" s="802"/>
      <c r="BI22" s="1288"/>
      <c r="BJ22" s="804"/>
      <c r="BK22" s="793"/>
      <c r="BL22" s="1442"/>
      <c r="BM22" s="1442"/>
      <c r="BN22" s="794"/>
      <c r="BO22" s="1498"/>
      <c r="BP22" s="1448"/>
      <c r="BQ22" s="1451"/>
      <c r="BR22" s="766"/>
      <c r="BY22" s="765"/>
      <c r="BZ22" s="765"/>
      <c r="CC22" s="765"/>
    </row>
    <row r="23" spans="1:118" ht="18" hidden="1" customHeight="1" thickBot="1" x14ac:dyDescent="0.35">
      <c r="B23" s="1407"/>
      <c r="C23" s="1408"/>
      <c r="D23" s="1302"/>
      <c r="E23" s="1322"/>
      <c r="F23" s="1471"/>
      <c r="G23" s="1330"/>
      <c r="H23" s="1330"/>
      <c r="I23" s="1330"/>
      <c r="J23" s="1472"/>
      <c r="K23" s="1296"/>
      <c r="L23" s="1393"/>
      <c r="M23" s="792"/>
      <c r="N23" s="1484"/>
      <c r="O23" s="1416"/>
      <c r="P23" s="1487"/>
      <c r="Q23" s="1482"/>
      <c r="R23" s="1411"/>
      <c r="S23" s="1411"/>
      <c r="T23" s="809"/>
      <c r="U23" s="1481"/>
      <c r="V23" s="1411"/>
      <c r="W23" s="811"/>
      <c r="X23" s="1416"/>
      <c r="Y23" s="1413"/>
      <c r="Z23" s="1393"/>
      <c r="AA23" s="792"/>
      <c r="AB23" s="1393"/>
      <c r="AC23" s="1484"/>
      <c r="AD23" s="1296"/>
      <c r="AE23" s="1393"/>
      <c r="AF23" s="1293"/>
      <c r="AG23" s="1296"/>
      <c r="AH23" s="792"/>
      <c r="AI23" s="1395"/>
      <c r="AJ23" s="1293"/>
      <c r="AK23" s="1296"/>
      <c r="AL23" s="1393"/>
      <c r="AM23" s="1393"/>
      <c r="AN23" s="1393"/>
      <c r="AO23" s="1393"/>
      <c r="AP23" s="1293"/>
      <c r="AQ23" s="1296"/>
      <c r="AR23" s="800"/>
      <c r="AS23" s="1393"/>
      <c r="AT23" s="792"/>
      <c r="AU23" s="792"/>
      <c r="AV23" s="792"/>
      <c r="AW23" s="792"/>
      <c r="AX23" s="792"/>
      <c r="AY23" s="792"/>
      <c r="AZ23" s="792"/>
      <c r="BA23" s="792"/>
      <c r="BB23" s="799"/>
      <c r="BC23" s="801"/>
      <c r="BD23" s="801"/>
      <c r="BE23" s="1502"/>
      <c r="BF23" s="802"/>
      <c r="BG23" s="803"/>
      <c r="BH23" s="802"/>
      <c r="BI23" s="1288"/>
      <c r="BJ23" s="804"/>
      <c r="BK23" s="793"/>
      <c r="BL23" s="1442"/>
      <c r="BM23" s="1442"/>
      <c r="BN23" s="794"/>
      <c r="BO23" s="1498"/>
      <c r="BP23" s="1448"/>
      <c r="BQ23" s="1451"/>
      <c r="BR23" s="766"/>
      <c r="BY23" s="765"/>
      <c r="BZ23" s="765"/>
      <c r="CC23" s="765"/>
    </row>
    <row r="24" spans="1:118" ht="19.5" hidden="1" customHeight="1" thickBot="1" x14ac:dyDescent="0.35">
      <c r="B24" s="1409"/>
      <c r="C24" s="1410"/>
      <c r="D24" s="1323"/>
      <c r="E24" s="1325"/>
      <c r="F24" s="1473"/>
      <c r="G24" s="1331"/>
      <c r="H24" s="1331"/>
      <c r="I24" s="1331"/>
      <c r="J24" s="1474"/>
      <c r="K24" s="1464"/>
      <c r="L24" s="1459"/>
      <c r="M24" s="795"/>
      <c r="N24" s="1485"/>
      <c r="O24" s="1461"/>
      <c r="P24" s="1487"/>
      <c r="Q24" s="1482"/>
      <c r="R24" s="1411"/>
      <c r="S24" s="1411"/>
      <c r="T24" s="809"/>
      <c r="U24" s="1481"/>
      <c r="V24" s="1411"/>
      <c r="W24" s="811"/>
      <c r="X24" s="1417"/>
      <c r="Y24" s="1414"/>
      <c r="Z24" s="1394"/>
      <c r="AA24" s="796"/>
      <c r="AB24" s="1394"/>
      <c r="AC24" s="1535"/>
      <c r="AD24" s="1297"/>
      <c r="AE24" s="1394"/>
      <c r="AF24" s="1294"/>
      <c r="AG24" s="1297"/>
      <c r="AH24" s="796"/>
      <c r="AI24" s="1396"/>
      <c r="AJ24" s="1294"/>
      <c r="AK24" s="1297"/>
      <c r="AL24" s="1394"/>
      <c r="AM24" s="1394"/>
      <c r="AN24" s="1394"/>
      <c r="AO24" s="1394"/>
      <c r="AP24" s="1294"/>
      <c r="AQ24" s="1464"/>
      <c r="AR24" s="800"/>
      <c r="AS24" s="1459"/>
      <c r="AT24" s="795"/>
      <c r="AU24" s="795"/>
      <c r="AV24" s="795"/>
      <c r="AW24" s="795"/>
      <c r="AX24" s="795"/>
      <c r="AY24" s="795"/>
      <c r="AZ24" s="795"/>
      <c r="BA24" s="795"/>
      <c r="BB24" s="805"/>
      <c r="BC24" s="801"/>
      <c r="BD24" s="801"/>
      <c r="BE24" s="1503"/>
      <c r="BF24" s="802"/>
      <c r="BG24" s="803"/>
      <c r="BH24" s="802"/>
      <c r="BI24" s="1289"/>
      <c r="BJ24" s="806"/>
      <c r="BK24" s="797"/>
      <c r="BL24" s="1443"/>
      <c r="BM24" s="1443"/>
      <c r="BN24" s="798"/>
      <c r="BO24" s="1499"/>
      <c r="BP24" s="1449"/>
      <c r="BQ24" s="1452"/>
      <c r="BR24" s="766"/>
      <c r="BY24" s="765"/>
      <c r="BZ24" s="765"/>
      <c r="CC24" s="765"/>
    </row>
    <row r="25" spans="1:118" s="16" customFormat="1" ht="24" customHeight="1" x14ac:dyDescent="0.2">
      <c r="B25" s="1338" t="s">
        <v>41</v>
      </c>
      <c r="C25" s="1345">
        <f>A3+1-1</f>
        <v>40091</v>
      </c>
      <c r="D25" s="1341" t="str">
        <f>CONCATENATE("Завтрак
100%, ОКГ = ",IF(AND('Блок ввода'!B221=1,'Блок ввода'!E138=29),CD25+430,CD25))</f>
        <v>Завтрак
100%, ОКГ = 855</v>
      </c>
      <c r="E25" s="1342"/>
      <c r="F25" s="1300" t="str">
        <f>IF('Блок ввода'!$G$4=1,CONCATENATE('Блок ввода'!G142,'Блок ввода'!L142,'Блок ввода'!N142,'Блок ввода'!O142),"Зарегистрируйте программу")</f>
        <v>Зарегистрируйте программу</v>
      </c>
      <c r="G25" s="1301"/>
      <c r="H25" s="1301"/>
      <c r="I25" s="1301"/>
      <c r="J25" s="1301"/>
      <c r="K25" s="869"/>
      <c r="L25" s="870"/>
      <c r="M25" s="870"/>
      <c r="N25" s="1185">
        <v>2</v>
      </c>
      <c r="O25" s="871"/>
      <c r="P25" s="872">
        <f>IF(OR('Блок ввода'!E138=8,'Блок ввода'!I138=17,'Блок ввода'!I138=18),(ОКГ-N25*5-AN25-AO25-AY25)/5+IF(AND($N$7=1,N25=0),CF25/5,IF(N34=0,0,2.5-IF(N7=2,2.5,0))),IF('Блок ввода'!E138=12,15,IF('Блок ввода'!I138=7,(ОКГ-N25*5-AN25-AO25-AP25-AY25)/5+IF(AND($N$7=1,N25=0),CF25/5,IF(N34=0,0,2.5/5-IF(N7=2,2.5/5,0))),0)))</f>
        <v>0</v>
      </c>
      <c r="Q25" s="869">
        <f>IF('Блок ввода'!S138=8,CB25/5,0)</f>
        <v>0</v>
      </c>
      <c r="R25" s="870">
        <f>IF('Блок ввода'!S138=9,CB25/5,0)</f>
        <v>0</v>
      </c>
      <c r="S25" s="870">
        <f>IF('Блок ввода'!S138=11,CB25/5,0)</f>
        <v>0</v>
      </c>
      <c r="T25" s="870">
        <f>IF('Блок ввода'!S138=12,CB25/5,0)</f>
        <v>0</v>
      </c>
      <c r="U25" s="870">
        <f>IF('Блок ввода'!S138=10,CB25/5,IF('Блок ввода'!S138=16,CB25/5-V25,0))</f>
        <v>0</v>
      </c>
      <c r="V25" s="870">
        <f>IF('Блок ввода'!S138=14,CB25/5,IF('Блок ввода'!S138=16,40,0))</f>
        <v>0</v>
      </c>
      <c r="W25" s="873">
        <f>IF('Блок ввода'!S138=13,CB25/5,0)</f>
        <v>0</v>
      </c>
      <c r="X25" s="871">
        <f>IF('Блок ввода'!R138=14,CB25/5,IF('Блок ввода'!S138=15,CB25/5,0))</f>
        <v>0</v>
      </c>
      <c r="Y25" s="874">
        <f>IF('Блок ввода'!E138&lt;19,BR3,0)</f>
        <v>0</v>
      </c>
      <c r="Z25" s="870">
        <f>IF('Блок ввода'!R138=19,75,0)</f>
        <v>0</v>
      </c>
      <c r="AA25" s="870"/>
      <c r="AB25" s="875">
        <f>IF('Блок ввода'!E138=28,0,IF(AND('Блок ввода'!E138&gt;20,'Блок ввода'!E138&lt;=27),IF('Блок ввода'!E138=26,102,IF('Блок ввода'!$Y$38=1,156-AB28*1.3-(AC29+AC30)*1.625/2,120-AB28-(AC29+AC30)/2/0.8)),0))</f>
        <v>0</v>
      </c>
      <c r="AC25" s="876">
        <f>IF(AND('Блок ввода'!E138=20,OR('Блок ввода'!E68=18,'Блок ввода'!E72=18)),96-(AC29+AC30)/2-AB28*0.8,IF('Блок ввода'!E138=20,96,0))</f>
        <v>0</v>
      </c>
      <c r="AD25" s="877"/>
      <c r="AE25" s="870">
        <v>19</v>
      </c>
      <c r="AF25" s="873">
        <f>IF(OR('Блок ввода'!E138=21,'Блок ввода'!E138=22,'Блок ввода'!E138=23,'Блок ввода'!E138=24),15,3)</f>
        <v>3</v>
      </c>
      <c r="AG25" s="874"/>
      <c r="AH25" s="870"/>
      <c r="AI25" s="870"/>
      <c r="AJ25" s="876"/>
      <c r="AK25" s="869">
        <f>IF('Блок ввода'!R138=7,ОКГ-AL25-AN25-AO25-AY25,IF('Блок ввода'!R138=15,ОКГ-AN25-AO25-AY25,IF('Блок ввода'!S138&lt;5,ОКГ-P25*5-AN25-AO25-AP25-AY25,)))</f>
        <v>425</v>
      </c>
      <c r="AL25" s="870">
        <f>IF('Блок ввода'!R138=7,200,IF('Блок ввода'!R138=13,450-N25*5-AN25-AO25-AY25,IF('Блок ввода'!S138=5,CB25,0)))</f>
        <v>0</v>
      </c>
      <c r="AM25" s="870">
        <f>IF('Блок ввода'!S138=6,CB25,0)</f>
        <v>0</v>
      </c>
      <c r="AN25" s="878"/>
      <c r="AO25" s="878"/>
      <c r="AP25" s="876">
        <f>IF('Блок ввода'!R138=6,20,0)</f>
        <v>0</v>
      </c>
      <c r="AQ25" s="877">
        <f>IF(AND('Раскладка продуктов'!$BC$3=1,'Блок ввода'!Y35=1),AO25*2,0)</f>
        <v>0</v>
      </c>
      <c r="AR25" s="879">
        <f>IF(AND('Раскладка продуктов'!$BC$3=2,'Блок ввода'!Y35=1),AO25/10,0)</f>
        <v>0</v>
      </c>
      <c r="AS25" s="880"/>
      <c r="AT25" s="870"/>
      <c r="AU25" s="870"/>
      <c r="AV25" s="870"/>
      <c r="AW25" s="870"/>
      <c r="AX25" s="870">
        <v>1</v>
      </c>
      <c r="AY25" s="881"/>
      <c r="AZ25" s="875">
        <f>IF('Блок ввода'!$A$34&lt;&gt;2,0+IF(Пн!$X$1=5,Пн!$X$3,0),IF('Блок ввода'!N138=9,150+IF(Пн!$X$1=5,Пн!$X$3,0)+IF(OR('Блок ввода'!I138=17,'Блок ввода'!I138=18),200,0),IF(OR('Блок ввода'!I138=17,'Блок ввода'!I138=18),200+IF(Пн!$X$1=5,Пн!$X$3,0),0+IF(Пн!$X$1=5,Пн!$X$3,50))))</f>
        <v>50</v>
      </c>
      <c r="BA25" s="870">
        <f>IF('Блок ввода'!$A$34=2,0,BT25)</f>
        <v>0</v>
      </c>
      <c r="BB25" s="870"/>
      <c r="BC25" s="870"/>
      <c r="BD25" s="870"/>
      <c r="BE25" s="882"/>
      <c r="BF25" s="882"/>
      <c r="BG25" s="882">
        <f>IF('Блок ввода'!E138=30,265,0)</f>
        <v>265</v>
      </c>
      <c r="BH25" s="882"/>
      <c r="BI25" s="883">
        <f>IF(Пн!$X$1=7,Пн!$X$3,0)</f>
        <v>0</v>
      </c>
      <c r="BJ25" s="884">
        <f>IF(Пн!$X$1=3,Пн!$X$3,0)</f>
        <v>0</v>
      </c>
      <c r="BK25" s="885"/>
      <c r="BL25" s="886"/>
      <c r="BM25" s="886"/>
      <c r="BN25" s="887"/>
      <c r="BO25" s="888"/>
      <c r="BP25" s="889">
        <f>BQ25+P25*2.8+Q25*2.1+R25*3+S25*2.5+T25*3+U25*2.5+V25*2.1+W25*3+X25*3+BX25+AL25*'Блок ввода'!$D$9+'Раскладка продуктов'!AM25*'Блок ввода'!$D$8+'Раскладка продуктов'!AP25*'Блок ввода'!$D$11+'Раскладка продуктов'!AQ25*'Блок ввода'!$D$12+'Раскладка продуктов'!AX25*'Блок ввода'!$D$13+0.5*AD25+IF(BZ25&gt;0,50,BY25)+IF(BG25=265,198,0)</f>
        <v>663.5</v>
      </c>
      <c r="BQ25" s="890">
        <f>IF(BG25=265,47,'Блок ввода'!AG138)</f>
        <v>47</v>
      </c>
      <c r="BR25" s="766"/>
      <c r="BS25" s="764"/>
      <c r="BT25" s="762">
        <f>IF(OR('Блок ввода'!I138=17,'Блок ввода'!N138=9),IF('Блок ввода'!$A$34=3,BU25*15/100,BU25/5),0)</f>
        <v>0</v>
      </c>
      <c r="BU25" s="762">
        <f>IF('Блок ввода'!N138=9,150+IF('Блок ввода'!I138=17,200,0),IF('Блок ввода'!I138=17,200,0))</f>
        <v>0</v>
      </c>
      <c r="BV25" s="764"/>
      <c r="BW25" s="764"/>
      <c r="BX25" s="764">
        <f>IF(CA25&gt;0,'Раскладка продуктов'!AK25*'Блок ввода'!$D$5,AK25*'Блок ввода'!$D$4)</f>
        <v>416.5</v>
      </c>
      <c r="BY25" s="762">
        <f>N25+AN25*'Блок ввода'!$D$7+AO25*'Блок ввода'!$D$10</f>
        <v>2</v>
      </c>
      <c r="BZ25" s="762">
        <f>IF('Блок ввода'!E138&lt;4,1,IF('Блок ввода'!E138=9,1,IF('Блок ввода'!E138=10,1,IF('Блок ввода'!E138=11,1,IF('Блок ввода'!E138=5,1,IF('Блок ввода'!E138=6,1,IF('Блок ввода'!E138=7,1,0)))))))</f>
        <v>0</v>
      </c>
      <c r="CA25" s="762">
        <f>IF('Блок ввода'!S138=1,1,0)</f>
        <v>1</v>
      </c>
      <c r="CB25" s="762">
        <f>IF('Блок ввода'!A25=TRUE,ОКГ-P25*5-AN25-AO25-AP25-AY25+IF($N$7=1,CF25,IF(N34=0,0,2.5)),ОКГ-P25*5-AN25-AO25-AP25-AY25+IF($N$7=1,CF25,IF(N34=0,0,2.5-IF(N7=2,2.5,0))))</f>
        <v>425</v>
      </c>
      <c r="CC25" s="762"/>
      <c r="CD25" s="762">
        <f>SUM(O25:X25)*5+SUM(AK25:AP25)+IF(BG25=265,430,0)</f>
        <v>855</v>
      </c>
      <c r="CE25" s="764">
        <f>IF('Блок ввода'!I138=17,1,0)</f>
        <v>0</v>
      </c>
      <c r="CF25" s="474">
        <f>IF(AND($N$7=1,N25=0),5,0)</f>
        <v>0</v>
      </c>
      <c r="CG25" s="475">
        <v>2</v>
      </c>
      <c r="CH25" s="476">
        <v>2.5</v>
      </c>
      <c r="CI25" s="475"/>
      <c r="CJ25" s="476">
        <f>AO25+AN25+N25</f>
        <v>2</v>
      </c>
      <c r="CK25" s="16">
        <f>'Блок ввода'!$I$138</f>
        <v>1</v>
      </c>
      <c r="CL25" s="476">
        <f>IF(AND(OR(CK25=17,CK25=18),CJ25&gt;0),1,0)</f>
        <v>0</v>
      </c>
      <c r="CM25" s="476" t="s">
        <v>538</v>
      </c>
      <c r="CN25" s="39"/>
      <c r="CO25" s="39"/>
      <c r="CP25" s="39"/>
      <c r="CQ25" s="762">
        <f>'Блок ввода'!Q17</f>
        <v>425</v>
      </c>
      <c r="CR25" s="379"/>
      <c r="CS25" s="379"/>
      <c r="CT25" s="379"/>
      <c r="CU25" s="379"/>
      <c r="CV25" s="379"/>
      <c r="CW25" s="379"/>
      <c r="CX25" s="379"/>
      <c r="CY25" s="379"/>
      <c r="CZ25" s="379"/>
      <c r="DA25" s="379"/>
      <c r="DB25" s="379"/>
      <c r="DC25" s="379"/>
      <c r="DD25" s="379"/>
      <c r="DE25" s="379"/>
      <c r="DF25" s="379"/>
      <c r="DG25" s="379"/>
      <c r="DH25" s="379"/>
      <c r="DI25" s="379"/>
      <c r="DJ25" s="379"/>
      <c r="DK25" s="379"/>
      <c r="DL25" s="379"/>
      <c r="DM25" s="379"/>
      <c r="DN25" s="379"/>
    </row>
    <row r="26" spans="1:118" s="16" customFormat="1" ht="24" customHeight="1" x14ac:dyDescent="0.2">
      <c r="B26" s="1339"/>
      <c r="C26" s="1346"/>
      <c r="D26" s="1343"/>
      <c r="E26" s="1344"/>
      <c r="F26" s="1302"/>
      <c r="G26" s="1303"/>
      <c r="H26" s="1303"/>
      <c r="I26" s="1303"/>
      <c r="J26" s="1303"/>
      <c r="K26" s="891"/>
      <c r="L26" s="892"/>
      <c r="M26" s="892"/>
      <c r="N26" s="1186">
        <f>IF('Блок ввода'!E138=4,20,IF('Блок ввода'!E138=16,75,IF('Блок ввода'!E138=24,20,0)))</f>
        <v>0</v>
      </c>
      <c r="O26" s="894"/>
      <c r="P26" s="895"/>
      <c r="Q26" s="896"/>
      <c r="R26" s="892"/>
      <c r="S26" s="892"/>
      <c r="T26" s="892"/>
      <c r="U26" s="892"/>
      <c r="V26" s="892"/>
      <c r="W26" s="897"/>
      <c r="X26" s="894"/>
      <c r="Y26" s="896"/>
      <c r="Z26" s="892"/>
      <c r="AA26" s="892"/>
      <c r="AB26" s="892"/>
      <c r="AC26" s="897"/>
      <c r="AD26" s="898"/>
      <c r="AE26" s="892"/>
      <c r="AF26" s="899"/>
      <c r="AG26" s="896"/>
      <c r="AH26" s="892"/>
      <c r="AI26" s="892"/>
      <c r="AJ26" s="897"/>
      <c r="AK26" s="891"/>
      <c r="AL26" s="892"/>
      <c r="AM26" s="892"/>
      <c r="AN26" s="900"/>
      <c r="AO26" s="900"/>
      <c r="AP26" s="897"/>
      <c r="AQ26" s="898">
        <f>IF('Раскладка продуктов'!$BC$3=1,AO26/2,0)</f>
        <v>0</v>
      </c>
      <c r="AR26" s="901"/>
      <c r="AS26" s="892"/>
      <c r="AT26" s="892"/>
      <c r="AU26" s="892"/>
      <c r="AV26" s="892"/>
      <c r="AW26" s="892"/>
      <c r="AX26" s="892"/>
      <c r="AY26" s="902"/>
      <c r="AZ26" s="903"/>
      <c r="BA26" s="892"/>
      <c r="BB26" s="892"/>
      <c r="BC26" s="892"/>
      <c r="BD26" s="892"/>
      <c r="BE26" s="904">
        <f>IF('Блок ввода'!T138=2,15*1.4,0)</f>
        <v>0</v>
      </c>
      <c r="BF26" s="904"/>
      <c r="BG26" s="904"/>
      <c r="BH26" s="904"/>
      <c r="BI26" s="905"/>
      <c r="BJ26" s="906"/>
      <c r="BK26" s="907"/>
      <c r="BL26" s="900"/>
      <c r="BM26" s="900"/>
      <c r="BN26" s="893"/>
      <c r="BO26" s="908"/>
      <c r="BP26" s="909"/>
      <c r="BQ26" s="910"/>
      <c r="BR26" s="766"/>
      <c r="BS26" s="764"/>
      <c r="BT26" s="764"/>
      <c r="BU26" s="764"/>
      <c r="BV26" s="764"/>
      <c r="BW26" s="764"/>
      <c r="BX26" s="764"/>
      <c r="BY26" s="764">
        <f>N26+AN26*'Блок ввода'!D8+AO26*'Блок ввода'!D11</f>
        <v>0</v>
      </c>
      <c r="BZ26" s="765"/>
      <c r="CA26" s="765"/>
      <c r="CB26" s="765"/>
      <c r="CC26" s="764"/>
      <c r="CD26" s="765"/>
      <c r="CE26" s="764"/>
      <c r="CF26" s="475"/>
      <c r="CG26" s="475">
        <v>4</v>
      </c>
      <c r="CH26" s="476">
        <v>5</v>
      </c>
      <c r="CI26" s="476"/>
      <c r="CJ26" s="16">
        <f>AO38+AN38+N38</f>
        <v>22</v>
      </c>
      <c r="CK26" s="476">
        <f>'Блок ввода'!$I$148</f>
        <v>4</v>
      </c>
      <c r="CL26" s="476">
        <f t="shared" ref="CL26:CL31" si="0">IF(AND(OR(CK26=17,CK26=18),CJ26&gt;0),1,0)</f>
        <v>0</v>
      </c>
      <c r="CM26" s="476" t="s">
        <v>539</v>
      </c>
      <c r="CN26" s="39"/>
      <c r="CO26" s="39"/>
      <c r="CP26" s="39"/>
      <c r="CQ26" s="762">
        <f>'Блок ввода'!Q18</f>
        <v>150</v>
      </c>
      <c r="CR26" s="379"/>
      <c r="CS26" s="379"/>
      <c r="CT26" s="379"/>
      <c r="CU26" s="379"/>
      <c r="CV26" s="379"/>
      <c r="CW26" s="379"/>
      <c r="CX26" s="379"/>
      <c r="CY26" s="379"/>
      <c r="CZ26" s="379"/>
      <c r="DA26" s="379"/>
      <c r="DB26" s="379"/>
      <c r="DC26" s="379"/>
      <c r="DD26" s="379"/>
      <c r="DE26" s="379"/>
      <c r="DF26" s="379"/>
      <c r="DG26" s="379"/>
      <c r="DH26" s="379"/>
      <c r="DI26" s="379"/>
      <c r="DJ26" s="379"/>
      <c r="DK26" s="379"/>
      <c r="DL26" s="379"/>
      <c r="DM26" s="379"/>
      <c r="DN26" s="379"/>
    </row>
    <row r="27" spans="1:118" s="16" customFormat="1" ht="24" customHeight="1" thickBot="1" x14ac:dyDescent="0.25">
      <c r="B27" s="1339"/>
      <c r="C27" s="1346"/>
      <c r="D27" s="1343"/>
      <c r="E27" s="1344"/>
      <c r="F27" s="1302"/>
      <c r="G27" s="1303"/>
      <c r="H27" s="1303"/>
      <c r="I27" s="1303"/>
      <c r="J27" s="1303"/>
      <c r="K27" s="911">
        <v>100</v>
      </c>
      <c r="L27" s="912">
        <v>150</v>
      </c>
      <c r="M27" s="913"/>
      <c r="N27" s="1187">
        <v>0</v>
      </c>
      <c r="O27" s="916"/>
      <c r="P27" s="895"/>
      <c r="Q27" s="896"/>
      <c r="R27" s="892"/>
      <c r="S27" s="892"/>
      <c r="T27" s="892"/>
      <c r="U27" s="892"/>
      <c r="V27" s="892"/>
      <c r="W27" s="897"/>
      <c r="X27" s="916"/>
      <c r="Y27" s="896"/>
      <c r="Z27" s="892"/>
      <c r="AA27" s="892"/>
      <c r="AB27" s="892"/>
      <c r="AC27" s="897"/>
      <c r="AD27" s="898"/>
      <c r="AE27" s="892"/>
      <c r="AF27" s="899"/>
      <c r="AG27" s="896">
        <f>IF(OR('Блок ввода'!T138&lt;=7,'Блок ввода'!T138=9),30-AG33/2-(BE26+BE35)/2.8,0)</f>
        <v>30</v>
      </c>
      <c r="AH27" s="903"/>
      <c r="AI27" s="892">
        <f>IF('Блок ввода'!T138=4,20,0)</f>
        <v>0</v>
      </c>
      <c r="AJ27" s="897"/>
      <c r="AK27" s="891"/>
      <c r="AL27" s="892"/>
      <c r="AM27" s="892"/>
      <c r="AN27" s="900"/>
      <c r="AO27" s="900"/>
      <c r="AP27" s="897"/>
      <c r="AQ27" s="917">
        <f>IF('Раскладка продуктов'!$BC$3=1,AO27/2,0)</f>
        <v>0</v>
      </c>
      <c r="AR27" s="918"/>
      <c r="AS27" s="919"/>
      <c r="AT27" s="919"/>
      <c r="AU27" s="919"/>
      <c r="AV27" s="919"/>
      <c r="AW27" s="919"/>
      <c r="AX27" s="920"/>
      <c r="AY27" s="921"/>
      <c r="AZ27" s="922"/>
      <c r="BA27" s="919"/>
      <c r="BB27" s="919"/>
      <c r="BC27" s="919">
        <v>1.5</v>
      </c>
      <c r="BD27" s="919"/>
      <c r="BE27" s="923"/>
      <c r="BF27" s="923"/>
      <c r="BG27" s="923"/>
      <c r="BH27" s="919">
        <f>IF('Блок ввода'!$B$223=1,O27/37.5/2,O27/37.5)</f>
        <v>0</v>
      </c>
      <c r="BI27" s="924"/>
      <c r="BJ27" s="925"/>
      <c r="BK27" s="926"/>
      <c r="BL27" s="927"/>
      <c r="BM27" s="927"/>
      <c r="BN27" s="928"/>
      <c r="BO27" s="929"/>
      <c r="BP27" s="909">
        <v>250</v>
      </c>
      <c r="BQ27" s="910"/>
      <c r="BR27" s="766"/>
      <c r="BS27" s="764"/>
      <c r="BT27" s="764"/>
      <c r="BU27" s="764"/>
      <c r="BV27" s="764"/>
      <c r="BW27" s="764"/>
      <c r="BX27" s="764"/>
      <c r="BY27" s="764">
        <f>N27+AN27*'Блок ввода'!D9+'Раскладка продуктов'!AO27*'Блок ввода'!D12</f>
        <v>0</v>
      </c>
      <c r="BZ27" s="765"/>
      <c r="CA27" s="765"/>
      <c r="CB27" s="765"/>
      <c r="CC27" s="764"/>
      <c r="CD27" s="765"/>
      <c r="CE27" s="764"/>
      <c r="CF27" s="475"/>
      <c r="CG27" s="1184">
        <v>6.5</v>
      </c>
      <c r="CH27" s="476">
        <v>7.5</v>
      </c>
      <c r="CI27" s="476"/>
      <c r="CJ27" s="476">
        <f>AO51+AN51+N51</f>
        <v>6.5</v>
      </c>
      <c r="CK27" s="476">
        <f>'Блок ввода'!$I$158</f>
        <v>14</v>
      </c>
      <c r="CL27" s="476">
        <f t="shared" si="0"/>
        <v>0</v>
      </c>
      <c r="CM27" s="476" t="s">
        <v>540</v>
      </c>
      <c r="CN27" s="39"/>
      <c r="CO27" s="39"/>
      <c r="CP27" s="39"/>
      <c r="CQ27" s="762">
        <f>'Блок ввода'!Q19</f>
        <v>275</v>
      </c>
      <c r="CR27" s="379"/>
      <c r="CS27" s="379"/>
      <c r="CT27" s="379"/>
      <c r="CU27" s="379"/>
      <c r="CV27" s="379"/>
      <c r="CW27" s="379"/>
      <c r="CX27" s="379"/>
      <c r="CY27" s="379"/>
      <c r="CZ27" s="379"/>
      <c r="DA27" s="379"/>
      <c r="DB27" s="379"/>
      <c r="DC27" s="379"/>
      <c r="DD27" s="379"/>
      <c r="DE27" s="379"/>
      <c r="DF27" s="379"/>
      <c r="DG27" s="379"/>
      <c r="DH27" s="379"/>
      <c r="DI27" s="379"/>
      <c r="DJ27" s="379"/>
      <c r="DK27" s="379"/>
      <c r="DL27" s="379"/>
      <c r="DM27" s="379"/>
      <c r="DN27" s="379"/>
    </row>
    <row r="28" spans="1:118" s="16" customFormat="1" ht="24" customHeight="1" x14ac:dyDescent="0.2">
      <c r="B28" s="1339"/>
      <c r="C28" s="1346"/>
      <c r="D28" s="1379" t="str">
        <f>CONCATENATE("О б е д, ОКГ = ",CD31)</f>
        <v>О б е д, ОКГ = 805</v>
      </c>
      <c r="E28" s="1181" t="s">
        <v>228</v>
      </c>
      <c r="F28" s="1456" t="str">
        <f>IF('Блок ввода'!$G$4=1,'Блок ввода'!G42,"Зарегистрируйте программу")</f>
        <v>Зарегистрируйте программу</v>
      </c>
      <c r="G28" s="1457"/>
      <c r="H28" s="1457"/>
      <c r="I28" s="1457"/>
      <c r="J28" s="1458"/>
      <c r="K28" s="874"/>
      <c r="L28" s="870"/>
      <c r="M28" s="870"/>
      <c r="N28" s="1188">
        <v>0</v>
      </c>
      <c r="O28" s="871"/>
      <c r="P28" s="872"/>
      <c r="Q28" s="874"/>
      <c r="R28" s="870">
        <f>IF('Блок ввода'!R141=2,5,IF('Блок ввода'!R141=12,5,0))</f>
        <v>0</v>
      </c>
      <c r="S28" s="870"/>
      <c r="T28" s="870"/>
      <c r="U28" s="870"/>
      <c r="V28" s="870"/>
      <c r="W28" s="876"/>
      <c r="X28" s="871"/>
      <c r="Y28" s="874"/>
      <c r="Z28" s="870"/>
      <c r="AA28" s="870"/>
      <c r="AB28" s="870">
        <f>IF('Блок ввода'!E40=16,30,0)</f>
        <v>0</v>
      </c>
      <c r="AC28" s="930"/>
      <c r="AD28" s="877"/>
      <c r="AE28" s="870"/>
      <c r="AF28" s="873">
        <f>30-AF34-AF25</f>
        <v>12</v>
      </c>
      <c r="AG28" s="874"/>
      <c r="AH28" s="870"/>
      <c r="AI28" s="870"/>
      <c r="AJ28" s="876"/>
      <c r="AK28" s="869">
        <f>IF('Блок ввода'!R141=17,0,ОКГХ-P28*5-R28*5-AL28-AM28-AN28-AO28-AP28-AY28)</f>
        <v>0</v>
      </c>
      <c r="AL28" s="870">
        <f>IF('Блок ввода'!R141=2,20,IF('Блок ввода'!R141=5,150-AN28-AO28-AY28,IF('Блок ввода'!R141=8,20,0)))</f>
        <v>0</v>
      </c>
      <c r="AM28" s="870">
        <f>IF(OR('Блок ввода'!R141=1,'Блок ввода'!R141=16),40,IF('Блок ввода'!R141=2,20,IF('Блок ввода'!R141=6,150-AN28-AO28-AY28,IF('Блок ввода'!R141=7,150-AN28-AO28-AY28,IF('Блок ввода'!R141=17,(150-AO28-AN28)*375/500,IF('Блок ввода'!R141&gt;10,150-R28*5-AN28-AO28-AP28-AY28,0))))))</f>
        <v>0</v>
      </c>
      <c r="AN28" s="886">
        <f>IF('Блок ввода'!R141=20,ОКГХ-AO28,10)</f>
        <v>140</v>
      </c>
      <c r="AO28" s="878">
        <v>10</v>
      </c>
      <c r="AP28" s="876">
        <f>IF(OR('Блок ввода'!R141&lt;3,'Блок ввода'!R141=16),25,IF('Блок ввода'!R141=4,45,IF(OR('Блок ввода'!R141=9,'Блок ввода'!R141=15,'Блок ввода'!R141=18,'Блок ввода'!R141=19,'Блок ввода'!R141=21),150-AN28-AO28-AY28,IF('Блок ввода'!R141=10,150-AN28-AO28-AY28,IF('Блок ввода'!R141=12,55,IF('Блок ввода'!R141=13,40,0))))))</f>
        <v>0</v>
      </c>
      <c r="AQ28" s="877">
        <f>IF(AND('Раскладка продуктов'!$BC$3=1,'Блок ввода'!Y35=1),AO28*2,0)</f>
        <v>0</v>
      </c>
      <c r="AR28" s="879">
        <f>IF(AND('Раскладка продуктов'!$BC$3=2,'Блок ввода'!Y35=1),AO28/10,0)</f>
        <v>0</v>
      </c>
      <c r="AS28" s="870"/>
      <c r="AT28" s="870"/>
      <c r="AU28" s="870"/>
      <c r="AV28" s="870"/>
      <c r="AW28" s="870"/>
      <c r="AX28" s="870"/>
      <c r="AY28" s="881"/>
      <c r="AZ28" s="875"/>
      <c r="BA28" s="870"/>
      <c r="BB28" s="870"/>
      <c r="BC28" s="870"/>
      <c r="BD28" s="870"/>
      <c r="BE28" s="882"/>
      <c r="BF28" s="882"/>
      <c r="BG28" s="882"/>
      <c r="BH28" s="882"/>
      <c r="BI28" s="883"/>
      <c r="BJ28" s="884"/>
      <c r="BK28" s="885"/>
      <c r="BL28" s="886"/>
      <c r="BM28" s="886"/>
      <c r="BN28" s="887"/>
      <c r="BO28" s="888"/>
      <c r="BP28" s="931">
        <f>IF('Блок ввода'!E40=17,('Раскладка продуктов'!AM28+'Раскладка продуктов'!AF28+'Раскладка продуктов'!AN28/2+'Раскладка продуктов'!AO28*0.84),(AK28*'Блок ввода'!$D$4+AL28*'Блок ввода'!$D$9+AM28*'Блок ввода'!$D$8+AN28/2+AO28*0.84+AP28/10*9+AX28/10*8+AF28))</f>
        <v>90.4</v>
      </c>
      <c r="BQ28" s="890"/>
      <c r="BR28" s="766"/>
      <c r="BS28" s="764"/>
      <c r="BT28" s="764"/>
      <c r="BU28" s="764"/>
      <c r="BV28" s="764"/>
      <c r="BW28" s="764"/>
      <c r="BX28" s="764"/>
      <c r="BY28" s="764"/>
      <c r="BZ28" s="765"/>
      <c r="CA28" s="765"/>
      <c r="CB28" s="867">
        <f>SUM(AK28:AP28)+R28*5</f>
        <v>150</v>
      </c>
      <c r="CC28" s="764"/>
      <c r="CD28" s="765"/>
      <c r="CE28" s="764"/>
      <c r="CF28" s="475"/>
      <c r="CG28" s="1184">
        <v>37.5</v>
      </c>
      <c r="CH28" s="476">
        <v>10</v>
      </c>
      <c r="CI28" s="476"/>
      <c r="CJ28" s="476">
        <f>AO64+AN64+N64</f>
        <v>6.5</v>
      </c>
      <c r="CK28" s="476">
        <f>'Блок ввода'!$I$168</f>
        <v>14</v>
      </c>
      <c r="CL28" s="476">
        <f t="shared" si="0"/>
        <v>0</v>
      </c>
      <c r="CM28" s="476" t="s">
        <v>541</v>
      </c>
      <c r="CN28" s="39"/>
      <c r="CO28" s="39"/>
      <c r="CP28" s="39"/>
      <c r="CQ28" s="762">
        <f>'Блок ввода'!Q20</f>
        <v>375</v>
      </c>
      <c r="CR28" s="379"/>
      <c r="CS28" s="379"/>
      <c r="CT28" s="379"/>
      <c r="CU28" s="379"/>
      <c r="CV28" s="379"/>
      <c r="CW28" s="379"/>
      <c r="CX28" s="379"/>
      <c r="CY28" s="379"/>
      <c r="CZ28" s="379"/>
      <c r="DA28" s="379"/>
      <c r="DB28" s="379"/>
      <c r="DC28" s="379"/>
      <c r="DD28" s="379"/>
      <c r="DE28" s="379"/>
      <c r="DF28" s="379"/>
      <c r="DG28" s="379"/>
      <c r="DH28" s="379"/>
      <c r="DI28" s="379"/>
      <c r="DJ28" s="379"/>
      <c r="DK28" s="379"/>
      <c r="DL28" s="379"/>
      <c r="DM28" s="379"/>
      <c r="DN28" s="379"/>
    </row>
    <row r="29" spans="1:118" s="16" customFormat="1" ht="24" customHeight="1" x14ac:dyDescent="0.2">
      <c r="B29" s="1339"/>
      <c r="C29" s="1346"/>
      <c r="D29" s="1380"/>
      <c r="E29" s="1182" t="s">
        <v>229</v>
      </c>
      <c r="F29" s="1453" t="str">
        <f>IF('Блок ввода'!$G$4=1,'Блок ввода'!G71,"Зарегистрируйте программу")</f>
        <v>Зарегистрируйте программу</v>
      </c>
      <c r="G29" s="1454"/>
      <c r="H29" s="1454"/>
      <c r="I29" s="1454"/>
      <c r="J29" s="1455"/>
      <c r="K29" s="896"/>
      <c r="L29" s="892"/>
      <c r="M29" s="892"/>
      <c r="N29" s="1189">
        <v>2</v>
      </c>
      <c r="O29" s="894"/>
      <c r="P29" s="895">
        <f>IF('Блок ввода'!R142=14,20,IF('Блок ввода'!R142=22,55-N29-(AN29+AO29)/5,0))</f>
        <v>0</v>
      </c>
      <c r="Q29" s="896">
        <f>IF('Блок ввода'!R142=15,20,IF('Блок ввода'!R142=23,60-N29-(AN29+AO29)/5-AQ29-AR29*2,0))</f>
        <v>0</v>
      </c>
      <c r="R29" s="892">
        <f>IF('Блок ввода'!R142=8,20,0)</f>
        <v>0</v>
      </c>
      <c r="S29" s="892">
        <f>IF('Блок ввода'!R142=16,20,0)</f>
        <v>0</v>
      </c>
      <c r="T29" s="892">
        <f>IF('Блок ввода'!R142=17,20,0)</f>
        <v>0</v>
      </c>
      <c r="U29" s="892">
        <f>IF('Блок ввода'!R142=4,15,IF('Блок ввода'!R142=19,30,0))</f>
        <v>0</v>
      </c>
      <c r="V29" s="892">
        <f>IF('Блок ввода'!R142=3,20,IF('Блок ввода'!R142=12,25,0))</f>
        <v>0</v>
      </c>
      <c r="W29" s="897"/>
      <c r="X29" s="894">
        <f>IF('Блок ввода'!R142=13,25,IF('Блок ввода'!R142=21,60-(AN29+AO29)/5-AR29*2,0))</f>
        <v>56</v>
      </c>
      <c r="Y29" s="896"/>
      <c r="Z29" s="892"/>
      <c r="AA29" s="892"/>
      <c r="AB29" s="892"/>
      <c r="AC29" s="899">
        <f>IF('Блок ввода'!E68=18,12,0)</f>
        <v>0</v>
      </c>
      <c r="AD29" s="898"/>
      <c r="AE29" s="892"/>
      <c r="AF29" s="899"/>
      <c r="AG29" s="896"/>
      <c r="AH29" s="892"/>
      <c r="AI29" s="892"/>
      <c r="AJ29" s="897"/>
      <c r="AK29" s="891">
        <f>IF('Блок ввода'!E68=24,0,ОКГП-(SUM(P29:X29))*5-AL29-AM29-AN29-AO29-AP29-AY29)</f>
        <v>-25</v>
      </c>
      <c r="AL29" s="892">
        <f>IF('Блок ввода'!R142&lt;3,140,IF('Блок ввода'!R142=3,90,IF('Блок ввода'!R142=4,115,IF('Блок ввода'!R142=5,80,IF('Блок ввода'!R142=9,90,0)))))</f>
        <v>0</v>
      </c>
      <c r="AM29" s="892">
        <f>IF('Блок ввода'!R142=5,60,IF('Блок ввода'!R142=6,60,IF('Блок ввода'!R142=20,120,0)))</f>
        <v>0</v>
      </c>
      <c r="AN29" s="932">
        <v>10</v>
      </c>
      <c r="AO29" s="932">
        <v>10</v>
      </c>
      <c r="AP29" s="897">
        <f>IF('Блок ввода'!R142=6,80,IF('Блок ввода'!R142=7,50,IF('Блок ввода'!R142=8,50,IF('Блок ввода'!R142=9,50,IF('Блок ввода'!R142=11,105,IF('Блок ввода'!R142=19,5,IF('Блок ввода'!R142=20,70,0)))))))</f>
        <v>0</v>
      </c>
      <c r="AQ29" s="898">
        <f>IF(AND('Раскладка продуктов'!$BC$3=1,'Блок ввода'!Y35=1),AO29*2,0)</f>
        <v>0</v>
      </c>
      <c r="AR29" s="901">
        <f>IF(AND('Раскладка продуктов'!$BC$3=2,'Блок ввода'!Y35=1),AO29/10,0)</f>
        <v>0</v>
      </c>
      <c r="AS29" s="892"/>
      <c r="AT29" s="892"/>
      <c r="AU29" s="892"/>
      <c r="AV29" s="892"/>
      <c r="AW29" s="892"/>
      <c r="AX29" s="903">
        <f>IF('Блок ввода'!R142=20,0.5,0)</f>
        <v>0</v>
      </c>
      <c r="AY29" s="902"/>
      <c r="AZ29" s="903">
        <f>IF('Блок ввода'!$A$34&lt;&gt;2,0,IF(OR('Блок ввода'!E68=21,'Блок ввода'!E68=22,'Блок ввода'!E68=23),('Блок ввода'!$L$34-AZ25-AZ34-AZ38-AZ47-AZ51-AZ60-AZ64-AZ73-AZ94-AZ103-AZ107-AZ116-AZ120-AZ129-IF('Блок ввода'!N143=9,$AZ$34+AZ25,0)-IF('Блок ввода'!N153=9,$AZ$47+AZ38,0)-IF('Блок ввода'!N163=9,$AZ$60+AZ51,0)-IF('Блок ввода'!N173=9,$AZ$73+AZ64,0)-IF('Блок ввода'!N183=9,$AZ$103+AZ94,0)-IF('Блок ввода'!N193=9,$AZ$116+AZ107,0)-IF('Блок ввода'!N203=9,$AZ$129+AZ120,0)-IF('Блок ввода'!N138=9,$AZ$25+AZ34,0)-IF('Блок ввода'!N148=9,$AZ$38+AZ47,0)-IF('Блок ввода'!N158=9,$AZ$51+AZ60,0)-IF('Блок ввода'!N168=9,$AZ$64+AZ73,0)-IF('Блок ввода'!N178=9,$AZ$94+AZ103,0)-IF('Блок ввода'!N188=9,$AZ$107+AZ116,0)-IF(OR('Блок ввода'!N198=9,'Блок ввода'!I198=17),$AZ$120+AZ129,0))/'Блок ввода'!L67,0))</f>
        <v>280</v>
      </c>
      <c r="BA29" s="892">
        <f>IF('Блок ввода'!$A$34=2,0,BT29)</f>
        <v>0</v>
      </c>
      <c r="BB29" s="892"/>
      <c r="BC29" s="892"/>
      <c r="BD29" s="892"/>
      <c r="BE29" s="904"/>
      <c r="BF29" s="904">
        <f>IF('Блок ввода'!E68=24,(300-'Раскладка продуктов'!N29*5-'Раскладка продуктов'!AN29-'Раскладка продуктов'!AO29)*375/500,0)</f>
        <v>0</v>
      </c>
      <c r="BG29" s="904"/>
      <c r="BH29" s="904"/>
      <c r="BI29" s="905"/>
      <c r="BJ29" s="906"/>
      <c r="BK29" s="907"/>
      <c r="BL29" s="900"/>
      <c r="BM29" s="900"/>
      <c r="BN29" s="893"/>
      <c r="BO29" s="908"/>
      <c r="BP29" s="909">
        <f>IF($BP$1=1,550,500)</f>
        <v>550</v>
      </c>
      <c r="BQ29" s="910"/>
      <c r="BR29" s="766"/>
      <c r="BS29" s="764"/>
      <c r="BT29" s="762">
        <f>IF('Блок ввода'!E68&gt;20,IF('Блок ввода'!A34=3,BU29*15/100,BU29/5),0)</f>
        <v>70</v>
      </c>
      <c r="BU29" s="762">
        <f>IF(OR('Блок ввода'!E68=21,'Блок ввода'!E68=22,'Блок ввода'!E68=23),('Блок ввода'!$L$34-$AZ$34-$AZ$47-$AZ$60-$AZ$73-$AZ$103-$AZ$116-$AZ$129-$AZ$25-$AZ$38-$AZ$51-$AZ$64-$AZ$94-$AZ$107-$AZ$120)/2,0)</f>
        <v>350</v>
      </c>
      <c r="BV29" s="764"/>
      <c r="BW29" s="764"/>
      <c r="BX29" s="764"/>
      <c r="BY29" s="764"/>
      <c r="BZ29" s="765"/>
      <c r="CA29" s="765"/>
      <c r="CB29" s="867">
        <f>SUM(N29:X29)*5+SUM(AK29:AP29)+BF29*500/375</f>
        <v>285</v>
      </c>
      <c r="CC29" s="764"/>
      <c r="CD29" s="765"/>
      <c r="CE29" s="764"/>
      <c r="CF29" s="475"/>
      <c r="CG29" s="475"/>
      <c r="CH29" s="476">
        <v>12.5</v>
      </c>
      <c r="CI29" s="476"/>
      <c r="CJ29" s="476">
        <f>AO94+AN94+N94</f>
        <v>26.5</v>
      </c>
      <c r="CK29" s="476">
        <f>'Блок ввода'!$I$178</f>
        <v>11</v>
      </c>
      <c r="CL29" s="476">
        <f t="shared" si="0"/>
        <v>0</v>
      </c>
      <c r="CM29" s="476" t="s">
        <v>542</v>
      </c>
      <c r="CN29" s="39"/>
      <c r="CO29" s="39"/>
      <c r="CP29" s="39"/>
      <c r="CQ29" s="762">
        <f>'Блок ввода'!Q21</f>
        <v>425</v>
      </c>
      <c r="CR29" s="379"/>
      <c r="CS29" s="379"/>
      <c r="CT29" s="379"/>
      <c r="CU29" s="379"/>
      <c r="CV29" s="379"/>
      <c r="CW29" s="379"/>
      <c r="CX29" s="379"/>
      <c r="CY29" s="379"/>
      <c r="CZ29" s="379"/>
      <c r="DA29" s="379"/>
      <c r="DB29" s="379"/>
      <c r="DC29" s="379"/>
      <c r="DD29" s="379"/>
      <c r="DE29" s="379"/>
      <c r="DF29" s="379"/>
      <c r="DG29" s="379"/>
      <c r="DH29" s="379"/>
      <c r="DI29" s="379"/>
      <c r="DJ29" s="379"/>
      <c r="DK29" s="379"/>
      <c r="DL29" s="379"/>
      <c r="DM29" s="379"/>
      <c r="DN29" s="379"/>
    </row>
    <row r="30" spans="1:118" s="16" customFormat="1" ht="24" customHeight="1" x14ac:dyDescent="0.2">
      <c r="B30" s="1339"/>
      <c r="C30" s="1346"/>
      <c r="D30" s="1380"/>
      <c r="E30" s="1182" t="s">
        <v>229</v>
      </c>
      <c r="F30" s="1453" t="str">
        <f>IF('Блок ввода'!$G$4=1,'Блок ввода'!G75,"Зарегистрируйте программу")</f>
        <v>Зарегистрируйте программу</v>
      </c>
      <c r="G30" s="1454"/>
      <c r="H30" s="1454"/>
      <c r="I30" s="1454"/>
      <c r="J30" s="1455"/>
      <c r="K30" s="896"/>
      <c r="L30" s="892"/>
      <c r="M30" s="892"/>
      <c r="N30" s="1189">
        <v>2</v>
      </c>
      <c r="O30" s="894"/>
      <c r="P30" s="895">
        <f>IF('Блок ввода'!R143=14,20,IF('Блок ввода'!R143=22,55-N30-(AN30+AO30)/5,0))</f>
        <v>49</v>
      </c>
      <c r="Q30" s="896">
        <f>IF('Блок ввода'!R143=15,20,IF('Блок ввода'!R143=23,60-N30-(AN30+AO30)/5-AQ30-AR30*2,0))</f>
        <v>0</v>
      </c>
      <c r="R30" s="892">
        <f>IF('Блок ввода'!R143=8,20,0)</f>
        <v>0</v>
      </c>
      <c r="S30" s="892">
        <f>IF('Блок ввода'!R143=16,20,0)</f>
        <v>0</v>
      </c>
      <c r="T30" s="892">
        <f>IF('Блок ввода'!R143=17,20,0)</f>
        <v>0</v>
      </c>
      <c r="U30" s="892">
        <f>IF('Блок ввода'!R143=4,15,IF('Блок ввода'!R143=19,30,0))</f>
        <v>0</v>
      </c>
      <c r="V30" s="892">
        <f>IF('Блок ввода'!R143=3,20,IF('Блок ввода'!R143=12,25,0))</f>
        <v>0</v>
      </c>
      <c r="W30" s="897"/>
      <c r="X30" s="894">
        <f>IF('Блок ввода'!R143=13,25,IF('Блок ввода'!R143=21,60-(AN30+AO30)/5-AQ30-AR30*2,0))</f>
        <v>0</v>
      </c>
      <c r="Y30" s="896"/>
      <c r="Z30" s="892"/>
      <c r="AA30" s="892"/>
      <c r="AB30" s="933"/>
      <c r="AC30" s="899">
        <f>IF('Блок ввода'!E72=18,12,0)</f>
        <v>0</v>
      </c>
      <c r="AD30" s="898"/>
      <c r="AE30" s="892">
        <v>4</v>
      </c>
      <c r="AF30" s="899"/>
      <c r="AG30" s="896"/>
      <c r="AH30" s="892"/>
      <c r="AI30" s="892"/>
      <c r="AJ30" s="897"/>
      <c r="AK30" s="891">
        <f>IF('Блок ввода'!E72=24,0,ОКГП-(SUM(P30:X30))*5-AL30-AM30-AN30-AO30-AP30-AY30)</f>
        <v>10</v>
      </c>
      <c r="AL30" s="892">
        <f>IF('Блок ввода'!R143&lt;3,140,IF('Блок ввода'!R143=3,90,IF('Блок ввода'!R143=4,115,IF('Блок ввода'!R143=5,80,IF('Блок ввода'!R143=9,90,0)))))</f>
        <v>0</v>
      </c>
      <c r="AM30" s="892">
        <f>IF('Блок ввода'!R143=5,60,IF('Блок ввода'!R143=6,60,IF('Блок ввода'!R143=20,120,0)))</f>
        <v>0</v>
      </c>
      <c r="AN30" s="932">
        <v>10</v>
      </c>
      <c r="AO30" s="932">
        <v>10</v>
      </c>
      <c r="AP30" s="897">
        <f>IF('Блок ввода'!R143=6,80,IF('Блок ввода'!R143=7,50,IF('Блок ввода'!R143=8,50,IF('Блок ввода'!R143=9,50,IF('Блок ввода'!R143=11,105,IF('Блок ввода'!R143=19,5,IF('Блок ввода'!R143=20,70,0)))))))</f>
        <v>0</v>
      </c>
      <c r="AQ30" s="898">
        <f>IF(AND('Раскладка продуктов'!$BC$3=1,'Блок ввода'!Y35=1),AO30*2,0)</f>
        <v>0</v>
      </c>
      <c r="AR30" s="901">
        <f>IF(AND('Раскладка продуктов'!$BC$3=2,'Блок ввода'!Y35=1),AO30/10,0)</f>
        <v>0</v>
      </c>
      <c r="AS30" s="892"/>
      <c r="AT30" s="892"/>
      <c r="AU30" s="892"/>
      <c r="AV30" s="892"/>
      <c r="AW30" s="892"/>
      <c r="AX30" s="903">
        <f>IF('Блок ввода'!R143=20,0.5,0)</f>
        <v>0</v>
      </c>
      <c r="AY30" s="902"/>
      <c r="AZ30" s="903">
        <f>IF('Блок ввода'!$A$34&lt;&gt;2,0,IF(OR('Блок ввода'!E72=21,'Блок ввода'!E72=22,'Блок ввода'!E72=23),('Блок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280</v>
      </c>
      <c r="BA30" s="892">
        <f>IF('Блок ввода'!$A$34=2,0,BT30)</f>
        <v>0</v>
      </c>
      <c r="BB30" s="892"/>
      <c r="BC30" s="892"/>
      <c r="BD30" s="892"/>
      <c r="BE30" s="904"/>
      <c r="BF30" s="904">
        <f>IF('Блок ввода'!E72=24,(300-'Раскладка продуктов'!N30*5-'Раскладка продуктов'!AN30-'Раскладка продуктов'!AO30)*375/500,0)</f>
        <v>0</v>
      </c>
      <c r="BG30" s="904"/>
      <c r="BH30" s="904"/>
      <c r="BI30" s="905"/>
      <c r="BJ30" s="906"/>
      <c r="BK30" s="907"/>
      <c r="BL30" s="900"/>
      <c r="BM30" s="900"/>
      <c r="BN30" s="893"/>
      <c r="BO30" s="908"/>
      <c r="BP30" s="909">
        <f>IF($BP$1=1,550,500)</f>
        <v>550</v>
      </c>
      <c r="BQ30" s="934"/>
      <c r="BR30" s="766"/>
      <c r="BS30" s="764"/>
      <c r="BT30" s="762">
        <f>IF('Блок ввода'!E72&gt;20,IF('Блок ввода'!A34=3,BU30*15/100,BU30/5),0)</f>
        <v>70</v>
      </c>
      <c r="BU30" s="762">
        <f>IF(OR('Блок ввода'!E72=21,'Блок ввода'!E72=22,'Блок ввода'!E72=23),('Блок ввода'!$L$34-$AZ$34-$AZ$47-$AZ$60-$AZ$73-$AZ$103-$AZ$116-$AZ$129-$AZ$25-$AZ$38-$AZ$51-$AZ$64-$AZ$94-$AZ$107-$AZ$120)/2,0)</f>
        <v>350</v>
      </c>
      <c r="BV30" s="764"/>
      <c r="BW30" s="764"/>
      <c r="BX30" s="764"/>
      <c r="BY30" s="764"/>
      <c r="BZ30" s="765"/>
      <c r="CA30" s="765"/>
      <c r="CB30" s="867">
        <f>SUM(N30:X30)*5+SUM(AK30:AP30)+BF30*500/375</f>
        <v>285</v>
      </c>
      <c r="CC30" s="764"/>
      <c r="CD30" s="765"/>
      <c r="CE30" s="764"/>
      <c r="CF30" s="475"/>
      <c r="CG30" s="475"/>
      <c r="CH30" s="476">
        <v>15</v>
      </c>
      <c r="CI30" s="476"/>
      <c r="CJ30" s="476">
        <f>AO107+AN107+N107</f>
        <v>6.5</v>
      </c>
      <c r="CK30" s="476">
        <f>'Блок ввода'!$I$188</f>
        <v>8</v>
      </c>
      <c r="CL30" s="476">
        <f t="shared" si="0"/>
        <v>0</v>
      </c>
      <c r="CM30" s="476" t="s">
        <v>543</v>
      </c>
      <c r="CN30" s="39"/>
      <c r="CO30" s="39"/>
      <c r="CP30" s="39"/>
      <c r="CQ30" s="39"/>
      <c r="CR30" s="379"/>
      <c r="CS30" s="379"/>
      <c r="CT30" s="379"/>
      <c r="CU30" s="379"/>
      <c r="CV30" s="379"/>
      <c r="CW30" s="379"/>
      <c r="CX30" s="379"/>
      <c r="CY30" s="379"/>
      <c r="CZ30" s="379"/>
      <c r="DA30" s="379"/>
      <c r="DB30" s="379"/>
      <c r="DC30" s="379"/>
      <c r="DD30" s="379"/>
      <c r="DE30" s="379"/>
      <c r="DF30" s="379"/>
      <c r="DG30" s="379"/>
      <c r="DH30" s="379"/>
      <c r="DI30" s="379"/>
      <c r="DJ30" s="379"/>
      <c r="DK30" s="379"/>
      <c r="DL30" s="379"/>
      <c r="DM30" s="379"/>
      <c r="DN30" s="379"/>
    </row>
    <row r="31" spans="1:118" s="16" customFormat="1" ht="24" customHeight="1" x14ac:dyDescent="0.2">
      <c r="B31" s="1339"/>
      <c r="C31" s="1346"/>
      <c r="D31" s="1380"/>
      <c r="E31" s="1182" t="s">
        <v>230</v>
      </c>
      <c r="F31" s="1453" t="str">
        <f>IF('Блок ввода'!$G$4=1,CONCATENATE('Блок ввода'!Y145,'Блок ввода'!AA145),"Зарегистрируйте программу")</f>
        <v>Зарегистрируйте программу</v>
      </c>
      <c r="G31" s="1454"/>
      <c r="H31" s="1454"/>
      <c r="I31" s="1454"/>
      <c r="J31" s="1455"/>
      <c r="K31" s="896"/>
      <c r="L31" s="892"/>
      <c r="M31" s="892"/>
      <c r="N31" s="1189">
        <v>2</v>
      </c>
      <c r="O31" s="894">
        <f>IF('Блок ввода'!R144=4,20,IF('Блок ввода'!R144=16,75,IF('Блок ввода'!R144=24,20,0)))</f>
        <v>0</v>
      </c>
      <c r="P31" s="895">
        <f>IF('Блок ввода'!R144=8,(ОКГВ-AN31-AO31-AY31)/5,IF('Блок ввода'!R144=12,16,IF('Блок ввода'!S144=7,(ОКГВ-AN31-AO31-AP31-AY31)/5,0)))</f>
        <v>71</v>
      </c>
      <c r="Q31" s="891">
        <f>IF('Блок ввода'!S144=8,CB31/5,0)</f>
        <v>0</v>
      </c>
      <c r="R31" s="892">
        <f>IF('Блок ввода'!S144=9,CB31/5,0)</f>
        <v>0</v>
      </c>
      <c r="S31" s="892">
        <f>IF('Блок ввода'!S144=11,CB31/5,0)</f>
        <v>0</v>
      </c>
      <c r="T31" s="892">
        <f>IF('Блок ввода'!S144=12,CB31/5,0)</f>
        <v>0</v>
      </c>
      <c r="U31" s="892">
        <f>IF('Блок ввода'!S144=10,CB31/5,IF('Блок ввода'!S144=16,CB31/5-V31,0))</f>
        <v>0</v>
      </c>
      <c r="V31" s="892">
        <f>IF('Блок ввода'!S144=14,CB31/5,IF('Блок ввода'!S144=16,40,0))</f>
        <v>0</v>
      </c>
      <c r="W31" s="899">
        <f>IF('Блок ввода'!S144=13,CB31/5,0)</f>
        <v>0</v>
      </c>
      <c r="X31" s="894">
        <f>IF('Блок ввода'!R144=14,CB31/5,IF('Блок ввода'!S144=15,CB31/5,0))</f>
        <v>0</v>
      </c>
      <c r="Y31" s="896">
        <f>IF('Блок ввода'!R144&lt;19,BR1,0)</f>
        <v>150</v>
      </c>
      <c r="Z31" s="892">
        <f>IF('Блок ввода'!R144=19,75,0)</f>
        <v>0</v>
      </c>
      <c r="AA31" s="892"/>
      <c r="AB31" s="892">
        <f>IF('Блок ввода'!R144&gt;20,120-AB28,0)</f>
        <v>0</v>
      </c>
      <c r="AC31" s="897">
        <f>IF('Блок ввода'!R144=20,96,0)</f>
        <v>0</v>
      </c>
      <c r="AD31" s="898"/>
      <c r="AE31" s="892">
        <v>4</v>
      </c>
      <c r="AF31" s="899"/>
      <c r="AG31" s="896"/>
      <c r="AH31" s="892"/>
      <c r="AI31" s="892"/>
      <c r="AJ31" s="897"/>
      <c r="AK31" s="891">
        <f>IF('Блок ввода'!R144=7,ОКГВ-AL31-AN31-AO31-N31*5-AY31,IF('Блок ввода'!R144=15,ОКГВ-N31*5-AN31-AO31-AY31,IF('Блок ввода'!S144&lt;5,ОКГВ-N31*5-P31*5-AN31-AO31-AP31-AY31,)))</f>
        <v>-10</v>
      </c>
      <c r="AL31" s="892">
        <f>IF('Блок ввода'!R144=7,200,IF('Блок ввода'!R144=13,450-N31*5-AN31-AO31-AY31,IF('Блок ввода'!S144=5,CB31,0)))</f>
        <v>0</v>
      </c>
      <c r="AM31" s="892"/>
      <c r="AN31" s="932">
        <v>10</v>
      </c>
      <c r="AO31" s="932">
        <v>10</v>
      </c>
      <c r="AP31" s="897">
        <f>IF('Блок ввода'!R144=6,20,0)</f>
        <v>0</v>
      </c>
      <c r="AQ31" s="898">
        <f>IF(AND('Раскладка продуктов'!$BC$3=1,'Блок ввода'!Y35=1),AO31*2,0)</f>
        <v>0</v>
      </c>
      <c r="AR31" s="901">
        <f>IF(AND('Раскладка продуктов'!$BC$3=2,'Блок ввода'!Y35=1),AO31/10,0)</f>
        <v>0</v>
      </c>
      <c r="AS31" s="892"/>
      <c r="AT31" s="892"/>
      <c r="AU31" s="892"/>
      <c r="AV31" s="892"/>
      <c r="AW31" s="892"/>
      <c r="AX31" s="892"/>
      <c r="AY31" s="902"/>
      <c r="AZ31" s="903"/>
      <c r="BA31" s="892"/>
      <c r="BB31" s="892"/>
      <c r="BC31" s="892"/>
      <c r="BD31" s="892"/>
      <c r="BE31" s="904"/>
      <c r="BF31" s="904"/>
      <c r="BG31" s="904"/>
      <c r="BH31" s="904"/>
      <c r="BI31" s="905"/>
      <c r="BJ31" s="906"/>
      <c r="BK31" s="907"/>
      <c r="BL31" s="900"/>
      <c r="BM31" s="900"/>
      <c r="BN31" s="893"/>
      <c r="BO31" s="908"/>
      <c r="BP31" s="909">
        <f>BQ31+P31*2.8+Q31*2.1+R31*3+T31*3+S31*3+U31*2.5+V31*2.1+W31*3+X31*3+BX31+AL31*'Блок ввода'!$D$9+'Раскладка продуктов'!AM31*'Блок ввода'!$D$8+'Раскладка продуктов'!AP31*'Блок ввода'!$D$11+'Раскладка продуктов'!AQ31*'Блок ввода'!$D$12+'Раскладка продуктов'!AX31*'Блок ввода'!$D$13+0.5*AD29+IF(BZ31&gt;0,50,BY31)</f>
        <v>267.09999999999997</v>
      </c>
      <c r="BQ31" s="934">
        <f>'Блок ввода'!AG144</f>
        <v>58</v>
      </c>
      <c r="BR31" s="766"/>
      <c r="BS31" s="764"/>
      <c r="BT31" s="764"/>
      <c r="BU31" s="764"/>
      <c r="BV31" s="764"/>
      <c r="BW31" s="764"/>
      <c r="BX31" s="764">
        <f>IF(CA31&gt;0,'Раскладка продуктов'!AK31*'Блок ввода'!$D$5,AK31*'Блок ввода'!$D$4)</f>
        <v>-7.5</v>
      </c>
      <c r="BY31" s="762">
        <f>N31+AN31*'Блок ввода'!$D$7+'Раскладка продуктов'!AO31*'Блок ввода'!$D$10</f>
        <v>17.8</v>
      </c>
      <c r="BZ31" s="762">
        <f>IF('Блок ввода'!R144&lt;4,1,IF('Блок ввода'!R144=9,1,IF('Блок ввода'!R144=10,1,IF('Блок ввода'!R144=11,1,IF('Блок ввода'!R144=5,1,IF('Блок ввода'!R144=6,1,IF('Блок ввода'!R144=7,1,0)))))))</f>
        <v>0</v>
      </c>
      <c r="CA31" s="765">
        <f>IF('Блок ввода'!S144=1,1,0)</f>
        <v>0</v>
      </c>
      <c r="CB31" s="765">
        <f>ОКГВ-P31*5-AN31-AO31-AP31-AY31</f>
        <v>0</v>
      </c>
      <c r="CC31" s="868">
        <f>SUM(O31:X31)*5+SUM(AK31:AP31)</f>
        <v>365</v>
      </c>
      <c r="CD31" s="762">
        <f>(CB29+CB30+CC31+CC32)/2+CB28+CC33</f>
        <v>805</v>
      </c>
      <c r="CE31" s="764"/>
      <c r="CF31" s="475"/>
      <c r="CG31" s="475"/>
      <c r="CH31" s="476">
        <v>17.5</v>
      </c>
      <c r="CI31" s="476"/>
      <c r="CJ31" s="476">
        <f>AO120+AN120+N120</f>
        <v>6.5</v>
      </c>
      <c r="CK31" s="476">
        <f>'Блок ввода'!$I$198</f>
        <v>9</v>
      </c>
      <c r="CL31" s="476">
        <f t="shared" si="0"/>
        <v>0</v>
      </c>
      <c r="CM31" s="476" t="s">
        <v>544</v>
      </c>
      <c r="CN31" s="39"/>
      <c r="CO31" s="39"/>
      <c r="CP31" s="39"/>
      <c r="CQ31" s="39"/>
      <c r="CR31" s="379"/>
      <c r="CS31" s="379"/>
      <c r="CT31" s="379"/>
      <c r="CU31" s="379"/>
      <c r="CV31" s="379"/>
      <c r="CW31" s="379"/>
      <c r="CX31" s="379"/>
      <c r="CY31" s="379"/>
      <c r="CZ31" s="379"/>
      <c r="DA31" s="379"/>
      <c r="DB31" s="379"/>
      <c r="DC31" s="379"/>
      <c r="DD31" s="379"/>
      <c r="DE31" s="379"/>
      <c r="DF31" s="379"/>
      <c r="DG31" s="379"/>
      <c r="DH31" s="379"/>
      <c r="DI31" s="379"/>
      <c r="DJ31" s="379"/>
      <c r="DK31" s="379"/>
      <c r="DL31" s="379"/>
      <c r="DM31" s="379"/>
      <c r="DN31" s="379"/>
    </row>
    <row r="32" spans="1:118" s="16" customFormat="1" ht="24" customHeight="1" x14ac:dyDescent="0.2">
      <c r="B32" s="1339"/>
      <c r="C32" s="1346"/>
      <c r="D32" s="1380"/>
      <c r="E32" s="1182" t="s">
        <v>230</v>
      </c>
      <c r="F32" s="1453" t="str">
        <f>IF('Блок ввода'!$G$4=1,CONCATENATE('Блок ввода'!Y150,'Блок ввода'!AA150),"Зарегистрируйте программу")</f>
        <v>Зарегистрируйте программу</v>
      </c>
      <c r="G32" s="1454"/>
      <c r="H32" s="1454"/>
      <c r="I32" s="1454"/>
      <c r="J32" s="1455"/>
      <c r="K32" s="896"/>
      <c r="L32" s="892"/>
      <c r="M32" s="892"/>
      <c r="N32" s="1189">
        <v>2</v>
      </c>
      <c r="O32" s="894">
        <f>IF('Блок ввода'!R145=4,20,IF('Блок ввода'!R145=16,75,IF('Блок ввода'!R145=24,20,0)))</f>
        <v>0</v>
      </c>
      <c r="P32" s="895">
        <f>IF('Блок ввода'!R145=8,(ОКГВ-AN32-AO32-AY32)/5,IF('Блок ввода'!R145=12,16,IF('Блок ввода'!S145=7,(ОКГВ-AN32-AO32-AP32-AY32)/5,0)))</f>
        <v>0</v>
      </c>
      <c r="Q32" s="891">
        <f>IF('Блок ввода'!S145=8,CB32/5,0)</f>
        <v>0</v>
      </c>
      <c r="R32" s="892">
        <f>IF('Блок ввода'!S145=9,CB32/5,0)</f>
        <v>0</v>
      </c>
      <c r="S32" s="892">
        <f>IF('Блок ввода'!S145=11,CB32/5,0)</f>
        <v>0</v>
      </c>
      <c r="T32" s="892">
        <f>IF('Блок ввода'!S145=12,CB32/5,0)</f>
        <v>0</v>
      </c>
      <c r="U32" s="892">
        <f>IF('Блок ввода'!S145=10,CB32/5,IF('Блок ввода'!S145=16,CB32/5-V32,0))</f>
        <v>0</v>
      </c>
      <c r="V32" s="892">
        <f>IF('Блок ввода'!S145=14,CB32/5,IF('Блок ввода'!S145=16,40,0))</f>
        <v>71</v>
      </c>
      <c r="W32" s="899">
        <f>IF('Блок ввода'!S145=13,CB32/5,0)</f>
        <v>0</v>
      </c>
      <c r="X32" s="894">
        <f>IF('Блок ввода'!R145=14,CB32/5,IF('Блок ввода'!S145=15,CB32/5,0))</f>
        <v>0</v>
      </c>
      <c r="Y32" s="896">
        <f>IF('Блок ввода'!R145&lt;19,BR1,0)</f>
        <v>150</v>
      </c>
      <c r="Z32" s="892">
        <f>IF('Блок ввода'!R145=19,75,0)</f>
        <v>0</v>
      </c>
      <c r="AA32" s="892"/>
      <c r="AB32" s="892">
        <f>IF('Блок ввода'!R145&gt;20,120-AB28,0)</f>
        <v>0</v>
      </c>
      <c r="AC32" s="897">
        <f>IF('Блок ввода'!R145=20,96,0)</f>
        <v>0</v>
      </c>
      <c r="AD32" s="898"/>
      <c r="AE32" s="892"/>
      <c r="AF32" s="899"/>
      <c r="AG32" s="896"/>
      <c r="AH32" s="892"/>
      <c r="AI32" s="892"/>
      <c r="AJ32" s="897"/>
      <c r="AK32" s="891">
        <f>IF('Блок ввода'!R145=7,ОКГВ-AL32-AN32-AO32-N32*5-AY32,IF('Блок ввода'!R145=15,ОКГВ-N32*5-AN32-AO32-AY32,IF('Блок ввода'!S145&lt;5,ОКГВ-N32*5-P32*5-AN32-AO32-AP32-AY32,)))</f>
        <v>0</v>
      </c>
      <c r="AL32" s="892">
        <f>IF('Блок ввода'!R145=7,200,IF('Блок ввода'!R145=13,450-N32*5-AN32-AO32-AY32,IF('Блок ввода'!S145=5,CB32,0)))</f>
        <v>0</v>
      </c>
      <c r="AM32" s="892"/>
      <c r="AN32" s="932">
        <v>10</v>
      </c>
      <c r="AO32" s="932">
        <v>10</v>
      </c>
      <c r="AP32" s="897">
        <f>IF('Блок ввода'!R145=6,20,0)</f>
        <v>0</v>
      </c>
      <c r="AQ32" s="898">
        <f>IF(AND('Раскладка продуктов'!$BC$3=1,'Блок ввода'!Y35=1),AO32*2,0)</f>
        <v>0</v>
      </c>
      <c r="AR32" s="901">
        <f>IF(AND('Раскладка продуктов'!$BC$3=2,'Блок ввода'!Y35=1),AO32/10,0)</f>
        <v>0</v>
      </c>
      <c r="AS32" s="892"/>
      <c r="AT32" s="892"/>
      <c r="AU32" s="892"/>
      <c r="AV32" s="892"/>
      <c r="AW32" s="892"/>
      <c r="AX32" s="892"/>
      <c r="AY32" s="902"/>
      <c r="AZ32" s="903"/>
      <c r="BA32" s="892"/>
      <c r="BB32" s="892"/>
      <c r="BC32" s="892"/>
      <c r="BD32" s="892"/>
      <c r="BE32" s="904"/>
      <c r="BF32" s="904"/>
      <c r="BG32" s="904"/>
      <c r="BH32" s="904"/>
      <c r="BI32" s="905"/>
      <c r="BJ32" s="906"/>
      <c r="BK32" s="907"/>
      <c r="BL32" s="900"/>
      <c r="BM32" s="900"/>
      <c r="BN32" s="893"/>
      <c r="BO32" s="908"/>
      <c r="BP32" s="909">
        <f>BQ32+P32*2.8+Q32*2.1+R32*3+S32*3+T32*3+U32*2.5+V32*2.1+W32*3+X32*3+BX32+AL32*'Блок ввода'!$D$9+'Раскладка продуктов'!AM32*'Блок ввода'!$D$8+'Раскладка продуктов'!AP32*'Блок ввода'!$D$11+'Раскладка продуктов'!AQ32*'Блок ввода'!$D$12+'Раскладка продуктов'!AX32*'Блок ввода'!$D$13+0.5*AD30+IF(BZ32&gt;0,50,BY32)</f>
        <v>251.1</v>
      </c>
      <c r="BQ32" s="934">
        <f>'Блок ввода'!AG145</f>
        <v>52</v>
      </c>
      <c r="BR32" s="766"/>
      <c r="BS32" s="764"/>
      <c r="BT32" s="764"/>
      <c r="BU32" s="764">
        <f>+BR6</f>
        <v>0</v>
      </c>
      <c r="BV32" s="764"/>
      <c r="BW32" s="764"/>
      <c r="BX32" s="764">
        <f>IF(CA32&gt;0,'Раскладка продуктов'!AK32*'Блок ввода'!$D$5,AK32*'Блок ввода'!$D$4)</f>
        <v>0</v>
      </c>
      <c r="BY32" s="762">
        <f>N32+AN32*'Блок ввода'!$D$7+'Раскладка продуктов'!AO32*'Блок ввода'!$D$10</f>
        <v>17.8</v>
      </c>
      <c r="BZ32" s="762">
        <f>IF('Блок ввода'!R145&lt;4,1,IF('Блок ввода'!R145=9,1,IF('Блок ввода'!R145=10,1,IF('Блок ввода'!R145=11,1,IF('Блок ввода'!R145=5,1,IF('Блок ввода'!R145=6,1,IF('Блок ввода'!R145=7,1,0)))))))</f>
        <v>1</v>
      </c>
      <c r="CA32" s="765">
        <f>IF('Блок ввода'!S145=1,1,0)</f>
        <v>0</v>
      </c>
      <c r="CB32" s="765">
        <f>ОКГВ-P32*5-AN32-AO32-AP32-AY32</f>
        <v>355</v>
      </c>
      <c r="CC32" s="868">
        <f>SUM(O32:X32)*5+SUM(AK32:AP32)</f>
        <v>375</v>
      </c>
      <c r="CD32" s="765"/>
      <c r="CE32" s="764"/>
      <c r="CF32" s="475"/>
      <c r="CG32" s="475"/>
      <c r="CH32" s="476">
        <v>20</v>
      </c>
      <c r="CI32" s="476"/>
      <c r="CK32" s="476"/>
      <c r="CL32" s="476"/>
      <c r="CM32" s="476"/>
      <c r="CN32" s="39"/>
      <c r="CO32" s="39"/>
      <c r="CP32" s="39"/>
      <c r="CQ32" s="39"/>
      <c r="CR32" s="379"/>
      <c r="CS32" s="379"/>
      <c r="CT32" s="379"/>
      <c r="CU32" s="379"/>
      <c r="CV32" s="379"/>
      <c r="CW32" s="379"/>
      <c r="CX32" s="379"/>
      <c r="CY32" s="379"/>
      <c r="CZ32" s="379"/>
      <c r="DA32" s="379"/>
      <c r="DB32" s="379"/>
      <c r="DC32" s="379"/>
      <c r="DD32" s="379"/>
      <c r="DE32" s="379"/>
      <c r="DF32" s="379"/>
      <c r="DG32" s="379"/>
      <c r="DH32" s="379"/>
      <c r="DI32" s="379"/>
      <c r="DJ32" s="379"/>
      <c r="DK32" s="379"/>
      <c r="DL32" s="379"/>
      <c r="DM32" s="379"/>
      <c r="DN32" s="379"/>
    </row>
    <row r="33" spans="1:118" s="16" customFormat="1" ht="24" customHeight="1" thickBot="1" x14ac:dyDescent="0.25">
      <c r="B33" s="1339"/>
      <c r="C33" s="1346"/>
      <c r="D33" s="1381"/>
      <c r="E33" s="1182" t="s">
        <v>231</v>
      </c>
      <c r="F33" s="1538" t="str">
        <f>IF('Блок ввода'!$G$4=1,'Блок ввода'!U151,"Зарегистрируйте программу")</f>
        <v>Зарегистрируйте программу</v>
      </c>
      <c r="G33" s="1539"/>
      <c r="H33" s="1539"/>
      <c r="I33" s="1539"/>
      <c r="J33" s="1540"/>
      <c r="K33" s="1183">
        <v>100</v>
      </c>
      <c r="L33" s="912">
        <v>150</v>
      </c>
      <c r="M33" s="913">
        <f>IF('Блок ввода'!Y36=2,65,IF('Блок ввода'!Y36=1,88.5,0))</f>
        <v>0</v>
      </c>
      <c r="N33" s="1187">
        <v>0</v>
      </c>
      <c r="O33" s="935"/>
      <c r="P33" s="936"/>
      <c r="Q33" s="937"/>
      <c r="R33" s="913"/>
      <c r="S33" s="913"/>
      <c r="T33" s="913"/>
      <c r="U33" s="913"/>
      <c r="V33" s="913"/>
      <c r="W33" s="938"/>
      <c r="X33" s="916"/>
      <c r="Y33" s="937"/>
      <c r="Z33" s="913"/>
      <c r="AA33" s="913"/>
      <c r="AB33" s="913"/>
      <c r="AC33" s="938"/>
      <c r="AD33" s="939"/>
      <c r="AE33" s="913"/>
      <c r="AF33" s="940"/>
      <c r="AG33" s="937"/>
      <c r="AH33" s="912"/>
      <c r="AI33" s="913">
        <f>IF('Блок ввода'!R146=2,20*IF('Блок ввода'!AA32=1,5,1),IF(AND('Блок ввода'!R146=3,'Блок ввода'!AA32=1),100,0))</f>
        <v>0</v>
      </c>
      <c r="AJ33" s="938"/>
      <c r="AK33" s="941"/>
      <c r="AL33" s="913"/>
      <c r="AM33" s="913"/>
      <c r="AN33" s="900"/>
      <c r="AO33" s="942">
        <f>IF(AND('Блок ввода'!A25=1,'Блок ввода'!I23="Лука"),'Блок ввода'!L23,0)</f>
        <v>0</v>
      </c>
      <c r="AP33" s="938"/>
      <c r="AQ33" s="939">
        <f>IF(AND('Раскладка продуктов'!$BC$3=1,'Блок ввода'!Y35=1),AO33*2,0)</f>
        <v>0</v>
      </c>
      <c r="AR33" s="943"/>
      <c r="AS33" s="913"/>
      <c r="AT33" s="913"/>
      <c r="AU33" s="913"/>
      <c r="AV33" s="913"/>
      <c r="AW33" s="913"/>
      <c r="AX33" s="913"/>
      <c r="AY33" s="944"/>
      <c r="AZ33" s="912">
        <f>IF('Блок ввода'!A34=1,IF('Блок ввода'!R146&lt;3,0,IF('Блок ввода'!S25=FALSE,0,BR33/5)),IF('Блок ввода'!R146&lt;3,0,IF('Блок ввода'!S25=FALSE,0,BR33)))</f>
        <v>0</v>
      </c>
      <c r="BA33" s="913"/>
      <c r="BB33" s="913">
        <f>IF('Блок ввода'!S25=TRUE,0,IF('Блок ввода'!R146=1,200+IF('Блок ввода'!$A$35=1,400-(AI33*3)),IF(OR('Блок ввода'!R146=4,'Блок ввода'!R146=7),200+IF('Блок ввода'!$A$35=1,400-(AI33*3)),IF(OR('Блок ввода'!R146=5, 'Блок ввода'!R146=7),200+IF('Блок ввода'!$A$35=1,400-(AI33*3)),0))))</f>
        <v>200</v>
      </c>
      <c r="BC33" s="913"/>
      <c r="BD33" s="942">
        <f>IF(AND('Блок ввода'!$A$25=1,'Блок ввода'!$I$23="Чеснока"),'Блок ввода'!$L$23,0)</f>
        <v>0</v>
      </c>
      <c r="BE33" s="912">
        <f>IF('Блок ввода'!R146=6,(200-AI33)/2,0)</f>
        <v>0</v>
      </c>
      <c r="BF33" s="945"/>
      <c r="BG33" s="945"/>
      <c r="BH33" s="945"/>
      <c r="BI33" s="946"/>
      <c r="BJ33" s="947"/>
      <c r="BK33" s="948"/>
      <c r="BL33" s="942"/>
      <c r="BM33" s="942"/>
      <c r="BN33" s="915"/>
      <c r="BO33" s="949"/>
      <c r="BP33" s="950">
        <f>IF(BA33&gt;0,BA33,250)</f>
        <v>250</v>
      </c>
      <c r="BQ33" s="951"/>
      <c r="BR33" s="766"/>
      <c r="BS33" s="764"/>
      <c r="BT33" s="764"/>
      <c r="BU33" s="764"/>
      <c r="BV33" s="764"/>
      <c r="BW33" s="764"/>
      <c r="BX33" s="764"/>
      <c r="BY33" s="765"/>
      <c r="BZ33" s="762"/>
      <c r="CA33" s="765"/>
      <c r="CB33" s="765"/>
      <c r="CC33" s="867">
        <f>SUM(N33:X33)*5+SUM(AK33:AP33)</f>
        <v>0</v>
      </c>
      <c r="CD33" s="765"/>
      <c r="CE33" s="764"/>
      <c r="CF33" s="475"/>
      <c r="CG33" s="475"/>
      <c r="CH33" s="476">
        <v>22.5</v>
      </c>
      <c r="CI33" s="476"/>
      <c r="CJ33" s="476"/>
      <c r="CK33" s="476"/>
      <c r="CL33" s="476"/>
      <c r="CM33" s="476"/>
      <c r="CN33" s="39"/>
      <c r="CO33" s="39"/>
      <c r="CP33" s="39"/>
      <c r="CQ33" s="39"/>
      <c r="CR33" s="379"/>
      <c r="CS33" s="379"/>
      <c r="CT33" s="379"/>
      <c r="CU33" s="379"/>
      <c r="CV33" s="379"/>
      <c r="CW33" s="379"/>
      <c r="CX33" s="379"/>
      <c r="CY33" s="379"/>
      <c r="CZ33" s="379"/>
      <c r="DA33" s="379"/>
      <c r="DB33" s="379"/>
      <c r="DC33" s="379"/>
      <c r="DD33" s="379"/>
      <c r="DE33" s="379"/>
      <c r="DF33" s="379"/>
      <c r="DG33" s="379"/>
      <c r="DH33" s="379"/>
      <c r="DI33" s="379"/>
      <c r="DJ33" s="379"/>
      <c r="DK33" s="379"/>
      <c r="DL33" s="379"/>
      <c r="DM33" s="379"/>
      <c r="DN33" s="379"/>
    </row>
    <row r="34" spans="1:118" s="16" customFormat="1" ht="24" customHeight="1" x14ac:dyDescent="0.2">
      <c r="B34" s="1339"/>
      <c r="C34" s="1346"/>
      <c r="D34" s="1341" t="str">
        <f>CONCATENATE("Ужин
100%, ОКГ = ",CD34)</f>
        <v>Ужин
100%, ОКГ = 425</v>
      </c>
      <c r="E34" s="1342"/>
      <c r="F34" s="1302" t="str">
        <f>IF('Блок ввода'!$G$4=1,CONCATENATE('Блок ввода'!G147,'Блок ввода'!L147,'Блок ввода'!N147,'Блок ввода'!O147),"Зарегистрируйте программу")</f>
        <v>Зарегистрируйте программу</v>
      </c>
      <c r="G34" s="1303"/>
      <c r="H34" s="1303"/>
      <c r="I34" s="1303"/>
      <c r="J34" s="1322"/>
      <c r="K34" s="952"/>
      <c r="L34" s="953"/>
      <c r="M34" s="953"/>
      <c r="N34" s="1192">
        <v>6.5</v>
      </c>
      <c r="O34" s="894"/>
      <c r="P34" s="871">
        <f>IF(OR('Блок ввода'!R143=8,'Блок ввода'!I143=17,'Блок ввода'!I143=18),(450-N34*5-AN34-AO34-AY34)/5,IF('Блок ввода'!R147=12,15,IF('Блок ввода'!S147=7,(450-N34*5-AN34-AO34-AP34-AY34)/5,0)))</f>
        <v>0</v>
      </c>
      <c r="Q34" s="869">
        <f>IF('Блок ввода'!S147=8,CB34/5,0)</f>
        <v>0</v>
      </c>
      <c r="R34" s="870">
        <f>IF('Блок ввода'!S147=9,CB34/5,0)</f>
        <v>0</v>
      </c>
      <c r="S34" s="870">
        <f>IF('Блок ввода'!S147=11,CB34/5,0)</f>
        <v>0</v>
      </c>
      <c r="T34" s="892">
        <f>IF('Блок ввода'!$S$147=12,$CB$34/5,0)</f>
        <v>0</v>
      </c>
      <c r="U34" s="870">
        <f>IF('Блок ввода'!S147=10,CB34/5,IF('Блок ввода'!S147=16,CB34/5-V34,0))</f>
        <v>0</v>
      </c>
      <c r="V34" s="870">
        <f>IF('Блок ввода'!S147=14,CB34/5,IF('Блок ввода'!S147=16,40,0))</f>
        <v>0</v>
      </c>
      <c r="W34" s="873">
        <f>IF('Блок ввода'!S147=13,CB34/5,0)</f>
        <v>0</v>
      </c>
      <c r="X34" s="894">
        <f>IF('Блок ввода'!R147=14,CB34/5,IF('Блок ввода'!S147=15,CB34/5,0))</f>
        <v>0</v>
      </c>
      <c r="Y34" s="874">
        <f>IF('Блок ввода'!E143&lt;19,BR3,0)</f>
        <v>0</v>
      </c>
      <c r="Z34" s="870">
        <f>IF('Блок ввода'!E143=19,75,IF('Блок ввода'!E143=28,60,0))</f>
        <v>0</v>
      </c>
      <c r="AA34" s="870"/>
      <c r="AB34" s="875">
        <f>ROUND(IF('Блок ввода'!E143=28,0,IF('Блок ввода'!E143&gt;20,IF('Блок ввода'!E143=26,102,IF('Блок ввода'!$Y$38=1,156-(AB28*1.3)-(AC29+AC30)*1.625/2,120-AB28-(AC29+AC30)/2/0.8)),0)),1)</f>
        <v>120</v>
      </c>
      <c r="AC34" s="876">
        <f>IF(AND('Блок ввода'!R147=20,OR('Блок ввода'!E68=18,'Блок ввода'!E72=18)),96-(AC29+AC30)/2-AB28*0.8,IF('Блок ввода'!R147=20,96,0))</f>
        <v>0</v>
      </c>
      <c r="AD34" s="877"/>
      <c r="AE34" s="870">
        <v>22</v>
      </c>
      <c r="AF34" s="873">
        <f>IF(OR('Блок ввода'!E143=21,'Блок ввода'!E143=22,'Блок ввода'!E143=23,'Блок ввода'!E143=24),15,3)</f>
        <v>15</v>
      </c>
      <c r="AG34" s="874"/>
      <c r="AH34" s="870"/>
      <c r="AI34" s="870"/>
      <c r="AJ34" s="876"/>
      <c r="AK34" s="869">
        <f>IF('Блок ввода'!R147=7,ОКГУ-AL34-AN34-AO34-AY34+IF(AND($N$7=1,N34=0),CF34,IF(N25=0,0,2.5-IF($N$7=2,2.5,0))),IF('Блок ввода'!R147=15,ОКГУ-AN34-AO34-AY34+IF(AND($N$7=1,N34=0),CF34,IF(N25=0,0,2.5-IF($N$7=2,2.5,0))),IF('Блок ввода'!S147&lt;5,ОКГУ-P34*5-AN34-AO34-AO33*2-BD33*4-AP34-AY34+IF(AND($N$7=1,N34=0),CF34,IF(N25=0,0,2.5-IF($N$7=2,2.5,0))),)))</f>
        <v>425</v>
      </c>
      <c r="AL34" s="870">
        <f>IF('Блок ввода'!R147=7,200,IF('Блок ввода'!R147=13,ОКГУ-N34*5-AN34-AO34-AO33*2-AY34,IF('Блок ввода'!S147=5,CB34-AO33*2,0)))</f>
        <v>0</v>
      </c>
      <c r="AM34" s="870">
        <f>IF('Блок ввода'!S147=6,CB34,0)</f>
        <v>0</v>
      </c>
      <c r="AN34" s="878"/>
      <c r="AO34" s="878"/>
      <c r="AP34" s="876">
        <f>IF('Блок ввода'!R147=6,20,0)</f>
        <v>0</v>
      </c>
      <c r="AQ34" s="954">
        <f>IF(AND('Раскладка продуктов'!$BC$3=1,'Блок ввода'!Y35=1),AO34*2,0)</f>
        <v>0</v>
      </c>
      <c r="AR34" s="955">
        <f>IF(AND('Раскладка продуктов'!$BC$3=2,'Блок ввода'!Y35=1),AO34/10,0)</f>
        <v>0</v>
      </c>
      <c r="AS34" s="953"/>
      <c r="AT34" s="953"/>
      <c r="AU34" s="953"/>
      <c r="AV34" s="953"/>
      <c r="AW34" s="953"/>
      <c r="AX34" s="953">
        <f>IF(AND(OR('Блок ввода'!T147=5,'Блок ввода'!T147=6),'Блок ввода'!$G$32=TRUE),15,IF(OR('Блок ввода'!T147=5,'Блок ввода'!T147=6),1,0))</f>
        <v>0</v>
      </c>
      <c r="AY34" s="956"/>
      <c r="AZ34" s="957">
        <f>IF('Блок ввода'!$A$34&lt;&gt;2,0,IF('Блок ввода'!N143=9,150+IF(OR('Блок ввода'!I143=17,'Блок ввода'!I143=18),200,0),IF(OR('Блок ввода'!I143=17,'Блок ввода'!I143=18),200,0)))</f>
        <v>0</v>
      </c>
      <c r="BA34" s="953"/>
      <c r="BB34" s="953"/>
      <c r="BC34" s="953"/>
      <c r="BD34" s="953"/>
      <c r="BE34" s="958"/>
      <c r="BF34" s="958"/>
      <c r="BG34" s="958"/>
      <c r="BH34" s="959"/>
      <c r="BI34" s="883">
        <f>IF(Пн!$X$1=8,Пн!$X$3,0)</f>
        <v>0</v>
      </c>
      <c r="BJ34" s="960">
        <f>IF(Пн!$X$1=4,Пн!$X$3,0)</f>
        <v>0</v>
      </c>
      <c r="BK34" s="877"/>
      <c r="BL34" s="886"/>
      <c r="BM34" s="886"/>
      <c r="BN34" s="887"/>
      <c r="BO34" s="888"/>
      <c r="BP34" s="931">
        <f>BQ34+P34*2.8+Q34*2.1+R34*3+S34*3+T34*3+U34*2.5+V34*2.1+W34*3+X34*3+BX34+AL34*'Блок ввода'!$D$9+'Раскладка продуктов'!AM34*'Блок ввода'!$D$8+'Раскладка продуктов'!AP34*'Блок ввода'!$D$11+'Раскладка продуктов'!AQ34*'Блок ввода'!$D$12+'Раскладка продуктов'!AX34*'Блок ввода'!$D$13+IF(BZ34&gt;0,50,BY34)</f>
        <v>503</v>
      </c>
      <c r="BQ34" s="890">
        <f>'Блок ввода'!AG147</f>
        <v>80</v>
      </c>
      <c r="BR34" s="766"/>
      <c r="BS34" s="764"/>
      <c r="BT34" s="764"/>
      <c r="BU34" s="764"/>
      <c r="BV34" s="764"/>
      <c r="BW34" s="764"/>
      <c r="BX34" s="767">
        <f>IF(CA34&gt;0,'Раскладка продуктов'!AK34*'Блок ввода'!$D$5,AK34*'Блок ввода'!$D$4)</f>
        <v>416.5</v>
      </c>
      <c r="BY34" s="762">
        <f>N34+(AN34*'Блок ввода'!$D$7+AO34*'Блок ввода'!$D$10)</f>
        <v>6.5</v>
      </c>
      <c r="BZ34" s="762">
        <f>IF('Блок ввода'!R147&lt;4,1,IF('Блок ввода'!R147=9,1,IF('Блок ввода'!R147=10,1,IF('Блок ввода'!R147=11,1,IF('Блок ввода'!R147=5,1,IF('Блок ввода'!R147=6,1,IF('Блок ввода'!R147=7,1,0)))))))</f>
        <v>0</v>
      </c>
      <c r="CA34" s="765">
        <f>IF('Блок ввода'!S147=1,1,0)</f>
        <v>1</v>
      </c>
      <c r="CB34" s="765">
        <f>ОКГУ-P34*5-AN34-AO34-AP34-AY34+IF(AND($N$7=1,N34=0),CF34,IF(N25=0,0,2.5-IF(N7=2,2.5,0)))</f>
        <v>425</v>
      </c>
      <c r="CC34" s="764"/>
      <c r="CD34" s="762">
        <f>SUM(O34:X34)*5+SUM(AK34:AP34)</f>
        <v>425</v>
      </c>
      <c r="CE34" s="764"/>
      <c r="CF34" s="474">
        <f>IF(AND($N$7=1,N34=0),5,0)</f>
        <v>0</v>
      </c>
      <c r="CG34" s="475"/>
      <c r="CH34" s="476">
        <v>25</v>
      </c>
      <c r="CI34" s="476"/>
      <c r="CJ34" s="476"/>
      <c r="CK34" s="476"/>
      <c r="CL34" s="476"/>
      <c r="CM34" s="476"/>
      <c r="CN34" s="39"/>
      <c r="CO34" s="39"/>
      <c r="CP34" s="39"/>
      <c r="CQ34" s="39"/>
      <c r="CR34" s="379"/>
      <c r="CS34" s="379"/>
      <c r="CT34" s="379"/>
      <c r="CU34" s="379"/>
      <c r="CV34" s="379"/>
      <c r="CW34" s="379"/>
      <c r="CX34" s="379"/>
      <c r="CY34" s="379"/>
      <c r="CZ34" s="379"/>
      <c r="DA34" s="379"/>
      <c r="DB34" s="379"/>
      <c r="DC34" s="379"/>
      <c r="DD34" s="379"/>
      <c r="DE34" s="379"/>
      <c r="DF34" s="379"/>
      <c r="DG34" s="379"/>
      <c r="DH34" s="379"/>
      <c r="DI34" s="379"/>
      <c r="DJ34" s="379"/>
      <c r="DK34" s="379"/>
      <c r="DL34" s="379"/>
      <c r="DM34" s="379"/>
      <c r="DN34" s="379"/>
    </row>
    <row r="35" spans="1:118" s="16" customFormat="1" ht="24" customHeight="1" x14ac:dyDescent="0.2">
      <c r="B35" s="1339"/>
      <c r="C35" s="1346"/>
      <c r="D35" s="1343"/>
      <c r="E35" s="1344"/>
      <c r="F35" s="1302"/>
      <c r="G35" s="1303"/>
      <c r="H35" s="1303"/>
      <c r="I35" s="1303"/>
      <c r="J35" s="1322"/>
      <c r="K35" s="891"/>
      <c r="L35" s="892"/>
      <c r="M35" s="892"/>
      <c r="N35" s="1191">
        <f>IF('Блок ввода'!E143=4,20,IF('Блок ввода'!E143=16,75,IF('Блок ввода'!E143=24,15,0)))</f>
        <v>0</v>
      </c>
      <c r="O35" s="961"/>
      <c r="P35" s="894"/>
      <c r="Q35" s="896"/>
      <c r="R35" s="892"/>
      <c r="S35" s="892"/>
      <c r="T35" s="962"/>
      <c r="U35" s="892"/>
      <c r="V35" s="892"/>
      <c r="W35" s="897"/>
      <c r="X35" s="894"/>
      <c r="Y35" s="896"/>
      <c r="Z35" s="892"/>
      <c r="AA35" s="892"/>
      <c r="AB35" s="892"/>
      <c r="AC35" s="897"/>
      <c r="AD35" s="898"/>
      <c r="AE35" s="892"/>
      <c r="AF35" s="899"/>
      <c r="AG35" s="963"/>
      <c r="AH35" s="964"/>
      <c r="AI35" s="892"/>
      <c r="AJ35" s="897"/>
      <c r="AK35" s="891"/>
      <c r="AL35" s="892"/>
      <c r="AM35" s="892"/>
      <c r="AN35" s="900"/>
      <c r="AO35" s="900"/>
      <c r="AP35" s="897"/>
      <c r="AQ35" s="898">
        <f>IF('Раскладка продуктов'!$BC$3=1,AO35*2,0)</f>
        <v>0</v>
      </c>
      <c r="AR35" s="901"/>
      <c r="AS35" s="892"/>
      <c r="AT35" s="892"/>
      <c r="AU35" s="892"/>
      <c r="AV35" s="892"/>
      <c r="AW35" s="892"/>
      <c r="AX35" s="892">
        <f>IF('Блок ввода'!E143=24,0.25,0)</f>
        <v>0</v>
      </c>
      <c r="AY35" s="902"/>
      <c r="AZ35" s="903"/>
      <c r="BA35" s="892"/>
      <c r="BB35" s="892"/>
      <c r="BC35" s="892"/>
      <c r="BD35" s="892"/>
      <c r="BE35" s="904"/>
      <c r="BF35" s="904"/>
      <c r="BG35" s="904"/>
      <c r="BH35" s="965"/>
      <c r="BI35" s="905"/>
      <c r="BJ35" s="966"/>
      <c r="BK35" s="898"/>
      <c r="BL35" s="900"/>
      <c r="BM35" s="900"/>
      <c r="BN35" s="893"/>
      <c r="BO35" s="908"/>
      <c r="BP35" s="909"/>
      <c r="BQ35" s="910"/>
      <c r="BR35" s="766"/>
      <c r="BS35" s="768">
        <f>IF(AND('Блок ввода'!E138=30,'Блок ввода'!I138=17),BR37+BS37,IF('Блок ввода'!E138=30,(BR37+BS37+430)+BF37*500/375,BR37+BS37+BF37*500/375))</f>
        <v>2075</v>
      </c>
      <c r="BT35" s="764" t="str">
        <f>IF(AND(BS35 &lt;&gt;1650,BS35 &lt;&gt;1650),"ОКГ в понедельник не соответствует ","")</f>
        <v xml:space="preserve">ОКГ в понедельник не соответствует </v>
      </c>
      <c r="BU35" s="764"/>
      <c r="BV35" s="764"/>
      <c r="BW35" s="764"/>
      <c r="BX35" s="764"/>
      <c r="BY35" s="764"/>
      <c r="BZ35" s="765"/>
      <c r="CA35" s="765"/>
      <c r="CB35" s="765"/>
      <c r="CC35" s="764"/>
      <c r="CD35" s="765"/>
      <c r="CE35" s="764"/>
      <c r="CF35" s="475"/>
      <c r="CG35" s="475"/>
      <c r="CH35" s="476"/>
      <c r="CI35" s="476"/>
      <c r="CJ35" s="476"/>
      <c r="CK35" s="476"/>
      <c r="CL35" s="476"/>
      <c r="CM35" s="476"/>
      <c r="CN35" s="39"/>
      <c r="CO35" s="39"/>
      <c r="CP35" s="39"/>
      <c r="CQ35" s="39"/>
      <c r="CR35" s="39"/>
      <c r="CS35" s="39"/>
      <c r="CT35" s="39"/>
      <c r="CU35" s="39"/>
      <c r="CV35" s="39"/>
      <c r="CW35" s="39"/>
    </row>
    <row r="36" spans="1:118" s="16" customFormat="1" ht="24" customHeight="1" thickBot="1" x14ac:dyDescent="0.25">
      <c r="B36" s="1340"/>
      <c r="C36" s="1347"/>
      <c r="D36" s="1343"/>
      <c r="E36" s="1344"/>
      <c r="F36" s="1323"/>
      <c r="G36" s="1324"/>
      <c r="H36" s="1324"/>
      <c r="I36" s="1324"/>
      <c r="J36" s="1325"/>
      <c r="K36" s="967">
        <v>100</v>
      </c>
      <c r="L36" s="922">
        <f>IF('Блок ввода'!T106=5,100,50)</f>
        <v>50</v>
      </c>
      <c r="M36" s="919"/>
      <c r="N36" s="1190">
        <f>IF(L36=50,37.5,0)</f>
        <v>37.5</v>
      </c>
      <c r="O36" s="968"/>
      <c r="P36" s="969"/>
      <c r="Q36" s="970"/>
      <c r="R36" s="919"/>
      <c r="S36" s="919"/>
      <c r="T36" s="919"/>
      <c r="U36" s="919"/>
      <c r="V36" s="919"/>
      <c r="W36" s="971"/>
      <c r="X36" s="969"/>
      <c r="Y36" s="970"/>
      <c r="Z36" s="919"/>
      <c r="AA36" s="919"/>
      <c r="AB36" s="919"/>
      <c r="AC36" s="971"/>
      <c r="AD36" s="917"/>
      <c r="AE36" s="919"/>
      <c r="AF36" s="972"/>
      <c r="AG36" s="970">
        <f>IF(OR('Блок ввода'!T147&lt;=7,'Блок ввода'!T147=9,'Блок ввода'!T147=9),30-AG33/2-(BC36)/1.4,0)</f>
        <v>30</v>
      </c>
      <c r="AH36" s="922">
        <v>1</v>
      </c>
      <c r="AI36" s="919">
        <f>IF('Блок ввода'!T147=4,20,0)</f>
        <v>0</v>
      </c>
      <c r="AJ36" s="971"/>
      <c r="AK36" s="973"/>
      <c r="AL36" s="919"/>
      <c r="AM36" s="919"/>
      <c r="AN36" s="927"/>
      <c r="AO36" s="927"/>
      <c r="AP36" s="971"/>
      <c r="AQ36" s="917">
        <f>AO36/2</f>
        <v>0</v>
      </c>
      <c r="AR36" s="918"/>
      <c r="AS36" s="919"/>
      <c r="AT36" s="919"/>
      <c r="AU36" s="919"/>
      <c r="AV36" s="919"/>
      <c r="AW36" s="919"/>
      <c r="AX36" s="1224">
        <f>IF(AND(L36=50,'Блок ввода'!$Q$114=1),0.125,0)</f>
        <v>0</v>
      </c>
      <c r="AY36" s="921"/>
      <c r="AZ36" s="922"/>
      <c r="BA36" s="919"/>
      <c r="BB36" s="919"/>
      <c r="BC36" s="919">
        <f>IF('Блок ввода'!T147=2,10*1.4,IF('Блок ввода'!T147=8,(35-AG33/2)*1.4,IF('Блок ввода'!N143=2,(35-AG33/2)*1.4,IF('Блок ввода'!T147=7,4.8,0))))</f>
        <v>0</v>
      </c>
      <c r="BD36" s="923"/>
      <c r="BE36" s="974"/>
      <c r="BF36" s="974"/>
      <c r="BG36" s="974"/>
      <c r="BH36" s="971">
        <f>IF(L36=50,0.5*IF('Блок ввода'!$B$223=1,1,2),0)</f>
        <v>1</v>
      </c>
      <c r="BI36" s="975"/>
      <c r="BJ36" s="976"/>
      <c r="BK36" s="917">
        <v>100</v>
      </c>
      <c r="BL36" s="927">
        <v>70</v>
      </c>
      <c r="BM36" s="927">
        <v>0.6</v>
      </c>
      <c r="BN36" s="928">
        <v>10</v>
      </c>
      <c r="BO36" s="929">
        <v>200</v>
      </c>
      <c r="BP36" s="977">
        <v>250</v>
      </c>
      <c r="BQ36" s="978"/>
      <c r="BR36" s="769">
        <f>IF('Блок ввода'!A25=TRUE,BR37+BS37-'Блок ввода'!L23,BR37+BS37)</f>
        <v>1645</v>
      </c>
      <c r="BS36" s="764"/>
      <c r="BT36" s="764"/>
      <c r="BU36" s="764"/>
      <c r="BV36" s="764"/>
      <c r="BW36" s="764"/>
      <c r="BX36" s="764"/>
      <c r="BY36" s="764"/>
      <c r="BZ36" s="765"/>
      <c r="CA36" s="765"/>
      <c r="CB36" s="765"/>
      <c r="CC36" s="764"/>
      <c r="CD36" s="765"/>
      <c r="CE36" s="764"/>
      <c r="CF36" s="475"/>
      <c r="CG36" s="475"/>
      <c r="CH36" s="476"/>
      <c r="CI36" s="476"/>
      <c r="CJ36" s="476"/>
      <c r="CK36" s="476"/>
      <c r="CL36" s="476"/>
      <c r="CM36" s="476"/>
      <c r="CN36" s="39"/>
      <c r="CO36" s="39"/>
      <c r="CP36" s="39"/>
      <c r="CQ36" s="39"/>
      <c r="CR36" s="39"/>
      <c r="CS36" s="39"/>
      <c r="CT36" s="39"/>
      <c r="CU36" s="39"/>
      <c r="CV36" s="39"/>
      <c r="CW36" s="39"/>
    </row>
    <row r="37" spans="1:118" s="41" customFormat="1" ht="24" customHeight="1" thickTop="1" thickBot="1" x14ac:dyDescent="0.3">
      <c r="A37" s="228">
        <f>BS35</f>
        <v>2075</v>
      </c>
      <c r="B37" s="1335" t="s">
        <v>27</v>
      </c>
      <c r="C37" s="1336"/>
      <c r="D37" s="1336"/>
      <c r="E37" s="1336"/>
      <c r="F37" s="1336"/>
      <c r="G37" s="1336"/>
      <c r="H37" s="1336"/>
      <c r="I37" s="1336"/>
      <c r="J37" s="1337"/>
      <c r="K37" s="979">
        <f>SUM(K25:K36)</f>
        <v>300</v>
      </c>
      <c r="L37" s="980">
        <f>SUM(L25:L36)</f>
        <v>350</v>
      </c>
      <c r="M37" s="981">
        <f>SUM(M25:M36)</f>
        <v>0</v>
      </c>
      <c r="N37" s="982">
        <f>N25+N26+N27+(N29+N30+N31+N32)/2+SUM(N34:N36)</f>
        <v>50</v>
      </c>
      <c r="O37" s="983">
        <f>O25+O26+O27+(O29+O30+O31+O32)/2+SUM(O34:O36)</f>
        <v>0</v>
      </c>
      <c r="P37" s="983">
        <f t="shared" ref="P37:AD37" si="1">P25+P26+P27+(P29+P30)/2+(P31+P32)/2+SUM(P34:P36)</f>
        <v>60</v>
      </c>
      <c r="Q37" s="979">
        <f t="shared" si="1"/>
        <v>0</v>
      </c>
      <c r="R37" s="984">
        <f>R25+R26+R27+(R29+R30)/2+(R31+R32)/2+SUM(R34:R36)+R28</f>
        <v>0</v>
      </c>
      <c r="S37" s="984">
        <f>S25+S26+S27+(S29+S30)/2+(S31+S32)/2+SUM(S34:S36)</f>
        <v>0</v>
      </c>
      <c r="T37" s="984">
        <f>T25+(T29+T30+T31+T32)/2+T34+T28</f>
        <v>0</v>
      </c>
      <c r="U37" s="984">
        <f t="shared" si="1"/>
        <v>0</v>
      </c>
      <c r="V37" s="984">
        <f t="shared" si="1"/>
        <v>35.5</v>
      </c>
      <c r="W37" s="985">
        <f t="shared" si="1"/>
        <v>0</v>
      </c>
      <c r="X37" s="986">
        <f t="shared" si="1"/>
        <v>28</v>
      </c>
      <c r="Y37" s="987">
        <f t="shared" si="1"/>
        <v>150</v>
      </c>
      <c r="Z37" s="984">
        <f t="shared" si="1"/>
        <v>0</v>
      </c>
      <c r="AA37" s="984">
        <f t="shared" si="1"/>
        <v>0</v>
      </c>
      <c r="AB37" s="980">
        <f>AB25+AB26+AB27+(AB29+AB30)/2+(AB31+AB32)/2+SUM(AB34:AB36)+AB28</f>
        <v>120</v>
      </c>
      <c r="AC37" s="985">
        <f t="shared" si="1"/>
        <v>0</v>
      </c>
      <c r="AD37" s="987">
        <f t="shared" si="1"/>
        <v>0</v>
      </c>
      <c r="AE37" s="988">
        <f>SUM(AE25:AE27)+SUM(AE34:AE36)+AE28+SUM(AE29:AE32)/2</f>
        <v>45</v>
      </c>
      <c r="AF37" s="989">
        <f>SUM(AF25:AF36)</f>
        <v>30</v>
      </c>
      <c r="AG37" s="990">
        <f>SUM(AG25:AG36)</f>
        <v>60</v>
      </c>
      <c r="AH37" s="988">
        <f>SUM(AH25:AH36)</f>
        <v>1</v>
      </c>
      <c r="AI37" s="988">
        <f>SUM(AI25:AI36)</f>
        <v>0</v>
      </c>
      <c r="AJ37" s="989">
        <v>20</v>
      </c>
      <c r="AK37" s="990">
        <f t="shared" ref="AK37:AP37" si="2">AK25+AK28+(AK29+AK30+AK31+AK32)/2+AK34</f>
        <v>837.5</v>
      </c>
      <c r="AL37" s="988">
        <f t="shared" si="2"/>
        <v>0</v>
      </c>
      <c r="AM37" s="988">
        <f t="shared" si="2"/>
        <v>0</v>
      </c>
      <c r="AN37" s="991">
        <f t="shared" si="2"/>
        <v>160</v>
      </c>
      <c r="AO37" s="991">
        <f>AO25+AO28+(AO29+AO30+AO31+AO32)/2+AO34+AO33</f>
        <v>30</v>
      </c>
      <c r="AP37" s="992">
        <f t="shared" si="2"/>
        <v>0</v>
      </c>
      <c r="AQ37" s="993">
        <f>AQ25+AQ28+(AQ29+AQ30+AQ31+AQ32)/2+AQ34+AQ33</f>
        <v>0</v>
      </c>
      <c r="AR37" s="991">
        <f>AR25+AR28+(AR29+AR30+AR31+AR32)/2+AR34</f>
        <v>0</v>
      </c>
      <c r="AS37" s="988">
        <v>6</v>
      </c>
      <c r="AT37" s="980">
        <v>0.2</v>
      </c>
      <c r="AU37" s="980">
        <v>0.3</v>
      </c>
      <c r="AV37" s="980">
        <v>2</v>
      </c>
      <c r="AW37" s="980">
        <v>0.5</v>
      </c>
      <c r="AX37" s="1225">
        <f>AX25+AX28+(AX29+AX30+AX31+AX32)/2+AX34+AX35+AX27+AX36</f>
        <v>1</v>
      </c>
      <c r="AY37" s="988">
        <f>AY25+AY28+(AY29+AY30+AY31+AY32)/2+AY34</f>
        <v>0</v>
      </c>
      <c r="AZ37" s="980">
        <f>AZ25+AZ28+(AZ29+AZ30+AZ31+AZ32)/2+AZ34+AZ33</f>
        <v>330</v>
      </c>
      <c r="BA37" s="984">
        <f>BA25+BA26+BA27+(BA29+BA30+BA31+BA32)/2+SUM(BA34:BA36)</f>
        <v>0</v>
      </c>
      <c r="BB37" s="984">
        <f t="shared" ref="BB37:BO37" si="3">BB25+BB26+BB27+(BB29+BB30+BB31+BB32)/2+BB33+SUM(BB34:BB36)</f>
        <v>200</v>
      </c>
      <c r="BC37" s="984">
        <f t="shared" si="3"/>
        <v>1.5</v>
      </c>
      <c r="BD37" s="984">
        <f t="shared" si="3"/>
        <v>0</v>
      </c>
      <c r="BE37" s="984">
        <f t="shared" si="3"/>
        <v>0</v>
      </c>
      <c r="BF37" s="984">
        <f t="shared" si="3"/>
        <v>0</v>
      </c>
      <c r="BG37" s="984">
        <f t="shared" si="3"/>
        <v>265</v>
      </c>
      <c r="BH37" s="994">
        <f>BH25+BH26+BH27+(BH29+BH30+BH31+BH32)/2+BH33+SUM(BH34:BH36)</f>
        <v>1</v>
      </c>
      <c r="BI37" s="994">
        <f>BI25+BI26+BI27+(BI29+BI30+BI31+BI32)/2+BI33++BI34+BI35+BI36</f>
        <v>0</v>
      </c>
      <c r="BJ37" s="985">
        <f>BJ25+BJ26+BJ27+(BJ29+BJ30+BJ31+BJ32)/2+BJ33++BJ34+BJ35+BJ36</f>
        <v>0</v>
      </c>
      <c r="BK37" s="995">
        <f t="shared" si="3"/>
        <v>100</v>
      </c>
      <c r="BL37" s="996">
        <f t="shared" si="3"/>
        <v>70</v>
      </c>
      <c r="BM37" s="996">
        <f t="shared" si="3"/>
        <v>0.6</v>
      </c>
      <c r="BN37" s="996">
        <f t="shared" si="3"/>
        <v>10</v>
      </c>
      <c r="BO37" s="997">
        <f t="shared" si="3"/>
        <v>200</v>
      </c>
      <c r="BP37" s="998"/>
      <c r="BQ37" s="999"/>
      <c r="BR37" s="764">
        <f>SUM(P37:X37)*5</f>
        <v>617.5</v>
      </c>
      <c r="BS37" s="770">
        <f>SUM(AK37:AP37)+AY37+BD37+IF('Блок ввода'!E40=17,ОКГХ-AM28-AO28-AN28,0)-AO33+AO33*2-BD33+BD33*4</f>
        <v>1027.5</v>
      </c>
      <c r="BT37" s="764"/>
      <c r="BU37" s="764"/>
      <c r="BV37" s="764"/>
      <c r="BW37" s="764"/>
      <c r="BX37" s="764"/>
      <c r="BY37" s="764"/>
      <c r="BZ37" s="765"/>
      <c r="CA37" s="765"/>
      <c r="CB37" s="765"/>
      <c r="CC37" s="764"/>
      <c r="CD37" s="765"/>
      <c r="CE37" s="764"/>
      <c r="CF37" s="771"/>
      <c r="CG37" s="771"/>
      <c r="CH37" s="772"/>
      <c r="CI37" s="772"/>
      <c r="CJ37" s="772"/>
      <c r="CK37" s="772"/>
      <c r="CL37" s="772"/>
      <c r="CM37" s="772"/>
      <c r="CN37" s="40"/>
      <c r="CO37" s="40"/>
      <c r="CP37" s="40"/>
      <c r="CQ37" s="40"/>
      <c r="CR37" s="40"/>
      <c r="CS37" s="40"/>
      <c r="CT37" s="40"/>
      <c r="CU37" s="40"/>
      <c r="CV37" s="40"/>
      <c r="CW37" s="40"/>
    </row>
    <row r="38" spans="1:118" s="16" customFormat="1" ht="24" customHeight="1" x14ac:dyDescent="0.2">
      <c r="B38" s="1338" t="s">
        <v>173</v>
      </c>
      <c r="C38" s="1345">
        <f>A3+1</f>
        <v>40092</v>
      </c>
      <c r="D38" s="1341" t="str">
        <f>CONCATENATE("Завтрак
100%, ОКГ = ",IF(AND('Блок ввода'!B221=1,'Блок ввода'!E148=29),CD38+430,CD38))</f>
        <v>Завтрак
100%, ОКГ = 425</v>
      </c>
      <c r="E38" s="1342"/>
      <c r="F38" s="1300" t="str">
        <f>CONCATENATE('Блок ввода'!G152,'Блок ввода'!L152,'Блок ввода'!N152,'Блок ввода'!O152)</f>
        <v>Мясо отвар. с соусом  с карт.тушеным, хлеб, масло, сахар, кофе натур. с молоком, сыр, омлет</v>
      </c>
      <c r="G38" s="1301"/>
      <c r="H38" s="1301"/>
      <c r="I38" s="1301"/>
      <c r="J38" s="1301"/>
      <c r="K38" s="952"/>
      <c r="L38" s="953"/>
      <c r="M38" s="953"/>
      <c r="N38" s="1185">
        <v>2</v>
      </c>
      <c r="O38" s="1000"/>
      <c r="P38" s="872">
        <f>IF(OR('Блок ввода'!E148=8,'Блок ввода'!I148=17,'Блок ввода'!I148=18),(ОКГ-AN38-AO38-AY38)/5+IF(AND($N$7=1,N38=0),CF38/5,IF(N47=0,0,2.5-IF($N$7=2,2.5,0))),IF('Блок ввода'!E148=12,15,IF('Блок ввода'!I148=7,(ОКГ-AN38-AO38-AP38-AY38)/5+IF(AND($N$7=1,N38=0),CF38/5,IF(N47=0,0,2.5/5-IF($N$7=2,2.5/5,0))),0)))</f>
        <v>0</v>
      </c>
      <c r="Q38" s="952">
        <f>IF('Блок ввода'!S151=8,CB38/5,0)</f>
        <v>0</v>
      </c>
      <c r="R38" s="953">
        <f>IF('Блок ввода'!S151=9,CB38/5,0)</f>
        <v>0</v>
      </c>
      <c r="S38" s="953">
        <f>IF('Блок ввода'!S151=11,CB38/5,0)</f>
        <v>0</v>
      </c>
      <c r="T38" s="953">
        <f>IF('Блок ввода'!S151=12,CB38/5,0)</f>
        <v>0</v>
      </c>
      <c r="U38" s="953">
        <f>IF('Блок ввода'!S151=10,CB38/5,IF('Блок ввода'!S151=16,CB38/5-V38,0))</f>
        <v>0</v>
      </c>
      <c r="V38" s="953">
        <f>IF('Блок ввода'!S151=14,CB38/5,IF('Блок ввода'!S151=16,40,0))</f>
        <v>0</v>
      </c>
      <c r="W38" s="1001">
        <f>IF('Блок ввода'!S151=13,CB38/5,0)</f>
        <v>0</v>
      </c>
      <c r="X38" s="1000">
        <f>IF('Блок ввода'!R151=14,CB38/5,IF('Блок ввода'!S151=15,CB38/5,0))</f>
        <v>0</v>
      </c>
      <c r="Y38" s="1002">
        <f>IF('Блок ввода'!E148&lt;19,BS3,0)</f>
        <v>100</v>
      </c>
      <c r="Z38" s="953">
        <f>IF('Блок ввода'!R151=19,75,0)</f>
        <v>0</v>
      </c>
      <c r="AA38" s="953"/>
      <c r="AB38" s="870">
        <f>IF('Блок ввода'!E148=28,0,IF(AND('Блок ввода'!E148&gt;20,'Блок ввода'!E148&lt;=27),IF('Блок ввода'!E148=26,102,IF('Блок ввода'!$Z$38=1,156-AB41*1.3-(AC42+AC43)*1.625/2,120-AB41-(AC42+AC43)/2/0.8)),0))</f>
        <v>0</v>
      </c>
      <c r="AC38" s="876">
        <f>IF(AND('Блок ввода'!E148=20,OR('Блок ввода'!E76=18,'Блок ввода'!E80=18)),96-(AC42+AC43)/2-AB41*0.8,IF('Блок ввода'!E148=20,96,0))</f>
        <v>0</v>
      </c>
      <c r="AD38" s="954"/>
      <c r="AE38" s="870">
        <v>19</v>
      </c>
      <c r="AF38" s="873">
        <f>IF(OR('Блок ввода'!E148=21,'Блок ввода'!E148=22,'Блок ввода'!E148=23,'Блок ввода'!E148=24),15,3)</f>
        <v>3</v>
      </c>
      <c r="AG38" s="1002"/>
      <c r="AH38" s="953"/>
      <c r="AI38" s="953"/>
      <c r="AJ38" s="1003"/>
      <c r="AK38" s="952">
        <f>IF('Блок ввода'!R151=7,ОКГ-AL38-AN38-AO38-AY38,IF('Блок ввода'!R151=15,ОКГ-AN38-AO38-AY38,IF('Блок ввода'!S151&lt;5,ОКГ-P38*5-AN38-AO38-AP38-AY38,)))</f>
        <v>405</v>
      </c>
      <c r="AL38" s="953">
        <f>IF('Блок ввода'!R151=7,200,IF('Блок ввода'!R151=13,450-N38*5-AN38-AO38-AY38,IF('Блок ввода'!S151=5,CB38,0)))</f>
        <v>0</v>
      </c>
      <c r="AM38" s="953">
        <f>IF('Блок ввода'!S151=6,CB38,0)</f>
        <v>0</v>
      </c>
      <c r="AN38" s="878">
        <v>10</v>
      </c>
      <c r="AO38" s="878">
        <v>10</v>
      </c>
      <c r="AP38" s="1003">
        <f>IF('Блок ввода'!R151=6,20,0)</f>
        <v>0</v>
      </c>
      <c r="AQ38" s="877">
        <f>IF(AND('Раскладка продуктов'!$BC$3=1,'Блок ввода'!Z35=1),AO38*2,0)</f>
        <v>0</v>
      </c>
      <c r="AR38" s="879">
        <f>IF(AND('Раскладка продуктов'!$BC$3=2,'Блок ввода'!$Z$35=1),AO38/10,0)</f>
        <v>0</v>
      </c>
      <c r="AS38" s="880"/>
      <c r="AT38" s="870"/>
      <c r="AU38" s="870"/>
      <c r="AV38" s="870"/>
      <c r="AW38" s="870"/>
      <c r="AX38" s="870">
        <v>1</v>
      </c>
      <c r="AY38" s="881"/>
      <c r="AZ38" s="875">
        <f>IF('Блок ввода'!$A$34&lt;&gt;2,0+IF(Вт!$X$1=5,Вт!$X$3,0),IF('Блок ввода'!N148=9,150+IF(Вт!$X$1=5,Вт!$X$3,0)+IF(OR('Блок ввода'!I148=17,'Блок ввода'!I148=18),200,0),IF(OR('Блок ввода'!I148=17,'Блок ввода'!I148=18),200+IF(Вт!$X$1=5,Вт!$X$3,0),0+IF(Вт!$X$1=5,Вт!$X$3,50))))</f>
        <v>50</v>
      </c>
      <c r="BA38" s="870">
        <f>IF('Блок ввода'!$A$34=2,0,BT38)</f>
        <v>0</v>
      </c>
      <c r="BB38" s="870"/>
      <c r="BC38" s="870"/>
      <c r="BD38" s="870"/>
      <c r="BE38" s="882"/>
      <c r="BF38" s="882"/>
      <c r="BG38" s="882">
        <f>IF('Блок ввода'!E148=30,265,0)</f>
        <v>0</v>
      </c>
      <c r="BH38" s="882"/>
      <c r="BI38" s="883">
        <f>IF(Вт!$X$1=7,Вт!$X$3,0)</f>
        <v>0</v>
      </c>
      <c r="BJ38" s="884">
        <f>IF(Вт!$X$1=3,Вт!$X$3,0)</f>
        <v>0</v>
      </c>
      <c r="BK38" s="1004"/>
      <c r="BL38" s="1005"/>
      <c r="BM38" s="1005"/>
      <c r="BN38" s="1006"/>
      <c r="BO38" s="1007"/>
      <c r="BP38" s="889">
        <f>BQ38+P38*2.8+Q38*2.1+R38*3+S38*2.5+T38*3+U38*2.5+V38*2.1+W38*3+X38*3+BX38+AL38*'Блок ввода'!$D$9+'Раскладка продуктов'!AM38*'Блок ввода'!$D$8+'Раскладка продуктов'!AP38*'Блок ввода'!$D$11+'Раскладка продуктов'!AQ38*'Блок ввода'!$D$12+'Раскладка продуктов'!AX38*'Блок ввода'!$D$13+0.5*AD38+IF(BZ38&gt;0,50,BY38)+IF(BG38=265,198,0)</f>
        <v>399.75</v>
      </c>
      <c r="BQ38" s="890">
        <f>IF(BG38=265,47,'Блок ввода'!AG151)</f>
        <v>46</v>
      </c>
      <c r="BR38" s="766"/>
      <c r="BS38" s="764"/>
      <c r="BT38" s="762">
        <f>IF(OR('Блок ввода'!I148=17,'Блок ввода'!N148=9),IF('Блок ввода'!$A$34=3,BU38*15/100,BU38/5),0)</f>
        <v>0</v>
      </c>
      <c r="BU38" s="762">
        <f>IF('Блок ввода'!N148=9,150+IF('Блок ввода'!I148=17,200,0),IF('Блок ввода'!I148=17,200,0))</f>
        <v>0</v>
      </c>
      <c r="BV38" s="764"/>
      <c r="BW38" s="764"/>
      <c r="BX38" s="764">
        <f>IF(CA38&gt;0,'Раскладка продуктов'!AK38*'Блок ввода'!$D$5,AK38*'Блок ввода'!$D$4)</f>
        <v>303.75</v>
      </c>
      <c r="BY38" s="767">
        <f>N38+AN38*'Блок ввода'!$D$7+'Раскладка продуктов'!AO38*'Блок ввода'!$D$10</f>
        <v>17.8</v>
      </c>
      <c r="BZ38" s="762">
        <f>IF('Блок ввода'!E148&lt;4,1,IF('Блок ввода'!E148=9,1,IF('Блок ввода'!E148=10,1,IF('Блок ввода'!E148=11,1,IF('Блок ввода'!E148=5,1,IF('Блок ввода'!E148=6,1,IF('Блок ввода'!E148=7,1,0)))))))</f>
        <v>1</v>
      </c>
      <c r="CA38" s="762">
        <f>IF('Блок ввода'!S151=1,1,0)</f>
        <v>0</v>
      </c>
      <c r="CB38" s="762">
        <f>IF('Блок ввода'!A26=TRUE,ОКГ-N38*5-P38*5-AN38-AO38-AP38-AY38+IF(AND($N$7=1,N38=0),CF38,IF(N47=0,0,2.5-IF(N7=2,2.5,0))),ОКГ-N38*5-P38*5-AN38-AO38-AP38-AY38+IF(AND($N$7=1,N38=0),CF38,IF(N47=0,0,2.5-IF(N7=2,2.5,0))))</f>
        <v>395</v>
      </c>
      <c r="CC38" s="767"/>
      <c r="CD38" s="762">
        <f>SUM(O38:X38)*5+SUM(AK38:AP38)+IF(BG38=265,430,0)</f>
        <v>425</v>
      </c>
      <c r="CE38" s="764">
        <f>IF('Блок ввода'!I148=17,1,0)</f>
        <v>0</v>
      </c>
      <c r="CF38" s="474">
        <f>IF(AND($N$7=1,N38=0),5,0)</f>
        <v>0</v>
      </c>
      <c r="CG38" s="475"/>
      <c r="CH38" s="476"/>
      <c r="CI38" s="476"/>
      <c r="CJ38" s="476"/>
      <c r="CK38" s="476"/>
      <c r="CL38" s="476"/>
      <c r="CM38" s="476"/>
      <c r="CN38" s="39"/>
      <c r="CO38" s="39"/>
      <c r="CP38" s="39"/>
      <c r="CQ38" s="39"/>
      <c r="CR38" s="39"/>
      <c r="CS38" s="39"/>
      <c r="CT38" s="39"/>
      <c r="CU38" s="39"/>
      <c r="CV38" s="39"/>
      <c r="CW38" s="39"/>
    </row>
    <row r="39" spans="1:118" s="16" customFormat="1" ht="24" customHeight="1" x14ac:dyDescent="0.2">
      <c r="B39" s="1339"/>
      <c r="C39" s="1346"/>
      <c r="D39" s="1343"/>
      <c r="E39" s="1344"/>
      <c r="F39" s="1302"/>
      <c r="G39" s="1303"/>
      <c r="H39" s="1303"/>
      <c r="I39" s="1303"/>
      <c r="J39" s="1303"/>
      <c r="K39" s="891"/>
      <c r="L39" s="892"/>
      <c r="M39" s="892"/>
      <c r="N39" s="1186">
        <f>IF('Блок ввода'!E151=4,20,IF('Блок ввода'!E151=16,75,IF('Блок ввода'!E151=24,20,0)))</f>
        <v>0</v>
      </c>
      <c r="O39" s="894"/>
      <c r="P39" s="895"/>
      <c r="Q39" s="896"/>
      <c r="R39" s="892"/>
      <c r="S39" s="892"/>
      <c r="T39" s="892"/>
      <c r="U39" s="892"/>
      <c r="V39" s="892"/>
      <c r="W39" s="897"/>
      <c r="X39" s="894"/>
      <c r="Y39" s="896"/>
      <c r="Z39" s="892"/>
      <c r="AA39" s="892"/>
      <c r="AB39" s="892"/>
      <c r="AC39" s="897"/>
      <c r="AD39" s="898"/>
      <c r="AE39" s="892"/>
      <c r="AF39" s="899"/>
      <c r="AG39" s="896"/>
      <c r="AH39" s="892"/>
      <c r="AI39" s="892"/>
      <c r="AJ39" s="897"/>
      <c r="AK39" s="891"/>
      <c r="AL39" s="892"/>
      <c r="AM39" s="892"/>
      <c r="AN39" s="900"/>
      <c r="AO39" s="900"/>
      <c r="AP39" s="897"/>
      <c r="AQ39" s="898">
        <f>IF('Раскладка продуктов'!$BC$3=1,AO39*2,0)</f>
        <v>0</v>
      </c>
      <c r="AR39" s="901"/>
      <c r="AS39" s="892"/>
      <c r="AT39" s="892"/>
      <c r="AU39" s="892"/>
      <c r="AV39" s="892"/>
      <c r="AW39" s="892"/>
      <c r="AX39" s="892"/>
      <c r="AY39" s="902"/>
      <c r="AZ39" s="903"/>
      <c r="BA39" s="892"/>
      <c r="BB39" s="892"/>
      <c r="BC39" s="892"/>
      <c r="BD39" s="892"/>
      <c r="BE39" s="904">
        <f>IF('Блок ввода'!T151=2,15*1.4,0)</f>
        <v>0</v>
      </c>
      <c r="BF39" s="904"/>
      <c r="BG39" s="904"/>
      <c r="BH39" s="904"/>
      <c r="BI39" s="905"/>
      <c r="BJ39" s="906"/>
      <c r="BK39" s="907"/>
      <c r="BL39" s="900"/>
      <c r="BM39" s="900"/>
      <c r="BN39" s="893"/>
      <c r="BO39" s="908"/>
      <c r="BP39" s="909"/>
      <c r="BQ39" s="910"/>
      <c r="BR39" s="766"/>
      <c r="BS39" s="764"/>
      <c r="BT39" s="764"/>
      <c r="BU39" s="764"/>
      <c r="BV39" s="764"/>
      <c r="BW39" s="764"/>
      <c r="BX39" s="764"/>
      <c r="BY39" s="764">
        <f>N39+AN39*'Блок ввода'!D24+'Раскладка продуктов'!AO39*'Блок ввода'!D27</f>
        <v>0</v>
      </c>
      <c r="BZ39" s="765"/>
      <c r="CA39" s="765"/>
      <c r="CB39" s="765"/>
      <c r="CC39" s="764"/>
      <c r="CD39" s="765"/>
      <c r="CE39" s="764"/>
      <c r="CF39" s="474">
        <v>0</v>
      </c>
      <c r="CG39" s="475"/>
      <c r="CH39" s="476"/>
      <c r="CI39" s="476"/>
      <c r="CJ39" s="476"/>
      <c r="CK39" s="476"/>
      <c r="CL39" s="476"/>
      <c r="CM39" s="476"/>
      <c r="CN39" s="39"/>
      <c r="CO39" s="39"/>
      <c r="CP39" s="39"/>
      <c r="CQ39" s="39"/>
      <c r="CR39" s="39"/>
      <c r="CS39" s="39"/>
      <c r="CT39" s="39"/>
      <c r="CU39" s="39"/>
      <c r="CV39" s="39"/>
      <c r="CW39" s="39"/>
    </row>
    <row r="40" spans="1:118" s="16" customFormat="1" ht="24" customHeight="1" thickBot="1" x14ac:dyDescent="0.25">
      <c r="B40" s="1339"/>
      <c r="C40" s="1346"/>
      <c r="D40" s="1343"/>
      <c r="E40" s="1344"/>
      <c r="F40" s="1323"/>
      <c r="G40" s="1324"/>
      <c r="H40" s="1324"/>
      <c r="I40" s="1324"/>
      <c r="J40" s="1324"/>
      <c r="K40" s="911">
        <v>100</v>
      </c>
      <c r="L40" s="912">
        <v>150</v>
      </c>
      <c r="M40" s="919"/>
      <c r="N40" s="1187">
        <v>0</v>
      </c>
      <c r="O40" s="969"/>
      <c r="P40" s="895"/>
      <c r="Q40" s="896"/>
      <c r="R40" s="892"/>
      <c r="S40" s="892"/>
      <c r="T40" s="892"/>
      <c r="U40" s="892"/>
      <c r="V40" s="892"/>
      <c r="W40" s="897"/>
      <c r="X40" s="894"/>
      <c r="Y40" s="896"/>
      <c r="Z40" s="892"/>
      <c r="AA40" s="892"/>
      <c r="AB40" s="892"/>
      <c r="AC40" s="897"/>
      <c r="AD40" s="898"/>
      <c r="AE40" s="892"/>
      <c r="AF40" s="899"/>
      <c r="AG40" s="896">
        <f>IF(OR('Блок ввода'!T151&lt;=7,'Блок ввода'!T151=9),30-AG46/2-(BE39)/2.8,0)</f>
        <v>30</v>
      </c>
      <c r="AH40" s="903"/>
      <c r="AI40" s="892">
        <f>IF('Блок ввода'!T151=4,20,0)</f>
        <v>20</v>
      </c>
      <c r="AJ40" s="897"/>
      <c r="AK40" s="891"/>
      <c r="AL40" s="892"/>
      <c r="AM40" s="892"/>
      <c r="AN40" s="900"/>
      <c r="AO40" s="900"/>
      <c r="AP40" s="897"/>
      <c r="AQ40" s="917">
        <f>IF('Раскладка продуктов'!$BC$3=1,AO40*2,0)</f>
        <v>0</v>
      </c>
      <c r="AR40" s="918"/>
      <c r="AS40" s="919"/>
      <c r="AT40" s="919"/>
      <c r="AU40" s="919"/>
      <c r="AV40" s="919"/>
      <c r="AW40" s="919"/>
      <c r="AX40" s="920"/>
      <c r="AY40" s="921"/>
      <c r="AZ40" s="922"/>
      <c r="BA40" s="919"/>
      <c r="BB40" s="919"/>
      <c r="BC40" s="919">
        <v>1.5</v>
      </c>
      <c r="BD40" s="919"/>
      <c r="BE40" s="923"/>
      <c r="BF40" s="923"/>
      <c r="BG40" s="923"/>
      <c r="BH40" s="919">
        <f>IF('Блок ввода'!$B$223=1,O40/37.5/2,O40/37.5)</f>
        <v>0</v>
      </c>
      <c r="BI40" s="924"/>
      <c r="BJ40" s="925"/>
      <c r="BK40" s="948"/>
      <c r="BL40" s="942"/>
      <c r="BM40" s="942"/>
      <c r="BN40" s="915"/>
      <c r="BO40" s="949"/>
      <c r="BP40" s="909">
        <v>250</v>
      </c>
      <c r="BQ40" s="910"/>
      <c r="BR40" s="766"/>
      <c r="BS40" s="764"/>
      <c r="BT40" s="764"/>
      <c r="BU40" s="764"/>
      <c r="BV40" s="764"/>
      <c r="BW40" s="764"/>
      <c r="BX40" s="764"/>
      <c r="BY40" s="764">
        <f>N40+AN40*'Блок ввода'!D25+'Раскладка продуктов'!AO40*'Блок ввода'!D28</f>
        <v>0</v>
      </c>
      <c r="BZ40" s="765"/>
      <c r="CA40" s="765"/>
      <c r="CB40" s="765"/>
      <c r="CC40" s="764"/>
      <c r="CD40" s="765"/>
      <c r="CE40" s="764"/>
      <c r="CF40" s="475"/>
      <c r="CG40" s="475"/>
      <c r="CH40" s="476"/>
      <c r="CI40" s="476"/>
      <c r="CJ40" s="476"/>
      <c r="CK40" s="476"/>
      <c r="CL40" s="476"/>
      <c r="CM40" s="476"/>
      <c r="CN40" s="39"/>
      <c r="CO40" s="39"/>
      <c r="CP40" s="39"/>
      <c r="CQ40" s="39"/>
      <c r="CR40" s="39"/>
      <c r="CS40" s="39"/>
      <c r="CT40" s="39"/>
      <c r="CU40" s="39"/>
      <c r="CV40" s="39"/>
      <c r="CW40" s="39"/>
    </row>
    <row r="41" spans="1:118" s="16" customFormat="1" ht="24" customHeight="1" x14ac:dyDescent="0.2">
      <c r="B41" s="1339"/>
      <c r="C41" s="1346"/>
      <c r="D41" s="1379" t="str">
        <f>CONCATENATE("О б е д, ОКГ = ",CD44)</f>
        <v>О б е д, ОКГ = 820</v>
      </c>
      <c r="E41" s="483" t="s">
        <v>228</v>
      </c>
      <c r="F41" s="1332" t="str">
        <f>'Блок ввода'!G45</f>
        <v>Салат из свежих огурцов</v>
      </c>
      <c r="G41" s="1333"/>
      <c r="H41" s="1333"/>
      <c r="I41" s="1333"/>
      <c r="J41" s="1334"/>
      <c r="K41" s="869"/>
      <c r="L41" s="870"/>
      <c r="M41" s="870"/>
      <c r="N41" s="1188">
        <v>0</v>
      </c>
      <c r="O41" s="871"/>
      <c r="P41" s="871"/>
      <c r="Q41" s="874"/>
      <c r="R41" s="870">
        <f>IF('Блок ввода'!R154=2,5,IF('Блок ввода'!R154=12,5,0))</f>
        <v>0</v>
      </c>
      <c r="S41" s="870"/>
      <c r="T41" s="870"/>
      <c r="U41" s="870"/>
      <c r="V41" s="870"/>
      <c r="W41" s="876"/>
      <c r="X41" s="871"/>
      <c r="Y41" s="874"/>
      <c r="Z41" s="870"/>
      <c r="AA41" s="870"/>
      <c r="AB41" s="870">
        <f>IF('Блок ввода'!E43=16,30,0)</f>
        <v>0</v>
      </c>
      <c r="AC41" s="876"/>
      <c r="AD41" s="877"/>
      <c r="AE41" s="870"/>
      <c r="AF41" s="873">
        <f>30-AF47-AF38</f>
        <v>24</v>
      </c>
      <c r="AG41" s="874"/>
      <c r="AH41" s="870"/>
      <c r="AI41" s="870"/>
      <c r="AJ41" s="876"/>
      <c r="AK41" s="869">
        <f>IF('Блок ввода'!E43=17,0,150-P41*5-R41*5-AL41-AM41-AN41-AO41-AP41-AY41)</f>
        <v>0</v>
      </c>
      <c r="AL41" s="870">
        <f>IF('Блок ввода'!R154=2,20,IF('Блок ввода'!R154=5,150-AN41-AO41-AY41,IF('Блок ввода'!R154=8,20,0)))</f>
        <v>0</v>
      </c>
      <c r="AM41" s="870">
        <f>IF(OR('Блок ввода'!R154=1,'Блок ввода'!R154=16),40,IF('Блок ввода'!R154=2,20,IF('Блок ввода'!R154=6,150-AN41-AO41-AY41,IF('Блок ввода'!R154=7,150-AN41-AO41-AY41,IF('Блок ввода'!R154=17,(150-AO41-AN41)*375/500,IF('Блок ввода'!R154&gt;10,150-R41*5-AN41-AO41-AP41-AY41,0))))))</f>
        <v>0</v>
      </c>
      <c r="AN41" s="886">
        <f>IF('Блок ввода'!R154=20,150-AO41,10)</f>
        <v>10</v>
      </c>
      <c r="AO41" s="878">
        <v>10</v>
      </c>
      <c r="AP41" s="876">
        <f>IF(OR('Блок ввода'!R154&lt;3,'Блок ввода'!R154=16),25,IF('Блок ввода'!R154=4,45,IF(OR('Блок ввода'!R154=9,'Блок ввода'!R154=15,'Блок ввода'!R154=18,'Блок ввода'!R154=19,'Блок ввода'!R154=21),150-AN41-AO41-AY41,IF('Блок ввода'!R154=10,150-AN41-AO41-AY41,IF('Блок ввода'!R154=12,55,IF('Блок ввода'!R154=13,40,0))))))</f>
        <v>130</v>
      </c>
      <c r="AQ41" s="877">
        <f>IF(AND('Раскладка продуктов'!$BC$3=1,'Блок ввода'!Z35=1),AO41*2,0)</f>
        <v>0</v>
      </c>
      <c r="AR41" s="879">
        <f>IF(AND('Раскладка продуктов'!$BC$3=2,'Блок ввода'!$Z$35=1),AO41/10,0)</f>
        <v>0</v>
      </c>
      <c r="AS41" s="870"/>
      <c r="AT41" s="870"/>
      <c r="AU41" s="870"/>
      <c r="AV41" s="870"/>
      <c r="AW41" s="870"/>
      <c r="AX41" s="870"/>
      <c r="AY41" s="881"/>
      <c r="AZ41" s="875"/>
      <c r="BA41" s="870"/>
      <c r="BB41" s="870"/>
      <c r="BC41" s="870"/>
      <c r="BD41" s="870"/>
      <c r="BE41" s="882"/>
      <c r="BF41" s="882"/>
      <c r="BG41" s="882"/>
      <c r="BH41" s="882"/>
      <c r="BI41" s="883"/>
      <c r="BJ41" s="884"/>
      <c r="BK41" s="885"/>
      <c r="BL41" s="886"/>
      <c r="BM41" s="886"/>
      <c r="BN41" s="887"/>
      <c r="BO41" s="888"/>
      <c r="BP41" s="931">
        <f>IF('Блок ввода'!E43=17,('Раскладка продуктов'!AM41+'Раскладка продуктов'!AF41+'Раскладка продуктов'!AN41/2+'Раскладка продуктов'!AO41*0.84),(AK41*'Блок ввода'!$D$4+AL41*'Блок ввода'!$D$9+AM41*'Блок ввода'!$D$8+AN41/2+AO41*0.84+AP41/10*9+AX41/10*8+AF41))</f>
        <v>154.4</v>
      </c>
      <c r="BQ41" s="890"/>
      <c r="BR41" s="766"/>
      <c r="BS41" s="764"/>
      <c r="BT41" s="764"/>
      <c r="BU41" s="764"/>
      <c r="BV41" s="764"/>
      <c r="BW41" s="764"/>
      <c r="BX41" s="764"/>
      <c r="BY41" s="764"/>
      <c r="BZ41" s="765"/>
      <c r="CA41" s="765"/>
      <c r="CB41" s="765">
        <f>SUM(AK41:AP41)+R41*5</f>
        <v>150</v>
      </c>
      <c r="CC41" s="764"/>
      <c r="CD41" s="765"/>
      <c r="CE41" s="764"/>
      <c r="CF41" s="475"/>
      <c r="CG41" s="475"/>
      <c r="CH41" s="476"/>
      <c r="CI41" s="476"/>
      <c r="CJ41" s="476"/>
      <c r="CK41" s="476"/>
      <c r="CL41" s="476"/>
      <c r="CM41" s="476"/>
      <c r="CN41" s="39"/>
      <c r="CO41" s="39"/>
      <c r="CP41" s="39"/>
      <c r="CQ41" s="39"/>
      <c r="CR41" s="39"/>
      <c r="CS41" s="39"/>
      <c r="CT41" s="39"/>
      <c r="CU41" s="39"/>
      <c r="CV41" s="39"/>
      <c r="CW41" s="39"/>
    </row>
    <row r="42" spans="1:118" s="16" customFormat="1" ht="24" customHeight="1" x14ac:dyDescent="0.2">
      <c r="B42" s="1339"/>
      <c r="C42" s="1346"/>
      <c r="D42" s="1380"/>
      <c r="E42" s="484" t="s">
        <v>229</v>
      </c>
      <c r="F42" s="1319" t="str">
        <f>'Блок ввода'!G79</f>
        <v>Суп молочный с макар.изделиями</v>
      </c>
      <c r="G42" s="1320"/>
      <c r="H42" s="1320"/>
      <c r="I42" s="1320"/>
      <c r="J42" s="1348"/>
      <c r="K42" s="891"/>
      <c r="L42" s="892"/>
      <c r="M42" s="892"/>
      <c r="N42" s="1189">
        <v>2</v>
      </c>
      <c r="O42" s="894"/>
      <c r="P42" s="894">
        <f>IF('Блок ввода'!R155=14,20,IF('Блок ввода'!R155=22,55-(AN42+AO42)/5,0))</f>
        <v>0</v>
      </c>
      <c r="Q42" s="896">
        <f>IF('Блок ввода'!R155=15,20,IF('Блок ввода'!R155=23,60-N42-(AN42+AO42)/5-AQ42-AR42*2,0))</f>
        <v>0</v>
      </c>
      <c r="R42" s="892">
        <f>IF('Блок ввода'!R155=8,20,0)</f>
        <v>0</v>
      </c>
      <c r="S42" s="892">
        <f>IF('Блок ввода'!R155=16,20,0)</f>
        <v>0</v>
      </c>
      <c r="T42" s="892">
        <f>IF('Блок ввода'!R155=17,20,0)</f>
        <v>0</v>
      </c>
      <c r="U42" s="892">
        <f>IF('Блок ввода'!R155=4,15,IF('Блок ввода'!R155=19,30,0))</f>
        <v>0</v>
      </c>
      <c r="V42" s="892">
        <f>IF('Блок ввода'!R155=3,20,IF('Блок ввода'!R155=12,25,0))</f>
        <v>0</v>
      </c>
      <c r="W42" s="897"/>
      <c r="X42" s="894">
        <f>IF('Блок ввода'!R155=13,25,IF('Блок ввода'!R155=21,60-(AN42+AO42)/5-AR42*2,0))</f>
        <v>56</v>
      </c>
      <c r="Y42" s="896"/>
      <c r="Z42" s="892"/>
      <c r="AA42" s="892"/>
      <c r="AB42" s="892"/>
      <c r="AC42" s="899">
        <f>IF('Блок ввода'!E76=18,12,0)</f>
        <v>0</v>
      </c>
      <c r="AD42" s="898"/>
      <c r="AE42" s="892"/>
      <c r="AF42" s="899"/>
      <c r="AG42" s="896"/>
      <c r="AH42" s="892"/>
      <c r="AI42" s="892"/>
      <c r="AJ42" s="897"/>
      <c r="AK42" s="891">
        <f>IF('Блок ввода'!E76=24,0,ОКГП-(SUM(P42:X42))*5-AL42-AM42-AN42-AO42-AP42-AY42)</f>
        <v>-25</v>
      </c>
      <c r="AL42" s="892">
        <f>IF('Блок ввода'!R155&lt;3,140,IF('Блок ввода'!R155=3,90,IF('Блок ввода'!R155=4,115,IF('Блок ввода'!R155=5,80,IF('Блок ввода'!R155=9,90,0)))))</f>
        <v>0</v>
      </c>
      <c r="AM42" s="892">
        <f>IF('Блок ввода'!R155=5,60,IF('Блок ввода'!R155=6,60,IF('Блок ввода'!R155=20,120,0)))</f>
        <v>0</v>
      </c>
      <c r="AN42" s="932">
        <v>10</v>
      </c>
      <c r="AO42" s="932">
        <v>10</v>
      </c>
      <c r="AP42" s="897">
        <f>IF('Блок ввода'!R155=6,80,IF('Блок ввода'!R155=7,50,IF('Блок ввода'!R155=8,50,IF('Блок ввода'!R155=9,50,IF('Блок ввода'!R155=11,105,IF('Блок ввода'!R155=19,5,IF('Блок ввода'!R155=20,70,0)))))))</f>
        <v>0</v>
      </c>
      <c r="AQ42" s="898">
        <f>IF(AND('Раскладка продуктов'!$BC$3=1,'Блок ввода'!Z35=1),AO42*2,0)</f>
        <v>0</v>
      </c>
      <c r="AR42" s="901">
        <f>IF(AND('Раскладка продуктов'!$BC$3=2,'Блок ввода'!$Z$35=1),AO42/10,0)</f>
        <v>0</v>
      </c>
      <c r="AS42" s="892"/>
      <c r="AT42" s="892"/>
      <c r="AU42" s="892"/>
      <c r="AV42" s="892"/>
      <c r="AW42" s="892"/>
      <c r="AX42" s="903">
        <f>IF('Блок ввода'!R155=20,0.5,0)</f>
        <v>0</v>
      </c>
      <c r="AY42" s="902"/>
      <c r="AZ42" s="903">
        <f>IF('Блок ввода'!$A$34&lt;&gt;2,0,IF(OR('Блок ввода'!E76=21,'Блок ввода'!E76=22,'Блок ввода'!E76=23),('Блок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280</v>
      </c>
      <c r="BA42" s="892">
        <f>IF('Блок ввода'!$A$34=2,0,BT42)</f>
        <v>0</v>
      </c>
      <c r="BB42" s="892"/>
      <c r="BC42" s="892"/>
      <c r="BD42" s="892"/>
      <c r="BE42" s="904"/>
      <c r="BF42" s="904">
        <f>IF('Блок ввода'!E76=24,(300-'Раскладка продуктов'!N42*5-'Раскладка продуктов'!AN42-'Раскладка продуктов'!AO42)*375/500,0)</f>
        <v>0</v>
      </c>
      <c r="BG42" s="904"/>
      <c r="BH42" s="904"/>
      <c r="BI42" s="905"/>
      <c r="BJ42" s="906"/>
      <c r="BK42" s="907"/>
      <c r="BL42" s="900"/>
      <c r="BM42" s="900"/>
      <c r="BN42" s="893"/>
      <c r="BO42" s="908"/>
      <c r="BP42" s="909">
        <f>IF($BP$1=1,550,500)</f>
        <v>550</v>
      </c>
      <c r="BQ42" s="910"/>
      <c r="BR42" s="766"/>
      <c r="BS42" s="764">
        <f>IF('Блок ввода'!R155&lt;=23,IF('Блок ввода'!R155&gt;20,IF(BA42&gt;0,0,IF('Блок ввода'!$A$34=1,350/5,IF(AZ38&gt;0,350-AZ38,350-AZ38))),0),0)</f>
        <v>300</v>
      </c>
      <c r="BT42" s="764">
        <f>IF('Блок ввода'!E76&gt;20,IF('Блок ввода'!A34=3,BU42*15/100,BU42/5),0)</f>
        <v>70</v>
      </c>
      <c r="BU42" s="764">
        <f>IF(OR('Блок ввода'!E76=21,'Блок ввода'!E76=22,'Блок ввода'!E76=23),('Блок ввода'!$L$34-$AZ$34-$AZ$47-$AZ$60-$AZ$73-$AZ$103-$AZ$116-$AZ$129-$AZ$25-$AZ$38-$AZ$51-$AZ$64-$AZ$94-$AZ$107-$AZ$120)/2,0)</f>
        <v>350</v>
      </c>
      <c r="BV42" s="764"/>
      <c r="BW42" s="764"/>
      <c r="BX42" s="764"/>
      <c r="BY42" s="764"/>
      <c r="BZ42" s="765"/>
      <c r="CA42" s="765"/>
      <c r="CB42" s="765">
        <f>SUM(N42:X42)*5+SUM(AK42:AP42)+BF42*500/375</f>
        <v>285</v>
      </c>
      <c r="CC42" s="764"/>
      <c r="CD42" s="765"/>
      <c r="CE42" s="764"/>
      <c r="CF42" s="475"/>
      <c r="CG42" s="475"/>
      <c r="CH42" s="476"/>
      <c r="CI42" s="476"/>
      <c r="CJ42" s="476"/>
      <c r="CK42" s="476"/>
      <c r="CL42" s="476"/>
      <c r="CM42" s="476"/>
      <c r="CN42" s="39"/>
      <c r="CO42" s="39"/>
      <c r="CP42" s="39"/>
      <c r="CQ42" s="39"/>
      <c r="CR42" s="39"/>
      <c r="CS42" s="39"/>
      <c r="CT42" s="39"/>
      <c r="CU42" s="39"/>
      <c r="CV42" s="39"/>
      <c r="CW42" s="39"/>
    </row>
    <row r="43" spans="1:118" s="16" customFormat="1" ht="24" customHeight="1" x14ac:dyDescent="0.2">
      <c r="B43" s="1339"/>
      <c r="C43" s="1346"/>
      <c r="D43" s="1380"/>
      <c r="E43" s="484" t="s">
        <v>229</v>
      </c>
      <c r="F43" s="1319" t="str">
        <f>'Блок ввода'!G83</f>
        <v>Свекольник</v>
      </c>
      <c r="G43" s="1320"/>
      <c r="H43" s="1320"/>
      <c r="I43" s="1320"/>
      <c r="J43" s="1348"/>
      <c r="K43" s="891"/>
      <c r="L43" s="892"/>
      <c r="M43" s="892"/>
      <c r="N43" s="1189">
        <v>2</v>
      </c>
      <c r="O43" s="894"/>
      <c r="P43" s="894">
        <f>IF('Блок ввода'!R156=14,20,IF('Блок ввода'!R156=22,55-N43-(AN43+AO43)/5,0))</f>
        <v>0</v>
      </c>
      <c r="Q43" s="896">
        <f>IF('Блок ввода'!R156=15,20,IF('Блок ввода'!R156=23,60-N43-(AN43+AO43)/5-AQ43-AR43*2,0))</f>
        <v>0</v>
      </c>
      <c r="R43" s="892">
        <f>IF('Блок ввода'!R156=8,20,0)</f>
        <v>0</v>
      </c>
      <c r="S43" s="892">
        <f>IF('Блок ввода'!R156=16,20,0)</f>
        <v>0</v>
      </c>
      <c r="T43" s="892">
        <f>IF('Блок ввода'!R156=17,20,0)</f>
        <v>0</v>
      </c>
      <c r="U43" s="892">
        <f>IF('Блок ввода'!R156=4,15,IF('Блок ввода'!R156=19,30,0))</f>
        <v>0</v>
      </c>
      <c r="V43" s="892">
        <f>IF('Блок ввода'!R156=3,20,IF('Блок ввода'!R156=12,25,0))</f>
        <v>0</v>
      </c>
      <c r="W43" s="897"/>
      <c r="X43" s="894">
        <f>IF('Блок ввода'!R156=13,25,IF('Блок ввода'!R156=21,60-(AN43+AO43)/5-AQ43-AR43*2,0))</f>
        <v>0</v>
      </c>
      <c r="Y43" s="896"/>
      <c r="Z43" s="892"/>
      <c r="AA43" s="892"/>
      <c r="AB43" s="933"/>
      <c r="AC43" s="899">
        <f>IF('Блок ввода'!E80=18,12,0)</f>
        <v>0</v>
      </c>
      <c r="AD43" s="898"/>
      <c r="AE43" s="892">
        <v>4</v>
      </c>
      <c r="AF43" s="899"/>
      <c r="AG43" s="896"/>
      <c r="AH43" s="892"/>
      <c r="AI43" s="892"/>
      <c r="AJ43" s="897"/>
      <c r="AK43" s="891">
        <f>IF('Блок ввода'!E80=24,0,ОКГП-(SUM(P43:X43))*5-AL43-AM43-AN43-AO43-AP43-AY43)</f>
        <v>65</v>
      </c>
      <c r="AL43" s="892">
        <f>IF('Блок ввода'!R156&lt;3,140,IF('Блок ввода'!R156=3,90,IF('Блок ввода'!R156=4,115,IF('Блок ввода'!R156=5,80,IF('Блок ввода'!R156=9,90,0)))))</f>
        <v>0</v>
      </c>
      <c r="AM43" s="892">
        <f>IF('Блок ввода'!R156=5,60,IF('Блок ввода'!R156=6,60,IF('Блок ввода'!R156=20,120,0)))</f>
        <v>120</v>
      </c>
      <c r="AN43" s="932">
        <v>10</v>
      </c>
      <c r="AO43" s="932">
        <v>10</v>
      </c>
      <c r="AP43" s="897">
        <f>IF('Блок ввода'!R156=6,80,IF('Блок ввода'!R156=7,50,IF('Блок ввода'!R156=8,50,IF('Блок ввода'!R156=9,50,IF('Блок ввода'!R156=11,105,IF('Блок ввода'!R156=19,5,IF('Блок ввода'!R156=20,70,0)))))))</f>
        <v>70</v>
      </c>
      <c r="AQ43" s="898">
        <f>IF(AND('Раскладка продуктов'!$BC$3=1,'Блок ввода'!Z35=1),AO43*2,0)</f>
        <v>0</v>
      </c>
      <c r="AR43" s="901">
        <f>IF(AND('Раскладка продуктов'!$BC$3=2,'Блок ввода'!$Z$35=1),AO43/10,0)</f>
        <v>0</v>
      </c>
      <c r="AS43" s="892"/>
      <c r="AT43" s="892"/>
      <c r="AU43" s="892"/>
      <c r="AV43" s="892"/>
      <c r="AW43" s="892"/>
      <c r="AX43" s="903">
        <f>IF('Блок ввода'!R156=20,0.5,0)</f>
        <v>0.5</v>
      </c>
      <c r="AY43" s="902"/>
      <c r="AZ43" s="903">
        <f>IF('Блок ввода'!$A$34&lt;&gt;2,0,IF(OR('Блок ввода'!E80=21,'Блок ввода'!E80=22,'Блок ввода'!E80=23),('Блок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0</v>
      </c>
      <c r="BA43" s="892">
        <f>IF('Блок ввода'!$A$34=2,0,BT43)</f>
        <v>0</v>
      </c>
      <c r="BB43" s="892"/>
      <c r="BC43" s="892"/>
      <c r="BD43" s="892"/>
      <c r="BE43" s="904"/>
      <c r="BF43" s="904">
        <f>IF('Блок ввода'!E80=24,(300-'Раскладка продуктов'!N43*5-'Раскладка продуктов'!AN43-'Раскладка продуктов'!AO43)*375/500,0)</f>
        <v>0</v>
      </c>
      <c r="BG43" s="904"/>
      <c r="BH43" s="904"/>
      <c r="BI43" s="905"/>
      <c r="BJ43" s="906"/>
      <c r="BK43" s="907"/>
      <c r="BL43" s="900"/>
      <c r="BM43" s="900"/>
      <c r="BN43" s="893"/>
      <c r="BO43" s="908"/>
      <c r="BP43" s="909">
        <f>IF($BP$1=1,550,500)</f>
        <v>550</v>
      </c>
      <c r="BQ43" s="934"/>
      <c r="BR43" s="766"/>
      <c r="BS43" s="764"/>
      <c r="BT43" s="764">
        <f>IF('Блок ввода'!E80&gt;20,IF('Блок ввода'!A34=3,BU43*15/100,BU43/5),0)</f>
        <v>0</v>
      </c>
      <c r="BU43" s="764">
        <f>IF(OR('Блок ввода'!E80=21,'Блок ввода'!E80=22,'Блок ввода'!E80=23),('Блок ввода'!$L$34-$AZ$34-$AZ$47-$AZ$60-$AZ$73-$AZ$103-$AZ$116-$AZ$129-$AZ$25-$AZ$38-$AZ$51-$AZ$64-$AZ$94-$AZ$107-$AZ$120)/2,0)</f>
        <v>0</v>
      </c>
      <c r="BV43" s="764"/>
      <c r="BW43" s="764"/>
      <c r="BX43" s="764"/>
      <c r="BY43" s="764"/>
      <c r="BZ43" s="765"/>
      <c r="CA43" s="765"/>
      <c r="CB43" s="765">
        <f>SUM(N43:X43)*5+SUM(AK43:AP43)+BF43*500/375</f>
        <v>285</v>
      </c>
      <c r="CC43" s="764"/>
      <c r="CD43" s="765"/>
      <c r="CE43" s="764"/>
      <c r="CF43" s="475"/>
      <c r="CG43" s="475"/>
      <c r="CH43" s="476"/>
      <c r="CI43" s="476"/>
      <c r="CJ43" s="476"/>
      <c r="CK43" s="476"/>
      <c r="CL43" s="476"/>
      <c r="CM43" s="476"/>
      <c r="CN43" s="39"/>
      <c r="CO43" s="39"/>
      <c r="CP43" s="39"/>
      <c r="CQ43" s="39"/>
      <c r="CR43" s="39"/>
      <c r="CS43" s="39"/>
      <c r="CT43" s="39"/>
      <c r="CU43" s="39"/>
      <c r="CV43" s="39"/>
      <c r="CW43" s="39"/>
    </row>
    <row r="44" spans="1:118" s="16" customFormat="1" ht="24" customHeight="1" x14ac:dyDescent="0.2">
      <c r="B44" s="1339"/>
      <c r="C44" s="1346"/>
      <c r="D44" s="1380"/>
      <c r="E44" s="484" t="s">
        <v>230</v>
      </c>
      <c r="F44" s="1319" t="str">
        <f>CONCATENATE('Блок ввода'!Y158,'Блок ввода'!AA158)</f>
        <v xml:space="preserve">Азу  с кашей ячневой рас,  </v>
      </c>
      <c r="G44" s="1320"/>
      <c r="H44" s="1320"/>
      <c r="I44" s="1320"/>
      <c r="J44" s="1348"/>
      <c r="K44" s="891"/>
      <c r="L44" s="892"/>
      <c r="M44" s="892"/>
      <c r="N44" s="1189">
        <v>2</v>
      </c>
      <c r="O44" s="894">
        <f>IF('Блок ввода'!R157=4,20,IF('Блок ввода'!R157=16,75,IF('Блок ввода'!R157=24,20,0)))</f>
        <v>0</v>
      </c>
      <c r="P44" s="894">
        <f>IF('Блок ввода'!R157=8,(ОКГВ-AN44-AO44-AY44)/5,IF('Блок ввода'!R157=12,16,IF('Блок ввода'!S157=7,(ОКГВ-AN44-AO44-AP44-AY44)/5,0)))</f>
        <v>0</v>
      </c>
      <c r="Q44" s="891">
        <f>IF('Блок ввода'!S157=8,CB44/5,0)</f>
        <v>0</v>
      </c>
      <c r="R44" s="892">
        <f>IF('Блок ввода'!S157=9,CB44/5,0)</f>
        <v>0</v>
      </c>
      <c r="S44" s="892">
        <f>IF('Блок ввода'!S157=11,CB44/5,0)</f>
        <v>0</v>
      </c>
      <c r="T44" s="892">
        <f>IF('Блок ввода'!S157=12,CB44/5,0)</f>
        <v>67</v>
      </c>
      <c r="U44" s="892">
        <f>IF('Блок ввода'!S157=10,CB44/5,IF('Блок ввода'!S157=16,CB44/5-V44,0))</f>
        <v>0</v>
      </c>
      <c r="V44" s="892">
        <f>IF('Блок ввода'!S157=14,CB44/5,IF('Блок ввода'!S157=16,40,0))</f>
        <v>0</v>
      </c>
      <c r="W44" s="899">
        <f>IF('Блок ввода'!S157=13,CB44/5,0)</f>
        <v>0</v>
      </c>
      <c r="X44" s="894">
        <f>IF('Блок ввода'!R157=14,CB44/5,IF('Блок ввода'!S157=15,CB44/5,0))</f>
        <v>0</v>
      </c>
      <c r="Y44" s="896">
        <f>IF('Блок ввода'!R157&lt;19,BS1,0)</f>
        <v>150</v>
      </c>
      <c r="Z44" s="892">
        <f>IF('Блок ввода'!R157=19,75,0)</f>
        <v>0</v>
      </c>
      <c r="AA44" s="892"/>
      <c r="AB44" s="892">
        <f>IF('Блок ввода'!R157&gt;20,120-AB41,0)</f>
        <v>0</v>
      </c>
      <c r="AC44" s="897">
        <f>IF('Блок ввода'!R157=20,96,0)</f>
        <v>0</v>
      </c>
      <c r="AD44" s="898"/>
      <c r="AE44" s="892">
        <v>4</v>
      </c>
      <c r="AF44" s="899"/>
      <c r="AG44" s="896"/>
      <c r="AH44" s="892"/>
      <c r="AI44" s="892"/>
      <c r="AJ44" s="897"/>
      <c r="AK44" s="891">
        <f>IF('Блок ввода'!R157=7,ОКГВ-AL44-AN44-AO44-AY44,IF('Блок ввода'!R157=15,ОКГВ-AN44-AO44-AY44,IF('Блок ввода'!S157&lt;5,ОКГВ-P44*5-AN44-AO44-AP44-AY44,)))</f>
        <v>0</v>
      </c>
      <c r="AL44" s="892">
        <f>IF('Блок ввода'!R157=7,200,IF('Блок ввода'!R157=13,400-N44*5-AN44-AO44-AY44,IF('Блок ввода'!S157=5,CB44,0)))</f>
        <v>0</v>
      </c>
      <c r="AM44" s="892"/>
      <c r="AN44" s="932">
        <v>10</v>
      </c>
      <c r="AO44" s="932">
        <v>10</v>
      </c>
      <c r="AP44" s="897">
        <f>IF('Блок ввода'!R157=6,20,0)</f>
        <v>20</v>
      </c>
      <c r="AQ44" s="898">
        <f>IF(AND('Раскладка продуктов'!$BC$3=1,'Блок ввода'!Z35=1),AO44*2,0)</f>
        <v>0</v>
      </c>
      <c r="AR44" s="901">
        <f>IF(AND('Раскладка продуктов'!$BC$3=2,'Блок ввода'!$Z$35=1),AO44/10,0)</f>
        <v>0</v>
      </c>
      <c r="AS44" s="892"/>
      <c r="AT44" s="892"/>
      <c r="AU44" s="892"/>
      <c r="AV44" s="892"/>
      <c r="AW44" s="892"/>
      <c r="AX44" s="892"/>
      <c r="AY44" s="902"/>
      <c r="AZ44" s="903"/>
      <c r="BA44" s="892"/>
      <c r="BB44" s="892"/>
      <c r="BC44" s="892"/>
      <c r="BD44" s="892"/>
      <c r="BE44" s="904"/>
      <c r="BF44" s="904"/>
      <c r="BG44" s="904"/>
      <c r="BH44" s="904"/>
      <c r="BI44" s="905"/>
      <c r="BJ44" s="906"/>
      <c r="BK44" s="907"/>
      <c r="BL44" s="900"/>
      <c r="BM44" s="900"/>
      <c r="BN44" s="893"/>
      <c r="BO44" s="908"/>
      <c r="BP44" s="909">
        <f>BQ44+P44*2.8+Q44*2.1+R44*3+S44*3+T44*3+U44*2.5+V44*2.1+W44*3+X44*3+BX44+AL44*'Блок ввода'!$D$9+'Раскладка продуктов'!AM44*'Блок ввода'!$D$8+'Раскладка продуктов'!AP44*'Блок ввода'!$D$11+'Раскладка продуктов'!AQ44*'Блок ввода'!$D$12+'Раскладка продуктов'!AX44*'Блок ввода'!$D$13+AD44*0.5+IF(BZ44&gt;0,50,BY44)</f>
        <v>316</v>
      </c>
      <c r="BQ44" s="934">
        <f>'Блок ввода'!AG157</f>
        <v>47</v>
      </c>
      <c r="BR44" s="766"/>
      <c r="BS44" s="764"/>
      <c r="BT44" s="764"/>
      <c r="BU44" s="764"/>
      <c r="BV44" s="764"/>
      <c r="BW44" s="764"/>
      <c r="BX44" s="764">
        <f>IF(CA44&gt;0,'Раскладка продуктов'!AK44*'Блок ввода'!$D$5,AK44*'Блок ввода'!$D$4)</f>
        <v>0</v>
      </c>
      <c r="BY44" s="764">
        <f>N44+AN44*'Блок ввода'!$D$7+'Раскладка продуктов'!AO44*'Блок ввода'!$D$10</f>
        <v>17.8</v>
      </c>
      <c r="BZ44" s="765">
        <f>IF('Блок ввода'!R157&lt;4,1,IF('Блок ввода'!R157=9,1,IF('Блок ввода'!R157=10,1,IF('Блок ввода'!R157=11,1,IF('Блок ввода'!R157=5,1,IF('Блок ввода'!R157=6,1,IF('Блок ввода'!R157=7,1,0)))))))</f>
        <v>1</v>
      </c>
      <c r="CA44" s="765">
        <f>IF('Блок ввода'!S157=1,1,0)</f>
        <v>0</v>
      </c>
      <c r="CB44" s="765">
        <f>ОКГВ-P44*5-AN44-AO44-AP44-AY44</f>
        <v>335</v>
      </c>
      <c r="CC44" s="765">
        <f>SUM(N44:X44)*5+SUM(AK44:AP44)</f>
        <v>385</v>
      </c>
      <c r="CD44" s="765">
        <f>(CB42+CB43+CC44+CC45)/2+CB41</f>
        <v>820</v>
      </c>
      <c r="CE44" s="764"/>
      <c r="CF44" s="475"/>
      <c r="CG44" s="475"/>
      <c r="CH44" s="476"/>
      <c r="CI44" s="476"/>
      <c r="CJ44" s="476"/>
      <c r="CK44" s="476"/>
      <c r="CL44" s="476"/>
      <c r="CM44" s="476"/>
      <c r="CN44" s="39"/>
      <c r="CO44" s="39"/>
      <c r="CP44" s="39"/>
      <c r="CQ44" s="39"/>
      <c r="CR44" s="39"/>
      <c r="CS44" s="39"/>
      <c r="CT44" s="39"/>
      <c r="CU44" s="39"/>
      <c r="CV44" s="39"/>
      <c r="CW44" s="39"/>
    </row>
    <row r="45" spans="1:118" s="16" customFormat="1" ht="24" customHeight="1" x14ac:dyDescent="0.2">
      <c r="B45" s="1339"/>
      <c r="C45" s="1346"/>
      <c r="D45" s="1380"/>
      <c r="E45" s="484" t="s">
        <v>230</v>
      </c>
      <c r="F45" s="1319" t="str">
        <f>CONCATENATE('Блок ввода'!Y163,'Блок ввода'!AA163)</f>
        <v xml:space="preserve">Мясо отвар. с соусом   с  гороховым пюре,  </v>
      </c>
      <c r="G45" s="1320"/>
      <c r="H45" s="1320"/>
      <c r="I45" s="1320"/>
      <c r="J45" s="1348"/>
      <c r="K45" s="891"/>
      <c r="L45" s="892"/>
      <c r="M45" s="892"/>
      <c r="N45" s="1189">
        <v>2</v>
      </c>
      <c r="O45" s="894">
        <f>IF('Блок ввода'!R158=4,20,IF('Блок ввода'!R158=16,75,IF('Блок ввода'!R158=24,20,0)))</f>
        <v>0</v>
      </c>
      <c r="P45" s="894">
        <f>IF('Блок ввода'!R158=8,(ОКГВ-AN45-AO45-AY45)/5,IF('Блок ввода'!R158=12,16,IF('Блок ввода'!S158=7,(ОКГВ-AN45-AO45-AP45-AY45)/5,0)))</f>
        <v>0</v>
      </c>
      <c r="Q45" s="891">
        <f>IF('Блок ввода'!S158=8,CB45/5,0)</f>
        <v>0</v>
      </c>
      <c r="R45" s="892">
        <f>IF('Блок ввода'!S158=9,CB45/5,0)</f>
        <v>0</v>
      </c>
      <c r="S45" s="892">
        <f>IF('Блок ввода'!S158=11,CB45/5,0)</f>
        <v>0</v>
      </c>
      <c r="T45" s="892">
        <f>IF('Блок ввода'!S158=12,CB45/5,0)</f>
        <v>0</v>
      </c>
      <c r="U45" s="892">
        <f>IF('Блок ввода'!S158=10,CB45/5,IF('Блок ввода'!S158=16,CB45/5-V45,0))</f>
        <v>0</v>
      </c>
      <c r="V45" s="892">
        <f>IF('Блок ввода'!S158=14,CB45/5,IF('Блок ввода'!S158=16,40,0))</f>
        <v>71</v>
      </c>
      <c r="W45" s="899">
        <f>IF('Блок ввода'!S158=13,CB45/5,0)</f>
        <v>0</v>
      </c>
      <c r="X45" s="894">
        <f>IF('Блок ввода'!R158=14,CB45/5,IF('Блок ввода'!S158=15,CB45/5,0))</f>
        <v>0</v>
      </c>
      <c r="Y45" s="896">
        <f>IF('Блок ввода'!R158&lt;19,BS1,0)</f>
        <v>150</v>
      </c>
      <c r="Z45" s="892">
        <f>IF('Блок ввода'!R158=19,75,0)</f>
        <v>0</v>
      </c>
      <c r="AA45" s="892"/>
      <c r="AB45" s="892">
        <f>IF('Блок ввода'!R158&gt;20,120-AB41,0)</f>
        <v>0</v>
      </c>
      <c r="AC45" s="897">
        <f>IF('Блок ввода'!R158=20,96,0)</f>
        <v>0</v>
      </c>
      <c r="AD45" s="898"/>
      <c r="AE45" s="892"/>
      <c r="AF45" s="899"/>
      <c r="AG45" s="896"/>
      <c r="AH45" s="892"/>
      <c r="AI45" s="892"/>
      <c r="AJ45" s="897"/>
      <c r="AK45" s="891">
        <f>IF('Блок ввода'!R158=7,ОКГВ-AL45-AN45-AO45-N45*5-AY45,IF('Блок ввода'!R158=15,ОКГВ-AN45-AO45-AY45,IF('Блок ввода'!S158&lt;5,ОКГВ-P45*5-AN45-AO45-AP45-AY45,)))</f>
        <v>0</v>
      </c>
      <c r="AL45" s="892">
        <f>IF('Блок ввода'!R158=7,200,IF('Блок ввода'!R158=13,400-N45*5-AN45-AO45-AY45,IF('Блок ввода'!S158=5,CB45,0)))</f>
        <v>0</v>
      </c>
      <c r="AM45" s="892"/>
      <c r="AN45" s="932">
        <v>10</v>
      </c>
      <c r="AO45" s="932">
        <v>10</v>
      </c>
      <c r="AP45" s="897">
        <f>IF('Блок ввода'!R158=6,20,0)</f>
        <v>0</v>
      </c>
      <c r="AQ45" s="898">
        <f>IF(AND('Раскладка продуктов'!$BC$3=1,'Блок ввода'!Z35=1),AO45*2,0)</f>
        <v>0</v>
      </c>
      <c r="AR45" s="901">
        <f>IF(AND('Раскладка продуктов'!$BC$3=2,'Блок ввода'!$Z$35=1),AO45/10,0)</f>
        <v>0</v>
      </c>
      <c r="AS45" s="892"/>
      <c r="AT45" s="892"/>
      <c r="AU45" s="892"/>
      <c r="AV45" s="892"/>
      <c r="AW45" s="892"/>
      <c r="AX45" s="892"/>
      <c r="AY45" s="902"/>
      <c r="AZ45" s="903"/>
      <c r="BA45" s="892"/>
      <c r="BB45" s="892"/>
      <c r="BC45" s="892"/>
      <c r="BD45" s="892"/>
      <c r="BE45" s="904"/>
      <c r="BF45" s="904"/>
      <c r="BG45" s="904"/>
      <c r="BH45" s="904"/>
      <c r="BI45" s="905"/>
      <c r="BJ45" s="906"/>
      <c r="BK45" s="907"/>
      <c r="BL45" s="900"/>
      <c r="BM45" s="900"/>
      <c r="BN45" s="893"/>
      <c r="BO45" s="908"/>
      <c r="BP45" s="909">
        <f>BQ45+P45*2.8+Q45*2.1+R45*3+S45*3+T45*3+U45*2.5+V45*2.1+W45*3+X45*3+BX45+AL45*'Блок ввода'!$D$9+'Раскладка продуктов'!AM45*'Блок ввода'!$D$8+'Раскладка продуктов'!AP45*'Блок ввода'!$D$11+'Раскладка продуктов'!AQ45*'Блок ввода'!$D$12+'Раскладка продуктов'!AX45*'Блок ввода'!$D$13+AD45*0.5+IF(BZ45&gt;0,50,BY45)</f>
        <v>245.1</v>
      </c>
      <c r="BQ45" s="934">
        <f>'Блок ввода'!AG158</f>
        <v>46</v>
      </c>
      <c r="BR45" s="766"/>
      <c r="BS45" s="764"/>
      <c r="BT45" s="764"/>
      <c r="BU45" s="764"/>
      <c r="BV45" s="764"/>
      <c r="BW45" s="764"/>
      <c r="BX45" s="764">
        <f>IF(CA45&gt;0,'Раскладка продуктов'!AK45*'Блок ввода'!$D$5,AK45*'Блок ввода'!$D$4)</f>
        <v>0</v>
      </c>
      <c r="BY45" s="764">
        <f>N45+AN45*'Блок ввода'!$D$7+'Раскладка продуктов'!AO45*'Блок ввода'!$D$10</f>
        <v>17.8</v>
      </c>
      <c r="BZ45" s="765">
        <f>IF('Блок ввода'!R158&lt;4,1,IF('Блок ввода'!R158=9,1,IF('Блок ввода'!R158=10,1,IF('Блок ввода'!R158=11,1,IF('Блок ввода'!R158=5,1,IF('Блок ввода'!R158=6,1,IF('Блок ввода'!R158=7,1,0)))))))</f>
        <v>1</v>
      </c>
      <c r="CA45" s="765">
        <f>IF('Блок ввода'!S158=1,1,0)</f>
        <v>0</v>
      </c>
      <c r="CB45" s="765">
        <f>ОКГВ-P45*5-AN45-AO45-AP45-AY45</f>
        <v>355</v>
      </c>
      <c r="CC45" s="765">
        <f>SUM(N45:X45)*5+SUM(AK45:AP45)</f>
        <v>385</v>
      </c>
      <c r="CD45" s="765"/>
      <c r="CE45" s="764"/>
      <c r="CF45" s="475"/>
      <c r="CG45" s="475"/>
      <c r="CH45" s="476"/>
      <c r="CI45" s="476"/>
      <c r="CJ45" s="476"/>
      <c r="CK45" s="476"/>
      <c r="CL45" s="476"/>
      <c r="CM45" s="476"/>
      <c r="CN45" s="39"/>
      <c r="CO45" s="39"/>
      <c r="CP45" s="39"/>
      <c r="CQ45" s="39"/>
      <c r="CR45" s="39"/>
      <c r="CS45" s="39"/>
      <c r="CT45" s="39"/>
      <c r="CU45" s="39"/>
      <c r="CV45" s="39"/>
      <c r="CW45" s="39"/>
    </row>
    <row r="46" spans="1:118" s="16" customFormat="1" ht="24" customHeight="1" thickBot="1" x14ac:dyDescent="0.25">
      <c r="B46" s="1339"/>
      <c r="C46" s="1346"/>
      <c r="D46" s="1381"/>
      <c r="E46" s="484" t="s">
        <v>231</v>
      </c>
      <c r="F46" s="1326" t="str">
        <f>'Блок ввода'!U164</f>
        <v>Компот, хлеб</v>
      </c>
      <c r="G46" s="1327"/>
      <c r="H46" s="1327"/>
      <c r="I46" s="1327"/>
      <c r="J46" s="1328"/>
      <c r="K46" s="911">
        <v>100</v>
      </c>
      <c r="L46" s="912">
        <v>150</v>
      </c>
      <c r="M46" s="913">
        <f>IF('Блок ввода'!Z36=2,65,IF('Блок ввода'!Z36=1,88.5,0))</f>
        <v>0</v>
      </c>
      <c r="N46" s="1187">
        <v>0</v>
      </c>
      <c r="O46" s="935"/>
      <c r="P46" s="916"/>
      <c r="Q46" s="937"/>
      <c r="R46" s="913"/>
      <c r="S46" s="913"/>
      <c r="T46" s="913"/>
      <c r="U46" s="913"/>
      <c r="V46" s="913"/>
      <c r="W46" s="938"/>
      <c r="X46" s="916"/>
      <c r="Y46" s="937"/>
      <c r="Z46" s="913"/>
      <c r="AA46" s="913"/>
      <c r="AB46" s="913"/>
      <c r="AC46" s="938"/>
      <c r="AD46" s="939"/>
      <c r="AE46" s="913"/>
      <c r="AF46" s="940"/>
      <c r="AG46" s="937"/>
      <c r="AH46" s="912"/>
      <c r="AI46" s="913">
        <f>IF('Блок ввода'!R159=2,20*IF('Блок ввода'!AA45=1,5,1),IF(AND('Блок ввода'!R159=3,'Блок ввода'!AA45=1),100,0))</f>
        <v>20</v>
      </c>
      <c r="AJ46" s="938"/>
      <c r="AK46" s="941"/>
      <c r="AL46" s="913"/>
      <c r="AM46" s="913"/>
      <c r="AN46" s="900"/>
      <c r="AO46" s="942">
        <f>IF(AND('Блок ввода'!A26=1,'Блок ввода'!I23="Лука"),'Блок ввода'!L23,0)</f>
        <v>0</v>
      </c>
      <c r="AP46" s="938"/>
      <c r="AQ46" s="939">
        <f>IF(AND('Раскладка продуктов'!$BC$3=1,'Блок ввода'!Z35=1),AO46*2,0)</f>
        <v>0</v>
      </c>
      <c r="AR46" s="943"/>
      <c r="AS46" s="913"/>
      <c r="AT46" s="913"/>
      <c r="AU46" s="913"/>
      <c r="AV46" s="913"/>
      <c r="AW46" s="913"/>
      <c r="AX46" s="913"/>
      <c r="AY46" s="944"/>
      <c r="AZ46" s="912">
        <f>IF('Блок ввода'!A34=TRUE,IF('Блок ввода'!R159&lt;3,0,IF('Блок ввода'!S26=FALSE,0,BR46/5)),IF('Блок ввода'!R159&lt;3,0,IF('Блок ввода'!S26=FALSE,0,BR46)))</f>
        <v>0</v>
      </c>
      <c r="BA46" s="913"/>
      <c r="BB46" s="913">
        <f>IF('Блок ввода'!S38=TRUE,0,IF('Блок ввода'!R159=1,200+IF('Блок ввода'!$A$35=1,400-(AI46*3)),IF(OR('Блок ввода'!R159=4,'Блок ввода'!R159=7),200+IF('Блок ввода'!$A$35=1,400-(AI46*3)),IF(OR('Блок ввода'!R159=5, 'Блок ввода'!R159=7),200+IF('Блок ввода'!$A$35=1,400-(AI46*3)),0))))</f>
        <v>0</v>
      </c>
      <c r="BC46" s="913"/>
      <c r="BD46" s="942">
        <f>IF(AND('Блок ввода'!$A$26=1,'Блок ввода'!$I$23="Чеснока"),'Блок ввода'!$L$23,0)</f>
        <v>0</v>
      </c>
      <c r="BE46" s="912">
        <f>IF('Блок ввода'!R159=6,(200-AI46)/2,0)</f>
        <v>0</v>
      </c>
      <c r="BF46" s="945"/>
      <c r="BG46" s="945"/>
      <c r="BH46" s="945"/>
      <c r="BI46" s="946"/>
      <c r="BJ46" s="947"/>
      <c r="BK46" s="948"/>
      <c r="BL46" s="942"/>
      <c r="BM46" s="942"/>
      <c r="BN46" s="915"/>
      <c r="BO46" s="949"/>
      <c r="BP46" s="950">
        <f>IF(BA46&gt;0,BA46,250)</f>
        <v>250</v>
      </c>
      <c r="BQ46" s="951"/>
      <c r="BR46" s="766"/>
      <c r="BS46" s="764"/>
      <c r="BT46" s="764"/>
      <c r="BU46" s="764"/>
      <c r="BV46" s="764"/>
      <c r="BW46" s="764"/>
      <c r="BX46" s="764"/>
      <c r="BY46" s="764"/>
      <c r="BZ46" s="765"/>
      <c r="CA46" s="765"/>
      <c r="CB46" s="765"/>
      <c r="CC46" s="764"/>
      <c r="CD46" s="765"/>
      <c r="CE46" s="764"/>
      <c r="CF46" s="475"/>
      <c r="CG46" s="475"/>
      <c r="CH46" s="476"/>
      <c r="CI46" s="476"/>
      <c r="CJ46" s="476"/>
      <c r="CK46" s="476"/>
      <c r="CL46" s="476"/>
      <c r="CM46" s="476"/>
      <c r="CN46" s="39"/>
      <c r="CO46" s="39"/>
      <c r="CP46" s="39"/>
      <c r="CQ46" s="39"/>
      <c r="CR46" s="39"/>
      <c r="CS46" s="39"/>
      <c r="CT46" s="39"/>
      <c r="CU46" s="39"/>
      <c r="CV46" s="39"/>
      <c r="CW46" s="39"/>
    </row>
    <row r="47" spans="1:118" s="16" customFormat="1" ht="24" customHeight="1" x14ac:dyDescent="0.2">
      <c r="B47" s="1339"/>
      <c r="C47" s="1346"/>
      <c r="D47" s="1341" t="str">
        <f>CONCATENATE("Ужин
100%, ОКГ = ",CD47)</f>
        <v>Ужин
100%, ОКГ = 425</v>
      </c>
      <c r="E47" s="1342"/>
      <c r="F47" s="1300" t="str">
        <f>CONCATENATE('Блок ввода'!G157,'Блок ввода'!L157,'Блок ввода'!N157,'Блок ввода'!O157)</f>
        <v>Сельдь соленая с  гороховым пюре, хлеб, масло, сахар, чай, яйцо, булочка</v>
      </c>
      <c r="G47" s="1301"/>
      <c r="H47" s="1301"/>
      <c r="I47" s="1301"/>
      <c r="J47" s="1321"/>
      <c r="K47" s="952"/>
      <c r="L47" s="953"/>
      <c r="M47" s="870"/>
      <c r="N47" s="1192">
        <v>6.5</v>
      </c>
      <c r="O47" s="871"/>
      <c r="P47" s="871">
        <f>IF('Блок ввода'!R160=8,(ОКГУ-AN47-AO47-AY47)/5,IF('Блок ввода'!R160=12,15,IF('Блок ввода'!S160=7,(ОКГУ-AN47-AO47-AP47-AY47)/5,0)))</f>
        <v>0</v>
      </c>
      <c r="Q47" s="869">
        <f>IF('Блок ввода'!S160=8,CB47/5,0)</f>
        <v>0</v>
      </c>
      <c r="R47" s="870">
        <f>IF('Блок ввода'!S160=9,CB47/5,0)</f>
        <v>0</v>
      </c>
      <c r="S47" s="870">
        <f>IF('Блок ввода'!S160=11,CB47/5,0)</f>
        <v>0</v>
      </c>
      <c r="T47" s="870">
        <f>IF('Блок ввода'!S160=12,CB47/5,0)</f>
        <v>0</v>
      </c>
      <c r="U47" s="870">
        <f>IF('Блок ввода'!S160=10,CB47/5,IF('Блок ввода'!S160=16,CB47/5-V47,0))</f>
        <v>0</v>
      </c>
      <c r="V47" s="870">
        <f>IF('Блок ввода'!S160=14,CB47/5,IF('Блок ввода'!S160=16,40,0))</f>
        <v>81</v>
      </c>
      <c r="W47" s="873">
        <f>IF('Блок ввода'!S160=13,CB47/5,0)</f>
        <v>0</v>
      </c>
      <c r="X47" s="894">
        <f>IF('Блок ввода'!R160=14,CB47/5,IF('Блок ввода'!S160=15,CB47/5,0))</f>
        <v>0</v>
      </c>
      <c r="Y47" s="874">
        <f>IF('Блок ввода'!E153&lt;19,BS3,0)</f>
        <v>0</v>
      </c>
      <c r="Z47" s="870">
        <f>IF('Блок ввода'!E153=19,75,IF('Блок ввода'!E153=28,60,0))</f>
        <v>0</v>
      </c>
      <c r="AA47" s="870"/>
      <c r="AB47" s="870">
        <f>ROUND(IF('Блок ввода'!E153=28,0,IF('Блок ввода'!E153&gt;20,IF('Блок ввода'!E153=26,102,IF('Блок ввода'!$Z$38=1,156-AB41*1.3-(AC42+AC43)*1.625/2,120-AB41-(AC42+AC43)/2/0.8)),0)),1)</f>
        <v>120</v>
      </c>
      <c r="AC47" s="876">
        <f>IF(AND('Блок ввода'!R160=20,OR('Блок ввода'!E76=18,'Блок ввода'!E80=18)),96-(AC42+AC43)/2-AB41*0.8,IF('Блок ввода'!R160=20,96,0))</f>
        <v>0</v>
      </c>
      <c r="AD47" s="877"/>
      <c r="AE47" s="870">
        <v>22</v>
      </c>
      <c r="AF47" s="873">
        <f>IF(OR('Блок ввода'!E153=21,'Блок ввода'!E153=22,'Блок ввода'!E153=23,'Блок ввода'!E153=24),15,3)</f>
        <v>3</v>
      </c>
      <c r="AG47" s="874"/>
      <c r="AH47" s="870"/>
      <c r="AI47" s="870"/>
      <c r="AJ47" s="876"/>
      <c r="AK47" s="869">
        <f>IF('Блок ввода'!R160=7,ОКГУ-AL47-AN47-AO47-AY47+IF(AND($N$7=1,N47=0),CF47,IF(N38=0,0,2.5-IF($N$7=2,2.5,0))),IF('Блок ввода'!R160=15,ОКГУ-AN47-AO47-AY47+IF(AND($N$7=1,N47=0),CF47,IF(N38=0,0,2.5-IF($N$7=2,2.5,0))),IF('Блок ввода'!S160&lt;5,ОКГУ-P47*5-AN47-AO47-AO46*2-BD46*4-AP47-AY47+IF(AND($N$7=1,N47=0),CF47,IF(N38=0,0,2.5-IF($N$7=2,2.5,0))),)))</f>
        <v>0</v>
      </c>
      <c r="AL47" s="870">
        <f>IF('Блок ввода'!R160=7,200,IF('Блок ввода'!R160=13,450-N47*5-AN47-AO47-AO46*2-BD46*4-AY47,IF('Блок ввода'!S160=5,CB47-AO46*2-BD46*4,0)))</f>
        <v>0</v>
      </c>
      <c r="AM47" s="870">
        <f>IF('Блок ввода'!S160=6,CB47,0)</f>
        <v>0</v>
      </c>
      <c r="AN47" s="878">
        <v>10</v>
      </c>
      <c r="AO47" s="878">
        <v>10</v>
      </c>
      <c r="AP47" s="876">
        <f>IF('Блок ввода'!R160=6,20,0)</f>
        <v>0</v>
      </c>
      <c r="AQ47" s="954">
        <f>IF(AND('Раскладка продуктов'!$BC$3=1,'Блок ввода'!Z35=1),AO47*2,0)</f>
        <v>0</v>
      </c>
      <c r="AR47" s="955">
        <f>IF(AND('Раскладка продуктов'!$BC$3=2,'Блок ввода'!$Z$35=1),AO47/10,0)</f>
        <v>0</v>
      </c>
      <c r="AS47" s="953"/>
      <c r="AT47" s="953"/>
      <c r="AU47" s="953"/>
      <c r="AV47" s="953"/>
      <c r="AW47" s="953"/>
      <c r="AX47" s="953">
        <f>IF(AND(OR('Блок ввода'!T160=5,'Блок ввода'!T160=6),'Блок ввода'!$G$32=1),15,IF(OR('Блок ввода'!T160=5,'Блок ввода'!T160=6),1,0))</f>
        <v>0</v>
      </c>
      <c r="AY47" s="956"/>
      <c r="AZ47" s="957">
        <f>IF('Блок ввода'!N153=9,150,0)</f>
        <v>0</v>
      </c>
      <c r="BA47" s="953"/>
      <c r="BB47" s="953"/>
      <c r="BC47" s="953"/>
      <c r="BD47" s="953"/>
      <c r="BE47" s="958"/>
      <c r="BF47" s="958"/>
      <c r="BG47" s="958"/>
      <c r="BH47" s="959"/>
      <c r="BI47" s="883">
        <f>IF(Вт!$X$1=8,Вт!$X$3,0)</f>
        <v>0</v>
      </c>
      <c r="BJ47" s="960">
        <f>IF(Вт!$X$1=4,Вт!$X$3,0)</f>
        <v>0</v>
      </c>
      <c r="BK47" s="1004"/>
      <c r="BL47" s="1005"/>
      <c r="BM47" s="1005"/>
      <c r="BN47" s="1006"/>
      <c r="BO47" s="1007"/>
      <c r="BP47" s="931">
        <f>BQ47+P47*2.8+Q47*2.1+R47*3+S47*3+T47*3+U47*2.5+V47*2.1+W47*3+X47*3+BX47+AL47*'Блок ввода'!$D$9+'Раскладка продуктов'!AM47*'Блок ввода'!$D$8+'Раскладка продуктов'!AP47*'Блок ввода'!$D$11+'Раскладка продуктов'!AQ47*'Блок ввода'!$D$12+'Раскладка продуктов'!AX47*'Блок ввода'!$D$13+IF(BZ47&gt;0,50,BY47)</f>
        <v>252.4</v>
      </c>
      <c r="BQ47" s="890">
        <f>'Блок ввода'!AG160</f>
        <v>60</v>
      </c>
      <c r="BR47" s="766"/>
      <c r="BS47" s="764"/>
      <c r="BT47" s="764"/>
      <c r="BU47" s="764"/>
      <c r="BV47" s="764"/>
      <c r="BW47" s="764"/>
      <c r="BX47" s="764">
        <f>IF(CA47&gt;0,'Раскладка продуктов'!AK47*'Блок ввода'!$D$5,AK47*'Блок ввода'!$D$4)</f>
        <v>0</v>
      </c>
      <c r="BY47" s="764">
        <f>N47+AN47*'Блок ввода'!$D$7+'Раскладка продуктов'!AO47*'Блок ввода'!$D$10</f>
        <v>22.3</v>
      </c>
      <c r="BZ47" s="765">
        <f>IF('Блок ввода'!R160&lt;4,1,IF('Блок ввода'!R160=9,1,IF('Блок ввода'!R160=10,1,IF('Блок ввода'!R160=11,1,IF('Блок ввода'!R160=5,1,IF('Блок ввода'!R160=6,1,IF('Блок ввода'!R160=7,1,0)))))))</f>
        <v>0</v>
      </c>
      <c r="CA47" s="765">
        <f>IF('Блок ввода'!S160=1,1,0)</f>
        <v>0</v>
      </c>
      <c r="CB47" s="765">
        <f>ОКГУ-P47*5-AN47-AO47-AP47-AY47+IF(AND($N$7=1,N47=0),CF47,IF(N38=0,0,2.5-IF(N7=2,2.5,0)))</f>
        <v>405</v>
      </c>
      <c r="CC47" s="764"/>
      <c r="CD47" s="762">
        <f>SUM(O47:X47)*5+SUM(AK47:AP47)</f>
        <v>425</v>
      </c>
      <c r="CE47" s="764"/>
      <c r="CF47" s="474">
        <f>IF(AND($N$7=1,N47=0),5,0)</f>
        <v>0</v>
      </c>
      <c r="CG47" s="475"/>
      <c r="CH47" s="476"/>
      <c r="CI47" s="476"/>
      <c r="CJ47" s="476"/>
      <c r="CK47" s="476"/>
      <c r="CL47" s="476"/>
      <c r="CM47" s="476"/>
      <c r="CN47" s="39"/>
      <c r="CO47" s="39"/>
      <c r="CP47" s="39"/>
      <c r="CQ47" s="39"/>
      <c r="CR47" s="39"/>
      <c r="CS47" s="39"/>
      <c r="CT47" s="39"/>
      <c r="CU47" s="39"/>
      <c r="CV47" s="39"/>
      <c r="CW47" s="39"/>
    </row>
    <row r="48" spans="1:118" s="16" customFormat="1" ht="24" customHeight="1" x14ac:dyDescent="0.2">
      <c r="B48" s="1339"/>
      <c r="C48" s="1346"/>
      <c r="D48" s="1343"/>
      <c r="E48" s="1344"/>
      <c r="F48" s="1302"/>
      <c r="G48" s="1303"/>
      <c r="H48" s="1303"/>
      <c r="I48" s="1303"/>
      <c r="J48" s="1322"/>
      <c r="K48" s="891"/>
      <c r="L48" s="892"/>
      <c r="M48" s="892"/>
      <c r="N48" s="1191">
        <f>IF('Блок ввода'!E153=4,20,IF('Блок ввода'!E153=16,75,IF('Блок ввода'!E153=24,15,0)))</f>
        <v>0</v>
      </c>
      <c r="O48" s="961"/>
      <c r="P48" s="894"/>
      <c r="Q48" s="896"/>
      <c r="R48" s="892"/>
      <c r="S48" s="892"/>
      <c r="T48" s="892"/>
      <c r="U48" s="892"/>
      <c r="V48" s="892"/>
      <c r="W48" s="897"/>
      <c r="X48" s="894"/>
      <c r="Y48" s="896"/>
      <c r="Z48" s="892"/>
      <c r="AA48" s="892"/>
      <c r="AB48" s="892"/>
      <c r="AC48" s="897"/>
      <c r="AD48" s="898"/>
      <c r="AE48" s="892"/>
      <c r="AF48" s="899"/>
      <c r="AG48" s="963"/>
      <c r="AH48" s="964"/>
      <c r="AI48" s="892"/>
      <c r="AJ48" s="897"/>
      <c r="AK48" s="891"/>
      <c r="AL48" s="892"/>
      <c r="AM48" s="892"/>
      <c r="AN48" s="900"/>
      <c r="AO48" s="900"/>
      <c r="AP48" s="897"/>
      <c r="AQ48" s="898">
        <f>IF(AND('Раскладка продуктов'!$BC$3=1,'Блок ввода'!Z35=1),AO48*2,0)</f>
        <v>0</v>
      </c>
      <c r="AR48" s="901"/>
      <c r="AS48" s="892"/>
      <c r="AT48" s="892"/>
      <c r="AU48" s="892"/>
      <c r="AV48" s="892"/>
      <c r="AW48" s="892"/>
      <c r="AX48" s="892">
        <f>IF('Блок ввода'!E153=24,0.25,0)</f>
        <v>0</v>
      </c>
      <c r="AY48" s="902"/>
      <c r="AZ48" s="903"/>
      <c r="BA48" s="892"/>
      <c r="BB48" s="892"/>
      <c r="BC48" s="892"/>
      <c r="BD48" s="892"/>
      <c r="BE48" s="904"/>
      <c r="BF48" s="904"/>
      <c r="BG48" s="904"/>
      <c r="BH48" s="965"/>
      <c r="BI48" s="905"/>
      <c r="BJ48" s="966"/>
      <c r="BK48" s="907"/>
      <c r="BL48" s="900"/>
      <c r="BM48" s="900"/>
      <c r="BN48" s="893"/>
      <c r="BO48" s="908"/>
      <c r="BP48" s="909"/>
      <c r="BQ48" s="910"/>
      <c r="BR48" s="766"/>
      <c r="BS48" s="768">
        <f>IF(AND('Блок ввода'!E148=30,'Блок ввода'!I148=17),BR50+BS50,IF('Блок ввода'!E148=30,(BR50+BS50+430)+BF50*500/375,BR50+BS50+BF50*500/375))</f>
        <v>1650</v>
      </c>
      <c r="BT48" s="764" t="str">
        <f>IF(AND(BS48 &lt;&gt;1750,BS48 &lt;&gt;1745),"ОКГ во вторник не соответствует ","")</f>
        <v xml:space="preserve">ОКГ во вторник не соответствует </v>
      </c>
      <c r="BU48" s="764"/>
      <c r="BV48" s="764"/>
      <c r="BW48" s="764"/>
      <c r="BX48" s="764"/>
      <c r="BY48" s="764"/>
      <c r="BZ48" s="765"/>
      <c r="CA48" s="765"/>
      <c r="CB48" s="765"/>
      <c r="CC48" s="764"/>
      <c r="CD48" s="765"/>
      <c r="CE48" s="764"/>
      <c r="CF48" s="475"/>
      <c r="CG48" s="475"/>
      <c r="CH48" s="476"/>
      <c r="CI48" s="476"/>
      <c r="CJ48" s="476"/>
      <c r="CK48" s="476"/>
      <c r="CL48" s="476"/>
      <c r="CM48" s="476"/>
      <c r="CN48" s="39"/>
      <c r="CO48" s="39"/>
      <c r="CP48" s="39"/>
      <c r="CQ48" s="39"/>
      <c r="CR48" s="39"/>
      <c r="CS48" s="39"/>
      <c r="CT48" s="39"/>
      <c r="CU48" s="39"/>
      <c r="CV48" s="39"/>
      <c r="CW48" s="39"/>
    </row>
    <row r="49" spans="1:101" s="16" customFormat="1" ht="24" customHeight="1" thickBot="1" x14ac:dyDescent="0.25">
      <c r="B49" s="1340"/>
      <c r="C49" s="1347"/>
      <c r="D49" s="1343"/>
      <c r="E49" s="1344"/>
      <c r="F49" s="1323"/>
      <c r="G49" s="1324"/>
      <c r="H49" s="1324"/>
      <c r="I49" s="1324"/>
      <c r="J49" s="1325"/>
      <c r="K49" s="967">
        <v>100</v>
      </c>
      <c r="L49" s="922">
        <f>IF('Блок ввода'!T107=5,100,50)</f>
        <v>50</v>
      </c>
      <c r="M49" s="919"/>
      <c r="N49" s="1190">
        <f>IF(L49=50,37.5,0)</f>
        <v>37.5</v>
      </c>
      <c r="O49" s="968"/>
      <c r="P49" s="969"/>
      <c r="Q49" s="970"/>
      <c r="R49" s="919"/>
      <c r="S49" s="919"/>
      <c r="T49" s="919"/>
      <c r="U49" s="919"/>
      <c r="V49" s="919"/>
      <c r="W49" s="971"/>
      <c r="X49" s="969"/>
      <c r="Y49" s="970"/>
      <c r="Z49" s="919"/>
      <c r="AA49" s="919"/>
      <c r="AB49" s="919"/>
      <c r="AC49" s="971"/>
      <c r="AD49" s="917"/>
      <c r="AE49" s="919"/>
      <c r="AF49" s="972"/>
      <c r="AG49" s="970">
        <f>IF(OR('Блок ввода'!T160&lt;=7,'Блок ввода'!T160=9),30-AG46/2-(BC49)/1.4,0)</f>
        <v>20</v>
      </c>
      <c r="AH49" s="903">
        <v>1</v>
      </c>
      <c r="AI49" s="919">
        <f>IF('Блок ввода'!T160=4,20,0)</f>
        <v>0</v>
      </c>
      <c r="AJ49" s="971"/>
      <c r="AK49" s="973"/>
      <c r="AL49" s="919"/>
      <c r="AM49" s="919"/>
      <c r="AN49" s="927"/>
      <c r="AO49" s="927"/>
      <c r="AP49" s="971"/>
      <c r="AQ49" s="917">
        <f>AO49/2</f>
        <v>0</v>
      </c>
      <c r="AR49" s="918"/>
      <c r="AS49" s="919"/>
      <c r="AT49" s="919"/>
      <c r="AU49" s="919"/>
      <c r="AV49" s="919"/>
      <c r="AW49" s="919"/>
      <c r="AX49" s="1224">
        <f>IF(AND(L49=50,'Блок ввода'!$Q$114=1),0.125,0)</f>
        <v>0</v>
      </c>
      <c r="AY49" s="921"/>
      <c r="AZ49" s="922"/>
      <c r="BA49" s="919"/>
      <c r="BB49" s="919"/>
      <c r="BC49" s="919">
        <f>IF('Блок ввода'!T160=2,10*1.4,IF('Блок ввода'!T160=8,(35-AG46/2)*1.4,IF('Блок ввода'!T160=7,4.8,0)))</f>
        <v>14</v>
      </c>
      <c r="BD49" s="923"/>
      <c r="BE49" s="974"/>
      <c r="BF49" s="974"/>
      <c r="BG49" s="974"/>
      <c r="BH49" s="971">
        <f>IF(L49=50,0.5,0)</f>
        <v>0.5</v>
      </c>
      <c r="BI49" s="975"/>
      <c r="BJ49" s="976"/>
      <c r="BK49" s="926">
        <v>100</v>
      </c>
      <c r="BL49" s="927">
        <v>70</v>
      </c>
      <c r="BM49" s="927">
        <v>0.6</v>
      </c>
      <c r="BN49" s="928">
        <v>10</v>
      </c>
      <c r="BO49" s="929">
        <v>200</v>
      </c>
      <c r="BP49" s="977">
        <v>250</v>
      </c>
      <c r="BQ49" s="978"/>
      <c r="BR49" s="766">
        <f>IF('Блок ввода'!A26=TRUE,BR50+BS50-'Блок ввода'!L23,BR50+BS50)</f>
        <v>1650</v>
      </c>
      <c r="BS49" s="764"/>
      <c r="BT49" s="764"/>
      <c r="BU49" s="764"/>
      <c r="BV49" s="764"/>
      <c r="BW49" s="764"/>
      <c r="BX49" s="764"/>
      <c r="BY49" s="764"/>
      <c r="BZ49" s="765"/>
      <c r="CA49" s="765"/>
      <c r="CB49" s="765"/>
      <c r="CC49" s="764"/>
      <c r="CD49" s="765"/>
      <c r="CE49" s="764"/>
      <c r="CF49" s="475"/>
      <c r="CG49" s="475"/>
      <c r="CH49" s="476"/>
      <c r="CI49" s="476"/>
      <c r="CJ49" s="476"/>
      <c r="CK49" s="476"/>
      <c r="CL49" s="476"/>
      <c r="CM49" s="476"/>
      <c r="CN49" s="39"/>
      <c r="CO49" s="39"/>
      <c r="CP49" s="39"/>
      <c r="CQ49" s="39"/>
      <c r="CR49" s="39"/>
      <c r="CS49" s="39"/>
      <c r="CT49" s="39"/>
      <c r="CU49" s="39"/>
      <c r="CV49" s="39"/>
      <c r="CW49" s="39"/>
    </row>
    <row r="50" spans="1:101" s="41" customFormat="1" ht="24" customHeight="1" thickTop="1" thickBot="1" x14ac:dyDescent="0.3">
      <c r="A50" s="228">
        <f>BS48</f>
        <v>1650</v>
      </c>
      <c r="B50" s="1335" t="s">
        <v>27</v>
      </c>
      <c r="C50" s="1336"/>
      <c r="D50" s="1336"/>
      <c r="E50" s="1336"/>
      <c r="F50" s="1336"/>
      <c r="G50" s="1336"/>
      <c r="H50" s="1336"/>
      <c r="I50" s="1336"/>
      <c r="J50" s="1337"/>
      <c r="K50" s="1008">
        <f>SUM(K38:K49)</f>
        <v>300</v>
      </c>
      <c r="L50" s="980">
        <f>SUM(L38:L49)</f>
        <v>350</v>
      </c>
      <c r="M50" s="981">
        <f>SUM(M38:M49)</f>
        <v>0</v>
      </c>
      <c r="N50" s="982">
        <f>N38+N39+N40+(N42+N43+N44+N45)/2+SUM(N47:N49)</f>
        <v>50</v>
      </c>
      <c r="O50" s="983">
        <f>O38+O39+O40+(O42+O43+O44+O45)/2+SUM(O47:O49)</f>
        <v>0</v>
      </c>
      <c r="P50" s="986">
        <f t="shared" ref="P50:AD50" si="4">P38+P39+P40+(P42+P43)/2+(P44+P45)/2+SUM(P47:P49)</f>
        <v>0</v>
      </c>
      <c r="Q50" s="987">
        <f t="shared" si="4"/>
        <v>0</v>
      </c>
      <c r="R50" s="984">
        <f>R38+R39+R40+(R42+R43)/2+(R44+R45)/2+SUM(R47:R49)+R41</f>
        <v>0</v>
      </c>
      <c r="S50" s="984">
        <f t="shared" si="4"/>
        <v>0</v>
      </c>
      <c r="T50" s="984">
        <f t="shared" si="4"/>
        <v>33.5</v>
      </c>
      <c r="U50" s="984">
        <f t="shared" si="4"/>
        <v>0</v>
      </c>
      <c r="V50" s="984">
        <f t="shared" si="4"/>
        <v>116.5</v>
      </c>
      <c r="W50" s="985">
        <f t="shared" si="4"/>
        <v>0</v>
      </c>
      <c r="X50" s="986">
        <f t="shared" si="4"/>
        <v>28</v>
      </c>
      <c r="Y50" s="987">
        <f t="shared" si="4"/>
        <v>250</v>
      </c>
      <c r="Z50" s="984">
        <f t="shared" si="4"/>
        <v>0</v>
      </c>
      <c r="AA50" s="984">
        <f t="shared" si="4"/>
        <v>0</v>
      </c>
      <c r="AB50" s="984">
        <f>AB38+AB39+AB40+(AB42+AB43)/2+(AB44+AB45)/2+SUM(AB47:AB49)+AB41</f>
        <v>120</v>
      </c>
      <c r="AC50" s="985">
        <f t="shared" si="4"/>
        <v>0</v>
      </c>
      <c r="AD50" s="987">
        <f t="shared" si="4"/>
        <v>0</v>
      </c>
      <c r="AE50" s="988">
        <f>SUM(AE38:AE40)+SUM(AE47:AE49)+AE41+SUM(AE42:AE45)/2</f>
        <v>45</v>
      </c>
      <c r="AF50" s="989">
        <f>SUM(AF38:AF49)</f>
        <v>30</v>
      </c>
      <c r="AG50" s="990">
        <f>SUM(AG38:AG49)</f>
        <v>50</v>
      </c>
      <c r="AH50" s="988">
        <f>SUM(AH38:AH49)</f>
        <v>1</v>
      </c>
      <c r="AI50" s="988">
        <f>SUM(AI38:AI49)</f>
        <v>40</v>
      </c>
      <c r="AJ50" s="989">
        <v>20</v>
      </c>
      <c r="AK50" s="990">
        <f t="shared" ref="AK50:AP50" si="5">AK38+AK41+(AK42+AK43+AK44+AK45)/2+AK47</f>
        <v>425</v>
      </c>
      <c r="AL50" s="988">
        <f t="shared" si="5"/>
        <v>0</v>
      </c>
      <c r="AM50" s="988">
        <f t="shared" si="5"/>
        <v>60</v>
      </c>
      <c r="AN50" s="991">
        <f t="shared" si="5"/>
        <v>50</v>
      </c>
      <c r="AO50" s="991">
        <f>AO38+AO41+(AO42+AO43+AO44+AO45)/2+AO47+AO46</f>
        <v>50</v>
      </c>
      <c r="AP50" s="992">
        <f t="shared" si="5"/>
        <v>175</v>
      </c>
      <c r="AQ50" s="993">
        <f>AQ38+AQ41+(AQ42+AQ43+AQ44+AQ45)/2+AQ47+AQ46</f>
        <v>0</v>
      </c>
      <c r="AR50" s="991">
        <f>AR38+AR41+(AR42+AR43+AR44+AR45)/2+AR47</f>
        <v>0</v>
      </c>
      <c r="AS50" s="988">
        <v>6</v>
      </c>
      <c r="AT50" s="980">
        <v>0.2</v>
      </c>
      <c r="AU50" s="980">
        <v>0.3</v>
      </c>
      <c r="AV50" s="980">
        <v>2</v>
      </c>
      <c r="AW50" s="980">
        <v>0.5</v>
      </c>
      <c r="AX50" s="1225">
        <f>AX38+AX41+(AX42+AX43+AX44+AX45)/2+AX47+AX48+AX40+AX49</f>
        <v>1.25</v>
      </c>
      <c r="AY50" s="988">
        <f>AY38+AY41+(AY42+AY43+AY44+AY45)/2+AY47</f>
        <v>0</v>
      </c>
      <c r="AZ50" s="980">
        <f>AZ38+AZ41+(AZ42+AZ43+AZ44+AZ45)/2+AZ47+AZ46</f>
        <v>190</v>
      </c>
      <c r="BA50" s="984">
        <f>BA38+BA39+BA40+(BA42+BA43+BA44+BA45)/2+SUM(BA47:BA49)</f>
        <v>0</v>
      </c>
      <c r="BB50" s="984">
        <f t="shared" ref="BB50:BO50" si="6">BB38+BB39+BB40+(BB42+BB43+BB44+BB45)/2+BB46+SUM(BB47:BB49)</f>
        <v>0</v>
      </c>
      <c r="BC50" s="984">
        <f t="shared" si="6"/>
        <v>15.5</v>
      </c>
      <c r="BD50" s="984">
        <f t="shared" si="6"/>
        <v>0</v>
      </c>
      <c r="BE50" s="984">
        <f t="shared" si="6"/>
        <v>0</v>
      </c>
      <c r="BF50" s="984">
        <f t="shared" si="6"/>
        <v>0</v>
      </c>
      <c r="BG50" s="984">
        <f t="shared" si="6"/>
        <v>0</v>
      </c>
      <c r="BH50" s="994">
        <f t="shared" si="6"/>
        <v>0.5</v>
      </c>
      <c r="BI50" s="994">
        <f>BI38+BI39+BI40+(BI42+BI43+BI44+BI45)/2+BI46++BI47+BI48+BI49</f>
        <v>0</v>
      </c>
      <c r="BJ50" s="985">
        <f>BJ38+BJ39+BJ40+(BJ42+BJ43+BJ44+BJ45)/2+BJ46++BJ47+BJ48+BJ49</f>
        <v>0</v>
      </c>
      <c r="BK50" s="1009">
        <f>BK38+BK39+BK40+(BK42+BK43+BK44+BK45)/2+BK46+SUM(BK47:BK49)</f>
        <v>100</v>
      </c>
      <c r="BL50" s="982">
        <f t="shared" si="6"/>
        <v>70</v>
      </c>
      <c r="BM50" s="982">
        <f t="shared" si="6"/>
        <v>0.6</v>
      </c>
      <c r="BN50" s="982">
        <f t="shared" si="6"/>
        <v>10</v>
      </c>
      <c r="BO50" s="997">
        <f t="shared" si="6"/>
        <v>200</v>
      </c>
      <c r="BP50" s="998"/>
      <c r="BQ50" s="999"/>
      <c r="BR50" s="764">
        <f>SUM(P50:X50)*5</f>
        <v>890</v>
      </c>
      <c r="BS50" s="770">
        <f>SUM(AK50:AP50)+AY50+BD50+IF('Блок ввода'!E53=17,150-AM41-AO41-AN41,0)-AO46+AO46*2-BD46+BD46*4</f>
        <v>760</v>
      </c>
      <c r="BT50" s="764"/>
      <c r="BU50" s="764"/>
      <c r="BV50" s="764"/>
      <c r="BW50" s="764"/>
      <c r="BX50" s="764"/>
      <c r="BY50" s="764"/>
      <c r="BZ50" s="765"/>
      <c r="CA50" s="765"/>
      <c r="CB50" s="765"/>
      <c r="CC50" s="764"/>
      <c r="CD50" s="765"/>
      <c r="CE50" s="764"/>
      <c r="CF50" s="771"/>
      <c r="CG50" s="771"/>
      <c r="CH50" s="772"/>
      <c r="CI50" s="772"/>
      <c r="CJ50" s="772"/>
      <c r="CK50" s="772"/>
      <c r="CL50" s="772"/>
      <c r="CM50" s="772"/>
      <c r="CN50" s="40"/>
      <c r="CO50" s="40"/>
      <c r="CP50" s="40"/>
      <c r="CQ50" s="40"/>
      <c r="CR50" s="40"/>
      <c r="CS50" s="40"/>
      <c r="CT50" s="40"/>
      <c r="CU50" s="40"/>
      <c r="CV50" s="40"/>
      <c r="CW50" s="40"/>
    </row>
    <row r="51" spans="1:101" s="16" customFormat="1" ht="24" customHeight="1" x14ac:dyDescent="0.2">
      <c r="B51" s="1338" t="s">
        <v>174</v>
      </c>
      <c r="C51" s="1345">
        <f>A3+2</f>
        <v>40093</v>
      </c>
      <c r="D51" s="1341" t="str">
        <f>CONCATENATE("Завтрак
100%, ОКГ = ",IF(AND('Блок ввода'!B221=1,'Блок ввода'!E158=29),CD51+430,CD51))</f>
        <v>Завтрак
100%, ОКГ = 425</v>
      </c>
      <c r="E51" s="1342"/>
      <c r="F51" s="1300" t="str">
        <f>CONCATENATE('Блок ввода'!G162,'Блок ввода'!L162,'Блок ввода'!N162,'Блок ввода'!O162)</f>
        <v>Мясо отвар. с соусом с  гороховым пюре, хлеб, масло, сахар, кофе натур. с молоком, сыр, омлет</v>
      </c>
      <c r="G51" s="1301"/>
      <c r="H51" s="1301"/>
      <c r="I51" s="1301"/>
      <c r="J51" s="1301"/>
      <c r="K51" s="952"/>
      <c r="L51" s="953"/>
      <c r="M51" s="953"/>
      <c r="N51" s="1185">
        <v>6.5</v>
      </c>
      <c r="O51" s="1000"/>
      <c r="P51" s="872">
        <f>IF(OR('Блок ввода'!E158=8,'Блок ввода'!I158=17,'Блок ввода'!I158=18),(ОКГ-AN51-AO51-AY51)/5+IF(AND($N$7=1,N51=0),CF51/5,IF(N60=0,0,2.5-IF($N$7=2,2.5,0))),IF('Блок ввода'!E158=12,15,IF('Блок ввода'!I158=7,(ОКГ-AN51-AO51-AP51-AY51)/5+IF(AND($N$7=1,N51=0),CF51/5,IF(N60=0,0,2.5/5-IF($N$7=2,2.5/5,0))),0)))</f>
        <v>0</v>
      </c>
      <c r="Q51" s="952">
        <f>IF('Блок ввода'!S164=8,CB51/5,0)</f>
        <v>0</v>
      </c>
      <c r="R51" s="953">
        <f>IF('Блок ввода'!S164=9,CB51/5,0)</f>
        <v>0</v>
      </c>
      <c r="S51" s="953">
        <f>IF('Блок ввода'!S164=11,CB51/5,0)</f>
        <v>0</v>
      </c>
      <c r="T51" s="953">
        <f>IF('Блок ввода'!S164=12,CB51/5,0)</f>
        <v>0</v>
      </c>
      <c r="U51" s="953">
        <f>IF('Блок ввода'!S164=10,CB51/5,IF('Блок ввода'!S164=16,CB51/5-V51,0))</f>
        <v>0</v>
      </c>
      <c r="V51" s="953">
        <f>IF('Блок ввода'!S164=14,CB51/5,IF('Блок ввода'!S164=16,40,0))</f>
        <v>85</v>
      </c>
      <c r="W51" s="1001">
        <f>IF('Блок ввода'!S164=13,CB51/5,0)</f>
        <v>0</v>
      </c>
      <c r="X51" s="1000">
        <f>IF('Блок ввода'!R164=14,CB51/5,IF('Блок ввода'!S164=15,CB51/5,0))</f>
        <v>0</v>
      </c>
      <c r="Y51" s="1002">
        <f>IF('Блок ввода'!E158&lt;19,BT3,0)</f>
        <v>100</v>
      </c>
      <c r="Z51" s="953">
        <f>IF('Блок ввода'!R164=19,75,0)</f>
        <v>0</v>
      </c>
      <c r="AA51" s="953"/>
      <c r="AB51" s="870">
        <f>IF('Блок ввода'!E158=28,0,IF(AND('Блок ввода'!E158&gt;20,'Блок ввода'!E158&lt;=27),IF('Блок ввода'!E158=26,102,IF('Блок ввода'!$AA$38=1,156-AB54*1.3-(AC55+AC56)*1.625/2,120-AB54-(AC55+AC56)/2/0.8)),0))</f>
        <v>0</v>
      </c>
      <c r="AC51" s="876">
        <f>IF(AND('Блок ввода'!E158=20,OR('Блок ввода'!E84=18,'Блок ввода'!E88=18)),96-(AC55+AC56)/2-AB54*0.8,IF('Блок ввода'!E158=20,96,0))</f>
        <v>0</v>
      </c>
      <c r="AD51" s="954"/>
      <c r="AE51" s="870">
        <v>19</v>
      </c>
      <c r="AF51" s="873">
        <f>IF(OR('Блок ввода'!E158=21,'Блок ввода'!E158=22,'Блок ввода'!E158=23,'Блок ввода'!E158=24),15,3)</f>
        <v>3</v>
      </c>
      <c r="AG51" s="1002"/>
      <c r="AH51" s="953"/>
      <c r="AI51" s="953"/>
      <c r="AJ51" s="1003"/>
      <c r="AK51" s="952">
        <f>IF('Блок ввода'!R164=7,ОКГ-AL51-AN51-AO51-AY51,IF('Блок ввода'!R164=15,ОКГ-AN51-AO51-AY51,IF('Блок ввода'!S164&lt;5,ОКГ-P51*5-AN51-AO51-AP51-AY51,)))</f>
        <v>0</v>
      </c>
      <c r="AL51" s="953">
        <f>IF('Блок ввода'!R164=7,200,IF('Блок ввода'!R164=13,450-N51*5-AN51-AO51-AY51,IF('Блок ввода'!S164=5,CB51,0)))</f>
        <v>0</v>
      </c>
      <c r="AM51" s="953">
        <f>IF('Блок ввода'!S164=6,CB51,0)</f>
        <v>0</v>
      </c>
      <c r="AN51" s="878"/>
      <c r="AO51" s="878"/>
      <c r="AP51" s="1003">
        <f>IF('Блок ввода'!R164=6,20,0)</f>
        <v>0</v>
      </c>
      <c r="AQ51" s="877">
        <f>IF(AND('Раскладка продуктов'!$BC$3=1,'Блок ввода'!AA35=1),AO51*2,0)</f>
        <v>0</v>
      </c>
      <c r="AR51" s="879">
        <f>IF(AND('Раскладка продуктов'!$BC$3=2,'Блок ввода'!$AA$35=1),AO51/10,0)</f>
        <v>0</v>
      </c>
      <c r="AS51" s="880"/>
      <c r="AT51" s="870"/>
      <c r="AU51" s="870"/>
      <c r="AV51" s="870"/>
      <c r="AW51" s="870"/>
      <c r="AX51" s="870">
        <v>1</v>
      </c>
      <c r="AY51" s="881"/>
      <c r="AZ51" s="875">
        <f>IF('Блок ввода'!$A$34&lt;&gt;2,0+IF(Ср!$X$1=5,Ср!$X$3,0),IF('Блок ввода'!N158=9,150+IF(Ср!$X$1=5,Ср!$X$3,0)+IF(OR('Блок ввода'!I158=17,'Блок ввода'!I158=18),200,0),IF(OR('Блок ввода'!I158=17,'Блок ввода'!I158=18),200+IF(Ср!$X$1=5,Ср!$X$3,0),0+IF(Ср!$X$1=5,Ср!$X$3,50))))</f>
        <v>50</v>
      </c>
      <c r="BA51" s="870">
        <f>IF('Блок ввода'!$A$34=2,0,BT51)</f>
        <v>0</v>
      </c>
      <c r="BB51" s="870"/>
      <c r="BC51" s="870"/>
      <c r="BD51" s="870"/>
      <c r="BE51" s="882"/>
      <c r="BF51" s="882"/>
      <c r="BG51" s="882">
        <f>IF('Блок ввода'!E158=30,265,0)</f>
        <v>0</v>
      </c>
      <c r="BH51" s="882"/>
      <c r="BI51" s="883">
        <f>IF(Ср!$X$1=7,Ср!$X$3,0)</f>
        <v>0</v>
      </c>
      <c r="BJ51" s="884">
        <f>IF(Ср!$X$1=3,Ср!$X$3,0)</f>
        <v>0</v>
      </c>
      <c r="BK51" s="1004"/>
      <c r="BL51" s="1005"/>
      <c r="BM51" s="1005"/>
      <c r="BN51" s="1006"/>
      <c r="BO51" s="1007"/>
      <c r="BP51" s="889">
        <f>BQ51+P51*2.8+Q51*2.1+R51*3+S51*2.5+T51*3+U51*2.5+V51*2.1+W51*3+X51*3+BX51+AL51*'Блок ввода'!$D$9+'Раскладка продуктов'!AM51*'Блок ввода'!$D$8+'Раскладка продуктов'!AP51*'Блок ввода'!$D$11+'Раскладка продуктов'!AQ51*'Блок ввода'!$D$12+'Раскладка продуктов'!AX51*'Блок ввода'!$D$13+0.5*AD51+IF(BZ51&gt;0,50,BY51)+IF(BG51=265,198,0)</f>
        <v>274.5</v>
      </c>
      <c r="BQ51" s="890">
        <f>IF(BG51=265,47,'Блок ввода'!AG164)</f>
        <v>46</v>
      </c>
      <c r="BR51" s="766"/>
      <c r="BS51" s="764"/>
      <c r="BT51" s="762">
        <f>IF(OR('Блок ввода'!I158=17,'Блок ввода'!N158=9),IF('Блок ввода'!$A$34=3,BU51*15/100,BU51/5),0)</f>
        <v>0</v>
      </c>
      <c r="BU51" s="762">
        <f>IF('Блок ввода'!N158=9,150+IF('Блок ввода'!I158=17,200,0),IF('Блок ввода'!I158=17,200,0))</f>
        <v>0</v>
      </c>
      <c r="BV51" s="764"/>
      <c r="BW51" s="764"/>
      <c r="BX51" s="764">
        <f>IF(CA51&gt;0,'Раскладка продуктов'!AK51*'Блок ввода'!$D$5,AK51*'Блок ввода'!$D$4)</f>
        <v>0</v>
      </c>
      <c r="BY51" s="764">
        <f>N51+AN51*'Блок ввода'!$D$7+'Раскладка продуктов'!AO51*'Блок ввода'!$D$10</f>
        <v>6.5</v>
      </c>
      <c r="BZ51" s="762">
        <f>IF('Блок ввода'!E158&lt;4,1,IF('Блок ввода'!E158=9,1,IF('Блок ввода'!E158=10,1,IF('Блок ввода'!E158=11,1,IF('Блок ввода'!E158=5,1,IF('Блок ввода'!E158=6,1,IF('Блок ввода'!E158=7,1,0)))))))</f>
        <v>1</v>
      </c>
      <c r="CA51" s="765">
        <f>IF('Блок ввода'!S164=1,1,0)</f>
        <v>0</v>
      </c>
      <c r="CB51" s="762">
        <f>IF('Блок ввода'!A27=TRUE,ОКГ-P51*5-AN51-AO51-AP51-AY51+IF(AND($N$7=1,N51=0),CF51,IF(N60=0,0,2.5-IF(N7=2,2.5,0))),ОКГ-P51*5-AN51-AO51-AP51-AY51+IF(AND($N$7=1,N51=0),CF51,IF(N60=0,0,2.5-IF(N7=2,2.5,0))))</f>
        <v>425</v>
      </c>
      <c r="CC51" s="764"/>
      <c r="CD51" s="762">
        <f>SUM(O51:X51)*5+SUM(AK51:AP51)+IF(BG51=265,430,0)</f>
        <v>425</v>
      </c>
      <c r="CE51" s="764">
        <f>IF('Блок ввода'!I158=17,1,0)</f>
        <v>0</v>
      </c>
      <c r="CF51" s="474">
        <f>IF(AND($N$7=1,N51=0),5,0)</f>
        <v>0</v>
      </c>
      <c r="CG51" s="475"/>
      <c r="CH51" s="476"/>
      <c r="CI51" s="476"/>
      <c r="CJ51" s="476"/>
      <c r="CK51" s="476"/>
      <c r="CL51" s="476"/>
      <c r="CM51" s="476"/>
      <c r="CN51" s="39"/>
      <c r="CO51" s="39"/>
      <c r="CP51" s="39"/>
      <c r="CQ51" s="39"/>
      <c r="CR51" s="39"/>
      <c r="CS51" s="39"/>
      <c r="CT51" s="39"/>
      <c r="CU51" s="39"/>
      <c r="CV51" s="39"/>
      <c r="CW51" s="39"/>
    </row>
    <row r="52" spans="1:101" s="16" customFormat="1" ht="24" customHeight="1" x14ac:dyDescent="0.2">
      <c r="B52" s="1339"/>
      <c r="C52" s="1346"/>
      <c r="D52" s="1343"/>
      <c r="E52" s="1344"/>
      <c r="F52" s="1302"/>
      <c r="G52" s="1303"/>
      <c r="H52" s="1303"/>
      <c r="I52" s="1303"/>
      <c r="J52" s="1303"/>
      <c r="K52" s="891"/>
      <c r="L52" s="892"/>
      <c r="M52" s="892"/>
      <c r="N52" s="1186">
        <f>IF('Блок ввода'!E164=4,20,IF('Блок ввода'!E164=16,75,IF('Блок ввода'!E164=24,20,0)))</f>
        <v>0</v>
      </c>
      <c r="O52" s="894"/>
      <c r="P52" s="895"/>
      <c r="Q52" s="896"/>
      <c r="R52" s="892"/>
      <c r="S52" s="892"/>
      <c r="T52" s="892"/>
      <c r="U52" s="892"/>
      <c r="V52" s="892"/>
      <c r="W52" s="897"/>
      <c r="X52" s="894"/>
      <c r="Y52" s="896"/>
      <c r="Z52" s="892"/>
      <c r="AA52" s="892"/>
      <c r="AB52" s="892"/>
      <c r="AC52" s="897"/>
      <c r="AD52" s="898"/>
      <c r="AE52" s="892"/>
      <c r="AF52" s="899"/>
      <c r="AG52" s="896"/>
      <c r="AH52" s="892"/>
      <c r="AI52" s="892"/>
      <c r="AJ52" s="897"/>
      <c r="AK52" s="891"/>
      <c r="AL52" s="892"/>
      <c r="AM52" s="892"/>
      <c r="AN52" s="900"/>
      <c r="AO52" s="900"/>
      <c r="AP52" s="897"/>
      <c r="AQ52" s="898">
        <f>IF('Раскладка продуктов'!$BC$3=1,AO52*2,0)</f>
        <v>0</v>
      </c>
      <c r="AR52" s="901"/>
      <c r="AS52" s="892"/>
      <c r="AT52" s="892"/>
      <c r="AU52" s="892"/>
      <c r="AV52" s="892"/>
      <c r="AW52" s="892"/>
      <c r="AX52" s="892"/>
      <c r="AY52" s="902"/>
      <c r="AZ52" s="903"/>
      <c r="BA52" s="892"/>
      <c r="BB52" s="892"/>
      <c r="BC52" s="892"/>
      <c r="BD52" s="892"/>
      <c r="BE52" s="904">
        <f>IF('Блок ввода'!T164=2,15*1.4,0)</f>
        <v>0</v>
      </c>
      <c r="BF52" s="904"/>
      <c r="BG52" s="904"/>
      <c r="BH52" s="904"/>
      <c r="BI52" s="905"/>
      <c r="BJ52" s="906"/>
      <c r="BK52" s="907"/>
      <c r="BL52" s="900"/>
      <c r="BM52" s="900"/>
      <c r="BN52" s="893"/>
      <c r="BO52" s="908"/>
      <c r="BP52" s="909"/>
      <c r="BQ52" s="910"/>
      <c r="BR52" s="766"/>
      <c r="BS52" s="764"/>
      <c r="BT52" s="764"/>
      <c r="BU52" s="764"/>
      <c r="BV52" s="764"/>
      <c r="BW52" s="764"/>
      <c r="BX52" s="764"/>
      <c r="BY52" s="764">
        <f>N52+AN52*'Блок ввода'!D37+'Раскладка продуктов'!AO52*'Блок ввода'!D40</f>
        <v>0</v>
      </c>
      <c r="BZ52" s="765"/>
      <c r="CA52" s="765"/>
      <c r="CB52" s="765"/>
      <c r="CC52" s="764"/>
      <c r="CD52" s="765"/>
      <c r="CE52" s="764"/>
      <c r="CF52" s="475"/>
      <c r="CG52" s="475"/>
      <c r="CH52" s="476"/>
      <c r="CI52" s="476"/>
      <c r="CJ52" s="476"/>
      <c r="CK52" s="476"/>
      <c r="CL52" s="476"/>
      <c r="CM52" s="476"/>
      <c r="CN52" s="39"/>
      <c r="CO52" s="39"/>
      <c r="CP52" s="39"/>
      <c r="CQ52" s="39"/>
      <c r="CR52" s="39"/>
      <c r="CS52" s="39"/>
      <c r="CT52" s="39"/>
      <c r="CU52" s="39"/>
      <c r="CV52" s="39"/>
      <c r="CW52" s="39"/>
    </row>
    <row r="53" spans="1:101" s="16" customFormat="1" ht="24" customHeight="1" thickBot="1" x14ac:dyDescent="0.25">
      <c r="B53" s="1339"/>
      <c r="C53" s="1346"/>
      <c r="D53" s="1343"/>
      <c r="E53" s="1344"/>
      <c r="F53" s="1323"/>
      <c r="G53" s="1324"/>
      <c r="H53" s="1324"/>
      <c r="I53" s="1324"/>
      <c r="J53" s="1324"/>
      <c r="K53" s="911">
        <v>100</v>
      </c>
      <c r="L53" s="912">
        <v>150</v>
      </c>
      <c r="M53" s="919"/>
      <c r="N53" s="1187">
        <v>0</v>
      </c>
      <c r="O53" s="969"/>
      <c r="P53" s="895"/>
      <c r="Q53" s="896"/>
      <c r="R53" s="892"/>
      <c r="S53" s="892"/>
      <c r="T53" s="892"/>
      <c r="U53" s="892"/>
      <c r="V53" s="892"/>
      <c r="W53" s="897"/>
      <c r="X53" s="894"/>
      <c r="Y53" s="896"/>
      <c r="Z53" s="892"/>
      <c r="AA53" s="892"/>
      <c r="AB53" s="892"/>
      <c r="AC53" s="897"/>
      <c r="AD53" s="898"/>
      <c r="AE53" s="892"/>
      <c r="AF53" s="899"/>
      <c r="AG53" s="896">
        <f>IF(OR('Блок ввода'!T164&lt;=7,'Блок ввода'!T164=9),30-AG59/2-(BE52+BE61)/2.8,0)</f>
        <v>30</v>
      </c>
      <c r="AH53" s="903"/>
      <c r="AI53" s="892">
        <f>IF('Блок ввода'!T164=4,20,0)</f>
        <v>20</v>
      </c>
      <c r="AJ53" s="897"/>
      <c r="AK53" s="973"/>
      <c r="AL53" s="919"/>
      <c r="AM53" s="919"/>
      <c r="AN53" s="927"/>
      <c r="AO53" s="900"/>
      <c r="AP53" s="971"/>
      <c r="AQ53" s="917">
        <f>IF(AND('Раскладка продуктов'!$BC$3=1,'Блок ввода'!AA35=1),AO53*2,0)</f>
        <v>0</v>
      </c>
      <c r="AR53" s="918"/>
      <c r="AS53" s="919"/>
      <c r="AT53" s="919"/>
      <c r="AU53" s="919"/>
      <c r="AV53" s="919"/>
      <c r="AW53" s="919"/>
      <c r="AX53" s="920"/>
      <c r="AY53" s="921"/>
      <c r="AZ53" s="922"/>
      <c r="BA53" s="919"/>
      <c r="BB53" s="919"/>
      <c r="BC53" s="919">
        <v>1.5</v>
      </c>
      <c r="BD53" s="919"/>
      <c r="BE53" s="923"/>
      <c r="BF53" s="923"/>
      <c r="BG53" s="923"/>
      <c r="BH53" s="919">
        <f>IF('Блок ввода'!$B$223=1,O53/37.5/2,O53/37.5)</f>
        <v>0</v>
      </c>
      <c r="BI53" s="924"/>
      <c r="BJ53" s="925"/>
      <c r="BK53" s="926"/>
      <c r="BL53" s="927"/>
      <c r="BM53" s="927"/>
      <c r="BN53" s="928"/>
      <c r="BO53" s="929"/>
      <c r="BP53" s="909">
        <v>250</v>
      </c>
      <c r="BQ53" s="910"/>
      <c r="BR53" s="766"/>
      <c r="BS53" s="764"/>
      <c r="BT53" s="764"/>
      <c r="BU53" s="764"/>
      <c r="BV53" s="764"/>
      <c r="BW53" s="764"/>
      <c r="BX53" s="764"/>
      <c r="BY53" s="764">
        <f>N53+AN53*'Блок ввода'!D38+'Раскладка продуктов'!AO53*'Блок ввода'!D41</f>
        <v>0</v>
      </c>
      <c r="BZ53" s="765"/>
      <c r="CA53" s="765"/>
      <c r="CB53" s="765"/>
      <c r="CC53" s="764"/>
      <c r="CD53" s="765"/>
      <c r="CE53" s="764"/>
      <c r="CF53" s="475"/>
      <c r="CG53" s="475"/>
      <c r="CH53" s="476"/>
      <c r="CI53" s="476"/>
      <c r="CJ53" s="476"/>
      <c r="CK53" s="476"/>
      <c r="CL53" s="476"/>
      <c r="CM53" s="476"/>
      <c r="CN53" s="39"/>
      <c r="CO53" s="39"/>
      <c r="CP53" s="39"/>
      <c r="CQ53" s="39"/>
      <c r="CR53" s="39"/>
      <c r="CS53" s="39"/>
      <c r="CT53" s="39"/>
      <c r="CU53" s="39"/>
      <c r="CV53" s="39"/>
      <c r="CW53" s="39"/>
    </row>
    <row r="54" spans="1:101" s="16" customFormat="1" ht="24" customHeight="1" x14ac:dyDescent="0.2">
      <c r="B54" s="1339"/>
      <c r="C54" s="1346"/>
      <c r="D54" s="1379" t="str">
        <f>CONCATENATE("О б е д, ОКГ = ",CD57)</f>
        <v>О б е д, ОКГ = 820</v>
      </c>
      <c r="E54" s="483" t="s">
        <v>228</v>
      </c>
      <c r="F54" s="1332" t="str">
        <f>'Блок ввода'!G48</f>
        <v>Винегрет с сельдью</v>
      </c>
      <c r="G54" s="1333"/>
      <c r="H54" s="1333"/>
      <c r="I54" s="1333"/>
      <c r="J54" s="1334"/>
      <c r="K54" s="869"/>
      <c r="L54" s="870"/>
      <c r="M54" s="870"/>
      <c r="N54" s="1188">
        <v>0</v>
      </c>
      <c r="O54" s="871"/>
      <c r="P54" s="871"/>
      <c r="Q54" s="874"/>
      <c r="R54" s="870">
        <f>IF('Блок ввода'!R167=2,5,IF('Блок ввода'!R167=12,5,0))</f>
        <v>0</v>
      </c>
      <c r="S54" s="870"/>
      <c r="T54" s="870"/>
      <c r="U54" s="870"/>
      <c r="V54" s="870"/>
      <c r="W54" s="876"/>
      <c r="X54" s="871"/>
      <c r="Y54" s="874"/>
      <c r="Z54" s="870"/>
      <c r="AA54" s="870"/>
      <c r="AB54" s="870">
        <f>IF('Блок ввода'!E46=16,30,0)</f>
        <v>30</v>
      </c>
      <c r="AC54" s="876"/>
      <c r="AD54" s="877"/>
      <c r="AE54" s="870"/>
      <c r="AF54" s="873">
        <f>30-AF60-AF51</f>
        <v>12</v>
      </c>
      <c r="AG54" s="874"/>
      <c r="AH54" s="870"/>
      <c r="AI54" s="870"/>
      <c r="AJ54" s="876"/>
      <c r="AK54" s="869">
        <f>IF('Блок ввода'!E46=17,0,150-P54*5-R54*5-AL54-AM54-AN54-AO54-AP54-AY54)</f>
        <v>65</v>
      </c>
      <c r="AL54" s="870">
        <f>IF('Блок ввода'!R167=2,20,IF('Блок ввода'!R167=5,150-AN54-AO54-AQ54*5-AY54,IF('Блок ввода'!R167=8,20,0)))</f>
        <v>0</v>
      </c>
      <c r="AM54" s="870">
        <f>IF(OR('Блок ввода'!R167=1,'Блок ввода'!R167=16),40,IF('Блок ввода'!R167=2,20,IF('Блок ввода'!R167=6,150-AN54-AO54-AY54,IF('Блок ввода'!R167=7,150-AN54-AO54-AY54,IF('Блок ввода'!R167=17,(150-AO54-AN54)*375/500,IF('Блок ввода'!R167&gt;10,150-R54*5-AN54-AO54-AP54-AY54,0))))))</f>
        <v>40</v>
      </c>
      <c r="AN54" s="886">
        <f>IF('Блок ввода'!R167=20,150-AO54,10)</f>
        <v>10</v>
      </c>
      <c r="AO54" s="878">
        <v>10</v>
      </c>
      <c r="AP54" s="876">
        <f>IF(OR('Блок ввода'!R167&lt;3,'Блок ввода'!R167=16),25,IF('Блок ввода'!R167=4,45,IF(OR('Блок ввода'!R167=9,'Блок ввода'!R167=15,'Блок ввода'!R167=18,'Блок ввода'!R167=19,'Блок ввода'!R167=21),150-AN54-AO54-AY54,IF('Блок ввода'!R167=10,150-AN54-AO54-AY54,IF('Блок ввода'!R167=12,55,IF('Блок ввода'!R167=13,40,0))))))</f>
        <v>25</v>
      </c>
      <c r="AQ54" s="877">
        <f>IF(AND('Раскладка продуктов'!$BC$3=1,'Блок ввода'!AA35=1),AO54*2,0)</f>
        <v>0</v>
      </c>
      <c r="AR54" s="879">
        <f>IF(AND('Раскладка продуктов'!$BC$3=2,'Блок ввода'!$AA$35=1),AO54/10,0)</f>
        <v>0</v>
      </c>
      <c r="AS54" s="870"/>
      <c r="AT54" s="870"/>
      <c r="AU54" s="870"/>
      <c r="AV54" s="870"/>
      <c r="AW54" s="870"/>
      <c r="AX54" s="870"/>
      <c r="AY54" s="881"/>
      <c r="AZ54" s="875"/>
      <c r="BA54" s="870"/>
      <c r="BB54" s="870"/>
      <c r="BC54" s="870"/>
      <c r="BD54" s="870"/>
      <c r="BE54" s="882"/>
      <c r="BF54" s="882"/>
      <c r="BG54" s="882"/>
      <c r="BH54" s="882"/>
      <c r="BI54" s="883"/>
      <c r="BJ54" s="884"/>
      <c r="BK54" s="885"/>
      <c r="BL54" s="886"/>
      <c r="BM54" s="886"/>
      <c r="BN54" s="887"/>
      <c r="BO54" s="888"/>
      <c r="BP54" s="931">
        <f>IF('Блок ввода'!E46=17,('Раскладка продуктов'!AM54+'Раскладка продуктов'!AF54+'Раскладка продуктов'!AN54/2+'Раскладка продуктов'!AO54*0.84),(AK54*'Блок ввода'!$D$4+AL54*'Блок ввода'!$D$9+AM54*'Блок ввода'!$D$8+AN54/2+AO54*0.84+AP54/10*9+AX54/10*8+AF54))</f>
        <v>127.05000000000001</v>
      </c>
      <c r="BQ54" s="890"/>
      <c r="BR54" s="766"/>
      <c r="BS54" s="764"/>
      <c r="BT54" s="764"/>
      <c r="BU54" s="764"/>
      <c r="BV54" s="764"/>
      <c r="BW54" s="764"/>
      <c r="BX54" s="764"/>
      <c r="BY54" s="764"/>
      <c r="BZ54" s="765"/>
      <c r="CA54" s="765"/>
      <c r="CB54" s="765">
        <f>SUM(AK54:AP54)+R54*5</f>
        <v>150</v>
      </c>
      <c r="CC54" s="764"/>
      <c r="CD54" s="765"/>
      <c r="CE54" s="764"/>
      <c r="CF54" s="475"/>
      <c r="CG54" s="475"/>
      <c r="CH54" s="476"/>
      <c r="CI54" s="476"/>
      <c r="CJ54" s="476"/>
      <c r="CK54" s="476"/>
      <c r="CL54" s="476"/>
      <c r="CM54" s="476"/>
      <c r="CN54" s="39"/>
      <c r="CO54" s="39"/>
      <c r="CP54" s="39"/>
      <c r="CQ54" s="39"/>
      <c r="CR54" s="39"/>
      <c r="CS54" s="39"/>
      <c r="CT54" s="39"/>
      <c r="CU54" s="39"/>
      <c r="CV54" s="39"/>
      <c r="CW54" s="39"/>
    </row>
    <row r="55" spans="1:101" s="16" customFormat="1" ht="24" customHeight="1" x14ac:dyDescent="0.2">
      <c r="B55" s="1339"/>
      <c r="C55" s="1346"/>
      <c r="D55" s="1380"/>
      <c r="E55" s="484" t="s">
        <v>229</v>
      </c>
      <c r="F55" s="1319" t="str">
        <f>'Блок ввода'!G87</f>
        <v>Суп молочный рисовый</v>
      </c>
      <c r="G55" s="1320"/>
      <c r="H55" s="1320"/>
      <c r="I55" s="1320"/>
      <c r="J55" s="1320"/>
      <c r="K55" s="891"/>
      <c r="L55" s="892"/>
      <c r="M55" s="892"/>
      <c r="N55" s="1189">
        <v>2</v>
      </c>
      <c r="O55" s="894"/>
      <c r="P55" s="894">
        <f>IF('Блок ввода'!R168=14,20,IF('Блок ввода'!R168=22,55-(AN55+AO55)/5,0))</f>
        <v>51</v>
      </c>
      <c r="Q55" s="896">
        <f>IF('Блок ввода'!R168=15,20,IF('Блок ввода'!R168=23,60-N55-(AN55+AO55)/5-AQ55-AR55*2,0))</f>
        <v>0</v>
      </c>
      <c r="R55" s="892">
        <f>IF('Блок ввода'!R168=8,20,0)</f>
        <v>0</v>
      </c>
      <c r="S55" s="892">
        <f>IF('Блок ввода'!R168=16,20,0)</f>
        <v>0</v>
      </c>
      <c r="T55" s="892">
        <f>IF('Блок ввода'!R168=17,20,0)</f>
        <v>0</v>
      </c>
      <c r="U55" s="892">
        <f>IF('Блок ввода'!R168=4,15,IF('Блок ввода'!R168=19,30,0))</f>
        <v>0</v>
      </c>
      <c r="V55" s="892">
        <f>IF('Блок ввода'!R168=3,20,IF('Блок ввода'!R168=12,25,0))</f>
        <v>0</v>
      </c>
      <c r="W55" s="897"/>
      <c r="X55" s="894">
        <f>IF('Блок ввода'!R168=13,25,IF('Блок ввода'!R168=21,60-(AN55+AO55)/5-AQ55-AR55*2,0))</f>
        <v>0</v>
      </c>
      <c r="Y55" s="896"/>
      <c r="Z55" s="892"/>
      <c r="AA55" s="892"/>
      <c r="AB55" s="892"/>
      <c r="AC55" s="899">
        <f>IF('Блок ввода'!E84=18,12,0)</f>
        <v>0</v>
      </c>
      <c r="AD55" s="898"/>
      <c r="AE55" s="892"/>
      <c r="AF55" s="899"/>
      <c r="AG55" s="896"/>
      <c r="AH55" s="892"/>
      <c r="AI55" s="892"/>
      <c r="AJ55" s="897"/>
      <c r="AK55" s="891">
        <f>IF('Блок ввода'!E84=24,0,ОКГП-(SUM(P55:X55))*5-AL55-AM55-AN55-AO55-AP55-AY55)</f>
        <v>0</v>
      </c>
      <c r="AL55" s="892">
        <f>IF('Блок ввода'!R168&lt;3,140,IF('Блок ввода'!R168=3,90,IF('Блок ввода'!R168=4,115,IF('Блок ввода'!R168=5,80,IF('Блок ввода'!R168=9,90,0)))))</f>
        <v>0</v>
      </c>
      <c r="AM55" s="892">
        <f>IF('Блок ввода'!R168=5,60,IF('Блок ввода'!R168=6,60,IF('Блок ввода'!R168=20,120,0)))</f>
        <v>0</v>
      </c>
      <c r="AN55" s="932">
        <v>10</v>
      </c>
      <c r="AO55" s="932">
        <v>10</v>
      </c>
      <c r="AP55" s="897">
        <f>IF('Блок ввода'!R168=6,80,IF('Блок ввода'!R168=7,50,IF('Блок ввода'!R168=8,50,IF('Блок ввода'!R168=9,50,IF('Блок ввода'!R168=11,105,IF('Блок ввода'!R168=19,5,IF('Блок ввода'!R168=20,70,0)))))))</f>
        <v>0</v>
      </c>
      <c r="AQ55" s="898">
        <f>IF(AND('Раскладка продуктов'!$BC$3=1,'Блок ввода'!AA35=1),AO55*2,0)</f>
        <v>0</v>
      </c>
      <c r="AR55" s="901">
        <f>IF(AND('Раскладка продуктов'!$BC$3=2,'Блок ввода'!$AA$35=1),AO55/10,0)</f>
        <v>0</v>
      </c>
      <c r="AS55" s="892"/>
      <c r="AT55" s="892"/>
      <c r="AU55" s="892"/>
      <c r="AV55" s="892"/>
      <c r="AW55" s="892"/>
      <c r="AX55" s="903">
        <f>IF('Блок ввода'!R168=20,0.5,0)</f>
        <v>0</v>
      </c>
      <c r="AY55" s="902"/>
      <c r="AZ55" s="903">
        <f>IF('Блок ввода'!$A$34&lt;&gt;2,0,IF(OR('Блок ввода'!E84=21,'Блок ввода'!E84=22,'Блок ввода'!E84=23),('Блок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280</v>
      </c>
      <c r="BA55" s="892">
        <f>IF('Блок ввода'!$A$34=2,0,BT55)</f>
        <v>0</v>
      </c>
      <c r="BB55" s="892"/>
      <c r="BC55" s="892"/>
      <c r="BD55" s="892"/>
      <c r="BE55" s="904"/>
      <c r="BF55" s="904">
        <f>IF('Блок ввода'!E84=24,(300-'Раскладка продуктов'!N55*5-'Раскладка продуктов'!AN55-'Раскладка продуктов'!AO55)*375/500,0)</f>
        <v>0</v>
      </c>
      <c r="BG55" s="904"/>
      <c r="BH55" s="904"/>
      <c r="BI55" s="905"/>
      <c r="BJ55" s="906"/>
      <c r="BK55" s="907"/>
      <c r="BL55" s="900"/>
      <c r="BM55" s="900"/>
      <c r="BN55" s="893"/>
      <c r="BO55" s="908"/>
      <c r="BP55" s="909">
        <f>IF($BP$1=1,550,500)</f>
        <v>550</v>
      </c>
      <c r="BQ55" s="910"/>
      <c r="BR55" s="766"/>
      <c r="BS55" s="764"/>
      <c r="BT55" s="764">
        <f>IF('Блок ввода'!E84&gt;20,IF('Блок ввода'!A34=3,BU55*15/100,BU55/5),0)</f>
        <v>70</v>
      </c>
      <c r="BU55" s="764">
        <f>IF(OR('Блок ввода'!E84=21,'Блок ввода'!E84=22,'Блок ввода'!E84=23),('Блок ввода'!$L$34-$AZ$34-$AZ$47-$AZ$60-$AZ$73-$AZ$103-$AZ$116-$AZ$129-$AZ$25-$AZ$38-$AZ$51-$AZ$64-$AZ$94-$AZ$107-$AZ$120)/2,0)</f>
        <v>350</v>
      </c>
      <c r="BV55" s="764"/>
      <c r="BW55" s="764"/>
      <c r="BX55" s="764"/>
      <c r="BY55" s="764"/>
      <c r="BZ55" s="765"/>
      <c r="CA55" s="765"/>
      <c r="CB55" s="765">
        <f>SUM(N55:X55)*5+SUM(AK55:AP55)+BF55*500/375</f>
        <v>285</v>
      </c>
      <c r="CC55" s="764"/>
      <c r="CD55" s="765"/>
      <c r="CE55" s="764"/>
      <c r="CF55" s="475"/>
      <c r="CG55" s="475"/>
      <c r="CH55" s="476"/>
      <c r="CI55" s="476"/>
      <c r="CJ55" s="476"/>
      <c r="CK55" s="476"/>
      <c r="CL55" s="476"/>
      <c r="CM55" s="476"/>
      <c r="CN55" s="39"/>
      <c r="CO55" s="39"/>
      <c r="CP55" s="39"/>
      <c r="CQ55" s="39"/>
      <c r="CR55" s="39"/>
      <c r="CS55" s="39"/>
      <c r="CT55" s="39"/>
      <c r="CU55" s="39"/>
      <c r="CV55" s="39"/>
      <c r="CW55" s="39"/>
    </row>
    <row r="56" spans="1:101" s="16" customFormat="1" ht="24" customHeight="1" x14ac:dyDescent="0.2">
      <c r="B56" s="1339"/>
      <c r="C56" s="1346"/>
      <c r="D56" s="1380"/>
      <c r="E56" s="484" t="s">
        <v>229</v>
      </c>
      <c r="F56" s="1319" t="str">
        <f>'Блок ввода'!G91</f>
        <v>Суп молочный с макар.изделиями</v>
      </c>
      <c r="G56" s="1320"/>
      <c r="H56" s="1320"/>
      <c r="I56" s="1320"/>
      <c r="J56" s="1320"/>
      <c r="K56" s="891"/>
      <c r="L56" s="892"/>
      <c r="M56" s="892"/>
      <c r="N56" s="1189">
        <v>2</v>
      </c>
      <c r="O56" s="894"/>
      <c r="P56" s="894">
        <f>IF('Блок ввода'!R169=14,20,IF('Блок ввода'!R169=22,55-(AN56+AO56)/5,0))</f>
        <v>0</v>
      </c>
      <c r="Q56" s="896">
        <f>IF('Блок ввода'!R169=15,20,IF('Блок ввода'!R169=23,60-N56-(AN56+AO56)/5-AQ56-AR56*2,0))</f>
        <v>0</v>
      </c>
      <c r="R56" s="892">
        <f>IF('Блок ввода'!R169=8,20,0)</f>
        <v>0</v>
      </c>
      <c r="S56" s="892">
        <f>IF('Блок ввода'!R169=16,20,0)</f>
        <v>0</v>
      </c>
      <c r="T56" s="892">
        <f>IF('Блок ввода'!R169=17,20,0)</f>
        <v>0</v>
      </c>
      <c r="U56" s="892">
        <f>IF('Блок ввода'!R169=4,15,IF('Блок ввода'!R169=19,30,0))</f>
        <v>0</v>
      </c>
      <c r="V56" s="892">
        <f>IF('Блок ввода'!R169=3,20,IF('Блок ввода'!R169=12,25,0))</f>
        <v>0</v>
      </c>
      <c r="W56" s="897"/>
      <c r="X56" s="894">
        <f>IF('Блок ввода'!R169=13,25,IF('Блок ввода'!R169=21,60-(AN56+AO56)/5-AQ56-AR56*2,0))</f>
        <v>56</v>
      </c>
      <c r="Y56" s="896"/>
      <c r="Z56" s="892"/>
      <c r="AA56" s="892"/>
      <c r="AB56" s="933"/>
      <c r="AC56" s="899">
        <f>IF('Блок ввода'!E88=18,12,0)</f>
        <v>0</v>
      </c>
      <c r="AD56" s="898"/>
      <c r="AE56" s="892">
        <v>4</v>
      </c>
      <c r="AF56" s="899"/>
      <c r="AG56" s="896"/>
      <c r="AH56" s="892"/>
      <c r="AI56" s="892"/>
      <c r="AJ56" s="897"/>
      <c r="AK56" s="891">
        <f>IF('Блок ввода'!E88=24,0,ОКГП-(SUM(P56:X56))*5-AL56-AM56-AN56-AO56-AP56-AY56)</f>
        <v>-25</v>
      </c>
      <c r="AL56" s="892">
        <f>IF('Блок ввода'!R169&lt;3,140,IF('Блок ввода'!R169=3,90,IF('Блок ввода'!R169=4,115,IF('Блок ввода'!R169=5,80,IF('Блок ввода'!R169=9,90,0)))))</f>
        <v>0</v>
      </c>
      <c r="AM56" s="892">
        <f>IF('Блок ввода'!R169=5,60,IF('Блок ввода'!R169=6,60,IF('Блок ввода'!R169=20,120,0)))</f>
        <v>0</v>
      </c>
      <c r="AN56" s="932">
        <v>10</v>
      </c>
      <c r="AO56" s="932">
        <v>10</v>
      </c>
      <c r="AP56" s="897">
        <f>IF('Блок ввода'!R169=6,80,IF('Блок ввода'!R169=7,50,IF('Блок ввода'!R169=8,50,IF('Блок ввода'!R169=9,50,IF('Блок ввода'!R169=11,105,IF('Блок ввода'!R169=19,5,IF('Блок ввода'!R169=20,70,0)))))))</f>
        <v>0</v>
      </c>
      <c r="AQ56" s="898">
        <f>IF(AND('Раскладка продуктов'!$BC$3=1,'Блок ввода'!AA35=1),AO56*2,0)</f>
        <v>0</v>
      </c>
      <c r="AR56" s="901">
        <f>IF(AND('Раскладка продуктов'!$BC$3=2,'Блок ввода'!$AA$35=1),AO56/10,0)</f>
        <v>0</v>
      </c>
      <c r="AS56" s="892"/>
      <c r="AT56" s="892"/>
      <c r="AU56" s="892"/>
      <c r="AV56" s="892"/>
      <c r="AW56" s="892"/>
      <c r="AX56" s="903">
        <f>IF('Блок ввода'!R169=20,0.5,0)</f>
        <v>0</v>
      </c>
      <c r="AY56" s="902"/>
      <c r="AZ56" s="903">
        <f>IF('Блок ввода'!$A$34&lt;&gt;2,0,IF(OR('Блок ввода'!E88=21,'Блок ввода'!E88=22,'Блок ввода'!E88=23),('Блок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280</v>
      </c>
      <c r="BA56" s="892">
        <f>IF('Блок ввода'!$A$34=2,0,BT56)</f>
        <v>0</v>
      </c>
      <c r="BB56" s="892"/>
      <c r="BC56" s="892"/>
      <c r="BD56" s="892"/>
      <c r="BE56" s="904"/>
      <c r="BF56" s="904">
        <f>IF('Блок ввода'!E88=24,(300-'Раскладка продуктов'!N56*5-'Раскладка продуктов'!AN56-'Раскладка продуктов'!AO56)*375/500,0)</f>
        <v>0</v>
      </c>
      <c r="BG56" s="904"/>
      <c r="BH56" s="904"/>
      <c r="BI56" s="905"/>
      <c r="BJ56" s="906"/>
      <c r="BK56" s="907"/>
      <c r="BL56" s="900"/>
      <c r="BM56" s="900"/>
      <c r="BN56" s="893"/>
      <c r="BO56" s="908"/>
      <c r="BP56" s="909">
        <f>IF($BP$1=1,550,500)</f>
        <v>550</v>
      </c>
      <c r="BQ56" s="934"/>
      <c r="BR56" s="766"/>
      <c r="BS56" s="764"/>
      <c r="BT56" s="764">
        <f>IF('Блок ввода'!E88&gt;20,IF('Блок ввода'!A34=3,BU56*15/100,BU56/5),0)</f>
        <v>70</v>
      </c>
      <c r="BU56" s="764">
        <f>IF(OR('Блок ввода'!E88=21,'Блок ввода'!E88=22,'Блок ввода'!E88=23),('Блок ввода'!$L$34-$AZ$34-$AZ$47-$AZ$60-$AZ$73-$AZ$103-$AZ$116-$AZ$129-$AZ$25-$AZ$38-$AZ$51-$AZ$64-$AZ$94-$AZ$107-$AZ$120)/2,0)</f>
        <v>350</v>
      </c>
      <c r="BV56" s="764"/>
      <c r="BW56" s="764"/>
      <c r="BX56" s="764"/>
      <c r="BY56" s="764"/>
      <c r="BZ56" s="765"/>
      <c r="CA56" s="765"/>
      <c r="CB56" s="765">
        <f>SUM(N56:X56)*5+SUM(AK56:AP56)+BF56*500/375</f>
        <v>285</v>
      </c>
      <c r="CC56" s="764"/>
      <c r="CD56" s="765"/>
      <c r="CE56" s="764"/>
      <c r="CF56" s="475"/>
      <c r="CG56" s="475"/>
      <c r="CH56" s="476"/>
      <c r="CI56" s="476"/>
      <c r="CJ56" s="476"/>
      <c r="CK56" s="476"/>
      <c r="CL56" s="476"/>
      <c r="CM56" s="476"/>
      <c r="CN56" s="39"/>
      <c r="CO56" s="39"/>
      <c r="CP56" s="39"/>
      <c r="CQ56" s="39"/>
      <c r="CR56" s="39"/>
      <c r="CS56" s="39"/>
      <c r="CT56" s="39"/>
      <c r="CU56" s="39"/>
      <c r="CV56" s="39"/>
      <c r="CW56" s="39"/>
    </row>
    <row r="57" spans="1:101" s="16" customFormat="1" ht="24" customHeight="1" x14ac:dyDescent="0.2">
      <c r="B57" s="1339"/>
      <c r="C57" s="1346"/>
      <c r="D57" s="1380"/>
      <c r="E57" s="484" t="s">
        <v>230</v>
      </c>
      <c r="F57" s="1319" t="str">
        <f>CONCATENATE('Блок ввода'!Y171,'Блок ввода'!AA171)</f>
        <v xml:space="preserve">Мясо отвар. с соусом  с кашей перловой рас,  </v>
      </c>
      <c r="G57" s="1320"/>
      <c r="H57" s="1320"/>
      <c r="I57" s="1320"/>
      <c r="J57" s="1348"/>
      <c r="K57" s="891"/>
      <c r="L57" s="892"/>
      <c r="M57" s="892"/>
      <c r="N57" s="1189">
        <v>2</v>
      </c>
      <c r="O57" s="894">
        <f>IF('Блок ввода'!R170=4,20,IF('Блок ввода'!R170=16,75,IF('Блок ввода'!R170=24,20,0)))</f>
        <v>0</v>
      </c>
      <c r="P57" s="894">
        <f>IF('Блок ввода'!R170=8,(ОКГВ-AN57-AO57-AY57)/5,IF('Блок ввода'!R170=12,16,IF('Блок ввода'!S170=7,(ОКГВ-AN57-AO57-AP57-AY57)/5,0)))</f>
        <v>0</v>
      </c>
      <c r="Q57" s="891">
        <f>IF('Блок ввода'!S170=8,CB57/5,0)</f>
        <v>0</v>
      </c>
      <c r="R57" s="892">
        <f>IF('Блок ввода'!S170=9,CB57/5,0)</f>
        <v>71</v>
      </c>
      <c r="S57" s="892">
        <f>IF('Блок ввода'!S170=11,CB57/5,0)</f>
        <v>0</v>
      </c>
      <c r="T57" s="892">
        <f>IF('Блок ввода'!S170=12,CB57/5,0)</f>
        <v>0</v>
      </c>
      <c r="U57" s="892">
        <f>IF('Блок ввода'!S170=10,CB57/5,IF('Блок ввода'!S170=16,CB57/5-V57,0))</f>
        <v>0</v>
      </c>
      <c r="V57" s="892">
        <f>IF('Блок ввода'!S170=14,CB57/5,IF('Блок ввода'!S170=16,40,0))</f>
        <v>0</v>
      </c>
      <c r="W57" s="899">
        <f>IF('Блок ввода'!S170=13,CB57/5,0)</f>
        <v>0</v>
      </c>
      <c r="X57" s="894">
        <f>IF('Блок ввода'!R170=14,CB57/5,IF('Блок ввода'!S170=15,CB57/5,0))</f>
        <v>0</v>
      </c>
      <c r="Y57" s="896">
        <f>IF('Блок ввода'!R170&lt;19,BT1,0)</f>
        <v>150</v>
      </c>
      <c r="Z57" s="892">
        <f>IF('Блок ввода'!R170=19,75,0)</f>
        <v>0</v>
      </c>
      <c r="AA57" s="892"/>
      <c r="AB57" s="892">
        <f>IF('Блок ввода'!R170&gt;20,120-AB54,0)</f>
        <v>0</v>
      </c>
      <c r="AC57" s="897">
        <f>IF('Блок ввода'!R170=20,96,0)</f>
        <v>0</v>
      </c>
      <c r="AD57" s="898"/>
      <c r="AE57" s="892">
        <v>4</v>
      </c>
      <c r="AF57" s="899"/>
      <c r="AG57" s="896"/>
      <c r="AH57" s="892"/>
      <c r="AI57" s="892"/>
      <c r="AJ57" s="897"/>
      <c r="AK57" s="891">
        <f>IF('Блок ввода'!R170=7,ОКГВ-AL57-AN57-AO57-AY57,IF('Блок ввода'!R170=15,ОКГВ-AN57-AO57-AY57,IF('Блок ввода'!S170&lt;5,ОКГВ-P57*5-AN57-AO57-AP57-AY57,)))</f>
        <v>0</v>
      </c>
      <c r="AL57" s="892">
        <f>IF('Блок ввода'!R170=7,200,IF('Блок ввода'!R170=13,450-N57*5-AN57-AO57-AQ57*5-AY57,IF('Блок ввода'!S170=5,CB57,0)))</f>
        <v>0</v>
      </c>
      <c r="AM57" s="892"/>
      <c r="AN57" s="932">
        <v>10</v>
      </c>
      <c r="AO57" s="932">
        <v>10</v>
      </c>
      <c r="AP57" s="897">
        <f>IF('Блок ввода'!R170=6,20,0)</f>
        <v>0</v>
      </c>
      <c r="AQ57" s="898">
        <f>IF(AND('Раскладка продуктов'!$BC$3=1,'Блок ввода'!AA35=1),AO57*2,0)</f>
        <v>0</v>
      </c>
      <c r="AR57" s="901">
        <f>IF(AND('Раскладка продуктов'!$BC$3=2,'Блок ввода'!$AA$35=1),AO57/10,0)</f>
        <v>0</v>
      </c>
      <c r="AS57" s="892"/>
      <c r="AT57" s="892"/>
      <c r="AU57" s="892"/>
      <c r="AV57" s="892"/>
      <c r="AW57" s="892"/>
      <c r="AX57" s="892"/>
      <c r="AY57" s="902"/>
      <c r="AZ57" s="903"/>
      <c r="BA57" s="892"/>
      <c r="BB57" s="892"/>
      <c r="BC57" s="892"/>
      <c r="BD57" s="892"/>
      <c r="BE57" s="904"/>
      <c r="BF57" s="904"/>
      <c r="BG57" s="904"/>
      <c r="BH57" s="904"/>
      <c r="BI57" s="905"/>
      <c r="BJ57" s="906"/>
      <c r="BK57" s="907"/>
      <c r="BL57" s="900"/>
      <c r="BM57" s="900"/>
      <c r="BN57" s="893"/>
      <c r="BO57" s="908"/>
      <c r="BP57" s="909">
        <f>BQ57+P57*2.8+Q57*2.1+R57*3+S57*3+T57*3+U57*2.5+V57*2.1+W57*3+X57*3+BX57+AL57*'Блок ввода'!$D$9+'Раскладка продуктов'!AM57*'Блок ввода'!$D$8+'Раскладка продуктов'!AP57*'Блок ввода'!$D$11+'Раскладка продуктов'!AQ57*'Блок ввода'!$D$12+'Раскладка продуктов'!AX57*'Блок ввода'!$D$13+0.5*AD57+IF(BZ57&gt;0,50,BY57)</f>
        <v>309</v>
      </c>
      <c r="BQ57" s="934">
        <f>'Блок ввода'!AG170</f>
        <v>46</v>
      </c>
      <c r="BR57" s="766"/>
      <c r="BS57" s="764"/>
      <c r="BT57" s="764"/>
      <c r="BU57" s="764"/>
      <c r="BV57" s="764"/>
      <c r="BW57" s="764"/>
      <c r="BX57" s="764">
        <f>IF(CA57&gt;0,'Раскладка продуктов'!AK57*'Блок ввода'!$D$5,AK57*'Блок ввода'!$D$4)</f>
        <v>0</v>
      </c>
      <c r="BY57" s="764">
        <f>N57+AN57*'Блок ввода'!$D$7+'Раскладка продуктов'!AO57*'Блок ввода'!$D$10</f>
        <v>17.8</v>
      </c>
      <c r="BZ57" s="765">
        <f>IF('Блок ввода'!R170&lt;4,1,IF('Блок ввода'!R170=9,1,IF('Блок ввода'!R170=10,1,IF('Блок ввода'!R170=11,1,IF('Блок ввода'!R170=5,1,IF('Блок ввода'!R170=6,1,IF('Блок ввода'!R170=7,1,0)))))))</f>
        <v>1</v>
      </c>
      <c r="CA57" s="765">
        <f>IF('Блок ввода'!S170=1,1,0)</f>
        <v>0</v>
      </c>
      <c r="CB57" s="765">
        <f>ОКГВ-P57*5-AN57-AO57-AP57-AY57</f>
        <v>355</v>
      </c>
      <c r="CC57" s="765">
        <f>SUM(N57:X57)*5+SUM(AK57:AP57)</f>
        <v>385</v>
      </c>
      <c r="CD57" s="765">
        <f>(CB55+CB56+CC57+CC58)/2+CB54</f>
        <v>820</v>
      </c>
      <c r="CE57" s="764"/>
      <c r="CF57" s="475"/>
      <c r="CG57" s="475"/>
      <c r="CH57" s="476"/>
      <c r="CI57" s="476"/>
      <c r="CJ57" s="476"/>
      <c r="CK57" s="476"/>
      <c r="CL57" s="476"/>
      <c r="CM57" s="476"/>
      <c r="CN57" s="39"/>
      <c r="CO57" s="39"/>
      <c r="CP57" s="39"/>
      <c r="CQ57" s="39"/>
      <c r="CR57" s="39"/>
      <c r="CS57" s="39"/>
      <c r="CT57" s="39"/>
      <c r="CU57" s="39"/>
      <c r="CV57" s="39"/>
      <c r="CW57" s="39"/>
    </row>
    <row r="58" spans="1:101" s="16" customFormat="1" ht="24" customHeight="1" x14ac:dyDescent="0.2">
      <c r="B58" s="1339"/>
      <c r="C58" s="1346"/>
      <c r="D58" s="1380"/>
      <c r="E58" s="484" t="s">
        <v>230</v>
      </c>
      <c r="F58" s="1319" t="str">
        <f>CONCATENATE('Блок ввода'!Y176,'Блок ввода'!AA176)</f>
        <v xml:space="preserve">Мясо отвар. с соусом  с капустой тушеной,    </v>
      </c>
      <c r="G58" s="1320"/>
      <c r="H58" s="1320"/>
      <c r="I58" s="1320"/>
      <c r="J58" s="1348"/>
      <c r="K58" s="891"/>
      <c r="L58" s="892"/>
      <c r="M58" s="892"/>
      <c r="N58" s="1189">
        <v>2</v>
      </c>
      <c r="O58" s="894">
        <f>IF('Блок ввода'!R171=4,20,IF('Блок ввода'!R171=16,75,IF('Блок ввода'!R171=24,20,0)))</f>
        <v>0</v>
      </c>
      <c r="P58" s="894">
        <f>IF('Блок ввода'!R171=8,(ОКГВ-AN58-AO58-AY58)/5,IF('Блок ввода'!R171=12,16,IF('Блок ввода'!S171=7,(ОКГВ-AN58-AO58-AP58-AY58)/5,0)))</f>
        <v>0</v>
      </c>
      <c r="Q58" s="891">
        <f>IF('Блок ввода'!S171=8,CB58/5,0)</f>
        <v>0</v>
      </c>
      <c r="R58" s="892">
        <f>IF('Блок ввода'!S171=9,CB58/5,0)</f>
        <v>0</v>
      </c>
      <c r="S58" s="892">
        <f>IF('Блок ввода'!S171=11,CB58/5,0)</f>
        <v>0</v>
      </c>
      <c r="T58" s="892">
        <f>IF('Блок ввода'!S171=12,CB58/5,0)</f>
        <v>0</v>
      </c>
      <c r="U58" s="892">
        <f>IF('Блок ввода'!S171=10,CB58/5,IF('Блок ввода'!S171=16,CB58/5-V58,0))</f>
        <v>0</v>
      </c>
      <c r="V58" s="892">
        <f>IF('Блок ввода'!S171=14,CB58/5,IF('Блок ввода'!S171=16,40,0))</f>
        <v>0</v>
      </c>
      <c r="W58" s="899">
        <f>IF('Блок ввода'!S171=13,CB58/5,0)</f>
        <v>0</v>
      </c>
      <c r="X58" s="894">
        <f>IF('Блок ввода'!R171=14,CB58/5,IF('Блок ввода'!S171=15,CB58/5,0))</f>
        <v>0</v>
      </c>
      <c r="Y58" s="896">
        <f>IF('Блок ввода'!R171&lt;19,BT1,0)</f>
        <v>150</v>
      </c>
      <c r="Z58" s="892">
        <f>IF('Блок ввода'!R171=19,75,0)</f>
        <v>0</v>
      </c>
      <c r="AA58" s="892"/>
      <c r="AB58" s="892">
        <f>IF('Блок ввода'!R171&gt;20,120-AB54,0)</f>
        <v>0</v>
      </c>
      <c r="AC58" s="897">
        <f>IF('Блок ввода'!R171=20,96,0)</f>
        <v>0</v>
      </c>
      <c r="AD58" s="898"/>
      <c r="AE58" s="892"/>
      <c r="AF58" s="899"/>
      <c r="AG58" s="896"/>
      <c r="AH58" s="892"/>
      <c r="AI58" s="892"/>
      <c r="AJ58" s="897"/>
      <c r="AK58" s="891">
        <f>IF('Блок ввода'!R171=7,ОКГВ-AL58-AN58-AO58-AY58,IF('Блок ввода'!R171=15,ОКГВ-AN58-AO58-AY58,IF('Блок ввода'!S171&lt;5,ОКГВ-P58*5-AN58-AO58-AP58-AY58,)))</f>
        <v>0</v>
      </c>
      <c r="AL58" s="892">
        <f>IF('Блок ввода'!R171=7,200,IF('Блок ввода'!R171=13,450-N58*5-AN58-AO58-AQ58*5-AY58,IF('Блок ввода'!S171=5,CB58,0)))</f>
        <v>355</v>
      </c>
      <c r="AM58" s="892"/>
      <c r="AN58" s="932">
        <v>10</v>
      </c>
      <c r="AO58" s="932">
        <v>10</v>
      </c>
      <c r="AP58" s="897">
        <f>IF('Блок ввода'!R171=6,20,0)</f>
        <v>0</v>
      </c>
      <c r="AQ58" s="898">
        <f>IF(AND('Раскладка продуктов'!$BC$3=1,'Блок ввода'!AA35=1),AO58*2,0)</f>
        <v>0</v>
      </c>
      <c r="AR58" s="901">
        <f>IF(AND('Раскладка продуктов'!$BC$3=2,'Блок ввода'!$AA$35=1),AO58/10,0)</f>
        <v>0</v>
      </c>
      <c r="AS58" s="892"/>
      <c r="AT58" s="892"/>
      <c r="AU58" s="892"/>
      <c r="AV58" s="892"/>
      <c r="AW58" s="892"/>
      <c r="AX58" s="892"/>
      <c r="AY58" s="902"/>
      <c r="AZ58" s="903"/>
      <c r="BA58" s="892"/>
      <c r="BB58" s="892"/>
      <c r="BC58" s="892"/>
      <c r="BD58" s="892"/>
      <c r="BE58" s="904"/>
      <c r="BF58" s="904"/>
      <c r="BG58" s="904"/>
      <c r="BH58" s="904"/>
      <c r="BI58" s="905"/>
      <c r="BJ58" s="906"/>
      <c r="BK58" s="907"/>
      <c r="BL58" s="900"/>
      <c r="BM58" s="900"/>
      <c r="BN58" s="893"/>
      <c r="BO58" s="908"/>
      <c r="BP58" s="909">
        <f>BQ58+P58*2.8+Q58*2.1+R58*3+S58*3+T58*3+U58*2.5+V58*2.1+W58*3+X58*3+BX58+AL58*'Блок ввода'!$D$9+'Раскладка продуктов'!AM58*'Блок ввода'!$D$8+'Раскладка продуктов'!AP58*'Блок ввода'!$D$11+'Раскладка продуктов'!AQ58*'Блок ввода'!$D$12+'Раскладка продуктов'!AX58*'Блок ввода'!$D$13+0.5*AD58+IF(BZ58&gt;0,50,BY58)</f>
        <v>351.6</v>
      </c>
      <c r="BQ58" s="934">
        <f>'Блок ввода'!AG171</f>
        <v>46</v>
      </c>
      <c r="BR58" s="766"/>
      <c r="BS58" s="764"/>
      <c r="BT58" s="764"/>
      <c r="BU58" s="764"/>
      <c r="BV58" s="764"/>
      <c r="BW58" s="764"/>
      <c r="BX58" s="764">
        <f>IF(CA58&gt;0,'Раскладка продуктов'!AK58*'Блок ввода'!$D$5,AK58*'Блок ввода'!$D$4)</f>
        <v>0</v>
      </c>
      <c r="BY58" s="764">
        <f>N58+AN58*'Блок ввода'!$D$7+'Раскладка продуктов'!AO58*'Блок ввода'!$D$10</f>
        <v>17.8</v>
      </c>
      <c r="BZ58" s="765">
        <f>IF('Блок ввода'!R171&lt;4,1,IF('Блок ввода'!R171=9,1,IF('Блок ввода'!R171=10,1,IF('Блок ввода'!R171=11,1,IF('Блок ввода'!R171=5,1,IF('Блок ввода'!R171=6,1,IF('Блок ввода'!R171=7,1,0)))))))</f>
        <v>1</v>
      </c>
      <c r="CA58" s="765">
        <f>IF('Блок ввода'!S171=1,1,0)</f>
        <v>0</v>
      </c>
      <c r="CB58" s="765">
        <f>ОКГВ-P58*5-AN58-AO58-AP58-AY58</f>
        <v>355</v>
      </c>
      <c r="CC58" s="765">
        <f>SUM(N58:X58)*5+SUM(AK58:AP58)</f>
        <v>385</v>
      </c>
      <c r="CD58" s="765"/>
      <c r="CE58" s="764"/>
      <c r="CF58" s="475"/>
      <c r="CG58" s="475"/>
      <c r="CH58" s="476"/>
      <c r="CI58" s="476"/>
      <c r="CJ58" s="476"/>
      <c r="CK58" s="476"/>
      <c r="CL58" s="476"/>
      <c r="CM58" s="476"/>
      <c r="CN58" s="39"/>
      <c r="CO58" s="39"/>
      <c r="CP58" s="39"/>
      <c r="CQ58" s="39"/>
      <c r="CR58" s="39"/>
      <c r="CS58" s="39"/>
      <c r="CT58" s="39"/>
      <c r="CU58" s="39"/>
      <c r="CV58" s="39"/>
      <c r="CW58" s="39"/>
    </row>
    <row r="59" spans="1:101" s="16" customFormat="1" ht="24" customHeight="1" thickBot="1" x14ac:dyDescent="0.25">
      <c r="B59" s="1339"/>
      <c r="C59" s="1346"/>
      <c r="D59" s="1381"/>
      <c r="E59" s="484" t="s">
        <v>231</v>
      </c>
      <c r="F59" s="1326" t="str">
        <f>'Блок ввода'!U177</f>
        <v>Сок, хлеб</v>
      </c>
      <c r="G59" s="1327"/>
      <c r="H59" s="1327"/>
      <c r="I59" s="1327"/>
      <c r="J59" s="1328"/>
      <c r="K59" s="911">
        <v>100</v>
      </c>
      <c r="L59" s="912">
        <v>150</v>
      </c>
      <c r="M59" s="913">
        <f>IF('Блок ввода'!AA36=2,65,IF('Блок ввода'!AA36=1,88.5,0))</f>
        <v>0</v>
      </c>
      <c r="N59" s="1187">
        <v>0</v>
      </c>
      <c r="O59" s="935"/>
      <c r="P59" s="916"/>
      <c r="Q59" s="937"/>
      <c r="R59" s="913"/>
      <c r="S59" s="913"/>
      <c r="T59" s="913"/>
      <c r="U59" s="913"/>
      <c r="V59" s="913"/>
      <c r="W59" s="938"/>
      <c r="X59" s="916"/>
      <c r="Y59" s="937"/>
      <c r="Z59" s="913"/>
      <c r="AA59" s="913"/>
      <c r="AB59" s="913"/>
      <c r="AC59" s="938"/>
      <c r="AD59" s="939"/>
      <c r="AE59" s="913"/>
      <c r="AF59" s="940"/>
      <c r="AG59" s="937"/>
      <c r="AH59" s="912"/>
      <c r="AI59" s="913">
        <f>IF('Блок ввода'!R172=2,20*IF('Блок ввода'!AA58=1,5,1),IF(AND('Блок ввода'!R172=3,'Блок ввода'!AA58=1),100,0))</f>
        <v>0</v>
      </c>
      <c r="AJ59" s="938"/>
      <c r="AK59" s="941"/>
      <c r="AL59" s="913"/>
      <c r="AM59" s="913"/>
      <c r="AN59" s="900"/>
      <c r="AO59" s="942">
        <f>IF(AND('Блок ввода'!A27=1,'Блок ввода'!I23="Лука"),'Блок ввода'!L23,0)</f>
        <v>0</v>
      </c>
      <c r="AP59" s="938"/>
      <c r="AQ59" s="939">
        <f>IF(AND('Раскладка продуктов'!$BC$3=1,'Блок ввода'!AA35=1),AO59*2,0)</f>
        <v>0</v>
      </c>
      <c r="AR59" s="943"/>
      <c r="AS59" s="913"/>
      <c r="AT59" s="913"/>
      <c r="AU59" s="913"/>
      <c r="AV59" s="913"/>
      <c r="AW59" s="913"/>
      <c r="AX59" s="913"/>
      <c r="AY59" s="944"/>
      <c r="AZ59" s="912">
        <f>IF('Блок ввода'!A34=TRUE,IF('Блок ввода'!R172&lt;3,0,IF('Блок ввода'!S27=FALSE,0,BR59/5)),IF('Блок ввода'!R172&lt;3,0,IF('Блок ввода'!S27=FALSE,0,BR59)))</f>
        <v>0</v>
      </c>
      <c r="BA59" s="913"/>
      <c r="BB59" s="913">
        <f>IF('Блок ввода'!S51=TRUE,0,IF('Блок ввода'!R172=1,200+IF('Блок ввода'!$A$35=1,400-(AI59*3)),IF(OR('Блок ввода'!R172=4,'Блок ввода'!R172=7),200+IF('Блок ввода'!$A$35=1,400-(AI59*3)),IF(OR('Блок ввода'!R172=5, 'Блок ввода'!R172=7),200+IF('Блок ввода'!$A$35=1,400-(AI59*3)),0))))</f>
        <v>200</v>
      </c>
      <c r="BC59" s="913"/>
      <c r="BD59" s="942">
        <f>IF(AND('Блок ввода'!A27=1,'Блок ввода'!I23="Чеснока"),'Блок ввода'!L23,0)</f>
        <v>0</v>
      </c>
      <c r="BE59" s="912">
        <f>IF('Блок ввода'!R172=6,(200-AI59)/2,0)</f>
        <v>0</v>
      </c>
      <c r="BF59" s="945"/>
      <c r="BG59" s="945"/>
      <c r="BH59" s="945"/>
      <c r="BI59" s="946"/>
      <c r="BJ59" s="947"/>
      <c r="BK59" s="948"/>
      <c r="BL59" s="942"/>
      <c r="BM59" s="942"/>
      <c r="BN59" s="915"/>
      <c r="BO59" s="949"/>
      <c r="BP59" s="950">
        <f>IF(BA59&gt;0,BA59,250)</f>
        <v>250</v>
      </c>
      <c r="BQ59" s="951"/>
      <c r="BR59" s="766"/>
      <c r="BS59" s="764"/>
      <c r="BT59" s="764"/>
      <c r="BU59" s="764"/>
      <c r="BV59" s="764"/>
      <c r="BW59" s="764"/>
      <c r="BX59" s="764"/>
      <c r="BY59" s="764"/>
      <c r="BZ59" s="765"/>
      <c r="CA59" s="765"/>
      <c r="CB59" s="765"/>
      <c r="CC59" s="764"/>
      <c r="CD59" s="765"/>
      <c r="CE59" s="764"/>
      <c r="CF59" s="475"/>
      <c r="CG59" s="475"/>
      <c r="CH59" s="476"/>
      <c r="CI59" s="476"/>
      <c r="CJ59" s="476"/>
      <c r="CK59" s="476"/>
      <c r="CL59" s="476"/>
      <c r="CM59" s="476"/>
      <c r="CN59" s="39"/>
      <c r="CO59" s="39"/>
      <c r="CP59" s="39"/>
      <c r="CQ59" s="39"/>
      <c r="CR59" s="39"/>
      <c r="CS59" s="39"/>
      <c r="CT59" s="39"/>
      <c r="CU59" s="39"/>
      <c r="CV59" s="39"/>
      <c r="CW59" s="39"/>
    </row>
    <row r="60" spans="1:101" s="16" customFormat="1" ht="24" customHeight="1" x14ac:dyDescent="0.2">
      <c r="B60" s="1339"/>
      <c r="C60" s="1346"/>
      <c r="D60" s="1341" t="str">
        <f>CONCATENATE("Ужин
100%, ОКГ = ",CD60)</f>
        <v>Ужин
100%, ОКГ = 425</v>
      </c>
      <c r="E60" s="1342"/>
      <c r="F60" s="1300" t="str">
        <f>CONCATENATE('Блок ввода'!G167,'Блок ввода'!L167,'Блок ввода'!N167,'Блок ввода'!O167)</f>
        <v>Рыба отварная,  с картофельным пюре,  хлеб, масло, сахар, чай, омлет</v>
      </c>
      <c r="G60" s="1301"/>
      <c r="H60" s="1301"/>
      <c r="I60" s="1301"/>
      <c r="J60" s="1321"/>
      <c r="K60" s="952"/>
      <c r="L60" s="953"/>
      <c r="M60" s="870"/>
      <c r="N60" s="1192">
        <v>2</v>
      </c>
      <c r="O60" s="871"/>
      <c r="P60" s="871">
        <f>IF('Блок ввода'!R173=8,(ОКГУ-AN60-AO60-AY60)/5,IF('Блок ввода'!R173=12,15,IF('Блок ввода'!S173=7,(ОКГУ-AN60-AO60-AP60-AY60)/5,0)))</f>
        <v>0</v>
      </c>
      <c r="Q60" s="869">
        <f>IF('Блок ввода'!S173=8,CB60/5,0)</f>
        <v>0</v>
      </c>
      <c r="R60" s="870">
        <f>IF('Блок ввода'!S173=9,CB60/5,0)</f>
        <v>0</v>
      </c>
      <c r="S60" s="870">
        <f>IF('Блок ввода'!S173=11,CB60/5,0)</f>
        <v>0</v>
      </c>
      <c r="T60" s="870">
        <f>IF('Блок ввода'!S173=12,CB60/5,0)</f>
        <v>0</v>
      </c>
      <c r="U60" s="870">
        <f>IF('Блок ввода'!S173=10,CB60/5,IF('Блок ввода'!S173=16,CB60/5-V60,0))</f>
        <v>0</v>
      </c>
      <c r="V60" s="870">
        <f>IF('Блок ввода'!S173=14,CB60/5,IF('Блок ввода'!S173=16,40,0))</f>
        <v>0</v>
      </c>
      <c r="W60" s="873">
        <f>IF('Блок ввода'!S173=13,CB60/5,0)</f>
        <v>0</v>
      </c>
      <c r="X60" s="894">
        <f>IF('Блок ввода'!R173=14,CB60/5,IF('Блок ввода'!S173=15,CB60/5,0))</f>
        <v>0</v>
      </c>
      <c r="Y60" s="874">
        <f>IF('Блок ввода'!E163&lt;19,BT3,0)</f>
        <v>0</v>
      </c>
      <c r="Z60" s="870">
        <f>IF('Блок ввода'!E163=19,75,IF('Блок ввода'!E163=28,60,0))</f>
        <v>0</v>
      </c>
      <c r="AA60" s="870"/>
      <c r="AB60" s="870">
        <f>ROUND(IF('Блок ввода'!E163=28,0,IF('Блок ввода'!E163&gt;20,IF('Блок ввода'!E163=26,102,IF('Блок ввода'!$AA$38=1,156-AB54*1.3-(AC55+AC56)*1.625/2,120-AB54-(AC55+AC56)/2/0.8)),0)),1)</f>
        <v>90</v>
      </c>
      <c r="AC60" s="876">
        <f>IF(AND('Блок ввода'!R173=20,OR('Блок ввода'!E84=18,'Блок ввода'!E88=18)),96-(AC55+AC56)/2-AB54*0.8,IF('Блок ввода'!R173=20,96,0))</f>
        <v>0</v>
      </c>
      <c r="AD60" s="877"/>
      <c r="AE60" s="870">
        <v>22</v>
      </c>
      <c r="AF60" s="873">
        <f>IF(OR('Блок ввода'!E163=21,'Блок ввода'!E163=22,'Блок ввода'!E163=23,'Блок ввода'!E163=24),15,3)</f>
        <v>15</v>
      </c>
      <c r="AG60" s="874"/>
      <c r="AH60" s="870"/>
      <c r="AI60" s="870"/>
      <c r="AJ60" s="876"/>
      <c r="AK60" s="869">
        <f>IF('Блок ввода'!R173=7,ОКГУ-AL60-AN60-AO60-AY60+IF(AND($N$7=1,N60=0),CF60,IF(N51=0,0,2.5-IF($N$7=2,2.5,0))),IF('Блок ввода'!R173=15,ОКГУ-AN60-AO60-AY60+IF(AND($N$7=1,N60=0),CF60,IF(N51=0,0,2.5-IF($N$7=2,2.5,0))),IF('Блок ввода'!S173&lt;5,ОКГУ-P60*5-AN60-AO60-AO59*2-BD59*4-AP60-AY60+IF(AND($N$7=1,N60=0),CF60,IF(N51=0,0,2.5-IF($N$7=2,2.5,0))),)))</f>
        <v>400</v>
      </c>
      <c r="AL60" s="870">
        <f>IF('Блок ввода'!R173=7,200,IF('Блок ввода'!R173=13,450-N60*5-AN60-AO60-AO59*2-AY60,IF('Блок ввода'!S173=5,CB60-AO59*2,0)))</f>
        <v>0</v>
      </c>
      <c r="AM60" s="870">
        <f>IF('Блок ввода'!S173=6,CB60,0)</f>
        <v>0</v>
      </c>
      <c r="AN60" s="878">
        <v>15</v>
      </c>
      <c r="AO60" s="878">
        <v>10</v>
      </c>
      <c r="AP60" s="876">
        <f>IF('Блок ввода'!R173=6,20,0)</f>
        <v>0</v>
      </c>
      <c r="AQ60" s="954">
        <f>IF(AND('Раскладка продуктов'!$BC$3=1,'Блок ввода'!AA35=1),AO60*2,0)</f>
        <v>0</v>
      </c>
      <c r="AR60" s="955">
        <f>IF(AND('Раскладка продуктов'!$BC$3=2,'Блок ввода'!$AA$35=1),AO60/10,0)</f>
        <v>0</v>
      </c>
      <c r="AS60" s="953"/>
      <c r="AT60" s="953"/>
      <c r="AU60" s="953"/>
      <c r="AV60" s="953"/>
      <c r="AW60" s="953"/>
      <c r="AX60" s="953">
        <f>IF(AND(OR('Блок ввода'!T173=5,'Блок ввода'!T173=6),'Блок ввода'!$G$32=TRUE),15,IF(OR('Блок ввода'!T173=5,'Блок ввода'!T173=6),1,0))</f>
        <v>0</v>
      </c>
      <c r="AY60" s="956"/>
      <c r="AZ60" s="957">
        <f>IF('Блок ввода'!N163=9,150,0)</f>
        <v>0</v>
      </c>
      <c r="BA60" s="953"/>
      <c r="BB60" s="953"/>
      <c r="BC60" s="953"/>
      <c r="BD60" s="953"/>
      <c r="BE60" s="958"/>
      <c r="BF60" s="958"/>
      <c r="BG60" s="958"/>
      <c r="BH60" s="959"/>
      <c r="BI60" s="883">
        <f>IF(Ср!$X$1=8,Ср!$X$3,0)</f>
        <v>0</v>
      </c>
      <c r="BJ60" s="960">
        <f>IF(Ср!$X$1=4,Ср!$X$3,0)</f>
        <v>0</v>
      </c>
      <c r="BK60" s="1004"/>
      <c r="BL60" s="1005"/>
      <c r="BM60" s="1005"/>
      <c r="BN60" s="1006"/>
      <c r="BO60" s="1007"/>
      <c r="BP60" s="931">
        <f>BQ60+P60*2.8+Q60*2.1+R60*3+S60*3+U60*2.5+V60*2.1+W60*3+X60*3+BX60+AL60*'Блок ввода'!$D$9+'Раскладка продуктов'!AM60*'Блок ввода'!$D$8+'Раскладка продуктов'!AP60*'Блок ввода'!$D$11+'Раскладка продуктов'!AQ60*'Блок ввода'!$D$12+'Раскладка продуктов'!AX60*'Блок ввода'!$D$13+IF(BZ60&gt;0,50,BY60)</f>
        <v>493.5</v>
      </c>
      <c r="BQ60" s="890">
        <f>'Блок ввода'!AG173</f>
        <v>80</v>
      </c>
      <c r="BR60" s="766"/>
      <c r="BS60" s="764"/>
      <c r="BT60" s="764"/>
      <c r="BU60" s="764"/>
      <c r="BV60" s="764"/>
      <c r="BW60" s="764"/>
      <c r="BX60" s="764">
        <f>IF(CA60&gt;0,'Раскладка продуктов'!AK60*'Блок ввода'!$D$5,AK60*'Блок ввода'!$D$4)</f>
        <v>392</v>
      </c>
      <c r="BY60" s="764">
        <f>N60+AN60*'Блок ввода'!$D$7+'Раскладка продуктов'!AO60*'Блок ввода'!$D$10</f>
        <v>21.5</v>
      </c>
      <c r="BZ60" s="765">
        <f>IF('Блок ввода'!R173&lt;4,1,IF('Блок ввода'!R173=9,1,IF('Блок ввода'!R173=10,1,IF('Блок ввода'!R173=11,1,IF('Блок ввода'!R173=5,1,IF('Блок ввода'!R173=6,1,IF('Блок ввода'!R173=7,1,0)))))))</f>
        <v>0</v>
      </c>
      <c r="CA60" s="765">
        <f>IF('Блок ввода'!S173=1,1,0)</f>
        <v>1</v>
      </c>
      <c r="CB60" s="765">
        <f>ОКГУ-P60*5-AN60-AO60-AP60-AY60+IF(AND($N$7=1,N60=0),CF60,IF(N51=0,0,2.5-IF(N7=2,2.5,0)))</f>
        <v>400</v>
      </c>
      <c r="CC60" s="764"/>
      <c r="CD60" s="762">
        <f>SUM(O60:X60)*5+SUM(AK60:AP60)</f>
        <v>425</v>
      </c>
      <c r="CE60" s="764"/>
      <c r="CF60" s="474">
        <f>IF(AND($N$7=1,N60=0),5,0)</f>
        <v>0</v>
      </c>
      <c r="CG60" s="475"/>
      <c r="CH60" s="476"/>
      <c r="CI60" s="476"/>
      <c r="CJ60" s="476"/>
      <c r="CK60" s="476"/>
      <c r="CL60" s="476"/>
      <c r="CM60" s="476"/>
      <c r="CN60" s="39"/>
      <c r="CO60" s="39"/>
      <c r="CP60" s="39"/>
      <c r="CQ60" s="39"/>
      <c r="CR60" s="39"/>
      <c r="CS60" s="39"/>
      <c r="CT60" s="39"/>
      <c r="CU60" s="39"/>
      <c r="CV60" s="39"/>
      <c r="CW60" s="39"/>
    </row>
    <row r="61" spans="1:101" s="16" customFormat="1" ht="24" customHeight="1" x14ac:dyDescent="0.2">
      <c r="B61" s="1339"/>
      <c r="C61" s="1346"/>
      <c r="D61" s="1343"/>
      <c r="E61" s="1344"/>
      <c r="F61" s="1302"/>
      <c r="G61" s="1303"/>
      <c r="H61" s="1303"/>
      <c r="I61" s="1303"/>
      <c r="J61" s="1322"/>
      <c r="K61" s="891"/>
      <c r="L61" s="892"/>
      <c r="M61" s="892"/>
      <c r="N61" s="1191">
        <f>IF('Блок ввода'!E163=4,20,IF('Блок ввода'!E163=16,75,IF('Блок ввода'!E163=24,15,0)))</f>
        <v>0</v>
      </c>
      <c r="O61" s="961"/>
      <c r="P61" s="894"/>
      <c r="Q61" s="896"/>
      <c r="R61" s="892"/>
      <c r="S61" s="892"/>
      <c r="T61" s="892"/>
      <c r="U61" s="892"/>
      <c r="V61" s="892"/>
      <c r="W61" s="897"/>
      <c r="X61" s="894"/>
      <c r="Y61" s="896"/>
      <c r="Z61" s="892"/>
      <c r="AA61" s="892"/>
      <c r="AB61" s="892"/>
      <c r="AC61" s="897"/>
      <c r="AD61" s="898"/>
      <c r="AE61" s="892"/>
      <c r="AF61" s="899"/>
      <c r="AG61" s="963"/>
      <c r="AH61" s="964"/>
      <c r="AI61" s="892"/>
      <c r="AJ61" s="897"/>
      <c r="AK61" s="891"/>
      <c r="AL61" s="892"/>
      <c r="AM61" s="892"/>
      <c r="AN61" s="900"/>
      <c r="AO61" s="900"/>
      <c r="AP61" s="897"/>
      <c r="AQ61" s="898">
        <f>IF(AND('Раскладка продуктов'!$BC$3=1,'Блок ввода'!AA35=1),AO61*2,0)</f>
        <v>0</v>
      </c>
      <c r="AR61" s="901"/>
      <c r="AS61" s="892"/>
      <c r="AT61" s="892"/>
      <c r="AU61" s="892"/>
      <c r="AV61" s="892"/>
      <c r="AW61" s="892"/>
      <c r="AX61" s="892">
        <f>IF('Блок ввода'!E163=24,0.25,0)</f>
        <v>0</v>
      </c>
      <c r="AY61" s="902"/>
      <c r="AZ61" s="903"/>
      <c r="BA61" s="892"/>
      <c r="BB61" s="892"/>
      <c r="BC61" s="892"/>
      <c r="BD61" s="892"/>
      <c r="BE61" s="904">
        <f>IF('Блок ввода'!T173=2,15*1.4,0)</f>
        <v>0</v>
      </c>
      <c r="BF61" s="904"/>
      <c r="BG61" s="904"/>
      <c r="BH61" s="965"/>
      <c r="BI61" s="905"/>
      <c r="BJ61" s="966"/>
      <c r="BK61" s="907"/>
      <c r="BL61" s="900"/>
      <c r="BM61" s="900"/>
      <c r="BN61" s="893"/>
      <c r="BO61" s="908"/>
      <c r="BP61" s="909"/>
      <c r="BQ61" s="910"/>
      <c r="BR61" s="766"/>
      <c r="BS61" s="768">
        <f>IF(AND('Блок ввода'!E158=30,'Блок ввода'!I158=17),BR63+BS63,IF('Блок ввода'!E158=30,(BR63+BS63+430)+BF63*500/375,BR63+BS63+BF63*500/375))</f>
        <v>1650</v>
      </c>
      <c r="BT61" s="764" t="str">
        <f>IF(AND(BS61 &lt;&gt;1750,BS61 &lt;&gt;1745),"ОКГ в среду не соответствует ","")</f>
        <v xml:space="preserve">ОКГ в среду не соответствует </v>
      </c>
      <c r="BU61" s="764"/>
      <c r="BV61" s="764"/>
      <c r="BW61" s="764"/>
      <c r="BX61" s="764"/>
      <c r="BY61" s="764"/>
      <c r="BZ61" s="765"/>
      <c r="CA61" s="765"/>
      <c r="CB61" s="765"/>
      <c r="CC61" s="764"/>
      <c r="CD61" s="765"/>
      <c r="CE61" s="764"/>
      <c r="CF61" s="475"/>
      <c r="CG61" s="475"/>
      <c r="CH61" s="476"/>
      <c r="CI61" s="476"/>
      <c r="CJ61" s="476"/>
      <c r="CK61" s="476"/>
      <c r="CL61" s="476"/>
      <c r="CM61" s="476"/>
      <c r="CN61" s="39"/>
      <c r="CO61" s="39"/>
      <c r="CP61" s="39"/>
      <c r="CQ61" s="39"/>
      <c r="CR61" s="39"/>
      <c r="CS61" s="39"/>
      <c r="CT61" s="39"/>
      <c r="CU61" s="39"/>
      <c r="CV61" s="39"/>
      <c r="CW61" s="39"/>
    </row>
    <row r="62" spans="1:101" s="16" customFormat="1" ht="24" customHeight="1" thickBot="1" x14ac:dyDescent="0.25">
      <c r="B62" s="1339"/>
      <c r="C62" s="1346"/>
      <c r="D62" s="1343"/>
      <c r="E62" s="1344"/>
      <c r="F62" s="1302"/>
      <c r="G62" s="1303"/>
      <c r="H62" s="1303"/>
      <c r="I62" s="1303"/>
      <c r="J62" s="1322"/>
      <c r="K62" s="967">
        <v>100</v>
      </c>
      <c r="L62" s="922">
        <f>IF('Блок ввода'!T108=5,100,50)</f>
        <v>50</v>
      </c>
      <c r="M62" s="919"/>
      <c r="N62" s="1190">
        <f>IF(L62=50,37.5,0)</f>
        <v>37.5</v>
      </c>
      <c r="O62" s="968"/>
      <c r="P62" s="969"/>
      <c r="Q62" s="970"/>
      <c r="R62" s="919"/>
      <c r="S62" s="919"/>
      <c r="T62" s="919"/>
      <c r="U62" s="919"/>
      <c r="V62" s="919"/>
      <c r="W62" s="971"/>
      <c r="X62" s="969"/>
      <c r="Y62" s="970"/>
      <c r="Z62" s="919"/>
      <c r="AA62" s="919"/>
      <c r="AB62" s="919"/>
      <c r="AC62" s="971"/>
      <c r="AD62" s="917"/>
      <c r="AE62" s="919"/>
      <c r="AF62" s="972"/>
      <c r="AG62" s="970">
        <f>IF(OR('Блок ввода'!T173&lt;=7,'Блок ввода'!T173=9),30-AG59/2-(BE61)/1.4,0)</f>
        <v>30</v>
      </c>
      <c r="AH62" s="922">
        <v>1</v>
      </c>
      <c r="AI62" s="919">
        <f>IF('Блок ввода'!T173=4,20,0)</f>
        <v>0</v>
      </c>
      <c r="AJ62" s="971"/>
      <c r="AK62" s="973"/>
      <c r="AL62" s="919"/>
      <c r="AM62" s="919"/>
      <c r="AN62" s="927"/>
      <c r="AO62" s="927"/>
      <c r="AP62" s="971"/>
      <c r="AQ62" s="917">
        <f>AO62/2</f>
        <v>0</v>
      </c>
      <c r="AR62" s="918"/>
      <c r="AS62" s="919"/>
      <c r="AT62" s="919"/>
      <c r="AU62" s="919"/>
      <c r="AV62" s="919"/>
      <c r="AW62" s="919"/>
      <c r="AX62" s="1224">
        <f>IF(AND(L62=50,'Блок ввода'!$Q$114=1),0.125,0)</f>
        <v>0</v>
      </c>
      <c r="AY62" s="921"/>
      <c r="AZ62" s="922"/>
      <c r="BA62" s="919"/>
      <c r="BB62" s="919"/>
      <c r="BC62" s="919">
        <f>IF('Блок ввода'!T173=8,(35-AG68/2)*1.4,IF('Блок ввода'!T173=7,4.8,0))</f>
        <v>0</v>
      </c>
      <c r="BD62" s="923"/>
      <c r="BE62" s="974"/>
      <c r="BF62" s="974"/>
      <c r="BG62" s="974"/>
      <c r="BH62" s="971">
        <f>IF(L62=50,0.5,0)</f>
        <v>0.5</v>
      </c>
      <c r="BI62" s="975"/>
      <c r="BJ62" s="976"/>
      <c r="BK62" s="926">
        <v>100</v>
      </c>
      <c r="BL62" s="927">
        <v>70</v>
      </c>
      <c r="BM62" s="927">
        <v>0.6</v>
      </c>
      <c r="BN62" s="928">
        <v>10</v>
      </c>
      <c r="BO62" s="929">
        <v>200</v>
      </c>
      <c r="BP62" s="977">
        <v>250</v>
      </c>
      <c r="BQ62" s="978"/>
      <c r="BR62" s="766">
        <f>IF('Блок ввода'!A27=TRUE,BR63+BS63-'Блок ввода'!L23,BR63+BS63)</f>
        <v>1650</v>
      </c>
      <c r="BS62" s="764"/>
      <c r="BT62" s="764"/>
      <c r="BU62" s="764"/>
      <c r="BV62" s="764"/>
      <c r="BW62" s="764"/>
      <c r="BX62" s="764"/>
      <c r="BY62" s="764"/>
      <c r="BZ62" s="765"/>
      <c r="CA62" s="765"/>
      <c r="CB62" s="765"/>
      <c r="CC62" s="764"/>
      <c r="CD62" s="765"/>
      <c r="CE62" s="764"/>
      <c r="CF62" s="475"/>
      <c r="CG62" s="475"/>
      <c r="CH62" s="476"/>
      <c r="CI62" s="476"/>
      <c r="CJ62" s="476"/>
      <c r="CK62" s="476"/>
      <c r="CL62" s="476"/>
      <c r="CM62" s="476"/>
      <c r="CN62" s="39"/>
      <c r="CO62" s="39"/>
      <c r="CP62" s="39"/>
      <c r="CQ62" s="39"/>
      <c r="CR62" s="39"/>
      <c r="CS62" s="39"/>
      <c r="CT62" s="39"/>
      <c r="CU62" s="39"/>
      <c r="CV62" s="39"/>
      <c r="CW62" s="39"/>
    </row>
    <row r="63" spans="1:101" s="41" customFormat="1" ht="24" customHeight="1" thickTop="1" thickBot="1" x14ac:dyDescent="0.3">
      <c r="A63" s="230">
        <f>BS61</f>
        <v>1650</v>
      </c>
      <c r="B63" s="1335" t="s">
        <v>27</v>
      </c>
      <c r="C63" s="1336"/>
      <c r="D63" s="1336"/>
      <c r="E63" s="1336"/>
      <c r="F63" s="1336"/>
      <c r="G63" s="1336"/>
      <c r="H63" s="1336"/>
      <c r="I63" s="1336"/>
      <c r="J63" s="1337"/>
      <c r="K63" s="1008">
        <f>SUM(K51:K62)</f>
        <v>300</v>
      </c>
      <c r="L63" s="980">
        <f>SUM(L51:L62)</f>
        <v>350</v>
      </c>
      <c r="M63" s="981">
        <f>SUM(M51:M62)</f>
        <v>0</v>
      </c>
      <c r="N63" s="982">
        <f>N51+N52+N53+(N55+N56+N57+N58)/2+SUM(N60:N62)</f>
        <v>50</v>
      </c>
      <c r="O63" s="983">
        <f>O51+O52+O53+(O55+O56+O57+O58)/2+SUM(O60:O62)</f>
        <v>0</v>
      </c>
      <c r="P63" s="986">
        <f t="shared" ref="P63:AD63" si="7">P51+P52+P53+(P55+P56)/2+(P57+P58)/2+SUM(P60:P62)</f>
        <v>25.5</v>
      </c>
      <c r="Q63" s="987">
        <f t="shared" si="7"/>
        <v>0</v>
      </c>
      <c r="R63" s="984">
        <f>R51+R52+R53+R54+(R55+R56)/2+(R57+R58)/2+SUM(R60:R62)</f>
        <v>35.5</v>
      </c>
      <c r="S63" s="984">
        <f t="shared" si="7"/>
        <v>0</v>
      </c>
      <c r="T63" s="984">
        <f t="shared" si="7"/>
        <v>0</v>
      </c>
      <c r="U63" s="984">
        <f t="shared" si="7"/>
        <v>0</v>
      </c>
      <c r="V63" s="984">
        <f t="shared" si="7"/>
        <v>85</v>
      </c>
      <c r="W63" s="985">
        <f t="shared" si="7"/>
        <v>0</v>
      </c>
      <c r="X63" s="986">
        <f t="shared" si="7"/>
        <v>28</v>
      </c>
      <c r="Y63" s="987">
        <f t="shared" si="7"/>
        <v>250</v>
      </c>
      <c r="Z63" s="984">
        <f t="shared" si="7"/>
        <v>0</v>
      </c>
      <c r="AA63" s="984">
        <f t="shared" si="7"/>
        <v>0</v>
      </c>
      <c r="AB63" s="984">
        <f>AB51+AB52+AB53+(AB55+AB56)/2+(AB57+AB58)/2+SUM(AB60:AB62)+AB54</f>
        <v>120</v>
      </c>
      <c r="AC63" s="985">
        <f t="shared" si="7"/>
        <v>0</v>
      </c>
      <c r="AD63" s="987">
        <f t="shared" si="7"/>
        <v>0</v>
      </c>
      <c r="AE63" s="988">
        <f>SUM(AE51:AE53)+SUM(AE60:AE62)+AE54+SUM(AE55:AE58)/2</f>
        <v>45</v>
      </c>
      <c r="AF63" s="989">
        <f>SUM(AF51:AF62)</f>
        <v>30</v>
      </c>
      <c r="AG63" s="990">
        <f>SUM(AG51:AG62)</f>
        <v>60</v>
      </c>
      <c r="AH63" s="988">
        <f>SUM(AH51:AH62)</f>
        <v>1</v>
      </c>
      <c r="AI63" s="988">
        <f>SUM(AI51:AI62)</f>
        <v>20</v>
      </c>
      <c r="AJ63" s="989">
        <v>20</v>
      </c>
      <c r="AK63" s="990">
        <f t="shared" ref="AK63:AP63" si="8">AK51+AK54+(AK55+AK56+AK57+AK58)/2+AK60</f>
        <v>452.5</v>
      </c>
      <c r="AL63" s="988">
        <f t="shared" si="8"/>
        <v>177.5</v>
      </c>
      <c r="AM63" s="988">
        <f t="shared" si="8"/>
        <v>40</v>
      </c>
      <c r="AN63" s="991">
        <f t="shared" si="8"/>
        <v>45</v>
      </c>
      <c r="AO63" s="991">
        <f>AO51+AO54+(AO55+AO56+AO57+AO58)/2+AO60+AO59</f>
        <v>40</v>
      </c>
      <c r="AP63" s="992">
        <f t="shared" si="8"/>
        <v>25</v>
      </c>
      <c r="AQ63" s="993">
        <f>AQ51+AQ54+(AQ55+AQ56+AQ57+AQ58)/2+AQ60+AQ59</f>
        <v>0</v>
      </c>
      <c r="AR63" s="991">
        <f>AR51+AR54+(AR55+AR56+AR57+AR58)/2+AR60</f>
        <v>0</v>
      </c>
      <c r="AS63" s="988">
        <v>6</v>
      </c>
      <c r="AT63" s="980">
        <v>0.2</v>
      </c>
      <c r="AU63" s="980">
        <v>0.3</v>
      </c>
      <c r="AV63" s="980">
        <v>2</v>
      </c>
      <c r="AW63" s="980">
        <v>0.5</v>
      </c>
      <c r="AX63" s="1225">
        <f>AX51+AX54+(AX55+AX56+AX57+AX58)/2+AX60+AX61+AX53+AX62</f>
        <v>1</v>
      </c>
      <c r="AY63" s="988">
        <f>AY51+AY54+(AY55+AY56+AY57+AY58)/2+AY60</f>
        <v>0</v>
      </c>
      <c r="AZ63" s="980">
        <f>AZ51+AZ54+(AZ55+AZ56+AZ57+AZ58)/2+AZ60+AZ59</f>
        <v>330</v>
      </c>
      <c r="BA63" s="984">
        <f>BA51+BA52+BA53+(BA55+BA56+BA57+BA58)/2+SUM(BA60:BA62)</f>
        <v>0</v>
      </c>
      <c r="BB63" s="984">
        <f t="shared" ref="BB63:BO63" si="9">BB51+BB52+BB53+(BB55+BB56+BB57+BB58)/2+BB59+SUM(BB60:BB62)</f>
        <v>200</v>
      </c>
      <c r="BC63" s="984">
        <f t="shared" si="9"/>
        <v>1.5</v>
      </c>
      <c r="BD63" s="984">
        <f t="shared" si="9"/>
        <v>0</v>
      </c>
      <c r="BE63" s="984">
        <f t="shared" si="9"/>
        <v>0</v>
      </c>
      <c r="BF63" s="984">
        <f t="shared" si="9"/>
        <v>0</v>
      </c>
      <c r="BG63" s="984">
        <f t="shared" si="9"/>
        <v>0</v>
      </c>
      <c r="BH63" s="994">
        <f t="shared" si="9"/>
        <v>0.5</v>
      </c>
      <c r="BI63" s="994">
        <f>BI51+BI52+BI53+(BI55+BI56+BI57+BI58)/2+BI59++BI60+BI61+BI62</f>
        <v>0</v>
      </c>
      <c r="BJ63" s="985">
        <f>BJ51+BJ52+BJ53+(BJ55+BJ56+BJ57+BJ58)/2+BJ59++BJ60+BJ61+BJ62</f>
        <v>0</v>
      </c>
      <c r="BK63" s="1010">
        <f t="shared" si="9"/>
        <v>100</v>
      </c>
      <c r="BL63" s="982">
        <f t="shared" si="9"/>
        <v>70</v>
      </c>
      <c r="BM63" s="982">
        <f t="shared" si="9"/>
        <v>0.6</v>
      </c>
      <c r="BN63" s="982">
        <f t="shared" si="9"/>
        <v>10</v>
      </c>
      <c r="BO63" s="997">
        <f t="shared" si="9"/>
        <v>200</v>
      </c>
      <c r="BP63" s="998"/>
      <c r="BQ63" s="999"/>
      <c r="BR63" s="764">
        <f>SUM(P63:X63)*5</f>
        <v>870</v>
      </c>
      <c r="BS63" s="770">
        <f>SUM(AK63:AP63)+AY63+BD63+IF('Блок ввода'!E46=17,150-AM54-AO54-AN54,0)-AO59+AO59*2-BD59+BD59*4</f>
        <v>780</v>
      </c>
      <c r="BT63" s="764"/>
      <c r="BU63" s="764"/>
      <c r="BV63" s="764"/>
      <c r="BW63" s="764"/>
      <c r="BX63" s="764"/>
      <c r="BY63" s="764"/>
      <c r="BZ63" s="765"/>
      <c r="CA63" s="765"/>
      <c r="CB63" s="765"/>
      <c r="CC63" s="764"/>
      <c r="CD63" s="765"/>
      <c r="CE63" s="764"/>
      <c r="CF63" s="771"/>
      <c r="CG63" s="771"/>
      <c r="CH63" s="772"/>
      <c r="CI63" s="772"/>
      <c r="CJ63" s="772"/>
      <c r="CK63" s="772"/>
      <c r="CL63" s="772"/>
      <c r="CM63" s="772"/>
      <c r="CN63" s="40"/>
      <c r="CO63" s="40"/>
      <c r="CP63" s="40"/>
      <c r="CQ63" s="40"/>
      <c r="CR63" s="40"/>
      <c r="CS63" s="40"/>
      <c r="CT63" s="40"/>
      <c r="CU63" s="40"/>
      <c r="CV63" s="40"/>
      <c r="CW63" s="40"/>
    </row>
    <row r="64" spans="1:101" s="16" customFormat="1" ht="24" customHeight="1" x14ac:dyDescent="0.2">
      <c r="B64" s="1339" t="s">
        <v>175</v>
      </c>
      <c r="C64" s="1346">
        <f>C51+1</f>
        <v>40094</v>
      </c>
      <c r="D64" s="1341" t="str">
        <f>CONCATENATE("Завтрак
100%, ОКГ = ",IF(AND('Блок ввода'!B221=1,'Блок ввода'!E168=29),CD64+430,CD64))</f>
        <v>Завтрак
100%, ОКГ = 425</v>
      </c>
      <c r="E64" s="1342"/>
      <c r="F64" s="1302" t="str">
        <f>IF('Блок ввода'!$G$4=1,CONCATENATE('Блок ввода'!G172,'Блок ввода'!L172,'Блок ввода'!N172,'Блок ввода'!O172),"Зарегистрируйте программу")</f>
        <v>Зарегистрируйте программу</v>
      </c>
      <c r="G64" s="1303"/>
      <c r="H64" s="1303"/>
      <c r="I64" s="1303"/>
      <c r="J64" s="1303"/>
      <c r="K64" s="952"/>
      <c r="L64" s="953"/>
      <c r="M64" s="953"/>
      <c r="N64" s="1185">
        <v>6.5</v>
      </c>
      <c r="O64" s="1000"/>
      <c r="P64" s="872">
        <f>IF(OR('Блок ввода'!E168=8,'Блок ввода'!I168=17,'Блок ввода'!I168=18),(ОКГ-N64*5-AN64-AO64-AY64)/5+IF(AND($N$7=1,N64=0),CF64/5,IF(N73=0,0,2.5-IF($N$7=2,2.5,0))),IF('Блок ввода'!E168=12,15,IF('Блок ввода'!I168=7,(ОКГ-N64*5-AN64-AO64-AP64-AY64)/5+IF(AND($N$7=1,N64=0),CF64/5,IF(N73=0,0,2.5/5-IF($N$7=2,2.5/5,0))),0)))</f>
        <v>0</v>
      </c>
      <c r="Q64" s="952">
        <f>IF('Блок ввода'!S177=8,CB64/5,0)</f>
        <v>0</v>
      </c>
      <c r="R64" s="953">
        <f>IF('Блок ввода'!S177=9,CB64/5,0)</f>
        <v>0</v>
      </c>
      <c r="S64" s="953">
        <f>IF('Блок ввода'!S177=11,CB64/5,0)</f>
        <v>0</v>
      </c>
      <c r="T64" s="953">
        <f>IF('Блок ввода'!S177=12,CB64/5,0)</f>
        <v>0</v>
      </c>
      <c r="U64" s="953">
        <f>IF('Блок ввода'!S177=10,CB64/5,IF('Блок ввода'!S177=16,CB64/5-V64,0))</f>
        <v>0</v>
      </c>
      <c r="V64" s="953">
        <f>IF('Блок ввода'!S177=14,CB64/5,IF('Блок ввода'!S177=16,40,0))</f>
        <v>85</v>
      </c>
      <c r="W64" s="1001">
        <f>IF('Блок ввода'!S177=13,CB64/5,0)</f>
        <v>0</v>
      </c>
      <c r="X64" s="1000">
        <f>IF('Блок ввода'!R177=14,CB64/5,IF('Блок ввода'!S177=15,CB64/5,0))</f>
        <v>0</v>
      </c>
      <c r="Y64" s="1002">
        <f>IF('Блок ввода'!E168&lt;19,BU3,0)</f>
        <v>100</v>
      </c>
      <c r="Z64" s="953">
        <f>IF('Блок ввода'!R177=19,75,0)</f>
        <v>0</v>
      </c>
      <c r="AA64" s="953"/>
      <c r="AB64" s="870">
        <f>IF('Блок ввода'!E168=28,0,IF(AND('Блок ввода'!E168&gt;20,'Блок ввода'!E168&lt;=27),IF('Блок ввода'!E168=26,102,IF('Блок ввода'!$AB$38=1,156-AB67*1.3-(AC68+AC69)*1.625/2,120-AB67-(AC68+AC69)/2/0.8)),0))</f>
        <v>0</v>
      </c>
      <c r="AC64" s="876">
        <f>IF(AND('Блок ввода'!E168=20,OR('Блок ввода'!E92=18,'Блок ввода'!E96=18)),96-(AC68+AC69)/2-AB67*0.8,IF('Блок ввода'!E168=20,96,0))</f>
        <v>0</v>
      </c>
      <c r="AD64" s="954"/>
      <c r="AE64" s="870">
        <v>19</v>
      </c>
      <c r="AF64" s="873">
        <f>IF(OR('Блок ввода'!E168=21,'Блок ввода'!E168=22,'Блок ввода'!E168=23,'Блок ввода'!E168=24),15,3)</f>
        <v>3</v>
      </c>
      <c r="AG64" s="1002"/>
      <c r="AH64" s="953"/>
      <c r="AI64" s="953"/>
      <c r="AJ64" s="1003"/>
      <c r="AK64" s="952">
        <f>IF('Блок ввода'!R177=7,ОКГ-AL64-AN64-AO64-AY64,IF('Блок ввода'!R177=15,ОКГ-AN64-AO64-AY64,IF('Блок ввода'!S177&lt;5,ОКГ-P64*5-AN64-AO64-AP64-AY64,)))</f>
        <v>0</v>
      </c>
      <c r="AL64" s="953">
        <f>IF('Блок ввода'!R177=7,200,IF('Блок ввода'!R177=13,450-N64*5-AN64-AO64-AY64,IF('Блок ввода'!S177=5,CB64,0)))</f>
        <v>0</v>
      </c>
      <c r="AM64" s="953">
        <f>IF('Блок ввода'!S177=6,CB64,0)</f>
        <v>0</v>
      </c>
      <c r="AN64" s="878"/>
      <c r="AO64" s="878"/>
      <c r="AP64" s="1003">
        <f>IF('Блок ввода'!R177=6,20,0)</f>
        <v>0</v>
      </c>
      <c r="AQ64" s="877">
        <f>IF(AND('Раскладка продуктов'!$BC$3=1,'Блок ввода'!AB35=1),AO64*2,0)</f>
        <v>0</v>
      </c>
      <c r="AR64" s="879">
        <f>IF(AND('Раскладка продуктов'!$BC$3=2,'Блок ввода'!$AB$35=1),AO64/10,0)</f>
        <v>0</v>
      </c>
      <c r="AS64" s="880"/>
      <c r="AT64" s="870"/>
      <c r="AU64" s="870"/>
      <c r="AV64" s="870"/>
      <c r="AW64" s="870"/>
      <c r="AX64" s="870">
        <v>1</v>
      </c>
      <c r="AY64" s="881"/>
      <c r="AZ64" s="875">
        <f>IF('Блок ввода'!$A$34&lt;&gt;2,0+IF(Чт!$X$1=5,Чт!$X$3,0),IF('Блок ввода'!N168=9,150+IF(Чт!$X$1=5,Чт!$X$3,0)+IF(OR('Блок ввода'!I168=17,'Блок ввода'!I168=18),200,0),IF(OR('Блок ввода'!I168=17,'Блок ввода'!I168=18),200+IF(Чт!$X$1=5,Чт!$X$3,0),0+IF(Чт!$X$1=5,Чт!$X$3,50))))</f>
        <v>50</v>
      </c>
      <c r="BA64" s="870">
        <f>IF('Блок ввода'!$A$34=2,0,BT64)</f>
        <v>0</v>
      </c>
      <c r="BB64" s="870"/>
      <c r="BC64" s="870"/>
      <c r="BD64" s="870"/>
      <c r="BE64" s="882"/>
      <c r="BF64" s="882"/>
      <c r="BG64" s="882">
        <f>IF('Блок ввода'!E168=30,265,0)</f>
        <v>0</v>
      </c>
      <c r="BH64" s="882"/>
      <c r="BI64" s="883">
        <f>IF(Чт!$X$1=7,Чт!$X$3,0)</f>
        <v>0</v>
      </c>
      <c r="BJ64" s="884">
        <f>IF(Чт!$X$1=3,Чт!$X$3,0)</f>
        <v>0</v>
      </c>
      <c r="BK64" s="1004"/>
      <c r="BL64" s="1005"/>
      <c r="BM64" s="1005"/>
      <c r="BN64" s="1006"/>
      <c r="BO64" s="1007"/>
      <c r="BP64" s="889">
        <f>BQ64+P64*2.8+Q64*2.1+R64*3+S64*2.5+T64*3+U64*2.5+V64*2.1+W64*3+X64*3+BX64+AL64*'Блок ввода'!$D$9+'Раскладка продуктов'!AM64*'Блок ввода'!$D$8+'Раскладка продуктов'!AP64*'Блок ввода'!$D$11+'Раскладка продуктов'!AQ64*'Блок ввода'!$D$12+'Раскладка продуктов'!AX64*'Блок ввода'!$D$13+0.5*AD64+IF(BZ64&gt;0,50,BY64)+IF(BG64=265,198,0)</f>
        <v>274.5</v>
      </c>
      <c r="BQ64" s="890">
        <f>IF(BG64=265,47,'Блок ввода'!AG177)</f>
        <v>46</v>
      </c>
      <c r="BR64" s="766"/>
      <c r="BS64" s="764"/>
      <c r="BT64" s="762">
        <f>IF(OR('Блок ввода'!I168=17,'Блок ввода'!N168=9),IF('Блок ввода'!$A$34=3,BU64*15/100,BU64/5),0)</f>
        <v>0</v>
      </c>
      <c r="BU64" s="762">
        <f>IF('Блок ввода'!N168=9,150+IF('Блок ввода'!I168=17,200,0),IF('Блок ввода'!I168=17,200,0))</f>
        <v>0</v>
      </c>
      <c r="BV64" s="764"/>
      <c r="BW64" s="764"/>
      <c r="BX64" s="764">
        <f>IF(CA64&gt;0,'Раскладка продуктов'!AK64*'Блок ввода'!$D$5,AK64*'Блок ввода'!$D$4)</f>
        <v>0</v>
      </c>
      <c r="BY64" s="764">
        <f>N64+AN64*'Блок ввода'!$D$7+'Раскладка продуктов'!AO64*'Блок ввода'!$D$10</f>
        <v>6.5</v>
      </c>
      <c r="BZ64" s="762">
        <f>IF('Блок ввода'!E168&lt;4,1,IF('Блок ввода'!E168=9,1,IF('Блок ввода'!E168=10,1,IF('Блок ввода'!E168=11,1,IF('Блок ввода'!E168=5,1,IF('Блок ввода'!E168=6,1,IF('Блок ввода'!E168=7,1,0)))))))</f>
        <v>1</v>
      </c>
      <c r="CA64" s="765">
        <f>IF('Блок ввода'!S177=1,1,0)</f>
        <v>0</v>
      </c>
      <c r="CB64" s="762">
        <f>IF('Блок ввода'!A28=TRUE,ОКГ-P64*5-AN64-AO64-AP64-AY64+IF(AND($N$7=1,N64=0),CF64,IF(N73=0,0,2.5-IF(N7=2,2.5,0))),ОКГ-P64*5-AN64-AO64-AP64-AY64+IF(AND($N$7=1,N64=0),CF64,IF(N73=0,0,2.5-IF(N7=2,2.5,0))))</f>
        <v>425</v>
      </c>
      <c r="CC64" s="764"/>
      <c r="CD64" s="762">
        <f>SUM(O64:X64)*5+SUM(AK64:AP64)+IF(BG64=265,430,0)</f>
        <v>425</v>
      </c>
      <c r="CE64" s="764">
        <f>IF('Блок ввода'!I168=17,1,0)</f>
        <v>0</v>
      </c>
      <c r="CF64" s="474">
        <f>IF(AND($N$7=1,N64=0),5,0)</f>
        <v>0</v>
      </c>
      <c r="CG64" s="475"/>
      <c r="CH64" s="476"/>
      <c r="CI64" s="476"/>
      <c r="CJ64" s="476"/>
      <c r="CK64" s="476"/>
      <c r="CL64" s="476"/>
      <c r="CM64" s="476"/>
      <c r="CN64" s="39"/>
      <c r="CO64" s="39"/>
      <c r="CP64" s="39"/>
      <c r="CQ64" s="39"/>
      <c r="CR64" s="39"/>
      <c r="CS64" s="39"/>
      <c r="CT64" s="39"/>
      <c r="CU64" s="39"/>
      <c r="CV64" s="39"/>
      <c r="CW64" s="39"/>
    </row>
    <row r="65" spans="1:101" s="16" customFormat="1" ht="24" customHeight="1" x14ac:dyDescent="0.2">
      <c r="B65" s="1339"/>
      <c r="C65" s="1346"/>
      <c r="D65" s="1343"/>
      <c r="E65" s="1344"/>
      <c r="F65" s="1302"/>
      <c r="G65" s="1303"/>
      <c r="H65" s="1303"/>
      <c r="I65" s="1303"/>
      <c r="J65" s="1303"/>
      <c r="K65" s="891"/>
      <c r="L65" s="892"/>
      <c r="M65" s="892"/>
      <c r="N65" s="1186">
        <f>IF('Блок ввода'!E177=4,20,IF('Блок ввода'!E177=16,75,IF('Блок ввода'!E177=24,20,0)))</f>
        <v>0</v>
      </c>
      <c r="O65" s="894"/>
      <c r="P65" s="895"/>
      <c r="Q65" s="896"/>
      <c r="R65" s="892"/>
      <c r="S65" s="892"/>
      <c r="T65" s="892"/>
      <c r="U65" s="892"/>
      <c r="V65" s="892"/>
      <c r="W65" s="897"/>
      <c r="X65" s="894"/>
      <c r="Y65" s="896"/>
      <c r="Z65" s="892"/>
      <c r="AA65" s="892"/>
      <c r="AB65" s="892"/>
      <c r="AC65" s="897"/>
      <c r="AD65" s="898"/>
      <c r="AE65" s="892"/>
      <c r="AF65" s="899"/>
      <c r="AG65" s="896"/>
      <c r="AH65" s="892"/>
      <c r="AI65" s="892"/>
      <c r="AJ65" s="897"/>
      <c r="AK65" s="891"/>
      <c r="AL65" s="892"/>
      <c r="AM65" s="892"/>
      <c r="AN65" s="900"/>
      <c r="AO65" s="900"/>
      <c r="AP65" s="897"/>
      <c r="AQ65" s="898">
        <f>IF(AND('Раскладка продуктов'!$BC$3=1,'Блок ввода'!AB35=1),AO65*2,0)</f>
        <v>0</v>
      </c>
      <c r="AR65" s="901"/>
      <c r="AS65" s="892"/>
      <c r="AT65" s="892"/>
      <c r="AU65" s="892"/>
      <c r="AV65" s="892"/>
      <c r="AW65" s="892"/>
      <c r="AX65" s="892"/>
      <c r="AY65" s="902"/>
      <c r="AZ65" s="903"/>
      <c r="BA65" s="892"/>
      <c r="BB65" s="892"/>
      <c r="BC65" s="892"/>
      <c r="BD65" s="892"/>
      <c r="BE65" s="904">
        <f>IF('Блок ввода'!T177=2,15*1.4,0)</f>
        <v>0</v>
      </c>
      <c r="BF65" s="904"/>
      <c r="BG65" s="904"/>
      <c r="BH65" s="904"/>
      <c r="BI65" s="905"/>
      <c r="BJ65" s="906"/>
      <c r="BK65" s="907"/>
      <c r="BL65" s="900"/>
      <c r="BM65" s="900"/>
      <c r="BN65" s="893"/>
      <c r="BO65" s="908"/>
      <c r="BP65" s="909"/>
      <c r="BQ65" s="910"/>
      <c r="BR65" s="766"/>
      <c r="BS65" s="764"/>
      <c r="BT65" s="764"/>
      <c r="BU65" s="764"/>
      <c r="BV65" s="764"/>
      <c r="BW65" s="764"/>
      <c r="BX65" s="764"/>
      <c r="BY65" s="764">
        <f>N65+AN65*'Блок ввода'!D50+'Раскладка продуктов'!AO65*'Блок ввода'!D53</f>
        <v>0</v>
      </c>
      <c r="BZ65" s="765"/>
      <c r="CA65" s="765"/>
      <c r="CB65" s="765"/>
      <c r="CC65" s="764"/>
      <c r="CD65" s="765"/>
      <c r="CE65" s="764"/>
      <c r="CF65" s="475"/>
      <c r="CG65" s="475"/>
      <c r="CH65" s="476"/>
      <c r="CI65" s="476"/>
      <c r="CJ65" s="476"/>
      <c r="CK65" s="476"/>
      <c r="CL65" s="476"/>
      <c r="CM65" s="476"/>
      <c r="CN65" s="39"/>
      <c r="CO65" s="39"/>
      <c r="CP65" s="39"/>
      <c r="CQ65" s="39"/>
      <c r="CR65" s="39"/>
      <c r="CS65" s="39"/>
      <c r="CT65" s="39"/>
      <c r="CU65" s="39"/>
      <c r="CV65" s="39"/>
      <c r="CW65" s="39"/>
    </row>
    <row r="66" spans="1:101" s="16" customFormat="1" ht="24" customHeight="1" thickBot="1" x14ac:dyDescent="0.25">
      <c r="B66" s="1339"/>
      <c r="C66" s="1346"/>
      <c r="D66" s="1343"/>
      <c r="E66" s="1344"/>
      <c r="F66" s="1323"/>
      <c r="G66" s="1324"/>
      <c r="H66" s="1324"/>
      <c r="I66" s="1324"/>
      <c r="J66" s="1324"/>
      <c r="K66" s="911">
        <v>100</v>
      </c>
      <c r="L66" s="912">
        <v>150</v>
      </c>
      <c r="M66" s="919"/>
      <c r="N66" s="1187">
        <v>0</v>
      </c>
      <c r="O66" s="969"/>
      <c r="P66" s="895"/>
      <c r="Q66" s="896"/>
      <c r="R66" s="892"/>
      <c r="S66" s="892"/>
      <c r="T66" s="892"/>
      <c r="U66" s="892"/>
      <c r="V66" s="892"/>
      <c r="W66" s="897"/>
      <c r="X66" s="894"/>
      <c r="Y66" s="896"/>
      <c r="Z66" s="892"/>
      <c r="AA66" s="892"/>
      <c r="AB66" s="892"/>
      <c r="AC66" s="897"/>
      <c r="AD66" s="898"/>
      <c r="AE66" s="892"/>
      <c r="AF66" s="899"/>
      <c r="AG66" s="896">
        <f>IF(OR('Блок ввода'!T177&lt;=7,'Блок ввода'!T177=9),30-AG72/2-(BE65+BE74)/2.8,0)</f>
        <v>30</v>
      </c>
      <c r="AH66" s="903"/>
      <c r="AI66" s="892">
        <f>IF('Блок ввода'!T177=4,20,0)</f>
        <v>0</v>
      </c>
      <c r="AJ66" s="897"/>
      <c r="AK66" s="891"/>
      <c r="AL66" s="892"/>
      <c r="AM66" s="892"/>
      <c r="AN66" s="900"/>
      <c r="AO66" s="900"/>
      <c r="AP66" s="897"/>
      <c r="AQ66" s="917">
        <f>IF(AND('Раскладка продуктов'!$BC$3=1,'Блок ввода'!AB35=1),AO66*2,0)</f>
        <v>0</v>
      </c>
      <c r="AR66" s="918"/>
      <c r="AS66" s="919"/>
      <c r="AT66" s="919"/>
      <c r="AU66" s="919"/>
      <c r="AV66" s="919"/>
      <c r="AW66" s="919"/>
      <c r="AX66" s="920"/>
      <c r="AY66" s="921"/>
      <c r="AZ66" s="922"/>
      <c r="BA66" s="919"/>
      <c r="BB66" s="919"/>
      <c r="BC66" s="919">
        <v>1.5</v>
      </c>
      <c r="BD66" s="919"/>
      <c r="BE66" s="923"/>
      <c r="BF66" s="923"/>
      <c r="BG66" s="923"/>
      <c r="BH66" s="919">
        <f>IF('Блок ввода'!$B$223=1,O66/37.5/2,O66/37.5)</f>
        <v>0</v>
      </c>
      <c r="BI66" s="924"/>
      <c r="BJ66" s="925"/>
      <c r="BK66" s="926"/>
      <c r="BL66" s="927"/>
      <c r="BM66" s="927"/>
      <c r="BN66" s="928"/>
      <c r="BO66" s="929"/>
      <c r="BP66" s="909">
        <v>250</v>
      </c>
      <c r="BQ66" s="910"/>
      <c r="BR66" s="766"/>
      <c r="BS66" s="764"/>
      <c r="BT66" s="764"/>
      <c r="BU66" s="764"/>
      <c r="BV66" s="764"/>
      <c r="BW66" s="764"/>
      <c r="BX66" s="764"/>
      <c r="BY66" s="764">
        <f>N66+AN66*'Блок ввода'!D51+'Раскладка продуктов'!AO66*'Блок ввода'!D54</f>
        <v>0</v>
      </c>
      <c r="BZ66" s="765"/>
      <c r="CA66" s="765"/>
      <c r="CB66" s="765"/>
      <c r="CC66" s="764"/>
      <c r="CD66" s="765"/>
      <c r="CE66" s="764"/>
      <c r="CF66" s="475"/>
      <c r="CG66" s="475"/>
      <c r="CH66" s="476"/>
      <c r="CI66" s="476"/>
      <c r="CJ66" s="476"/>
      <c r="CK66" s="476"/>
      <c r="CL66" s="476"/>
      <c r="CM66" s="476"/>
      <c r="CN66" s="39"/>
      <c r="CO66" s="39"/>
      <c r="CP66" s="39"/>
      <c r="CQ66" s="39"/>
      <c r="CR66" s="39"/>
      <c r="CS66" s="39"/>
      <c r="CT66" s="39"/>
      <c r="CU66" s="39"/>
      <c r="CV66" s="39"/>
      <c r="CW66" s="39"/>
    </row>
    <row r="67" spans="1:101" s="16" customFormat="1" ht="24" customHeight="1" x14ac:dyDescent="0.2">
      <c r="B67" s="1339"/>
      <c r="C67" s="1346"/>
      <c r="D67" s="1379" t="str">
        <f>CONCATENATE("О б е д, ОКГ = ",CD70)</f>
        <v>О б е д, ОКГ = 820</v>
      </c>
      <c r="E67" s="483" t="s">
        <v>228</v>
      </c>
      <c r="F67" s="1332" t="str">
        <f>IF('Блок ввода'!$G$4=1,'Блок ввода'!G51,"Зарегистрируйте программу")</f>
        <v>Зарегистрируйте программу</v>
      </c>
      <c r="G67" s="1333"/>
      <c r="H67" s="1333"/>
      <c r="I67" s="1333"/>
      <c r="J67" s="1334"/>
      <c r="K67" s="869"/>
      <c r="L67" s="870"/>
      <c r="M67" s="870"/>
      <c r="N67" s="1188">
        <v>0</v>
      </c>
      <c r="O67" s="871"/>
      <c r="P67" s="871"/>
      <c r="Q67" s="874"/>
      <c r="R67" s="870">
        <f>IF('Блок ввода'!R180=2,5,IF('Блок ввода'!R180=12,5,0))</f>
        <v>0</v>
      </c>
      <c r="S67" s="870"/>
      <c r="T67" s="870"/>
      <c r="U67" s="870"/>
      <c r="V67" s="870"/>
      <c r="W67" s="876"/>
      <c r="X67" s="871"/>
      <c r="Y67" s="874"/>
      <c r="Z67" s="870"/>
      <c r="AA67" s="870"/>
      <c r="AB67" s="870">
        <f>IF('Блок ввода'!E49=16,30,0)</f>
        <v>30</v>
      </c>
      <c r="AC67" s="876"/>
      <c r="AD67" s="877"/>
      <c r="AE67" s="870"/>
      <c r="AF67" s="873">
        <f>30-AF73-AF64</f>
        <v>12</v>
      </c>
      <c r="AG67" s="874"/>
      <c r="AH67" s="870"/>
      <c r="AI67" s="870"/>
      <c r="AJ67" s="876"/>
      <c r="AK67" s="869">
        <f>IF('Блок ввода'!E49=17,0,150-P67*5-R67*5-AL67-AM67-AN67-AO67-AP67-AY67)</f>
        <v>65</v>
      </c>
      <c r="AL67" s="870">
        <f>IF('Блок ввода'!R180=2,20,IF('Блок ввода'!R180=5,150-AN67-AO67-AY67,IF('Блок ввода'!R180=8,20,0)))</f>
        <v>0</v>
      </c>
      <c r="AM67" s="870">
        <f>IF(OR('Блок ввода'!R180=1,'Блок ввода'!R180=16),40,IF('Блок ввода'!R180=2,20,IF('Блок ввода'!R180=6,150-AN67-AO67-AY67,IF('Блок ввода'!R180=7,150-AN67-AO67-AY67,IF('Блок ввода'!R180=17,(150-AO67-AN67)*375/500,IF('Блок ввода'!R180&gt;10,150-R67*5-AN67-AO67-AP67-AY67,0))))))</f>
        <v>40</v>
      </c>
      <c r="AN67" s="886">
        <f>IF('Блок ввода'!R180=20,150-AO67,10)</f>
        <v>10</v>
      </c>
      <c r="AO67" s="878">
        <v>10</v>
      </c>
      <c r="AP67" s="876">
        <f>IF(OR('Блок ввода'!R180&lt;3,'Блок ввода'!R180=16),25,IF('Блок ввода'!R180=4,45,IF(OR('Блок ввода'!R180=9,'Блок ввода'!R180=15,'Блок ввода'!R180=18,'Блок ввода'!R180=19,'Блок ввода'!R180=21),150-AN67-AO67-AY67,IF('Блок ввода'!R180=10,150-AN67-AO67-AY67,IF('Блок ввода'!R180=12,55,IF('Блок ввода'!R180=13,40,0))))))</f>
        <v>25</v>
      </c>
      <c r="AQ67" s="877">
        <f>IF(AND('Раскладка продуктов'!$BC$3=1,'Блок ввода'!AB35=1),AO67*2,0)</f>
        <v>0</v>
      </c>
      <c r="AR67" s="879">
        <f>IF(AND('Раскладка продуктов'!$BC$3=2,'Блок ввода'!$AB$35=1),AO67/10,0)</f>
        <v>0</v>
      </c>
      <c r="AS67" s="870"/>
      <c r="AT67" s="870"/>
      <c r="AU67" s="870"/>
      <c r="AV67" s="870"/>
      <c r="AW67" s="870"/>
      <c r="AX67" s="870"/>
      <c r="AY67" s="881"/>
      <c r="AZ67" s="875"/>
      <c r="BA67" s="870"/>
      <c r="BB67" s="870"/>
      <c r="BC67" s="870"/>
      <c r="BD67" s="870"/>
      <c r="BE67" s="882"/>
      <c r="BF67" s="882"/>
      <c r="BG67" s="882"/>
      <c r="BH67" s="882"/>
      <c r="BI67" s="883"/>
      <c r="BJ67" s="884"/>
      <c r="BK67" s="885"/>
      <c r="BL67" s="886"/>
      <c r="BM67" s="886"/>
      <c r="BN67" s="887"/>
      <c r="BO67" s="888"/>
      <c r="BP67" s="931">
        <f>IF('Блок ввода'!E49=17,('Раскладка продуктов'!AM67+'Раскладка продуктов'!AF67+'Раскладка продуктов'!AN67/2+'Раскладка продуктов'!AO67*0.84),(AK67*'Блок ввода'!$D$4+AL67*'Блок ввода'!$D$9+AM67*'Блок ввода'!$D$8+AN67/2+AO67*0.84+AP67/10*9+AX67/10*8+AF67))</f>
        <v>127.05000000000001</v>
      </c>
      <c r="BQ67" s="890"/>
      <c r="BR67" s="766"/>
      <c r="BS67" s="764"/>
      <c r="BT67" s="764"/>
      <c r="BU67" s="764"/>
      <c r="BV67" s="764"/>
      <c r="BW67" s="764"/>
      <c r="BX67" s="764"/>
      <c r="BY67" s="764"/>
      <c r="BZ67" s="765"/>
      <c r="CA67" s="765"/>
      <c r="CB67" s="765">
        <f>SUM(AK67:AP67)+R67*5</f>
        <v>150</v>
      </c>
      <c r="CC67" s="764"/>
      <c r="CD67" s="765"/>
      <c r="CE67" s="764"/>
      <c r="CF67" s="475"/>
      <c r="CG67" s="475"/>
      <c r="CH67" s="476"/>
      <c r="CI67" s="476"/>
      <c r="CJ67" s="476"/>
      <c r="CK67" s="476"/>
      <c r="CL67" s="476"/>
      <c r="CM67" s="476"/>
      <c r="CN67" s="39"/>
      <c r="CO67" s="39"/>
      <c r="CP67" s="39"/>
      <c r="CQ67" s="39"/>
      <c r="CR67" s="39"/>
      <c r="CS67" s="39"/>
      <c r="CT67" s="39"/>
      <c r="CU67" s="39"/>
      <c r="CV67" s="39"/>
      <c r="CW67" s="39"/>
    </row>
    <row r="68" spans="1:101" s="16" customFormat="1" ht="24" customHeight="1" x14ac:dyDescent="0.2">
      <c r="B68" s="1339"/>
      <c r="C68" s="1346"/>
      <c r="D68" s="1380"/>
      <c r="E68" s="484" t="s">
        <v>229</v>
      </c>
      <c r="F68" s="1319" t="str">
        <f>IF('Блок ввода'!$G$4=1,'Блок ввода'!G95,"Зарегистрируйте программу")</f>
        <v>Зарегистрируйте программу</v>
      </c>
      <c r="G68" s="1320"/>
      <c r="H68" s="1320"/>
      <c r="I68" s="1320"/>
      <c r="J68" s="1320"/>
      <c r="K68" s="891"/>
      <c r="L68" s="892"/>
      <c r="M68" s="892"/>
      <c r="N68" s="1189">
        <v>2</v>
      </c>
      <c r="O68" s="894"/>
      <c r="P68" s="894">
        <f>IF('Блок ввода'!R181=14,20,IF('Блок ввода'!R181=22,55-(AN68+AO68)/5,0))</f>
        <v>0</v>
      </c>
      <c r="Q68" s="896">
        <f>IF('Блок ввода'!R181=15,20,IF('Блок ввода'!R181=23,60-N68-(AN68+AO68)/5-AQ68-AR68*2,0))</f>
        <v>0</v>
      </c>
      <c r="R68" s="892">
        <f>IF('Блок ввода'!R181=8,20,0)</f>
        <v>0</v>
      </c>
      <c r="S68" s="892">
        <f>IF('Блок ввода'!R181=16,20,0)</f>
        <v>0</v>
      </c>
      <c r="T68" s="892">
        <f>IF('Блок ввода'!R181=17,20,0)</f>
        <v>0</v>
      </c>
      <c r="U68" s="892">
        <f>IF('Блок ввода'!R181=4,20,IF('Блок ввода'!R181=19,30,0))</f>
        <v>30</v>
      </c>
      <c r="V68" s="892">
        <f>IF('Блок ввода'!R181=3,20,IF('Блок ввода'!R181=12,25,0))</f>
        <v>0</v>
      </c>
      <c r="W68" s="897"/>
      <c r="X68" s="894">
        <f>IF('Блок ввода'!R181=13,25,IF('Блок ввода'!R181=21,55-(AN68+AO68)/5-AQ68-AR68*2,0))</f>
        <v>0</v>
      </c>
      <c r="Y68" s="896"/>
      <c r="Z68" s="892"/>
      <c r="AA68" s="892"/>
      <c r="AB68" s="892"/>
      <c r="AC68" s="899">
        <f>IF('Блок ввода'!E92=18,12,0)</f>
        <v>0</v>
      </c>
      <c r="AD68" s="898"/>
      <c r="AE68" s="892"/>
      <c r="AF68" s="899"/>
      <c r="AG68" s="896"/>
      <c r="AH68" s="892"/>
      <c r="AI68" s="892"/>
      <c r="AJ68" s="897"/>
      <c r="AK68" s="891">
        <f>IF('Блок ввода'!E92=24,0,ОКГП-(SUM(P68:X68))*5-AL68-AM68-AN68-AO68-AP68-AY68)</f>
        <v>100</v>
      </c>
      <c r="AL68" s="892">
        <f>IF('Блок ввода'!R181&lt;3,140,IF('Блок ввода'!R181=3,90,IF('Блок ввода'!R181=4,115,IF('Блок ввода'!R181=5,80,IF('Блок ввода'!R181=9,90,0)))))</f>
        <v>0</v>
      </c>
      <c r="AM68" s="892">
        <f>IF('Блок ввода'!R181=5,60,IF('Блок ввода'!R181=6,60,IF('Блок ввода'!R181=20,120,0)))</f>
        <v>0</v>
      </c>
      <c r="AN68" s="932">
        <v>10</v>
      </c>
      <c r="AO68" s="932">
        <v>10</v>
      </c>
      <c r="AP68" s="897">
        <f>IF('Блок ввода'!R181=6,80,IF('Блок ввода'!R181=7,50,IF('Блок ввода'!R181=8,50,IF('Блок ввода'!R181=9,50,IF('Блок ввода'!R181=11,105,IF('Блок ввода'!R181=19,5,IF('Блок ввода'!R181=20,70,0)))))))</f>
        <v>5</v>
      </c>
      <c r="AQ68" s="898">
        <f>IF(AND('Раскладка продуктов'!$BC$3=1,'Блок ввода'!AB35=1),AO68*2,0)</f>
        <v>0</v>
      </c>
      <c r="AR68" s="901">
        <f>IF(AND('Раскладка продуктов'!$BC$3=2,'Блок ввода'!$AB$35=1),AO68/10,0)</f>
        <v>0</v>
      </c>
      <c r="AS68" s="892"/>
      <c r="AT68" s="892"/>
      <c r="AU68" s="892"/>
      <c r="AV68" s="892"/>
      <c r="AW68" s="892"/>
      <c r="AX68" s="903">
        <f>IF('Блок ввода'!R181=20,0.5,0)</f>
        <v>0</v>
      </c>
      <c r="AY68" s="902"/>
      <c r="AZ68" s="903">
        <f>IF('Блок ввода'!$A$34&lt;&gt;2,0,IF(OR('Блок ввода'!E92=21,'Блок ввода'!E92=22,'Блок ввода'!E92=23),('Блок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0</v>
      </c>
      <c r="BA68" s="892">
        <f>IF('Блок ввода'!$A$34=2,0,BT68)</f>
        <v>0</v>
      </c>
      <c r="BB68" s="892"/>
      <c r="BC68" s="892"/>
      <c r="BD68" s="892"/>
      <c r="BE68" s="904"/>
      <c r="BF68" s="904">
        <f>IF('Блок ввода'!E92=24,(300-'Раскладка продуктов'!N68*5-'Раскладка продуктов'!AN68-'Раскладка продуктов'!AO68)*375/500,0)</f>
        <v>0</v>
      </c>
      <c r="BG68" s="904"/>
      <c r="BH68" s="904"/>
      <c r="BI68" s="905"/>
      <c r="BJ68" s="906"/>
      <c r="BK68" s="907"/>
      <c r="BL68" s="900"/>
      <c r="BM68" s="900"/>
      <c r="BN68" s="893"/>
      <c r="BO68" s="908"/>
      <c r="BP68" s="909">
        <f>IF($BP$1=1,550,500)</f>
        <v>550</v>
      </c>
      <c r="BQ68" s="910"/>
      <c r="BR68" s="766"/>
      <c r="BS68" s="764"/>
      <c r="BT68" s="764">
        <f>IF('Блок ввода'!E92&gt;20,IF('Блок ввода'!A34=3,BU68*15/100,BU68/5),0)</f>
        <v>0</v>
      </c>
      <c r="BU68" s="764">
        <f>IF(OR('Блок ввода'!E92=21,'Блок ввода'!E92=22,'Блок ввода'!E92=23),('Блок ввода'!$L$34-$AZ$34-$AZ$47-$AZ$60-$AZ$73-$AZ$103-$AZ$116-$AZ$129-$AZ$25-$AZ$38-$AZ$51-$AZ$64-$AZ$94-$AZ$107-$AZ$120)/2,0)</f>
        <v>0</v>
      </c>
      <c r="BV68" s="764"/>
      <c r="BW68" s="764"/>
      <c r="BX68" s="764"/>
      <c r="BY68" s="764"/>
      <c r="BZ68" s="765"/>
      <c r="CA68" s="765"/>
      <c r="CB68" s="765">
        <f>SUM(N68:X68)*5+SUM(AK68:AP68)+BF68*500/375</f>
        <v>285</v>
      </c>
      <c r="CC68" s="764"/>
      <c r="CD68" s="765"/>
      <c r="CE68" s="764"/>
      <c r="CF68" s="475"/>
      <c r="CG68" s="475"/>
      <c r="CH68" s="476"/>
      <c r="CI68" s="476"/>
      <c r="CJ68" s="476"/>
      <c r="CK68" s="476"/>
      <c r="CL68" s="476"/>
      <c r="CM68" s="476"/>
      <c r="CN68" s="39"/>
      <c r="CO68" s="39"/>
      <c r="CP68" s="39"/>
      <c r="CQ68" s="39"/>
      <c r="CR68" s="39"/>
      <c r="CS68" s="39"/>
      <c r="CT68" s="39"/>
      <c r="CU68" s="39"/>
      <c r="CV68" s="39"/>
      <c r="CW68" s="39"/>
    </row>
    <row r="69" spans="1:101" s="16" customFormat="1" ht="24" customHeight="1" x14ac:dyDescent="0.2">
      <c r="B69" s="1339"/>
      <c r="C69" s="1346"/>
      <c r="D69" s="1380"/>
      <c r="E69" s="484" t="s">
        <v>229</v>
      </c>
      <c r="F69" s="1319" t="str">
        <f>IF('Блок ввода'!$G$4=1,'Блок ввода'!G99,"Зарегистрируйте программу")</f>
        <v>Зарегистрируйте программу</v>
      </c>
      <c r="G69" s="1320"/>
      <c r="H69" s="1320"/>
      <c r="I69" s="1320"/>
      <c r="J69" s="1320"/>
      <c r="K69" s="891"/>
      <c r="L69" s="892"/>
      <c r="M69" s="892"/>
      <c r="N69" s="1189">
        <v>2</v>
      </c>
      <c r="O69" s="894"/>
      <c r="P69" s="894">
        <f>IF('Блок ввода'!R182=14,20,IF('Блок ввода'!R182=22,55-(AN69+AO69)/5,0))</f>
        <v>0</v>
      </c>
      <c r="Q69" s="896">
        <f>IF('Блок ввода'!R182=15,20,IF('Блок ввода'!R182=23,60-N69-(AN69+AO69)/5-AQ69-AR69*2,0))</f>
        <v>0</v>
      </c>
      <c r="R69" s="892">
        <f>IF('Блок ввода'!R182=8,20,0)</f>
        <v>0</v>
      </c>
      <c r="S69" s="892">
        <f>IF('Блок ввода'!R182=16,20,0)</f>
        <v>0</v>
      </c>
      <c r="T69" s="892">
        <f>IF('Блок ввода'!R182=17,20,0)</f>
        <v>0</v>
      </c>
      <c r="U69" s="892">
        <f>IF('Блок ввода'!R182=4,15,IF('Блок ввода'!R182=19,30,0))</f>
        <v>0</v>
      </c>
      <c r="V69" s="892">
        <f>IF('Блок ввода'!R182=3,20,IF('Блок ввода'!R182=12,25,0))</f>
        <v>0</v>
      </c>
      <c r="W69" s="897"/>
      <c r="X69" s="894">
        <f>IF('Блок ввода'!R182=13,25,IF('Блок ввода'!R182=21,55-(AN69+AO69)/5-AQ69-AR69*2,0))</f>
        <v>0</v>
      </c>
      <c r="Y69" s="896"/>
      <c r="Z69" s="892"/>
      <c r="AA69" s="892"/>
      <c r="AB69" s="933"/>
      <c r="AC69" s="899">
        <f>IF('Блок ввода'!E96=18,12,0)</f>
        <v>0</v>
      </c>
      <c r="AD69" s="898"/>
      <c r="AE69" s="892">
        <v>4</v>
      </c>
      <c r="AF69" s="899"/>
      <c r="AG69" s="896"/>
      <c r="AH69" s="892"/>
      <c r="AI69" s="892"/>
      <c r="AJ69" s="897"/>
      <c r="AK69" s="891">
        <f>IF('Блок ввода'!E96=24,0,ОКГП-(SUM(P69:X69))*5-AL69-AM69-AN69-AO69-AP69-AY69)</f>
        <v>115</v>
      </c>
      <c r="AL69" s="892">
        <f>IF('Блок ввода'!R182&lt;3,140,IF('Блок ввода'!R182=3,90,IF('Блок ввода'!R182=4,115,IF('Блок ввода'!R182=5,80,IF('Блок ввода'!R182=9,90,0)))))</f>
        <v>140</v>
      </c>
      <c r="AM69" s="892">
        <f>IF('Блок ввода'!R182=5,60,IF('Блок ввода'!R182=6,60,IF('Блок ввода'!R182=20,120,0)))</f>
        <v>0</v>
      </c>
      <c r="AN69" s="932">
        <v>10</v>
      </c>
      <c r="AO69" s="932">
        <v>10</v>
      </c>
      <c r="AP69" s="897">
        <f>IF('Блок ввода'!R182=6,80,IF('Блок ввода'!R182=7,50,IF('Блок ввода'!R182=8,50,IF('Блок ввода'!R182=9,50,IF('Блок ввода'!R182=11,105,IF('Блок ввода'!R182=19,5,IF('Блок ввода'!R182=20,70,0)))))))</f>
        <v>0</v>
      </c>
      <c r="AQ69" s="898">
        <f>IF('Раскладка продуктов'!$BC$3=1,AO69*2,0)</f>
        <v>0</v>
      </c>
      <c r="AR69" s="901">
        <f>IF(AND('Раскладка продуктов'!$BC$3=2,'Блок ввода'!$AB$35=1),AO69/10,0)</f>
        <v>0</v>
      </c>
      <c r="AS69" s="892"/>
      <c r="AT69" s="892"/>
      <c r="AU69" s="892"/>
      <c r="AV69" s="892"/>
      <c r="AW69" s="892"/>
      <c r="AX69" s="903">
        <f>IF('Блок ввода'!R182=20,0.5,0)</f>
        <v>0</v>
      </c>
      <c r="AY69" s="902"/>
      <c r="AZ69" s="903">
        <f>IF('Блок ввода'!$A$34&lt;&gt;2,0,IF(OR('Блок ввода'!E96=21,'Блок ввода'!E96=22,'Блок ввода'!E96=23),('Блок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0</v>
      </c>
      <c r="BA69" s="892">
        <f>IF('Блок ввода'!$A$34=2,0,BT69)</f>
        <v>0</v>
      </c>
      <c r="BB69" s="892"/>
      <c r="BC69" s="892"/>
      <c r="BD69" s="892"/>
      <c r="BE69" s="904"/>
      <c r="BF69" s="904">
        <f>IF('Блок ввода'!E96=24,(300-'Раскладка продуктов'!N69*5-'Раскладка продуктов'!AN69-'Раскладка продуктов'!AO69)*375/500,0)</f>
        <v>0</v>
      </c>
      <c r="BG69" s="904"/>
      <c r="BH69" s="904"/>
      <c r="BI69" s="905"/>
      <c r="BJ69" s="906"/>
      <c r="BK69" s="907"/>
      <c r="BL69" s="900"/>
      <c r="BM69" s="900"/>
      <c r="BN69" s="893"/>
      <c r="BO69" s="908"/>
      <c r="BP69" s="909">
        <f>IF($BP$1=1,550,500)</f>
        <v>550</v>
      </c>
      <c r="BQ69" s="934"/>
      <c r="BR69" s="766"/>
      <c r="BS69" s="764"/>
      <c r="BT69" s="764">
        <f>IF('Блок ввода'!E96&gt;20,IF('Блок ввода'!A34=3,BU69*15/100,BU69/5),0)</f>
        <v>0</v>
      </c>
      <c r="BU69" s="764">
        <f>IF(OR('Блок ввода'!E96=21,'Блок ввода'!E96=22,'Блок ввода'!E96=23),('Блок ввода'!$L$34-$AZ$34-$AZ$47-$AZ$60-$AZ$73-$AZ$103-$AZ$116-$AZ$129-$AZ$25-$AZ$38-$AZ$51-$AZ$64-$AZ$94-$AZ$107-$AZ$120)/2,0)</f>
        <v>0</v>
      </c>
      <c r="BV69" s="764"/>
      <c r="BW69" s="764"/>
      <c r="BX69" s="764"/>
      <c r="BY69" s="764"/>
      <c r="BZ69" s="765"/>
      <c r="CA69" s="765"/>
      <c r="CB69" s="765">
        <f>SUM(N69:X69)*5+SUM(AK69:AP69)+BF69*500/375</f>
        <v>285</v>
      </c>
      <c r="CC69" s="764"/>
      <c r="CD69" s="765"/>
      <c r="CE69" s="764"/>
      <c r="CF69" s="475"/>
      <c r="CG69" s="475"/>
      <c r="CH69" s="476"/>
      <c r="CI69" s="476"/>
      <c r="CJ69" s="476"/>
      <c r="CK69" s="476"/>
      <c r="CL69" s="476"/>
      <c r="CM69" s="476"/>
      <c r="CN69" s="39"/>
      <c r="CO69" s="39"/>
      <c r="CP69" s="39"/>
      <c r="CQ69" s="39"/>
      <c r="CR69" s="39"/>
      <c r="CS69" s="39"/>
      <c r="CT69" s="39"/>
      <c r="CU69" s="39"/>
      <c r="CV69" s="39"/>
      <c r="CW69" s="39"/>
    </row>
    <row r="70" spans="1:101" s="16" customFormat="1" ht="24" customHeight="1" x14ac:dyDescent="0.2">
      <c r="B70" s="1339"/>
      <c r="C70" s="1346"/>
      <c r="D70" s="1380"/>
      <c r="E70" s="484" t="s">
        <v>230</v>
      </c>
      <c r="F70" s="1319" t="str">
        <f>IF('Блок ввода'!$G$4=1,CONCATENATE('Блок ввода'!Y184,'Блок ввода'!AA184),"Зарегистрируйте программу")</f>
        <v>Зарегистрируйте программу</v>
      </c>
      <c r="G70" s="1320"/>
      <c r="H70" s="1320"/>
      <c r="I70" s="1320"/>
      <c r="J70" s="1348"/>
      <c r="K70" s="891"/>
      <c r="L70" s="892"/>
      <c r="M70" s="892"/>
      <c r="N70" s="1189">
        <v>2</v>
      </c>
      <c r="O70" s="894">
        <f>IF('Блок ввода'!R183=4,20,IF('Блок ввода'!R183=16,75,IF('Блок ввода'!R183=24,20,0)))</f>
        <v>0</v>
      </c>
      <c r="P70" s="894">
        <f>IF('Блок ввода'!R183=8,(ОКГВ-AN70-AO70-AY70)/5,IF('Блок ввода'!R183=12,16,IF('Блок ввода'!S183=7,(ОКГВ-AN70-AO70-AP70-AY70)/5,0)))</f>
        <v>0</v>
      </c>
      <c r="Q70" s="891">
        <f>IF('Блок ввода'!S183=8,CB70/5,0)</f>
        <v>0</v>
      </c>
      <c r="R70" s="892">
        <f>IF('Блок ввода'!S183=9,CB70/5,0)</f>
        <v>0</v>
      </c>
      <c r="S70" s="892">
        <f>IF('Блок ввода'!S183=11,CB70/5,0)</f>
        <v>0</v>
      </c>
      <c r="T70" s="892">
        <f>IF('Блок ввода'!S183=12,CB70/5,0)</f>
        <v>0</v>
      </c>
      <c r="U70" s="892">
        <f>IF('Блок ввода'!S183=10,CB70/5,IF('Блок ввода'!S183=16,CB70/5-V70,0))</f>
        <v>0</v>
      </c>
      <c r="V70" s="892">
        <f>IF('Блок ввода'!S183=14,CB70/5,IF('Блок ввода'!S183=16,40,0))</f>
        <v>71</v>
      </c>
      <c r="W70" s="899">
        <f>IF('Блок ввода'!S183=13,CB70/5,0)</f>
        <v>0</v>
      </c>
      <c r="X70" s="894">
        <f>IF('Блок ввода'!R183=14,CB70/5,IF('Блок ввода'!S183=15,CB70/5,0))</f>
        <v>0</v>
      </c>
      <c r="Y70" s="896">
        <f>IF('Блок ввода'!R183&lt;19,BU1,0)</f>
        <v>150</v>
      </c>
      <c r="Z70" s="892">
        <f>IF('Блок ввода'!R183=19,75,0)</f>
        <v>0</v>
      </c>
      <c r="AA70" s="892"/>
      <c r="AB70" s="892">
        <f>IF('Блок ввода'!R183&gt;20,120-AB67,0)</f>
        <v>0</v>
      </c>
      <c r="AC70" s="897">
        <f>IF('Блок ввода'!R183=20,96,0)</f>
        <v>0</v>
      </c>
      <c r="AD70" s="898"/>
      <c r="AE70" s="892">
        <v>4</v>
      </c>
      <c r="AF70" s="899"/>
      <c r="AG70" s="896"/>
      <c r="AH70" s="892"/>
      <c r="AI70" s="892"/>
      <c r="AJ70" s="897"/>
      <c r="AK70" s="891">
        <f>IF('Блок ввода'!R183=7,ОКГВ-AL70-AN70-AO70-AY70,IF('Блок ввода'!R183=15,ОКГВ-AN70-AO70-AY70,IF('Блок ввода'!S183&lt;5,ОКГВ-P70*5-AN70-AO70-AP70-AY70,)))</f>
        <v>0</v>
      </c>
      <c r="AL70" s="892">
        <f>IF('Блок ввода'!R183=7,200,IF('Блок ввода'!R183=13,450-AN70-AO70-AY70,IF('Блок ввода'!S183=5,CB70,0)))</f>
        <v>0</v>
      </c>
      <c r="AM70" s="892"/>
      <c r="AN70" s="932">
        <v>10</v>
      </c>
      <c r="AO70" s="932">
        <v>10</v>
      </c>
      <c r="AP70" s="897">
        <f>IF('Блок ввода'!R183=6,20,0)</f>
        <v>0</v>
      </c>
      <c r="AQ70" s="898">
        <f>IF(AND('Раскладка продуктов'!$BC$3=1,'Блок ввода'!AB35=1),AO70*2,0)</f>
        <v>0</v>
      </c>
      <c r="AR70" s="901">
        <f>IF(AND('Раскладка продуктов'!$BC$3=2,'Блок ввода'!$AB$35=1),AO70/10,0)</f>
        <v>0</v>
      </c>
      <c r="AS70" s="892"/>
      <c r="AT70" s="892"/>
      <c r="AU70" s="892"/>
      <c r="AV70" s="892"/>
      <c r="AW70" s="892"/>
      <c r="AX70" s="892"/>
      <c r="AY70" s="902"/>
      <c r="AZ70" s="903"/>
      <c r="BA70" s="892"/>
      <c r="BB70" s="892"/>
      <c r="BC70" s="892"/>
      <c r="BD70" s="892"/>
      <c r="BE70" s="904"/>
      <c r="BF70" s="904"/>
      <c r="BG70" s="904"/>
      <c r="BH70" s="904"/>
      <c r="BI70" s="905"/>
      <c r="BJ70" s="906"/>
      <c r="BK70" s="907"/>
      <c r="BL70" s="900"/>
      <c r="BM70" s="900"/>
      <c r="BN70" s="893"/>
      <c r="BO70" s="908"/>
      <c r="BP70" s="909">
        <f>BQ70+P70*2.8+Q70*2.1+R70*3+S70*3+T70*3+U70*2.5+V70*2.1+W70*3+X70*3+BX70+AL70*'Блок ввода'!$D$9+'Раскладка продуктов'!AM70*'Блок ввода'!$D$8+'Раскладка продуктов'!AP70*'Блок ввода'!$D$11+'Раскладка продуктов'!AQ70*'Блок ввода'!$D$12+'Раскладка продуктов'!AX70*'Блок ввода'!$D$13+AD70*0.5+IF(BZ70&gt;0,50,BY70)</f>
        <v>245.1</v>
      </c>
      <c r="BQ70" s="934">
        <f>'Блок ввода'!AG183</f>
        <v>46</v>
      </c>
      <c r="BR70" s="766"/>
      <c r="BS70" s="764"/>
      <c r="BT70" s="764"/>
      <c r="BU70" s="764"/>
      <c r="BV70" s="764"/>
      <c r="BW70" s="764"/>
      <c r="BX70" s="764">
        <f>IF(CA70&gt;0,'Раскладка продуктов'!AK70*'Блок ввода'!$D$5,AK70*'Блок ввода'!$D$4)</f>
        <v>0</v>
      </c>
      <c r="BY70" s="764">
        <f>N70+AN70*'Блок ввода'!$D$7+'Раскладка продуктов'!AO70*'Блок ввода'!$D$10</f>
        <v>17.8</v>
      </c>
      <c r="BZ70" s="765">
        <f>IF('Блок ввода'!R183&lt;4,1,IF('Блок ввода'!R183=9,1,IF('Блок ввода'!R183=10,1,IF('Блок ввода'!R183=11,1,IF('Блок ввода'!R183=5,1,IF('Блок ввода'!R183=6,1,IF('Блок ввода'!R183=7,1,0)))))))</f>
        <v>1</v>
      </c>
      <c r="CA70" s="765">
        <f>IF('Блок ввода'!S183=1,1,0)</f>
        <v>0</v>
      </c>
      <c r="CB70" s="765">
        <f>ОКГВ-P70*5-AN70-AO70-AP70-AY70</f>
        <v>355</v>
      </c>
      <c r="CC70" s="765">
        <f>SUM(N70:X70)*5+SUM(AK70:AP70)</f>
        <v>385</v>
      </c>
      <c r="CD70" s="765">
        <f>(CB68+CB69+CC70+CC71)/2+CB67</f>
        <v>820</v>
      </c>
      <c r="CE70" s="764"/>
      <c r="CF70" s="475"/>
      <c r="CG70" s="475"/>
      <c r="CH70" s="476"/>
      <c r="CI70" s="476"/>
      <c r="CJ70" s="476"/>
      <c r="CK70" s="476"/>
      <c r="CL70" s="476"/>
      <c r="CM70" s="476"/>
      <c r="CN70" s="39"/>
      <c r="CO70" s="39"/>
      <c r="CP70" s="39"/>
      <c r="CQ70" s="39"/>
      <c r="CR70" s="39"/>
      <c r="CS70" s="39"/>
      <c r="CT70" s="39"/>
      <c r="CU70" s="39"/>
      <c r="CV70" s="39"/>
      <c r="CW70" s="39"/>
    </row>
    <row r="71" spans="1:101" s="16" customFormat="1" ht="24" customHeight="1" x14ac:dyDescent="0.2">
      <c r="B71" s="1339"/>
      <c r="C71" s="1346"/>
      <c r="D71" s="1380"/>
      <c r="E71" s="484" t="s">
        <v>230</v>
      </c>
      <c r="F71" s="1319" t="str">
        <f>IF('Блок ввода'!$G$4=1,CONCATENATE('Блок ввода'!Y189,'Блок ввода'!AA189),"Зарегистрируйте программу")</f>
        <v>Зарегистрируйте программу</v>
      </c>
      <c r="G71" s="1320"/>
      <c r="H71" s="1320"/>
      <c r="I71" s="1320"/>
      <c r="J71" s="1348"/>
      <c r="K71" s="891"/>
      <c r="L71" s="892"/>
      <c r="M71" s="892"/>
      <c r="N71" s="1189">
        <v>2</v>
      </c>
      <c r="O71" s="894">
        <f>IF('Блок ввода'!R184=4,20,IF('Блок ввода'!R184=16,75,IF('Блок ввода'!R184=24,20,0)))</f>
        <v>0</v>
      </c>
      <c r="P71" s="894">
        <f>IF('Блок ввода'!R184=8,(ОКГВ-AN71-AO71-AY71)/5,IF('Блок ввода'!R184=12,16,IF('Блок ввода'!S184=7,(ОКГВ-AN71-AO71-AP71-AY71)/5,0)))</f>
        <v>0</v>
      </c>
      <c r="Q71" s="891">
        <f>IF('Блок ввода'!S184=8,CB71/5,0)</f>
        <v>0</v>
      </c>
      <c r="R71" s="892">
        <f>IF('Блок ввода'!S184=9,CB71/5,0)</f>
        <v>0</v>
      </c>
      <c r="S71" s="892">
        <f>IF('Блок ввода'!S184=11,CB71/5,0)</f>
        <v>0</v>
      </c>
      <c r="T71" s="892">
        <f>IF('Блок ввода'!S184=12,CB71/5,0)</f>
        <v>71</v>
      </c>
      <c r="U71" s="892">
        <f>IF('Блок ввода'!S184=10,CB71/5,IF('Блок ввода'!S184=16,CB71/5-V71,0))</f>
        <v>0</v>
      </c>
      <c r="V71" s="892">
        <f>IF('Блок ввода'!S184=14,CB71/5,IF('Блок ввода'!S184=16,40,0))</f>
        <v>0</v>
      </c>
      <c r="W71" s="899">
        <f>IF('Блок ввода'!S184=13,CB71/5,0)</f>
        <v>0</v>
      </c>
      <c r="X71" s="894">
        <f>IF('Блок ввода'!R184=14,CB71/5,IF('Блок ввода'!S184=15,CB71/5,0))</f>
        <v>0</v>
      </c>
      <c r="Y71" s="896">
        <f>IF('Блок ввода'!R184&lt;19,BU1,0)</f>
        <v>150</v>
      </c>
      <c r="Z71" s="892">
        <f>IF('Блок ввода'!R184=19,75,0)</f>
        <v>0</v>
      </c>
      <c r="AA71" s="892"/>
      <c r="AB71" s="892">
        <f>IF('Блок ввода'!R184&gt;20,120-AB67,0)</f>
        <v>0</v>
      </c>
      <c r="AC71" s="897">
        <f>IF('Блок ввода'!R184=20,96,0)</f>
        <v>0</v>
      </c>
      <c r="AD71" s="898"/>
      <c r="AE71" s="892"/>
      <c r="AF71" s="899"/>
      <c r="AG71" s="896"/>
      <c r="AH71" s="892"/>
      <c r="AI71" s="892"/>
      <c r="AJ71" s="897"/>
      <c r="AK71" s="891">
        <f>IF('Блок ввода'!R184=7,ОКГВ-AL71-AN71-AO71-AY71,IF('Блок ввода'!R184=15,ОКГВ-AN71-AO71-AY71,IF('Блок ввода'!S184&lt;5,ОКГВ-P71*5-AN71-AO71-AP71-AY71,)))</f>
        <v>0</v>
      </c>
      <c r="AL71" s="892">
        <f>IF('Блок ввода'!R184=7,200,IF('Блок ввода'!R184=13,450-AN71-AO71-AY71,IF('Блок ввода'!S184=5,CB71,0)))</f>
        <v>0</v>
      </c>
      <c r="AM71" s="892"/>
      <c r="AN71" s="932">
        <v>10</v>
      </c>
      <c r="AO71" s="932">
        <v>10</v>
      </c>
      <c r="AP71" s="897">
        <f>IF('Блок ввода'!R184=6,20,0)</f>
        <v>0</v>
      </c>
      <c r="AQ71" s="898">
        <f>IF(AND('Раскладка продуктов'!$BC$3=1,'Блок ввода'!AB35=1),AO71*2,0)</f>
        <v>0</v>
      </c>
      <c r="AR71" s="901">
        <f>IF(AND('Раскладка продуктов'!$BC$3=2,'Блок ввода'!$AB$35=1),AO71/10,0)</f>
        <v>0</v>
      </c>
      <c r="AS71" s="892"/>
      <c r="AT71" s="892"/>
      <c r="AU71" s="892"/>
      <c r="AV71" s="892"/>
      <c r="AW71" s="892"/>
      <c r="AX71" s="892"/>
      <c r="AY71" s="902"/>
      <c r="AZ71" s="903"/>
      <c r="BA71" s="892"/>
      <c r="BB71" s="892"/>
      <c r="BC71" s="892"/>
      <c r="BD71" s="892"/>
      <c r="BE71" s="904"/>
      <c r="BF71" s="904"/>
      <c r="BG71" s="904"/>
      <c r="BH71" s="904"/>
      <c r="BI71" s="905"/>
      <c r="BJ71" s="906"/>
      <c r="BK71" s="907"/>
      <c r="BL71" s="900"/>
      <c r="BM71" s="900"/>
      <c r="BN71" s="893"/>
      <c r="BO71" s="908"/>
      <c r="BP71" s="909">
        <f>BQ71+P71*2.8+Q71*2.1+R71*3+S71*3+T71*3+U71*2.5+V71*2.1+W71*3+X71*3+BX71+AL71*'Блок ввода'!$D$9+'Раскладка продуктов'!AM71*'Блок ввода'!$D$8+'Раскладка продуктов'!AP71*'Блок ввода'!$D$11+'Раскладка продуктов'!AQ71*'Блок ввода'!$D$12+'Раскладка продуктов'!AX71*'Блок ввода'!$D$13+AD71*0.5+IF(BZ71&gt;0,50,BY71)</f>
        <v>309</v>
      </c>
      <c r="BQ71" s="934">
        <f>'Блок ввода'!AG184</f>
        <v>46</v>
      </c>
      <c r="BR71" s="766"/>
      <c r="BS71" s="764"/>
      <c r="BT71" s="764"/>
      <c r="BU71" s="764"/>
      <c r="BV71" s="764"/>
      <c r="BW71" s="764"/>
      <c r="BX71" s="764">
        <f>IF(CA71&gt;0,'Раскладка продуктов'!AK71*'Блок ввода'!$D$5,AK71*'Блок ввода'!$D$4)</f>
        <v>0</v>
      </c>
      <c r="BY71" s="764">
        <f>N71+AN71*'Блок ввода'!$D$7+'Раскладка продуктов'!AO71*'Блок ввода'!$D$10</f>
        <v>17.8</v>
      </c>
      <c r="BZ71" s="765">
        <f>IF('Блок ввода'!R184&lt;4,1,IF('Блок ввода'!R184=9,1,IF('Блок ввода'!R184=10,1,IF('Блок ввода'!R184=11,1,IF('Блок ввода'!R184=5,1,IF('Блок ввода'!R184=6,1,IF('Блок ввода'!R184=7,1,0)))))))</f>
        <v>1</v>
      </c>
      <c r="CA71" s="765">
        <f>IF('Блок ввода'!S184=1,1,0)</f>
        <v>0</v>
      </c>
      <c r="CB71" s="765">
        <f>ОКГВ-P71*5-AN71-AO71-AP71-AY71</f>
        <v>355</v>
      </c>
      <c r="CC71" s="765">
        <f>SUM(N71:X71)*5+SUM(AK71:AP71)</f>
        <v>385</v>
      </c>
      <c r="CD71" s="765"/>
      <c r="CE71" s="764"/>
      <c r="CF71" s="475"/>
      <c r="CG71" s="475"/>
      <c r="CH71" s="476"/>
      <c r="CI71" s="476"/>
      <c r="CJ71" s="476"/>
      <c r="CK71" s="476"/>
      <c r="CL71" s="476"/>
      <c r="CM71" s="476"/>
      <c r="CN71" s="39"/>
      <c r="CO71" s="39"/>
      <c r="CP71" s="39"/>
      <c r="CQ71" s="39"/>
      <c r="CR71" s="39"/>
      <c r="CS71" s="39"/>
      <c r="CT71" s="39"/>
      <c r="CU71" s="39"/>
      <c r="CV71" s="39"/>
      <c r="CW71" s="39"/>
    </row>
    <row r="72" spans="1:101" s="16" customFormat="1" ht="24" customHeight="1" thickBot="1" x14ac:dyDescent="0.25">
      <c r="B72" s="1339"/>
      <c r="C72" s="1346"/>
      <c r="D72" s="1381"/>
      <c r="E72" s="484" t="s">
        <v>231</v>
      </c>
      <c r="F72" s="1326" t="str">
        <f>IF('Блок ввода'!$G$4=1,'Блок ввода'!U190,"Зарегистрируйте программу")</f>
        <v>Зарегистрируйте программу</v>
      </c>
      <c r="G72" s="1327"/>
      <c r="H72" s="1327"/>
      <c r="I72" s="1327"/>
      <c r="J72" s="1328"/>
      <c r="K72" s="911">
        <v>100</v>
      </c>
      <c r="L72" s="912">
        <v>150</v>
      </c>
      <c r="M72" s="913">
        <f>IF('Блок ввода'!AB36=2,65,IF('Блок ввода'!AB36=1,90,0))</f>
        <v>0</v>
      </c>
      <c r="N72" s="1187">
        <v>0</v>
      </c>
      <c r="O72" s="935"/>
      <c r="P72" s="916"/>
      <c r="Q72" s="937"/>
      <c r="R72" s="913"/>
      <c r="S72" s="913"/>
      <c r="T72" s="913"/>
      <c r="U72" s="913"/>
      <c r="V72" s="913"/>
      <c r="W72" s="938"/>
      <c r="X72" s="916"/>
      <c r="Y72" s="937"/>
      <c r="Z72" s="913"/>
      <c r="AA72" s="913"/>
      <c r="AB72" s="913"/>
      <c r="AC72" s="938"/>
      <c r="AD72" s="939"/>
      <c r="AE72" s="913"/>
      <c r="AF72" s="940"/>
      <c r="AG72" s="937"/>
      <c r="AH72" s="912"/>
      <c r="AI72" s="913">
        <f>IF('Блок ввода'!R185=2,20*IF('Блок ввода'!AA71=1,5,1),IF(AND('Блок ввода'!R185=3,'Блок ввода'!AA71=1),100,0))</f>
        <v>0</v>
      </c>
      <c r="AJ72" s="938"/>
      <c r="AK72" s="941"/>
      <c r="AL72" s="913"/>
      <c r="AM72" s="913"/>
      <c r="AN72" s="900"/>
      <c r="AO72" s="942">
        <f>IF(AND('Блок ввода'!A28=1,'Блок ввода'!I23="Лука"),'Блок ввода'!L23,0)</f>
        <v>0</v>
      </c>
      <c r="AP72" s="938"/>
      <c r="AQ72" s="939">
        <f>IF(AND('Раскладка продуктов'!$BC$3=1,'Блок ввода'!AB35=1),AO72*2,0)</f>
        <v>0</v>
      </c>
      <c r="AR72" s="943"/>
      <c r="AS72" s="913"/>
      <c r="AT72" s="913"/>
      <c r="AU72" s="913"/>
      <c r="AV72" s="913"/>
      <c r="AW72" s="913"/>
      <c r="AX72" s="913"/>
      <c r="AY72" s="944"/>
      <c r="AZ72" s="912">
        <f>IF('Блок ввода'!A34=TRUE,IF('Блок ввода'!R185&lt;3,0,IF('Блок ввода'!S28=FALSE,0,BR72/5)),IF('Блок ввода'!R185&lt;3,0,IF('Блок ввода'!S28=FALSE,0,BR72)))</f>
        <v>0</v>
      </c>
      <c r="BA72" s="913"/>
      <c r="BB72" s="913">
        <f>IF('Блок ввода'!S64=TRUE,0,IF('Блок ввода'!R185=3,200+IF('Блок ввода'!$A$35=1,400-(AI72*3)),IF(OR('Блок ввода'!R185=4,'Блок ввода'!R185=7),200+IF('Блок ввода'!$A$35=1,400-(AI72*3)),IF(OR('Блок ввода'!R185=5, 'Блок ввода'!R185=7),200+IF('Блок ввода'!$A$35=1,400-(AI72*3)),0))))</f>
        <v>0</v>
      </c>
      <c r="BC72" s="913"/>
      <c r="BD72" s="942">
        <f>IF(AND('Блок ввода'!A28=1,'Блок ввода'!I23="Чеснока"),'Блок ввода'!L23,0)</f>
        <v>0</v>
      </c>
      <c r="BE72" s="912">
        <f>IF('Блок ввода'!R185=6,(200-AI72)/2,0)</f>
        <v>0</v>
      </c>
      <c r="BF72" s="945"/>
      <c r="BG72" s="945"/>
      <c r="BH72" s="945"/>
      <c r="BI72" s="946"/>
      <c r="BJ72" s="947"/>
      <c r="BK72" s="948"/>
      <c r="BL72" s="942"/>
      <c r="BM72" s="942"/>
      <c r="BN72" s="915"/>
      <c r="BO72" s="949"/>
      <c r="BP72" s="950">
        <f>IF(BA72&gt;0,BA72,250)</f>
        <v>250</v>
      </c>
      <c r="BQ72" s="951"/>
      <c r="BR72" s="766"/>
      <c r="BS72" s="764"/>
      <c r="BT72" s="764"/>
      <c r="BU72" s="764"/>
      <c r="BV72" s="764"/>
      <c r="BW72" s="764"/>
      <c r="BX72" s="764"/>
      <c r="BY72" s="764"/>
      <c r="BZ72" s="765"/>
      <c r="CA72" s="765"/>
      <c r="CB72" s="765"/>
      <c r="CC72" s="764"/>
      <c r="CD72" s="765"/>
      <c r="CE72" s="764"/>
      <c r="CF72" s="475"/>
      <c r="CG72" s="475"/>
      <c r="CH72" s="476"/>
      <c r="CI72" s="476"/>
      <c r="CJ72" s="476"/>
      <c r="CK72" s="476"/>
      <c r="CL72" s="476"/>
      <c r="CM72" s="476"/>
      <c r="CN72" s="39"/>
      <c r="CO72" s="39"/>
      <c r="CP72" s="39"/>
      <c r="CQ72" s="39"/>
      <c r="CR72" s="39"/>
      <c r="CS72" s="39"/>
      <c r="CT72" s="39"/>
      <c r="CU72" s="39"/>
      <c r="CV72" s="39"/>
      <c r="CW72" s="39"/>
    </row>
    <row r="73" spans="1:101" s="16" customFormat="1" ht="24" customHeight="1" x14ac:dyDescent="0.2">
      <c r="B73" s="1339"/>
      <c r="C73" s="1346"/>
      <c r="D73" s="1341" t="str">
        <f>CONCATENATE("Ужин
100%, ОКГ = ",CD73)</f>
        <v>Ужин
100%, ОКГ = 425</v>
      </c>
      <c r="E73" s="1342"/>
      <c r="F73" s="1300" t="str">
        <f>IF('Блок ввода'!$G$4=1,CONCATENATE('Блок ввода'!G177,'Блок ввода'!L177,'Блок ввода'!N177,'Блок ввода'!O177),"Зарегистрируйте программу")</f>
        <v>Зарегистрируйте программу</v>
      </c>
      <c r="G73" s="1301"/>
      <c r="H73" s="1301"/>
      <c r="I73" s="1301"/>
      <c r="J73" s="1321"/>
      <c r="K73" s="952"/>
      <c r="L73" s="953"/>
      <c r="M73" s="870"/>
      <c r="N73" s="1192">
        <v>2</v>
      </c>
      <c r="O73" s="871"/>
      <c r="P73" s="871">
        <f>IF('Блок ввода'!R186=8,(ОКГУ-AN73-AO73-AY73)/5,IF('Блок ввода'!R186=12,15,IF('Блок ввода'!S186=7,(ОКГУ-AN73-AO73-AP73-AY73)/5,0)))</f>
        <v>0</v>
      </c>
      <c r="Q73" s="869">
        <f>IF('Блок ввода'!S186=8,CB73/5,0)</f>
        <v>0</v>
      </c>
      <c r="R73" s="870">
        <f>IF('Блок ввода'!S186=9,CB73/5,0)</f>
        <v>0</v>
      </c>
      <c r="S73" s="870">
        <f>IF('Блок ввода'!S186=11,CB73/5,0)</f>
        <v>0</v>
      </c>
      <c r="T73" s="870">
        <f>IF('Блок ввода'!S186=12,CB73/5,0)</f>
        <v>0</v>
      </c>
      <c r="U73" s="870">
        <f>IF('Блок ввода'!S186=10,CB73/5,IF('Блок ввода'!S186=16,CB73/5-V73,0))</f>
        <v>80</v>
      </c>
      <c r="V73" s="870">
        <f>IF('Блок ввода'!S186=14,CB73/5,IF('Блок ввода'!S186=16,40,0))</f>
        <v>0</v>
      </c>
      <c r="W73" s="873">
        <f>IF('Блок ввода'!S186=13,CB73/5,0)</f>
        <v>0</v>
      </c>
      <c r="X73" s="894">
        <f>IF('Блок ввода'!R186=14,CB73/5,IF('Блок ввода'!S186=15,CB73/5,0))</f>
        <v>0</v>
      </c>
      <c r="Y73" s="874">
        <f>IF('Блок ввода'!R186&lt;19,BU3,0)</f>
        <v>0</v>
      </c>
      <c r="Z73" s="870">
        <f>IF('Блок ввода'!R186=19,75,IF('Блок ввода'!R186=28,60,0))</f>
        <v>0</v>
      </c>
      <c r="AA73" s="870"/>
      <c r="AB73" s="870">
        <f>ROUND(IF('Блок ввода'!E173=28,0,IF('Блок ввода'!E173&gt;20,IF('Блок ввода'!E173=26,102,IF('Блок ввода'!$AB$38=1,156-AB67*1.3-(AC68+AC69)*1.625/2,120-AB67-(AC68+AC69)/2/0.8)),0)),1)</f>
        <v>90</v>
      </c>
      <c r="AC73" s="876">
        <f>IF(AND('Блок ввода'!R186=20,OR('Блок ввода'!E92=18,'Блок ввода'!E96=18)),96-(AC68+AC69)/2-AB67*0.8,IF('Блок ввода'!R186=20,96,0))</f>
        <v>0</v>
      </c>
      <c r="AD73" s="877"/>
      <c r="AE73" s="870">
        <v>22</v>
      </c>
      <c r="AF73" s="873">
        <f>IF(OR('Блок ввода'!E173=21,'Блок ввода'!E173=22,'Блок ввода'!E173=23,'Блок ввода'!E173=24),15,3)</f>
        <v>15</v>
      </c>
      <c r="AG73" s="874"/>
      <c r="AH73" s="870"/>
      <c r="AI73" s="870"/>
      <c r="AJ73" s="876"/>
      <c r="AK73" s="869">
        <f>IF('Блок ввода'!R186=7,ОКГУ-AL73-AN73-AO73-AY73+IF(AND($N$7=1,N73=0),CF73,IF(N64=0,0,2.5-IF($N$7=2,2.5,0))),IF('Блок ввода'!R186=15,ОКГУ-AN73-AO73-AY73+IF(AND($N$7=1,N73=0),CF73,IF(N64=0,0,2.5-IF($N$7=2,2.5,0))),IF('Блок ввода'!S186&lt;5,ОКГУ-P73*5-AN73-AO73-AO72*2-BD72*4-AP73-AY73+IF(AND($N$7=1,N73=0),CF73,IF(N64=0,0,2.5-IF($N$7=2,2.5,0))),)))</f>
        <v>0</v>
      </c>
      <c r="AL73" s="870">
        <f>IF('Блок ввода'!R186=7,200,IF('Блок ввода'!R186=13,450-AN73-AO73-AO72*2-BD72*4-AY73,IF('Блок ввода'!S186=5,CB73-AO72*2-BD72*4,0)))</f>
        <v>0</v>
      </c>
      <c r="AM73" s="870">
        <f>IF('Блок ввода'!S186=6,CB73,0)</f>
        <v>0</v>
      </c>
      <c r="AN73" s="878">
        <v>15</v>
      </c>
      <c r="AO73" s="878">
        <v>10</v>
      </c>
      <c r="AP73" s="876">
        <f>IF('Блок ввода'!R186=6,20,0)</f>
        <v>0</v>
      </c>
      <c r="AQ73" s="954">
        <f>IF(AND('Раскладка продуктов'!$BC$3=1,'Блок ввода'!AB35=1),AO73*2,0)</f>
        <v>0</v>
      </c>
      <c r="AR73" s="955">
        <f>IF(AND('Раскладка продуктов'!$BC$3=2,'Блок ввода'!$AB$35=1),AO73/10,0)</f>
        <v>0</v>
      </c>
      <c r="AS73" s="953"/>
      <c r="AT73" s="953"/>
      <c r="AU73" s="953"/>
      <c r="AV73" s="953"/>
      <c r="AW73" s="953"/>
      <c r="AX73" s="953"/>
      <c r="AY73" s="956"/>
      <c r="AZ73" s="957">
        <f>IF('Блок ввода'!N173=9,150,0)</f>
        <v>0</v>
      </c>
      <c r="BA73" s="953"/>
      <c r="BB73" s="953"/>
      <c r="BC73" s="953"/>
      <c r="BD73" s="953"/>
      <c r="BE73" s="958"/>
      <c r="BF73" s="958"/>
      <c r="BG73" s="958"/>
      <c r="BH73" s="959"/>
      <c r="BI73" s="883">
        <f>IF(Чт!$X$1=8,Чт!$X$3,0)</f>
        <v>0</v>
      </c>
      <c r="BJ73" s="960">
        <f>IF(Чт!$X$1=4,Чт!$X$3,0)</f>
        <v>0</v>
      </c>
      <c r="BK73" s="1011"/>
      <c r="BL73" s="1005"/>
      <c r="BM73" s="1005"/>
      <c r="BN73" s="1006"/>
      <c r="BO73" s="1007"/>
      <c r="BP73" s="931">
        <f>BQ73+P73*2.8+Q73*2.1+R73*3+S73*3+T73*3+U73*2.5+V73*2.1+W73*3+X73*3+BX73+AL73*'Блок ввода'!$D$9+'Раскладка продуктов'!AM73*'Блок ввода'!$D$8+'Раскладка продуктов'!AP73*'Блок ввода'!$D$11+'Раскладка продуктов'!AQ73*'Блок ввода'!$D$12+'Раскладка продуктов'!AX73*'Блок ввода'!$D$13+IF(BZ73&gt;0,50,BY73)</f>
        <v>301.5</v>
      </c>
      <c r="BQ73" s="890">
        <f>'Блок ввода'!AG186</f>
        <v>80</v>
      </c>
      <c r="BR73" s="766"/>
      <c r="BS73" s="764"/>
      <c r="BT73" s="764"/>
      <c r="BU73" s="764"/>
      <c r="BV73" s="764"/>
      <c r="BW73" s="764"/>
      <c r="BX73" s="764">
        <f>IF(CA73&gt;0,'Раскладка продуктов'!AK73*'Блок ввода'!$D$5,AK73*'Блок ввода'!$D$4)</f>
        <v>0</v>
      </c>
      <c r="BY73" s="764">
        <f>N73+AN73*'Блок ввода'!$D$7+'Раскладка продуктов'!AO73*'Блок ввода'!$D$10</f>
        <v>21.5</v>
      </c>
      <c r="BZ73" s="765">
        <f>IF('Блок ввода'!R186&lt;4,1,IF('Блок ввода'!R186=9,1,IF('Блок ввода'!R186=10,1,IF('Блок ввода'!R186=11,1,IF('Блок ввода'!R186=5,1,IF('Блок ввода'!R186=6,1,IF('Блок ввода'!R186=7,1,0)))))))</f>
        <v>0</v>
      </c>
      <c r="CA73" s="765">
        <f>IF('Блок ввода'!S186=1,1,0)</f>
        <v>0</v>
      </c>
      <c r="CB73" s="765">
        <f>ОКГУ-P73*5-AN73-AO73-AP73-AY73+IF(AND($N$7=1,N73=0),CF73,IF(N64=0,0,2.5-IF(N7=2,2.5,0)))</f>
        <v>400</v>
      </c>
      <c r="CC73" s="764"/>
      <c r="CD73" s="762">
        <f>SUM(O73:X73)*5+SUM(AK73:AP73)</f>
        <v>425</v>
      </c>
      <c r="CE73" s="764"/>
      <c r="CF73" s="474">
        <f>IF(AND($N$7=1,N73=0),5,0)</f>
        <v>0</v>
      </c>
      <c r="CG73" s="475"/>
      <c r="CH73" s="476"/>
      <c r="CI73" s="476"/>
      <c r="CJ73" s="476"/>
      <c r="CK73" s="476"/>
      <c r="CL73" s="476"/>
      <c r="CM73" s="476"/>
      <c r="CN73" s="39"/>
      <c r="CO73" s="39"/>
      <c r="CP73" s="39"/>
      <c r="CQ73" s="39"/>
      <c r="CR73" s="39"/>
      <c r="CS73" s="39"/>
      <c r="CT73" s="39"/>
      <c r="CU73" s="39"/>
      <c r="CV73" s="39"/>
      <c r="CW73" s="39"/>
    </row>
    <row r="74" spans="1:101" s="16" customFormat="1" ht="24" customHeight="1" x14ac:dyDescent="0.2">
      <c r="B74" s="1339"/>
      <c r="C74" s="1346"/>
      <c r="D74" s="1343"/>
      <c r="E74" s="1344"/>
      <c r="F74" s="1302"/>
      <c r="G74" s="1303"/>
      <c r="H74" s="1303"/>
      <c r="I74" s="1303"/>
      <c r="J74" s="1322"/>
      <c r="K74" s="891"/>
      <c r="L74" s="892"/>
      <c r="M74" s="892"/>
      <c r="N74" s="1191">
        <f>IF('Блок ввода'!E173=4,20,IF('Блок ввода'!E173=16,75,IF('Блок ввода'!E173=24,15,0)))</f>
        <v>0</v>
      </c>
      <c r="O74" s="961"/>
      <c r="P74" s="894"/>
      <c r="Q74" s="896"/>
      <c r="R74" s="892"/>
      <c r="S74" s="892"/>
      <c r="T74" s="892"/>
      <c r="U74" s="892"/>
      <c r="V74" s="892"/>
      <c r="W74" s="897"/>
      <c r="X74" s="894"/>
      <c r="Y74" s="896"/>
      <c r="Z74" s="892"/>
      <c r="AA74" s="892"/>
      <c r="AB74" s="892"/>
      <c r="AC74" s="897"/>
      <c r="AD74" s="898"/>
      <c r="AE74" s="892"/>
      <c r="AF74" s="899"/>
      <c r="AG74" s="963"/>
      <c r="AH74" s="964"/>
      <c r="AI74" s="892"/>
      <c r="AJ74" s="897"/>
      <c r="AK74" s="891"/>
      <c r="AL74" s="892"/>
      <c r="AM74" s="892"/>
      <c r="AN74" s="900"/>
      <c r="AO74" s="900"/>
      <c r="AP74" s="897"/>
      <c r="AQ74" s="898">
        <f>IF(AND('Раскладка продуктов'!$BC$3=1,'Блок ввода'!AB35=1),AO74*2,0)</f>
        <v>0</v>
      </c>
      <c r="AR74" s="901"/>
      <c r="AS74" s="892"/>
      <c r="AT74" s="892"/>
      <c r="AU74" s="892"/>
      <c r="AV74" s="892"/>
      <c r="AW74" s="892"/>
      <c r="AX74" s="892"/>
      <c r="AY74" s="902"/>
      <c r="AZ74" s="903"/>
      <c r="BA74" s="892"/>
      <c r="BB74" s="892"/>
      <c r="BC74" s="892"/>
      <c r="BD74" s="892"/>
      <c r="BE74" s="904">
        <f>IF('Блок ввода'!T186=2,15*1.4,0)</f>
        <v>0</v>
      </c>
      <c r="BF74" s="904"/>
      <c r="BG74" s="904"/>
      <c r="BH74" s="965"/>
      <c r="BI74" s="905"/>
      <c r="BJ74" s="966"/>
      <c r="BK74" s="1012"/>
      <c r="BL74" s="900"/>
      <c r="BM74" s="900"/>
      <c r="BN74" s="893"/>
      <c r="BO74" s="908"/>
      <c r="BP74" s="909"/>
      <c r="BQ74" s="910"/>
      <c r="BR74" s="766"/>
      <c r="BS74" s="768">
        <f>IF(AND('Блок ввода'!E168=30,'Блок ввода'!I168=17),BR76+BS76,IF('Блок ввода'!E168=30,(BR76+BS76+430)+BF76*500/375,BR76+BS76+BF76*500/375))</f>
        <v>1650</v>
      </c>
      <c r="BT74" s="764" t="str">
        <f>IF(AND(BS74 &lt;&gt;1750,BS74 &lt;&gt;1745),"ОКГ в четверг не соответствует ","")</f>
        <v xml:space="preserve">ОКГ в четверг не соответствует </v>
      </c>
      <c r="BU74" s="764"/>
      <c r="BV74" s="764"/>
      <c r="BW74" s="764"/>
      <c r="BX74" s="764"/>
      <c r="BY74" s="764"/>
      <c r="BZ74" s="765"/>
      <c r="CA74" s="765"/>
      <c r="CB74" s="765"/>
      <c r="CC74" s="764"/>
      <c r="CD74" s="765"/>
      <c r="CE74" s="764"/>
      <c r="CF74" s="475"/>
      <c r="CG74" s="475"/>
      <c r="CH74" s="476"/>
      <c r="CI74" s="476"/>
      <c r="CJ74" s="476"/>
      <c r="CK74" s="476"/>
      <c r="CL74" s="476"/>
      <c r="CM74" s="476"/>
      <c r="CN74" s="39"/>
      <c r="CO74" s="39"/>
      <c r="CP74" s="39"/>
      <c r="CQ74" s="39"/>
      <c r="CR74" s="39"/>
      <c r="CS74" s="39"/>
      <c r="CT74" s="39"/>
      <c r="CU74" s="39"/>
      <c r="CV74" s="39"/>
      <c r="CW74" s="39"/>
    </row>
    <row r="75" spans="1:101" s="16" customFormat="1" ht="24" customHeight="1" thickBot="1" x14ac:dyDescent="0.25">
      <c r="B75" s="1339"/>
      <c r="C75" s="1346"/>
      <c r="D75" s="1343"/>
      <c r="E75" s="1344"/>
      <c r="F75" s="1302"/>
      <c r="G75" s="1303"/>
      <c r="H75" s="1303"/>
      <c r="I75" s="1303"/>
      <c r="J75" s="1322"/>
      <c r="K75" s="967">
        <v>100</v>
      </c>
      <c r="L75" s="922">
        <f>IF('Блок ввода'!T109=5,100,50)</f>
        <v>50</v>
      </c>
      <c r="M75" s="919"/>
      <c r="N75" s="1190">
        <f>IF(L75=50,37.5,0)</f>
        <v>37.5</v>
      </c>
      <c r="O75" s="968"/>
      <c r="P75" s="969"/>
      <c r="Q75" s="970"/>
      <c r="R75" s="919"/>
      <c r="S75" s="919"/>
      <c r="T75" s="919"/>
      <c r="U75" s="919"/>
      <c r="V75" s="919"/>
      <c r="W75" s="971"/>
      <c r="X75" s="969"/>
      <c r="Y75" s="970"/>
      <c r="Z75" s="919"/>
      <c r="AA75" s="919"/>
      <c r="AB75" s="919"/>
      <c r="AC75" s="971"/>
      <c r="AD75" s="917"/>
      <c r="AE75" s="919"/>
      <c r="AF75" s="972"/>
      <c r="AG75" s="970">
        <f>IF(OR('Блок ввода'!T186&lt;=7,'Блок ввода'!T186=9),30-AG72/2-(BE74)/1.4,0)</f>
        <v>30</v>
      </c>
      <c r="AH75" s="922">
        <v>1</v>
      </c>
      <c r="AI75" s="919">
        <f>IF('Блок ввода'!T186=4,20,0)</f>
        <v>0</v>
      </c>
      <c r="AJ75" s="971"/>
      <c r="AK75" s="973"/>
      <c r="AL75" s="919"/>
      <c r="AM75" s="919"/>
      <c r="AN75" s="927"/>
      <c r="AO75" s="927"/>
      <c r="AP75" s="971"/>
      <c r="AQ75" s="917">
        <f>AO75*2</f>
        <v>0</v>
      </c>
      <c r="AR75" s="918"/>
      <c r="AS75" s="919"/>
      <c r="AT75" s="919"/>
      <c r="AU75" s="919"/>
      <c r="AV75" s="919"/>
      <c r="AW75" s="919"/>
      <c r="AX75" s="1224">
        <f>IF(AND(L75=50,'Блок ввода'!$Q$114=1),0.125,0)</f>
        <v>0</v>
      </c>
      <c r="AY75" s="921"/>
      <c r="AZ75" s="922"/>
      <c r="BA75" s="919"/>
      <c r="BB75" s="919"/>
      <c r="BC75" s="919">
        <f>IF('Блок ввода'!T186=8,(35-AG81/2)*1.4,IF('Блок ввода'!T186=7,4.8,0))</f>
        <v>0</v>
      </c>
      <c r="BD75" s="923"/>
      <c r="BE75" s="974"/>
      <c r="BF75" s="974"/>
      <c r="BG75" s="974"/>
      <c r="BH75" s="971">
        <f>IF(L75=50,0.5,0)</f>
        <v>0.5</v>
      </c>
      <c r="BI75" s="975"/>
      <c r="BJ75" s="976"/>
      <c r="BK75" s="926">
        <v>100</v>
      </c>
      <c r="BL75" s="927">
        <v>70</v>
      </c>
      <c r="BM75" s="927">
        <v>0.6</v>
      </c>
      <c r="BN75" s="928">
        <v>10</v>
      </c>
      <c r="BO75" s="929">
        <v>200</v>
      </c>
      <c r="BP75" s="977">
        <v>250</v>
      </c>
      <c r="BQ75" s="978"/>
      <c r="BR75" s="766">
        <f>IF('Блок ввода'!A28=TRUE,BR76+BS76-'Блок ввода'!L23,BR76+BS76)</f>
        <v>1650</v>
      </c>
      <c r="BS75" s="764"/>
      <c r="BT75" s="764"/>
      <c r="BU75" s="764"/>
      <c r="BV75" s="764"/>
      <c r="BW75" s="764"/>
      <c r="BX75" s="764"/>
      <c r="BY75" s="764"/>
      <c r="BZ75" s="765"/>
      <c r="CA75" s="765"/>
      <c r="CB75" s="765"/>
      <c r="CC75" s="764"/>
      <c r="CD75" s="765"/>
      <c r="CE75" s="764"/>
      <c r="CF75" s="475"/>
      <c r="CG75" s="475"/>
      <c r="CH75" s="476"/>
      <c r="CI75" s="476"/>
      <c r="CJ75" s="476"/>
      <c r="CK75" s="476"/>
      <c r="CL75" s="476"/>
      <c r="CM75" s="476"/>
      <c r="CN75" s="39"/>
      <c r="CO75" s="39"/>
      <c r="CP75" s="39"/>
      <c r="CQ75" s="39"/>
      <c r="CR75" s="39"/>
      <c r="CS75" s="39"/>
      <c r="CT75" s="39"/>
      <c r="CU75" s="39"/>
      <c r="CV75" s="39"/>
      <c r="CW75" s="39"/>
    </row>
    <row r="76" spans="1:101" s="43" customFormat="1" ht="24" customHeight="1" thickTop="1" thickBot="1" x14ac:dyDescent="0.3">
      <c r="A76" s="229">
        <f>BS74</f>
        <v>1650</v>
      </c>
      <c r="B76" s="1402" t="s">
        <v>27</v>
      </c>
      <c r="C76" s="1403"/>
      <c r="D76" s="1403"/>
      <c r="E76" s="1403"/>
      <c r="F76" s="1403"/>
      <c r="G76" s="1403"/>
      <c r="H76" s="1403"/>
      <c r="I76" s="1403"/>
      <c r="J76" s="1404"/>
      <c r="K76" s="979">
        <f>SUM(K64:K75)</f>
        <v>300</v>
      </c>
      <c r="L76" s="980">
        <f>SUM(L64:L75)</f>
        <v>350</v>
      </c>
      <c r="M76" s="981">
        <f>SUM(M64:M75)</f>
        <v>0</v>
      </c>
      <c r="N76" s="982">
        <f>N64+N65+N66+(N68+N69+N70+N71)/2+SUM(N73:N75)</f>
        <v>50</v>
      </c>
      <c r="O76" s="1013">
        <f>O64+O65+O66+(O68+O69+O70+O71)/2+SUM(O73:O75)</f>
        <v>0</v>
      </c>
      <c r="P76" s="986">
        <f t="shared" ref="P76:AD76" si="10">P64+P65+P66+(P68+P69)/2+(P70+P71)/2+SUM(P73:P75)</f>
        <v>0</v>
      </c>
      <c r="Q76" s="987">
        <f t="shared" si="10"/>
        <v>0</v>
      </c>
      <c r="R76" s="984">
        <f>R64+R65+R66+(R68+R69)/2+(R70+R71)/2+SUM(R73:R75)+R67</f>
        <v>0</v>
      </c>
      <c r="S76" s="984">
        <f t="shared" si="10"/>
        <v>0</v>
      </c>
      <c r="T76" s="984">
        <f t="shared" si="10"/>
        <v>35.5</v>
      </c>
      <c r="U76" s="984">
        <f t="shared" si="10"/>
        <v>95</v>
      </c>
      <c r="V76" s="984">
        <f t="shared" si="10"/>
        <v>120.5</v>
      </c>
      <c r="W76" s="985">
        <f t="shared" si="10"/>
        <v>0</v>
      </c>
      <c r="X76" s="986">
        <f t="shared" si="10"/>
        <v>0</v>
      </c>
      <c r="Y76" s="987">
        <f t="shared" si="10"/>
        <v>250</v>
      </c>
      <c r="Z76" s="984">
        <f t="shared" si="10"/>
        <v>0</v>
      </c>
      <c r="AA76" s="984">
        <f t="shared" si="10"/>
        <v>0</v>
      </c>
      <c r="AB76" s="984">
        <f>AB64+AB65+AB66+(AB68+AB69)/2+(AB70+AB71)/2+SUM(AB73:AB75)+AB67</f>
        <v>120</v>
      </c>
      <c r="AC76" s="985">
        <f t="shared" si="10"/>
        <v>0</v>
      </c>
      <c r="AD76" s="987">
        <f t="shared" si="10"/>
        <v>0</v>
      </c>
      <c r="AE76" s="988">
        <f>SUM(AE64:AE66)+SUM(AE73:AE75)+AE67+SUM(AE68:AE71)/2</f>
        <v>45</v>
      </c>
      <c r="AF76" s="989">
        <f>SUM(AF64:AF75)</f>
        <v>30</v>
      </c>
      <c r="AG76" s="990">
        <f>SUM(AG64:AG75)</f>
        <v>60</v>
      </c>
      <c r="AH76" s="988">
        <f>SUM(AH64:AH75)</f>
        <v>1</v>
      </c>
      <c r="AI76" s="988">
        <f>SUM(AI64:AI75)</f>
        <v>0</v>
      </c>
      <c r="AJ76" s="989">
        <v>20</v>
      </c>
      <c r="AK76" s="990">
        <f t="shared" ref="AK76:AP76" si="11">AK64+AK67+(AK68+AK69+AK70+AK71)/2+AK73</f>
        <v>172.5</v>
      </c>
      <c r="AL76" s="988">
        <f t="shared" si="11"/>
        <v>70</v>
      </c>
      <c r="AM76" s="988">
        <f t="shared" si="11"/>
        <v>40</v>
      </c>
      <c r="AN76" s="991">
        <f t="shared" si="11"/>
        <v>45</v>
      </c>
      <c r="AO76" s="991">
        <f>AO64+AO67+(AO68+AO69+AO70+AO71)/2+AO73+AO72</f>
        <v>40</v>
      </c>
      <c r="AP76" s="992">
        <f t="shared" si="11"/>
        <v>27.5</v>
      </c>
      <c r="AQ76" s="993">
        <f>AQ64+AQ67+(AQ68+AQ69+AQ70+AQ71)/2+AQ73+AQ72</f>
        <v>0</v>
      </c>
      <c r="AR76" s="991">
        <f>AR64+AR67+(AR68+AR69+AR70+AR71)/2+AR73</f>
        <v>0</v>
      </c>
      <c r="AS76" s="988">
        <v>6</v>
      </c>
      <c r="AT76" s="980">
        <v>0.2</v>
      </c>
      <c r="AU76" s="980">
        <v>0.3</v>
      </c>
      <c r="AV76" s="980">
        <v>2</v>
      </c>
      <c r="AW76" s="980">
        <v>0.5</v>
      </c>
      <c r="AX76" s="1225">
        <f>AX64+AX67+(AX68+AX69+AX70+AX71)/2+AX73+AX74+AX66+AX75</f>
        <v>1</v>
      </c>
      <c r="AY76" s="988">
        <f>AY64+AY67+(AY68+AY69+AY70+AY71)/2+AY73</f>
        <v>0</v>
      </c>
      <c r="AZ76" s="980">
        <f>AZ64+AZ67+(AZ68+AZ69+AZ70+AZ71)/2+AZ73+AZ72</f>
        <v>50</v>
      </c>
      <c r="BA76" s="984">
        <f>BA64+BA65+BA66+(BA68+BA69+BA70+BA71)/2+SUM(BA73:BA75)</f>
        <v>0</v>
      </c>
      <c r="BB76" s="984">
        <f t="shared" ref="BB76:BO76" si="12">BB64+BB65+BB66+(BB68+BB69+BB70+BB71)/2+BB72+SUM(BB73:BB75)</f>
        <v>0</v>
      </c>
      <c r="BC76" s="984">
        <f t="shared" si="12"/>
        <v>1.5</v>
      </c>
      <c r="BD76" s="984">
        <f t="shared" si="12"/>
        <v>0</v>
      </c>
      <c r="BE76" s="984">
        <f t="shared" si="12"/>
        <v>0</v>
      </c>
      <c r="BF76" s="984">
        <f t="shared" si="12"/>
        <v>0</v>
      </c>
      <c r="BG76" s="984">
        <f t="shared" si="12"/>
        <v>0</v>
      </c>
      <c r="BH76" s="994">
        <f t="shared" si="12"/>
        <v>0.5</v>
      </c>
      <c r="BI76" s="994">
        <f>BI64+BI65+BI66+(BI68+BI69+BI70+BI71)/2+BI72++BI73+BI74+BI75</f>
        <v>0</v>
      </c>
      <c r="BJ76" s="985">
        <f>BJ64+BJ65+BJ66+(BJ68+BJ69+BJ70+BJ71)/2+BJ72++BJ73+BJ74+BJ75</f>
        <v>0</v>
      </c>
      <c r="BK76" s="1009">
        <f t="shared" si="12"/>
        <v>100</v>
      </c>
      <c r="BL76" s="996">
        <f t="shared" si="12"/>
        <v>70</v>
      </c>
      <c r="BM76" s="996">
        <f t="shared" si="12"/>
        <v>0.6</v>
      </c>
      <c r="BN76" s="996">
        <f t="shared" si="12"/>
        <v>10</v>
      </c>
      <c r="BO76" s="997">
        <f t="shared" si="12"/>
        <v>200</v>
      </c>
      <c r="BP76" s="998"/>
      <c r="BQ76" s="999"/>
      <c r="BR76" s="764">
        <f>SUM(P76:X76)*5</f>
        <v>1255</v>
      </c>
      <c r="BS76" s="770">
        <f>SUM(AK76:AP76)+AY76+BD76+IF('Блок ввода'!E49=17,150-AM67-AO67-AN67,0)-AO72+AO72*2-BD72+BD72*4</f>
        <v>395</v>
      </c>
      <c r="BT76" s="773"/>
      <c r="BU76" s="773"/>
      <c r="BV76" s="773"/>
      <c r="BW76" s="773"/>
      <c r="BX76" s="773"/>
      <c r="BY76" s="773"/>
      <c r="BZ76" s="774"/>
      <c r="CA76" s="774"/>
      <c r="CB76" s="774"/>
      <c r="CC76" s="773"/>
      <c r="CD76" s="774"/>
      <c r="CE76" s="773"/>
      <c r="CF76" s="775"/>
      <c r="CG76" s="775"/>
      <c r="CH76" s="776"/>
      <c r="CI76" s="776"/>
      <c r="CJ76" s="776"/>
      <c r="CK76" s="776"/>
      <c r="CL76" s="776"/>
      <c r="CM76" s="776"/>
      <c r="CN76" s="42"/>
      <c r="CO76" s="42"/>
      <c r="CP76" s="42"/>
      <c r="CQ76" s="42"/>
      <c r="CR76" s="42"/>
      <c r="CS76" s="42"/>
      <c r="CT76" s="42"/>
      <c r="CU76" s="42"/>
      <c r="CV76" s="42"/>
      <c r="CW76" s="42"/>
    </row>
    <row r="77" spans="1:101" ht="20.100000000000001" customHeight="1" x14ac:dyDescent="0.2">
      <c r="K77" s="1014"/>
      <c r="L77" s="1014"/>
      <c r="M77" s="1014"/>
      <c r="N77" s="1015"/>
      <c r="O77" s="1014"/>
      <c r="P77" s="1014"/>
      <c r="Q77" s="1014"/>
      <c r="R77" s="1014"/>
      <c r="S77" s="1014"/>
      <c r="T77" s="1014"/>
      <c r="U77" s="1016"/>
      <c r="V77" s="1014"/>
      <c r="W77" s="1014"/>
      <c r="X77" s="1014"/>
      <c r="Y77" s="1014"/>
      <c r="Z77" s="1014"/>
      <c r="AA77" s="1014"/>
      <c r="AB77" s="1014"/>
      <c r="AC77" s="1014"/>
      <c r="AD77" s="1014"/>
      <c r="AE77" s="1014"/>
      <c r="AF77" s="1014"/>
      <c r="AG77" s="1014"/>
      <c r="AH77" s="1014"/>
      <c r="AI77" s="1014"/>
      <c r="AJ77" s="1014"/>
      <c r="AK77" s="1014"/>
      <c r="AL77" s="1014"/>
      <c r="AM77" s="1014"/>
      <c r="AN77" s="1015"/>
      <c r="AO77" s="1015"/>
      <c r="AP77" s="1014"/>
      <c r="AQ77" s="1014"/>
      <c r="AR77" s="1014"/>
      <c r="AS77" s="1014"/>
      <c r="AT77" s="1014"/>
      <c r="AU77" s="1014"/>
      <c r="AV77" s="1014"/>
      <c r="AW77" s="1014"/>
      <c r="AX77" s="1014"/>
      <c r="AY77" s="1014"/>
      <c r="AZ77" s="1014"/>
      <c r="BA77" s="1014"/>
      <c r="BB77" s="1014"/>
      <c r="BC77" s="1014"/>
      <c r="BD77" s="1014"/>
      <c r="BE77" s="1017"/>
      <c r="BF77" s="1017"/>
      <c r="BG77" s="1017"/>
      <c r="BH77" s="1017"/>
      <c r="BI77" s="1014"/>
      <c r="BJ77" s="1014"/>
      <c r="BK77" s="1015"/>
      <c r="BL77" s="1015"/>
      <c r="BM77" s="1015"/>
      <c r="BN77" s="1015"/>
      <c r="BO77" s="1015"/>
      <c r="BP77" s="1018"/>
      <c r="BQ77" s="1018"/>
      <c r="BZ77" s="765"/>
    </row>
    <row r="78" spans="1:101" ht="20.100000000000001" customHeight="1" x14ac:dyDescent="0.2">
      <c r="K78" s="1014"/>
      <c r="L78" s="1014"/>
      <c r="M78" s="1014"/>
      <c r="N78" s="1015"/>
      <c r="O78" s="1014"/>
      <c r="P78" s="1014"/>
      <c r="Q78" s="1014"/>
      <c r="R78" s="1014"/>
      <c r="S78" s="1014"/>
      <c r="T78" s="1014"/>
      <c r="U78" s="1016"/>
      <c r="V78" s="1014"/>
      <c r="W78" s="1014"/>
      <c r="X78" s="1014"/>
      <c r="Y78" s="1014"/>
      <c r="Z78" s="1014"/>
      <c r="AA78" s="1014"/>
      <c r="AB78" s="1014"/>
      <c r="AC78" s="1014"/>
      <c r="AD78" s="1014"/>
      <c r="AE78" s="1014"/>
      <c r="AF78" s="1014"/>
      <c r="AG78" s="1014"/>
      <c r="AH78" s="1014"/>
      <c r="AI78" s="1014"/>
      <c r="AJ78" s="1014"/>
      <c r="AK78" s="1014"/>
      <c r="AL78" s="1014"/>
      <c r="AM78" s="1014"/>
      <c r="AN78" s="1015"/>
      <c r="AO78" s="1015"/>
      <c r="AP78" s="1014"/>
      <c r="AQ78" s="1014"/>
      <c r="AR78" s="1014"/>
      <c r="AS78" s="1014"/>
      <c r="AT78" s="1014"/>
      <c r="AU78" s="1014"/>
      <c r="AV78" s="1014"/>
      <c r="AW78" s="1014"/>
      <c r="AX78" s="1014"/>
      <c r="AY78" s="1014"/>
      <c r="AZ78" s="1014"/>
      <c r="BA78" s="1014"/>
      <c r="BB78" s="1014"/>
      <c r="BC78" s="1014"/>
      <c r="BD78" s="1014"/>
      <c r="BE78" s="1017"/>
      <c r="BF78" s="1017"/>
      <c r="BG78" s="1017"/>
      <c r="BH78" s="1017"/>
      <c r="BI78" s="1014"/>
      <c r="BJ78" s="1014"/>
      <c r="BK78" s="1015"/>
      <c r="BL78" s="1015"/>
      <c r="BM78" s="1015"/>
      <c r="BN78" s="1015"/>
      <c r="BO78" s="1015"/>
      <c r="BP78" s="1018"/>
      <c r="BQ78" s="1018"/>
      <c r="BZ78" s="765"/>
    </row>
    <row r="79" spans="1:101" ht="20.100000000000001" customHeight="1" x14ac:dyDescent="0.2">
      <c r="K79" s="1014"/>
      <c r="L79" s="1014"/>
      <c r="M79" s="1014"/>
      <c r="N79" s="1015"/>
      <c r="O79" s="1014"/>
      <c r="P79" s="1014"/>
      <c r="Q79" s="1014"/>
      <c r="R79" s="1014"/>
      <c r="S79" s="1014"/>
      <c r="T79" s="1014"/>
      <c r="U79" s="1016"/>
      <c r="V79" s="1014"/>
      <c r="W79" s="1014"/>
      <c r="X79" s="1014"/>
      <c r="Y79" s="1014"/>
      <c r="Z79" s="1014"/>
      <c r="AA79" s="1014"/>
      <c r="AB79" s="1014"/>
      <c r="AC79" s="1014"/>
      <c r="AD79" s="1014"/>
      <c r="AE79" s="1014"/>
      <c r="AF79" s="1014"/>
      <c r="AG79" s="1014"/>
      <c r="AH79" s="1014"/>
      <c r="AI79" s="1014"/>
      <c r="AJ79" s="1014"/>
      <c r="AK79" s="1014"/>
      <c r="AL79" s="1014"/>
      <c r="AM79" s="1014"/>
      <c r="AN79" s="1015"/>
      <c r="AO79" s="1015"/>
      <c r="AP79" s="1014"/>
      <c r="AQ79" s="1014"/>
      <c r="AR79" s="1014"/>
      <c r="AS79" s="1014"/>
      <c r="AT79" s="1014"/>
      <c r="AU79" s="1014"/>
      <c r="AV79" s="1014"/>
      <c r="AW79" s="1014"/>
      <c r="AX79" s="1014"/>
      <c r="AY79" s="1014"/>
      <c r="AZ79" s="1014"/>
      <c r="BA79" s="1014"/>
      <c r="BB79" s="1014"/>
      <c r="BC79" s="1014"/>
      <c r="BD79" s="1014"/>
      <c r="BE79" s="1017"/>
      <c r="BF79" s="1017"/>
      <c r="BG79" s="1017"/>
      <c r="BH79" s="1017"/>
      <c r="BI79" s="1014"/>
      <c r="BJ79" s="1014"/>
      <c r="BK79" s="1015"/>
      <c r="BL79" s="1015"/>
      <c r="BM79" s="1015"/>
      <c r="BN79" s="1015"/>
      <c r="BO79" s="1015"/>
      <c r="BP79" s="1018"/>
      <c r="BQ79" s="1018"/>
      <c r="BZ79" s="765"/>
    </row>
    <row r="80" spans="1:101" ht="20.100000000000001" customHeight="1" thickBot="1" x14ac:dyDescent="0.25">
      <c r="K80" s="1014"/>
      <c r="L80" s="1014"/>
      <c r="M80" s="1014"/>
      <c r="N80" s="1015"/>
      <c r="O80" s="1014"/>
      <c r="P80" s="1014"/>
      <c r="Q80" s="1014"/>
      <c r="R80" s="1014"/>
      <c r="S80" s="1014"/>
      <c r="T80" s="1014"/>
      <c r="U80" s="1016"/>
      <c r="V80" s="1014"/>
      <c r="W80" s="1014"/>
      <c r="X80" s="1014"/>
      <c r="Y80" s="1014"/>
      <c r="Z80" s="1014"/>
      <c r="AA80" s="1014"/>
      <c r="AB80" s="1014"/>
      <c r="AC80" s="1014"/>
      <c r="AD80" s="1014"/>
      <c r="AE80" s="1014"/>
      <c r="AF80" s="1014"/>
      <c r="AG80" s="1014"/>
      <c r="AH80" s="1014"/>
      <c r="AI80" s="1014"/>
      <c r="AJ80" s="1014"/>
      <c r="AK80" s="1014"/>
      <c r="AL80" s="1014"/>
      <c r="AM80" s="1014"/>
      <c r="AN80" s="1015"/>
      <c r="AO80" s="1015"/>
      <c r="AP80" s="1014"/>
      <c r="AQ80" s="1014"/>
      <c r="AR80" s="1014"/>
      <c r="AS80" s="1014"/>
      <c r="AT80" s="1014"/>
      <c r="AU80" s="1014"/>
      <c r="AV80" s="1014"/>
      <c r="AW80" s="1014"/>
      <c r="AX80" s="1014"/>
      <c r="AY80" s="1014"/>
      <c r="AZ80" s="1014"/>
      <c r="BA80" s="1014"/>
      <c r="BB80" s="1014"/>
      <c r="BC80" s="1014"/>
      <c r="BD80" s="1014"/>
      <c r="BE80" s="1017"/>
      <c r="BF80" s="1017"/>
      <c r="BG80" s="1017"/>
      <c r="BH80" s="1017"/>
      <c r="BI80" s="1014"/>
      <c r="BJ80" s="1014"/>
      <c r="BK80" s="1015"/>
      <c r="BL80" s="1015"/>
      <c r="BM80" s="1015"/>
      <c r="BN80" s="1015"/>
      <c r="BO80" s="1015"/>
      <c r="BP80" s="1018"/>
      <c r="BQ80" s="1018"/>
      <c r="BZ80" s="765"/>
    </row>
    <row r="81" spans="2:85" ht="20.100000000000001" customHeight="1" thickBot="1" x14ac:dyDescent="0.3">
      <c r="B81" s="1405" t="s">
        <v>454</v>
      </c>
      <c r="C81" s="1406"/>
      <c r="D81" s="1300" t="s">
        <v>0</v>
      </c>
      <c r="E81" s="1321"/>
      <c r="F81" s="1329" t="s">
        <v>1</v>
      </c>
      <c r="G81" s="1329"/>
      <c r="H81" s="1329"/>
      <c r="I81" s="1329"/>
      <c r="J81" s="1329"/>
      <c r="K81" s="1517" t="s">
        <v>2</v>
      </c>
      <c r="L81" s="1518"/>
      <c r="M81" s="1518"/>
      <c r="N81" s="1518"/>
      <c r="O81" s="1518"/>
      <c r="P81" s="1518"/>
      <c r="Q81" s="1518"/>
      <c r="R81" s="1518"/>
      <c r="S81" s="1518"/>
      <c r="T81" s="1518"/>
      <c r="U81" s="1518"/>
      <c r="V81" s="1518"/>
      <c r="W81" s="1518"/>
      <c r="X81" s="1518"/>
      <c r="Y81" s="1518"/>
      <c r="Z81" s="1518"/>
      <c r="AA81" s="1518"/>
      <c r="AB81" s="1518"/>
      <c r="AC81" s="1518"/>
      <c r="AD81" s="1518"/>
      <c r="AE81" s="1518"/>
      <c r="AF81" s="1518"/>
      <c r="AG81" s="1518"/>
      <c r="AH81" s="1518"/>
      <c r="AI81" s="1518"/>
      <c r="AJ81" s="1518"/>
      <c r="AK81" s="1518"/>
      <c r="AL81" s="1518"/>
      <c r="AM81" s="1518"/>
      <c r="AN81" s="1518"/>
      <c r="AO81" s="1518"/>
      <c r="AP81" s="1518"/>
      <c r="AQ81" s="1518"/>
      <c r="AR81" s="1518"/>
      <c r="AS81" s="1518"/>
      <c r="AT81" s="1518"/>
      <c r="AU81" s="1518"/>
      <c r="AV81" s="1518"/>
      <c r="AW81" s="1518"/>
      <c r="AX81" s="1518"/>
      <c r="AY81" s="1518"/>
      <c r="AZ81" s="1518"/>
      <c r="BA81" s="1518"/>
      <c r="BB81" s="1518"/>
      <c r="BC81" s="1518"/>
      <c r="BD81" s="1518"/>
      <c r="BE81" s="1518"/>
      <c r="BF81" s="1518"/>
      <c r="BG81" s="1518"/>
      <c r="BH81" s="1518"/>
      <c r="BI81" s="1518"/>
      <c r="BJ81" s="1519"/>
      <c r="BK81" s="1506" t="s">
        <v>245</v>
      </c>
      <c r="BL81" s="1507"/>
      <c r="BM81" s="1507"/>
      <c r="BN81" s="1507"/>
      <c r="BO81" s="1508"/>
      <c r="BP81" s="1475" t="s">
        <v>26</v>
      </c>
      <c r="BQ81" s="1525" t="s">
        <v>37</v>
      </c>
      <c r="BR81" s="766"/>
      <c r="BZ81" s="765"/>
    </row>
    <row r="82" spans="2:85" ht="20.100000000000001" customHeight="1" thickBot="1" x14ac:dyDescent="0.3">
      <c r="B82" s="1407"/>
      <c r="C82" s="1408"/>
      <c r="D82" s="1302"/>
      <c r="E82" s="1322"/>
      <c r="F82" s="1330"/>
      <c r="G82" s="1330"/>
      <c r="H82" s="1330"/>
      <c r="I82" s="1330"/>
      <c r="J82" s="1330"/>
      <c r="K82" s="1310" t="s">
        <v>7</v>
      </c>
      <c r="L82" s="1350" t="str">
        <f>L13</f>
        <v>Хлеб из муки пшен. 1 сорта</v>
      </c>
      <c r="M82" s="1359" t="s">
        <v>455</v>
      </c>
      <c r="N82" s="1356" t="str">
        <f>N13</f>
        <v>Мука пш. 1 с.</v>
      </c>
      <c r="O82" s="1353" t="s">
        <v>576</v>
      </c>
      <c r="P82" s="1365" t="s">
        <v>8</v>
      </c>
      <c r="Q82" s="1316" t="s">
        <v>3</v>
      </c>
      <c r="R82" s="1317"/>
      <c r="S82" s="1317"/>
      <c r="T82" s="1317"/>
      <c r="U82" s="1317"/>
      <c r="V82" s="1317"/>
      <c r="W82" s="1318"/>
      <c r="X82" s="1369" t="s">
        <v>61</v>
      </c>
      <c r="Y82" s="1316" t="s">
        <v>4</v>
      </c>
      <c r="Z82" s="1317"/>
      <c r="AA82" s="1317"/>
      <c r="AB82" s="1317"/>
      <c r="AC82" s="1318"/>
      <c r="AD82" s="1316" t="s">
        <v>5</v>
      </c>
      <c r="AE82" s="1317"/>
      <c r="AF82" s="1318"/>
      <c r="AG82" s="1310" t="s">
        <v>16</v>
      </c>
      <c r="AH82" s="1350" t="str">
        <f>IF('Блок ввода'!$Y$39=TRUE,"К о ф е","Ч  а  й")</f>
        <v>Ч  а  й</v>
      </c>
      <c r="AI82" s="1371" t="str">
        <f>AI13</f>
        <v>Фрукты сушеные</v>
      </c>
      <c r="AJ82" s="1313" t="s">
        <v>17</v>
      </c>
      <c r="AK82" s="1316" t="s">
        <v>6</v>
      </c>
      <c r="AL82" s="1317"/>
      <c r="AM82" s="1317"/>
      <c r="AN82" s="1317"/>
      <c r="AO82" s="1317"/>
      <c r="AP82" s="1318"/>
      <c r="AQ82" s="1520" t="s">
        <v>183</v>
      </c>
      <c r="AR82" s="1521"/>
      <c r="AS82" s="1521"/>
      <c r="AT82" s="1521"/>
      <c r="AU82" s="1521"/>
      <c r="AV82" s="1521"/>
      <c r="AW82" s="1521"/>
      <c r="AX82" s="1521"/>
      <c r="AY82" s="1521"/>
      <c r="AZ82" s="1521"/>
      <c r="BA82" s="1521"/>
      <c r="BB82" s="1521"/>
      <c r="BC82" s="1521"/>
      <c r="BD82" s="1521"/>
      <c r="BE82" s="1521"/>
      <c r="BF82" s="1521"/>
      <c r="BG82" s="1521"/>
      <c r="BH82" s="1521"/>
      <c r="BI82" s="1521"/>
      <c r="BJ82" s="1522"/>
      <c r="BK82" s="1509"/>
      <c r="BL82" s="1510"/>
      <c r="BM82" s="1510"/>
      <c r="BN82" s="1510"/>
      <c r="BO82" s="1511"/>
      <c r="BP82" s="1476"/>
      <c r="BQ82" s="1526"/>
      <c r="BR82" s="766"/>
      <c r="BZ82" s="765"/>
    </row>
    <row r="83" spans="2:85" ht="20.100000000000001" customHeight="1" thickBot="1" x14ac:dyDescent="0.25">
      <c r="B83" s="1407"/>
      <c r="C83" s="1408"/>
      <c r="D83" s="1302"/>
      <c r="E83" s="1322"/>
      <c r="F83" s="1330"/>
      <c r="G83" s="1330"/>
      <c r="H83" s="1330"/>
      <c r="I83" s="1330"/>
      <c r="J83" s="1330"/>
      <c r="K83" s="1311"/>
      <c r="L83" s="1351"/>
      <c r="M83" s="1359"/>
      <c r="N83" s="1357"/>
      <c r="O83" s="1354"/>
      <c r="P83" s="1366"/>
      <c r="Q83" s="1533" t="s">
        <v>34</v>
      </c>
      <c r="R83" s="1349" t="s">
        <v>40</v>
      </c>
      <c r="S83" s="1349" t="s">
        <v>181</v>
      </c>
      <c r="T83" s="1362" t="s">
        <v>182</v>
      </c>
      <c r="U83" s="1534" t="s">
        <v>35</v>
      </c>
      <c r="V83" s="1349" t="s">
        <v>105</v>
      </c>
      <c r="W83" s="1360" t="str">
        <f>'Блок ввода'!B37</f>
        <v>Овсяная</v>
      </c>
      <c r="X83" s="1354"/>
      <c r="Y83" s="1376" t="s">
        <v>9</v>
      </c>
      <c r="Z83" s="1371" t="s">
        <v>10</v>
      </c>
      <c r="AA83" s="1375" t="s">
        <v>185</v>
      </c>
      <c r="AB83" s="1371" t="s">
        <v>11</v>
      </c>
      <c r="AC83" s="1356" t="s">
        <v>12</v>
      </c>
      <c r="AD83" s="1310" t="s">
        <v>13</v>
      </c>
      <c r="AE83" s="1371" t="s">
        <v>14</v>
      </c>
      <c r="AF83" s="1313" t="s">
        <v>15</v>
      </c>
      <c r="AG83" s="1311"/>
      <c r="AH83" s="1351"/>
      <c r="AI83" s="1372"/>
      <c r="AJ83" s="1314"/>
      <c r="AK83" s="1310" t="s">
        <v>18</v>
      </c>
      <c r="AL83" s="1371" t="s">
        <v>19</v>
      </c>
      <c r="AM83" s="1371" t="s">
        <v>20</v>
      </c>
      <c r="AN83" s="1371" t="s">
        <v>48</v>
      </c>
      <c r="AO83" s="1371" t="s">
        <v>104</v>
      </c>
      <c r="AP83" s="1356" t="s">
        <v>21</v>
      </c>
      <c r="AQ83" s="1421" t="s">
        <v>212</v>
      </c>
      <c r="AR83" s="1536" t="s">
        <v>360</v>
      </c>
      <c r="AS83" s="1524" t="s">
        <v>22</v>
      </c>
      <c r="AT83" s="1524" t="s">
        <v>23</v>
      </c>
      <c r="AU83" s="1524" t="s">
        <v>24</v>
      </c>
      <c r="AV83" s="1524" t="s">
        <v>251</v>
      </c>
      <c r="AW83" s="1524" t="s">
        <v>25</v>
      </c>
      <c r="AX83" s="1524" t="s">
        <v>62</v>
      </c>
      <c r="AY83" s="1524" t="s">
        <v>36</v>
      </c>
      <c r="AZ83" s="1523" t="s">
        <v>361</v>
      </c>
      <c r="BA83" s="1523" t="str">
        <f>IF('Блок ввода'!$A$34=1,"Молоко  сгущ.","Молоко  сух.")</f>
        <v>Молоко  сух.</v>
      </c>
      <c r="BB83" s="1524" t="s">
        <v>386</v>
      </c>
      <c r="BC83" s="1523" t="s">
        <v>267</v>
      </c>
      <c r="BD83" s="1524" t="s">
        <v>249</v>
      </c>
      <c r="BE83" s="1528" t="s">
        <v>187</v>
      </c>
      <c r="BF83" s="1528" t="s">
        <v>265</v>
      </c>
      <c r="BG83" s="1528" t="s">
        <v>260</v>
      </c>
      <c r="BH83" s="1528" t="str">
        <f>BH14</f>
        <v>Дрожжи пресованные</v>
      </c>
      <c r="BI83" s="1523" t="str">
        <f>BI14</f>
        <v>Карамель</v>
      </c>
      <c r="BJ83" s="1282" t="str">
        <f>BJ14</f>
        <v>Сыр</v>
      </c>
      <c r="BK83" s="1510"/>
      <c r="BL83" s="1510"/>
      <c r="BM83" s="1510"/>
      <c r="BN83" s="1510"/>
      <c r="BO83" s="1511"/>
      <c r="BP83" s="1476"/>
      <c r="BQ83" s="1526"/>
      <c r="BR83" s="766"/>
      <c r="BZ83" s="765"/>
    </row>
    <row r="84" spans="2:85" ht="20.100000000000001" customHeight="1" thickBot="1" x14ac:dyDescent="0.25">
      <c r="B84" s="1407"/>
      <c r="C84" s="1408"/>
      <c r="D84" s="1302"/>
      <c r="E84" s="1322"/>
      <c r="F84" s="1330"/>
      <c r="G84" s="1330"/>
      <c r="H84" s="1330"/>
      <c r="I84" s="1330"/>
      <c r="J84" s="1330"/>
      <c r="K84" s="1311"/>
      <c r="L84" s="1351"/>
      <c r="M84" s="1359"/>
      <c r="N84" s="1357"/>
      <c r="O84" s="1354"/>
      <c r="P84" s="1366"/>
      <c r="Q84" s="1533"/>
      <c r="R84" s="1349"/>
      <c r="S84" s="1349"/>
      <c r="T84" s="1363"/>
      <c r="U84" s="1534"/>
      <c r="V84" s="1349"/>
      <c r="W84" s="1361"/>
      <c r="X84" s="1354"/>
      <c r="Y84" s="1377"/>
      <c r="Z84" s="1372"/>
      <c r="AA84" s="1359"/>
      <c r="AB84" s="1372"/>
      <c r="AC84" s="1357"/>
      <c r="AD84" s="1311"/>
      <c r="AE84" s="1372"/>
      <c r="AF84" s="1314"/>
      <c r="AG84" s="1311"/>
      <c r="AH84" s="1351"/>
      <c r="AI84" s="1372"/>
      <c r="AJ84" s="1314"/>
      <c r="AK84" s="1311"/>
      <c r="AL84" s="1372"/>
      <c r="AM84" s="1372"/>
      <c r="AN84" s="1372"/>
      <c r="AO84" s="1372"/>
      <c r="AP84" s="1357"/>
      <c r="AQ84" s="1422"/>
      <c r="AR84" s="1537"/>
      <c r="AS84" s="1372"/>
      <c r="AT84" s="1372"/>
      <c r="AU84" s="1372"/>
      <c r="AV84" s="1372"/>
      <c r="AW84" s="1372"/>
      <c r="AX84" s="1372"/>
      <c r="AY84" s="1372"/>
      <c r="AZ84" s="1351"/>
      <c r="BA84" s="1351"/>
      <c r="BB84" s="1372"/>
      <c r="BC84" s="1351"/>
      <c r="BD84" s="1372"/>
      <c r="BE84" s="1529"/>
      <c r="BF84" s="1529"/>
      <c r="BG84" s="1529"/>
      <c r="BH84" s="1529"/>
      <c r="BI84" s="1351"/>
      <c r="BJ84" s="1283"/>
      <c r="BK84" s="1510"/>
      <c r="BL84" s="1510"/>
      <c r="BM84" s="1510"/>
      <c r="BN84" s="1510"/>
      <c r="BO84" s="1511"/>
      <c r="BP84" s="1476"/>
      <c r="BQ84" s="1526"/>
      <c r="BR84" s="766"/>
      <c r="BZ84" s="765"/>
    </row>
    <row r="85" spans="2:85" ht="9.9499999999999993" hidden="1" customHeight="1" thickBot="1" x14ac:dyDescent="0.25">
      <c r="B85" s="1407"/>
      <c r="C85" s="1408"/>
      <c r="D85" s="1302"/>
      <c r="E85" s="1322"/>
      <c r="F85" s="1330"/>
      <c r="G85" s="1330"/>
      <c r="H85" s="1330"/>
      <c r="I85" s="1330"/>
      <c r="J85" s="1330"/>
      <c r="K85" s="1311"/>
      <c r="L85" s="1351"/>
      <c r="M85" s="1359"/>
      <c r="N85" s="1357"/>
      <c r="O85" s="1354"/>
      <c r="P85" s="1366"/>
      <c r="Q85" s="1533"/>
      <c r="R85" s="1349"/>
      <c r="S85" s="1349"/>
      <c r="T85" s="1363"/>
      <c r="U85" s="1534"/>
      <c r="V85" s="1349"/>
      <c r="W85" s="1361"/>
      <c r="X85" s="1354"/>
      <c r="Y85" s="1377"/>
      <c r="Z85" s="1372"/>
      <c r="AA85" s="1359"/>
      <c r="AB85" s="1372"/>
      <c r="AC85" s="1357"/>
      <c r="AD85" s="1311"/>
      <c r="AE85" s="1372"/>
      <c r="AF85" s="1314"/>
      <c r="AG85" s="1311"/>
      <c r="AH85" s="1351"/>
      <c r="AI85" s="1372"/>
      <c r="AJ85" s="1314"/>
      <c r="AK85" s="1311"/>
      <c r="AL85" s="1372"/>
      <c r="AM85" s="1372"/>
      <c r="AN85" s="1372"/>
      <c r="AO85" s="1372"/>
      <c r="AP85" s="1357"/>
      <c r="AQ85" s="1422"/>
      <c r="AR85" s="1537"/>
      <c r="AS85" s="1372"/>
      <c r="AT85" s="1372"/>
      <c r="AU85" s="1372"/>
      <c r="AV85" s="1372"/>
      <c r="AW85" s="1372"/>
      <c r="AX85" s="1372"/>
      <c r="AY85" s="1372"/>
      <c r="AZ85" s="1351"/>
      <c r="BA85" s="1351"/>
      <c r="BB85" s="1372"/>
      <c r="BC85" s="1351"/>
      <c r="BD85" s="1372"/>
      <c r="BE85" s="1529"/>
      <c r="BF85" s="1529"/>
      <c r="BG85" s="1529"/>
      <c r="BH85" s="1529"/>
      <c r="BI85" s="1351"/>
      <c r="BJ85" s="1283"/>
      <c r="BK85" s="1510"/>
      <c r="BL85" s="1510"/>
      <c r="BM85" s="1510"/>
      <c r="BN85" s="1510"/>
      <c r="BO85" s="1511"/>
      <c r="BP85" s="1476"/>
      <c r="BQ85" s="1526"/>
      <c r="BR85" s="766"/>
      <c r="BZ85" s="765"/>
    </row>
    <row r="86" spans="2:85" ht="19.5" hidden="1" customHeight="1" thickBot="1" x14ac:dyDescent="0.25">
      <c r="B86" s="1407"/>
      <c r="C86" s="1408"/>
      <c r="D86" s="1302"/>
      <c r="E86" s="1322"/>
      <c r="F86" s="1330"/>
      <c r="G86" s="1330"/>
      <c r="H86" s="1330"/>
      <c r="I86" s="1330"/>
      <c r="J86" s="1330"/>
      <c r="K86" s="1311"/>
      <c r="L86" s="1351"/>
      <c r="M86" s="1359"/>
      <c r="N86" s="1357"/>
      <c r="O86" s="1354"/>
      <c r="P86" s="1366"/>
      <c r="Q86" s="1533"/>
      <c r="R86" s="1349"/>
      <c r="S86" s="1349"/>
      <c r="T86" s="1363"/>
      <c r="U86" s="1534"/>
      <c r="V86" s="1349"/>
      <c r="W86" s="1361"/>
      <c r="X86" s="1354"/>
      <c r="Y86" s="1377"/>
      <c r="Z86" s="1372"/>
      <c r="AA86" s="1359"/>
      <c r="AB86" s="1372"/>
      <c r="AC86" s="1357"/>
      <c r="AD86" s="1311"/>
      <c r="AE86" s="1372"/>
      <c r="AF86" s="1314"/>
      <c r="AG86" s="1311"/>
      <c r="AH86" s="1351"/>
      <c r="AI86" s="1372"/>
      <c r="AJ86" s="1314"/>
      <c r="AK86" s="1311"/>
      <c r="AL86" s="1372"/>
      <c r="AM86" s="1372"/>
      <c r="AN86" s="1372"/>
      <c r="AO86" s="1372"/>
      <c r="AP86" s="1357"/>
      <c r="AQ86" s="1422"/>
      <c r="AR86" s="1537"/>
      <c r="AS86" s="1372"/>
      <c r="AT86" s="1372"/>
      <c r="AU86" s="1372"/>
      <c r="AV86" s="1372"/>
      <c r="AW86" s="1372"/>
      <c r="AX86" s="1372"/>
      <c r="AY86" s="1372"/>
      <c r="AZ86" s="1351"/>
      <c r="BA86" s="1351"/>
      <c r="BB86" s="1372"/>
      <c r="BC86" s="1351"/>
      <c r="BD86" s="1372"/>
      <c r="BE86" s="1529"/>
      <c r="BF86" s="1529"/>
      <c r="BG86" s="1529"/>
      <c r="BH86" s="1529"/>
      <c r="BI86" s="1351"/>
      <c r="BJ86" s="1283"/>
      <c r="BK86" s="1510"/>
      <c r="BL86" s="1510"/>
      <c r="BM86" s="1510"/>
      <c r="BN86" s="1510"/>
      <c r="BO86" s="1511"/>
      <c r="BP86" s="1476"/>
      <c r="BQ86" s="1526"/>
      <c r="BR86" s="766"/>
      <c r="BZ86" s="765"/>
    </row>
    <row r="87" spans="2:85" ht="2.25" customHeight="1" thickBot="1" x14ac:dyDescent="0.25">
      <c r="B87" s="1407"/>
      <c r="C87" s="1408"/>
      <c r="D87" s="1302"/>
      <c r="E87" s="1322"/>
      <c r="F87" s="1330"/>
      <c r="G87" s="1330"/>
      <c r="H87" s="1330"/>
      <c r="I87" s="1330"/>
      <c r="J87" s="1330"/>
      <c r="K87" s="1311"/>
      <c r="L87" s="1351"/>
      <c r="M87" s="1359"/>
      <c r="N87" s="1357"/>
      <c r="O87" s="1354"/>
      <c r="P87" s="1366"/>
      <c r="Q87" s="1533"/>
      <c r="R87" s="1349"/>
      <c r="S87" s="1349"/>
      <c r="T87" s="1363"/>
      <c r="U87" s="1534"/>
      <c r="V87" s="1349"/>
      <c r="W87" s="1361"/>
      <c r="X87" s="1354"/>
      <c r="Y87" s="1377"/>
      <c r="Z87" s="1372"/>
      <c r="AA87" s="1359"/>
      <c r="AB87" s="1372"/>
      <c r="AC87" s="1357"/>
      <c r="AD87" s="1311"/>
      <c r="AE87" s="1372"/>
      <c r="AF87" s="1314"/>
      <c r="AG87" s="1311"/>
      <c r="AH87" s="1351"/>
      <c r="AI87" s="1372"/>
      <c r="AJ87" s="1314"/>
      <c r="AK87" s="1311"/>
      <c r="AL87" s="1372"/>
      <c r="AM87" s="1372"/>
      <c r="AN87" s="1372"/>
      <c r="AO87" s="1372"/>
      <c r="AP87" s="1357"/>
      <c r="AQ87" s="1422"/>
      <c r="AR87" s="1537"/>
      <c r="AS87" s="1372"/>
      <c r="AT87" s="1372"/>
      <c r="AU87" s="1372"/>
      <c r="AV87" s="1372"/>
      <c r="AW87" s="1372"/>
      <c r="AX87" s="1372"/>
      <c r="AY87" s="1372"/>
      <c r="AZ87" s="1351"/>
      <c r="BA87" s="1351"/>
      <c r="BB87" s="1372"/>
      <c r="BC87" s="1351"/>
      <c r="BD87" s="1372"/>
      <c r="BE87" s="1529"/>
      <c r="BF87" s="1529"/>
      <c r="BG87" s="1529"/>
      <c r="BH87" s="1529"/>
      <c r="BI87" s="1351"/>
      <c r="BJ87" s="1283"/>
      <c r="BK87" s="1512"/>
      <c r="BL87" s="1512"/>
      <c r="BM87" s="1512"/>
      <c r="BN87" s="1512"/>
      <c r="BO87" s="1513"/>
      <c r="BP87" s="1476"/>
      <c r="BQ87" s="1526"/>
      <c r="BR87" s="766"/>
      <c r="BZ87" s="765"/>
    </row>
    <row r="88" spans="2:85" ht="20.100000000000001" customHeight="1" thickBot="1" x14ac:dyDescent="0.25">
      <c r="B88" s="1407"/>
      <c r="C88" s="1408"/>
      <c r="D88" s="1302"/>
      <c r="E88" s="1322"/>
      <c r="F88" s="1330"/>
      <c r="G88" s="1330"/>
      <c r="H88" s="1330"/>
      <c r="I88" s="1330"/>
      <c r="J88" s="1330"/>
      <c r="K88" s="1311"/>
      <c r="L88" s="1351"/>
      <c r="M88" s="1359"/>
      <c r="N88" s="1357"/>
      <c r="O88" s="1354"/>
      <c r="P88" s="1366"/>
      <c r="Q88" s="1533"/>
      <c r="R88" s="1349"/>
      <c r="S88" s="1349"/>
      <c r="T88" s="1363"/>
      <c r="U88" s="1534"/>
      <c r="V88" s="1349"/>
      <c r="W88" s="1361"/>
      <c r="X88" s="1354"/>
      <c r="Y88" s="1377"/>
      <c r="Z88" s="1372"/>
      <c r="AA88" s="1359"/>
      <c r="AB88" s="1372"/>
      <c r="AC88" s="1357"/>
      <c r="AD88" s="1311"/>
      <c r="AE88" s="1372"/>
      <c r="AF88" s="1314"/>
      <c r="AG88" s="1311"/>
      <c r="AH88" s="1351"/>
      <c r="AI88" s="1372"/>
      <c r="AJ88" s="1314"/>
      <c r="AK88" s="1311"/>
      <c r="AL88" s="1372"/>
      <c r="AM88" s="1372"/>
      <c r="AN88" s="1372"/>
      <c r="AO88" s="1372"/>
      <c r="AP88" s="1357"/>
      <c r="AQ88" s="1422"/>
      <c r="AR88" s="1537"/>
      <c r="AS88" s="1372"/>
      <c r="AT88" s="1372"/>
      <c r="AU88" s="1372"/>
      <c r="AV88" s="1372"/>
      <c r="AW88" s="1372"/>
      <c r="AX88" s="1372"/>
      <c r="AY88" s="1372"/>
      <c r="AZ88" s="1351"/>
      <c r="BA88" s="1351"/>
      <c r="BB88" s="1372"/>
      <c r="BC88" s="1351"/>
      <c r="BD88" s="1372"/>
      <c r="BE88" s="1529"/>
      <c r="BF88" s="1529"/>
      <c r="BG88" s="1529"/>
      <c r="BH88" s="1529"/>
      <c r="BI88" s="1351"/>
      <c r="BJ88" s="1283"/>
      <c r="BK88" s="1305" t="str">
        <f>BK19</f>
        <v>Сало \ мясо</v>
      </c>
      <c r="BL88" s="1307" t="s">
        <v>241</v>
      </c>
      <c r="BM88" s="1307" t="s">
        <v>242</v>
      </c>
      <c r="BN88" s="1531" t="s">
        <v>243</v>
      </c>
      <c r="BO88" s="1514" t="s">
        <v>244</v>
      </c>
      <c r="BP88" s="1476"/>
      <c r="BQ88" s="1526"/>
      <c r="BR88" s="766"/>
      <c r="BZ88" s="765"/>
    </row>
    <row r="89" spans="2:85" ht="60" customHeight="1" thickBot="1" x14ac:dyDescent="0.25">
      <c r="B89" s="1407"/>
      <c r="C89" s="1408"/>
      <c r="D89" s="1302"/>
      <c r="E89" s="1322"/>
      <c r="F89" s="1330"/>
      <c r="G89" s="1330"/>
      <c r="H89" s="1330"/>
      <c r="I89" s="1330"/>
      <c r="J89" s="1330"/>
      <c r="K89" s="1311"/>
      <c r="L89" s="1351"/>
      <c r="M89" s="1350"/>
      <c r="N89" s="1357"/>
      <c r="O89" s="1354"/>
      <c r="P89" s="1366"/>
      <c r="Q89" s="1533"/>
      <c r="R89" s="1349"/>
      <c r="S89" s="1349"/>
      <c r="T89" s="1364"/>
      <c r="U89" s="1534"/>
      <c r="V89" s="1349"/>
      <c r="W89" s="1361"/>
      <c r="X89" s="1354"/>
      <c r="Y89" s="1377"/>
      <c r="Z89" s="1372"/>
      <c r="AA89" s="1359"/>
      <c r="AB89" s="1372"/>
      <c r="AC89" s="1357"/>
      <c r="AD89" s="1311"/>
      <c r="AE89" s="1372"/>
      <c r="AF89" s="1314"/>
      <c r="AG89" s="1311"/>
      <c r="AH89" s="1351"/>
      <c r="AI89" s="1372"/>
      <c r="AJ89" s="1314"/>
      <c r="AK89" s="1311"/>
      <c r="AL89" s="1372"/>
      <c r="AM89" s="1372"/>
      <c r="AN89" s="1372"/>
      <c r="AO89" s="1372"/>
      <c r="AP89" s="1357"/>
      <c r="AQ89" s="1422"/>
      <c r="AR89" s="1537"/>
      <c r="AS89" s="1372"/>
      <c r="AT89" s="1372"/>
      <c r="AU89" s="1372"/>
      <c r="AV89" s="1372"/>
      <c r="AW89" s="1372"/>
      <c r="AX89" s="1372"/>
      <c r="AY89" s="1372"/>
      <c r="AZ89" s="1351"/>
      <c r="BA89" s="1351"/>
      <c r="BB89" s="1372"/>
      <c r="BC89" s="1351"/>
      <c r="BD89" s="1372"/>
      <c r="BE89" s="1529"/>
      <c r="BF89" s="1529"/>
      <c r="BG89" s="1529"/>
      <c r="BH89" s="1529"/>
      <c r="BI89" s="1351"/>
      <c r="BJ89" s="1283"/>
      <c r="BK89" s="1306"/>
      <c r="BL89" s="1308"/>
      <c r="BM89" s="1308"/>
      <c r="BN89" s="1532"/>
      <c r="BO89" s="1515"/>
      <c r="BP89" s="1477"/>
      <c r="BQ89" s="1526"/>
      <c r="BR89" s="766"/>
      <c r="BZ89" s="765"/>
    </row>
    <row r="90" spans="2:85" ht="17.25" hidden="1" customHeight="1" thickBot="1" x14ac:dyDescent="0.25">
      <c r="B90" s="1407"/>
      <c r="C90" s="1408"/>
      <c r="D90" s="1302"/>
      <c r="E90" s="1322"/>
      <c r="F90" s="1330"/>
      <c r="G90" s="1330"/>
      <c r="H90" s="1330"/>
      <c r="I90" s="1330"/>
      <c r="J90" s="1330"/>
      <c r="K90" s="1311"/>
      <c r="L90" s="1351"/>
      <c r="M90" s="1020"/>
      <c r="N90" s="1357"/>
      <c r="O90" s="1354"/>
      <c r="P90" s="1366"/>
      <c r="Q90" s="1533"/>
      <c r="R90" s="1349"/>
      <c r="S90" s="1349"/>
      <c r="T90" s="1021"/>
      <c r="U90" s="1534"/>
      <c r="V90" s="1349"/>
      <c r="W90" s="1023"/>
      <c r="X90" s="1354"/>
      <c r="Y90" s="1377"/>
      <c r="Z90" s="1372"/>
      <c r="AA90" s="1019"/>
      <c r="AB90" s="1372"/>
      <c r="AC90" s="1357"/>
      <c r="AD90" s="1311"/>
      <c r="AE90" s="1372"/>
      <c r="AF90" s="1314"/>
      <c r="AG90" s="1311"/>
      <c r="AH90" s="1351"/>
      <c r="AI90" s="1372"/>
      <c r="AJ90" s="1314"/>
      <c r="AK90" s="1311"/>
      <c r="AL90" s="1372"/>
      <c r="AM90" s="1372"/>
      <c r="AN90" s="1372"/>
      <c r="AO90" s="1372"/>
      <c r="AP90" s="1357"/>
      <c r="AQ90" s="1422"/>
      <c r="AR90" s="1024"/>
      <c r="AS90" s="1372"/>
      <c r="AT90" s="914"/>
      <c r="AU90" s="914"/>
      <c r="AV90" s="914"/>
      <c r="AW90" s="914"/>
      <c r="AX90" s="914"/>
      <c r="AY90" s="914"/>
      <c r="AZ90" s="914"/>
      <c r="BA90" s="914"/>
      <c r="BB90" s="914"/>
      <c r="BC90" s="914"/>
      <c r="BD90" s="914"/>
      <c r="BE90" s="1529"/>
      <c r="BF90" s="1022"/>
      <c r="BG90" s="1022"/>
      <c r="BH90" s="1022"/>
      <c r="BI90" s="1351"/>
      <c r="BJ90" s="1025"/>
      <c r="BK90" s="1026"/>
      <c r="BL90" s="1308"/>
      <c r="BM90" s="1308"/>
      <c r="BN90" s="1027"/>
      <c r="BO90" s="1515"/>
      <c r="BP90" s="1028"/>
      <c r="BQ90" s="1526"/>
      <c r="BR90" s="766"/>
      <c r="BZ90" s="765"/>
    </row>
    <row r="91" spans="2:85" ht="18.75" hidden="1" customHeight="1" thickBot="1" x14ac:dyDescent="0.25">
      <c r="B91" s="1407"/>
      <c r="C91" s="1408"/>
      <c r="D91" s="1302"/>
      <c r="E91" s="1322"/>
      <c r="F91" s="1330"/>
      <c r="G91" s="1330"/>
      <c r="H91" s="1330"/>
      <c r="I91" s="1330"/>
      <c r="J91" s="1330"/>
      <c r="K91" s="1311"/>
      <c r="L91" s="1351"/>
      <c r="M91" s="1020"/>
      <c r="N91" s="1357"/>
      <c r="O91" s="1354"/>
      <c r="P91" s="1366"/>
      <c r="Q91" s="1533"/>
      <c r="R91" s="1349"/>
      <c r="S91" s="1349"/>
      <c r="T91" s="1021"/>
      <c r="U91" s="1534"/>
      <c r="V91" s="1349"/>
      <c r="W91" s="1029"/>
      <c r="X91" s="1354"/>
      <c r="Y91" s="1377"/>
      <c r="Z91" s="1372"/>
      <c r="AA91" s="914"/>
      <c r="AB91" s="1372"/>
      <c r="AC91" s="1357"/>
      <c r="AD91" s="1311"/>
      <c r="AE91" s="1372"/>
      <c r="AF91" s="1314"/>
      <c r="AG91" s="1311"/>
      <c r="AH91" s="1351"/>
      <c r="AI91" s="1372"/>
      <c r="AJ91" s="1314"/>
      <c r="AK91" s="1311"/>
      <c r="AL91" s="1372"/>
      <c r="AM91" s="1372"/>
      <c r="AN91" s="1372"/>
      <c r="AO91" s="1372"/>
      <c r="AP91" s="1357"/>
      <c r="AQ91" s="1422"/>
      <c r="AR91" s="1024"/>
      <c r="AS91" s="1372"/>
      <c r="AT91" s="914"/>
      <c r="AU91" s="914"/>
      <c r="AV91" s="914"/>
      <c r="AW91" s="914"/>
      <c r="AX91" s="914"/>
      <c r="AY91" s="914"/>
      <c r="AZ91" s="914"/>
      <c r="BA91" s="914"/>
      <c r="BB91" s="914"/>
      <c r="BC91" s="914"/>
      <c r="BD91" s="914"/>
      <c r="BE91" s="1529"/>
      <c r="BF91" s="1022"/>
      <c r="BG91" s="1022"/>
      <c r="BH91" s="1022"/>
      <c r="BI91" s="1351"/>
      <c r="BJ91" s="1025"/>
      <c r="BK91" s="1026"/>
      <c r="BL91" s="1308"/>
      <c r="BM91" s="1308"/>
      <c r="BN91" s="1027"/>
      <c r="BO91" s="1515"/>
      <c r="BP91" s="1028"/>
      <c r="BQ91" s="1526"/>
      <c r="BR91" s="766"/>
      <c r="BZ91" s="765"/>
    </row>
    <row r="92" spans="2:85" ht="12" hidden="1" customHeight="1" thickBot="1" x14ac:dyDescent="0.25">
      <c r="B92" s="1407"/>
      <c r="C92" s="1408"/>
      <c r="D92" s="1302"/>
      <c r="E92" s="1322"/>
      <c r="F92" s="1330"/>
      <c r="G92" s="1330"/>
      <c r="H92" s="1330"/>
      <c r="I92" s="1330"/>
      <c r="J92" s="1330"/>
      <c r="K92" s="1311"/>
      <c r="L92" s="1351"/>
      <c r="M92" s="1020"/>
      <c r="N92" s="1357"/>
      <c r="O92" s="1354"/>
      <c r="P92" s="1366"/>
      <c r="Q92" s="1533"/>
      <c r="R92" s="1349"/>
      <c r="S92" s="1349"/>
      <c r="T92" s="1021"/>
      <c r="U92" s="1534"/>
      <c r="V92" s="1349"/>
      <c r="W92" s="1029"/>
      <c r="X92" s="1354"/>
      <c r="Y92" s="1377"/>
      <c r="Z92" s="1372"/>
      <c r="AA92" s="914"/>
      <c r="AB92" s="1372"/>
      <c r="AC92" s="1357"/>
      <c r="AD92" s="1311"/>
      <c r="AE92" s="1372"/>
      <c r="AF92" s="1314"/>
      <c r="AG92" s="1311"/>
      <c r="AH92" s="1351"/>
      <c r="AI92" s="1372"/>
      <c r="AJ92" s="1314"/>
      <c r="AK92" s="1311"/>
      <c r="AL92" s="1372"/>
      <c r="AM92" s="1372"/>
      <c r="AN92" s="1372"/>
      <c r="AO92" s="1372"/>
      <c r="AP92" s="1357"/>
      <c r="AQ92" s="1422"/>
      <c r="AR92" s="1024"/>
      <c r="AS92" s="1372"/>
      <c r="AT92" s="914"/>
      <c r="AU92" s="914"/>
      <c r="AV92" s="914"/>
      <c r="AW92" s="914"/>
      <c r="AX92" s="914"/>
      <c r="AY92" s="914"/>
      <c r="AZ92" s="914"/>
      <c r="BA92" s="914"/>
      <c r="BB92" s="914"/>
      <c r="BC92" s="914"/>
      <c r="BD92" s="914"/>
      <c r="BE92" s="1529"/>
      <c r="BF92" s="1022"/>
      <c r="BG92" s="1022"/>
      <c r="BH92" s="1022"/>
      <c r="BI92" s="1351"/>
      <c r="BJ92" s="1025"/>
      <c r="BK92" s="1026"/>
      <c r="BL92" s="1308"/>
      <c r="BM92" s="1308"/>
      <c r="BN92" s="1027"/>
      <c r="BO92" s="1515"/>
      <c r="BP92" s="1028"/>
      <c r="BQ92" s="1526"/>
      <c r="BR92" s="766"/>
      <c r="BZ92" s="765"/>
    </row>
    <row r="93" spans="2:85" ht="11.25" hidden="1" customHeight="1" thickBot="1" x14ac:dyDescent="0.25">
      <c r="B93" s="1409"/>
      <c r="C93" s="1410"/>
      <c r="D93" s="1323"/>
      <c r="E93" s="1325"/>
      <c r="F93" s="1331"/>
      <c r="G93" s="1331"/>
      <c r="H93" s="1331"/>
      <c r="I93" s="1331"/>
      <c r="J93" s="1331"/>
      <c r="K93" s="1401"/>
      <c r="L93" s="1352"/>
      <c r="M93" s="1030"/>
      <c r="N93" s="1358"/>
      <c r="O93" s="1355"/>
      <c r="P93" s="1366"/>
      <c r="Q93" s="1533"/>
      <c r="R93" s="1349"/>
      <c r="S93" s="1349"/>
      <c r="T93" s="1021"/>
      <c r="U93" s="1534"/>
      <c r="V93" s="1349"/>
      <c r="W93" s="1029"/>
      <c r="X93" s="1370"/>
      <c r="Y93" s="1378"/>
      <c r="Z93" s="1373"/>
      <c r="AA93" s="1031"/>
      <c r="AB93" s="1373"/>
      <c r="AC93" s="1374"/>
      <c r="AD93" s="1312"/>
      <c r="AE93" s="1373"/>
      <c r="AF93" s="1315"/>
      <c r="AG93" s="1312"/>
      <c r="AH93" s="1368"/>
      <c r="AI93" s="1373"/>
      <c r="AJ93" s="1315"/>
      <c r="AK93" s="1312"/>
      <c r="AL93" s="1373"/>
      <c r="AM93" s="1373"/>
      <c r="AN93" s="1373"/>
      <c r="AO93" s="1373"/>
      <c r="AP93" s="1374"/>
      <c r="AQ93" s="1423"/>
      <c r="AR93" s="1032"/>
      <c r="AS93" s="1373"/>
      <c r="AT93" s="1031"/>
      <c r="AU93" s="1031"/>
      <c r="AV93" s="1031"/>
      <c r="AW93" s="1031"/>
      <c r="AX93" s="1031"/>
      <c r="AY93" s="1031"/>
      <c r="AZ93" s="1031"/>
      <c r="BA93" s="1031"/>
      <c r="BB93" s="1031"/>
      <c r="BC93" s="1031"/>
      <c r="BD93" s="1031"/>
      <c r="BE93" s="1530"/>
      <c r="BF93" s="1033"/>
      <c r="BG93" s="1033"/>
      <c r="BH93" s="1033"/>
      <c r="BI93" s="1368"/>
      <c r="BJ93" s="1034"/>
      <c r="BK93" s="1035"/>
      <c r="BL93" s="1309"/>
      <c r="BM93" s="1309"/>
      <c r="BN93" s="1036"/>
      <c r="BO93" s="1516"/>
      <c r="BP93" s="1037"/>
      <c r="BQ93" s="1527"/>
      <c r="BR93" s="766"/>
      <c r="BZ93" s="765"/>
    </row>
    <row r="94" spans="2:85" ht="24" customHeight="1" x14ac:dyDescent="0.2">
      <c r="B94" s="1338" t="s">
        <v>44</v>
      </c>
      <c r="C94" s="1345">
        <f>C64+1</f>
        <v>40095</v>
      </c>
      <c r="D94" s="1341" t="str">
        <f>CONCATENATE("Завтрак
100%, ОКГ = ",IF(AND('Блок ввода'!B221=1,'Блок ввода'!E178=29),CD94+430,CD94))</f>
        <v>Завтрак
100%, ОКГ = 425</v>
      </c>
      <c r="E94" s="1342"/>
      <c r="F94" s="1300" t="str">
        <f>IF('Блок ввода'!$G$4=1,CONCATENATE('Блок ввода'!G182,'Блок ввода'!L182,'Блок ввода'!N182,'Блок ввода'!O182),"Зарегистрируйте программу")</f>
        <v>Зарегистрируйте программу</v>
      </c>
      <c r="G94" s="1301"/>
      <c r="H94" s="1301"/>
      <c r="I94" s="1301"/>
      <c r="J94" s="1301"/>
      <c r="K94" s="1038"/>
      <c r="L94" s="1039"/>
      <c r="M94" s="1039"/>
      <c r="N94" s="1185">
        <v>6.5</v>
      </c>
      <c r="O94" s="1040"/>
      <c r="P94" s="1041">
        <f>IF(OR('Блок ввода'!E178=8,'Блок ввода'!I178=17,'Блок ввода'!I178=18),(ОКГ-N94*5-AN94-AO94-AY94)/5+IF(AND($N$7=1,N94=0),CF94/5,IF(N103=0,0,2.5-IF($N$7=2,2.5,0))),IF('Блок ввода'!E178=12,15,IF('Блок ввода'!I178=7,(ОКГ-N94*5-AN94-AO94-AP94-AY94)/5+IF(AND($N$7=1,N94=0),CF94/5,IF(N103=0,0,2.5/5-IF($N$7=2,2.5/5,0))),0)))</f>
        <v>0</v>
      </c>
      <c r="Q94" s="1038">
        <f>IF('Блок ввода'!S207=8,CB94/5,0)</f>
        <v>0</v>
      </c>
      <c r="R94" s="1039">
        <f>IF('Блок ввода'!S207=9,CB94/5,0)</f>
        <v>0</v>
      </c>
      <c r="S94" s="1039">
        <f>IF('Блок ввода'!S207=11,CB94/5,0)</f>
        <v>81</v>
      </c>
      <c r="T94" s="1039">
        <f>IF('Блок ввода'!S207=12,CB94/5,0)</f>
        <v>0</v>
      </c>
      <c r="U94" s="1039">
        <f>IF('Блок ввода'!S207=10,CB94/5,IF('Блок ввода'!S207=16,CB94/5-V94,0))</f>
        <v>0</v>
      </c>
      <c r="V94" s="1039">
        <f>IF('Блок ввода'!S207=14,CB94/5,IF('Блок ввода'!S207=16,40,0))</f>
        <v>0</v>
      </c>
      <c r="W94" s="1042">
        <f>IF('Блок ввода'!S207=13,CB94/5,0)</f>
        <v>0</v>
      </c>
      <c r="X94" s="1040">
        <f>IF('Блок ввода'!R207=14,CB94/5,IF('Блок ввода'!S207=15,CB94/5,0))</f>
        <v>0</v>
      </c>
      <c r="Y94" s="1043">
        <f>IF('Блок ввода'!R207&lt;19,BV3,0)</f>
        <v>100</v>
      </c>
      <c r="Z94" s="1039">
        <f>IF('Блок ввода'!R207=19,75,0)</f>
        <v>0</v>
      </c>
      <c r="AA94" s="1039"/>
      <c r="AB94" s="1039">
        <f>IF('Блок ввода'!E178=28,0,IF(AND('Блок ввода'!E178&gt;20,'Блок ввода'!E178&lt;=27),IF('Блок ввода'!E178=26,102,IF('Блок ввода'!$AB$38=1,156-AB97*1.3-(AC98+AC99)*1.625/2,120-AB97-(AC98+AC99)/2/0.8)),0))</f>
        <v>0</v>
      </c>
      <c r="AC94" s="1044">
        <f>IF(AND('Блок ввода'!E178=20,OR('Блок ввода'!E100=18,'Блок ввода'!E104=18)),96-(AC98+AC99)/2-AB97*0.8,IF('Блок ввода'!E178=20,96,0))</f>
        <v>0</v>
      </c>
      <c r="AD94" s="1045"/>
      <c r="AE94" s="870">
        <v>19</v>
      </c>
      <c r="AF94" s="873">
        <f>IF(OR('Блок ввода'!E178=21,'Блок ввода'!E178=22,'Блок ввода'!E178=23,'Блок ввода'!E178=24),15,3)</f>
        <v>3</v>
      </c>
      <c r="AG94" s="1043"/>
      <c r="AH94" s="1039"/>
      <c r="AI94" s="1039"/>
      <c r="AJ94" s="1044"/>
      <c r="AK94" s="1038">
        <f>IF('Блок ввода'!R207=7,ОКГ-AL94-AN94-AO94-AY94,IF('Блок ввода'!R207=15,ОКГ-AN94-AO94-AY94,IF('Блок ввода'!S207&lt;5,ОКГ-P94*5-AN94-AO94-AP94-AY94,)))</f>
        <v>0</v>
      </c>
      <c r="AL94" s="1039">
        <f>IF('Блок ввода'!R207=7,200,IF('Блок ввода'!R207=13,450-N94*5-AN94-AO94-AY94,IF('Блок ввода'!S207=5,CB94,0)))</f>
        <v>0</v>
      </c>
      <c r="AM94" s="1039">
        <f>IF('Блок ввода'!S207=6,CB94,0)</f>
        <v>0</v>
      </c>
      <c r="AN94" s="1046">
        <v>10</v>
      </c>
      <c r="AO94" s="1046">
        <v>10</v>
      </c>
      <c r="AP94" s="1044">
        <f>IF('Блок ввода'!R207=6,20,0)</f>
        <v>0</v>
      </c>
      <c r="AQ94" s="1045">
        <f>IF(AND('Раскладка продуктов'!$BC$3=1,'Блок ввода'!AC35=1),AO94*2,0)</f>
        <v>0</v>
      </c>
      <c r="AR94" s="1047">
        <f>IF(AND('Раскладка продуктов'!$BC$3=2,'Блок ввода'!$AC$35=1),AO94/10,0)</f>
        <v>0</v>
      </c>
      <c r="AS94" s="1048"/>
      <c r="AT94" s="1039"/>
      <c r="AU94" s="1039"/>
      <c r="AV94" s="1039"/>
      <c r="AW94" s="1039"/>
      <c r="AX94" s="1039">
        <v>1</v>
      </c>
      <c r="AY94" s="1049"/>
      <c r="AZ94" s="1050">
        <f>IF('Блок ввода'!$A$34&lt;&gt;2,0+IF(Пт!$X$1=5,Пт!$X$3,0),IF('Блок ввода'!N178=9,150+IF(Пт!$X$1=5,Пт!$X$3,0)+IF(OR('Блок ввода'!I178=17,'Блок ввода'!I178=18),200,0),IF(OR('Блок ввода'!I178=17,'Блок ввода'!I178=18),200+IF(Пт!$X$1=5,Пт!$X$3,0),0+IF(Пт!$X$1=5,Пт!$X$3,50))))</f>
        <v>50</v>
      </c>
      <c r="BA94" s="1039">
        <f>IF('Блок ввода'!$A$34=2,0,BT94)</f>
        <v>0</v>
      </c>
      <c r="BB94" s="1039"/>
      <c r="BC94" s="1039"/>
      <c r="BD94" s="1039"/>
      <c r="BE94" s="1051"/>
      <c r="BF94" s="1051"/>
      <c r="BG94" s="1051">
        <f>IF('Блок ввода'!E178=30,265,0)</f>
        <v>0</v>
      </c>
      <c r="BH94" s="1051"/>
      <c r="BI94" s="1052">
        <f>IF(Пт!$X$1=7,Пт!$X$3,0)</f>
        <v>0</v>
      </c>
      <c r="BJ94" s="1053">
        <f>IF(Пт!$X$1=3,Пт!$X$3,0)</f>
        <v>0</v>
      </c>
      <c r="BK94" s="1054"/>
      <c r="BL94" s="1055"/>
      <c r="BM94" s="1055"/>
      <c r="BN94" s="1056"/>
      <c r="BO94" s="1057"/>
      <c r="BP94" s="1058">
        <f>BQ94+P94*2.8+Q94*2.1+R94*3+S94*2.5+T94*3+U94*2.5+V94*2.1+W94*3+X94*3+BX94+AL94*'Блок ввода'!$D$9+'Раскладка продуктов'!AM94*'Блок ввода'!$D$8+'Раскладка продуктов'!AP94*'Блок ввода'!$D$11+'Раскладка продуктов'!AQ94*'Блок ввода'!$D$12+'Раскладка продуктов'!AX94*'Блок ввода'!$D$13+0.5*AD94+IF(BZ94&gt;0,50,BY94)+IF(BG94=265,198,0)</f>
        <v>298.5</v>
      </c>
      <c r="BQ94" s="1059">
        <f>IF(BG94=265,47,'Блок ввода'!AG207)</f>
        <v>46</v>
      </c>
      <c r="BR94" s="766"/>
      <c r="BT94" s="762">
        <f>IF(OR('Блок ввода'!I178=17,'Блок ввода'!N178=9),IF('Блок ввода'!$A$34=3,BU94*15/100,BU94/5),0)</f>
        <v>0</v>
      </c>
      <c r="BU94" s="762">
        <f>IF('Блок ввода'!N178=9,150+IF('Блок ввода'!I178=17,200,0),IF('Блок ввода'!I178=17,200,0))</f>
        <v>0</v>
      </c>
      <c r="BX94" s="764">
        <f>IF(CA94&gt;0,'Раскладка продуктов'!AK94*'Блок ввода'!$D$5,AK94*'Блок ввода'!$D$4)</f>
        <v>0</v>
      </c>
      <c r="BY94" s="764">
        <f>N94+AN94*'Блок ввода'!$D$7+'Раскладка продуктов'!AO94*'Блок ввода'!$D$10</f>
        <v>22.3</v>
      </c>
      <c r="BZ94" s="762">
        <f>IF('Блок ввода'!E178&lt;4,1,IF('Блок ввода'!E178=9,1,IF('Блок ввода'!E178=10,1,IF('Блок ввода'!E178=11,1,IF('Блок ввода'!E178=5,1,IF('Блок ввода'!E178=6,1,IF('Блок ввода'!E178=7,1,0)))))))</f>
        <v>1</v>
      </c>
      <c r="CA94" s="765">
        <f>IF('Блок ввода'!S207=1,1,0)</f>
        <v>0</v>
      </c>
      <c r="CB94" s="762">
        <f>IF('Блок ввода'!A29=TRUE,ОКГ-P94*5-AN94-AO94-AP94-AY94+IF(AND($N$7=1,N94=0),CF94,IF(N103=0,0,2.5-IF(N7=2,2.5,0))),ОКГ-P94*5-AN94-AO94-AP94-AY94+IF(AND($N$7=1,N94=0),CF94,IF(N103=0,0,2.5-IF(N7=2,2.5,0))))</f>
        <v>405</v>
      </c>
      <c r="CD94" s="762">
        <f>SUM(O94:X94)*5+SUM(AK94:AP94)+IF(BG94=265,430,0)</f>
        <v>425</v>
      </c>
      <c r="CE94" s="764">
        <f>IF('Блок ввода'!I178=17,1,0)</f>
        <v>0</v>
      </c>
      <c r="CF94" s="474">
        <f>IF(AND($N$7=1,N94=0),5,0)</f>
        <v>0</v>
      </c>
      <c r="CG94" s="475"/>
    </row>
    <row r="95" spans="2:85" ht="24" customHeight="1" x14ac:dyDescent="0.2">
      <c r="B95" s="1339"/>
      <c r="C95" s="1346"/>
      <c r="D95" s="1343"/>
      <c r="E95" s="1344"/>
      <c r="F95" s="1302"/>
      <c r="G95" s="1303"/>
      <c r="H95" s="1303"/>
      <c r="I95" s="1303"/>
      <c r="J95" s="1303"/>
      <c r="K95" s="1060"/>
      <c r="L95" s="1061"/>
      <c r="M95" s="1061"/>
      <c r="N95" s="1186">
        <f>IF('Блок ввода'!E207=4,20,IF('Блок ввода'!E207=16,75,IF('Блок ввода'!E207=24,20,0)))</f>
        <v>0</v>
      </c>
      <c r="O95" s="1063"/>
      <c r="P95" s="1064"/>
      <c r="Q95" s="1065"/>
      <c r="R95" s="1061"/>
      <c r="S95" s="1061"/>
      <c r="T95" s="1061"/>
      <c r="U95" s="1061"/>
      <c r="V95" s="1061"/>
      <c r="W95" s="1066"/>
      <c r="X95" s="1063"/>
      <c r="Y95" s="1065"/>
      <c r="Z95" s="1061"/>
      <c r="AA95" s="1061"/>
      <c r="AB95" s="1061"/>
      <c r="AC95" s="1066"/>
      <c r="AD95" s="1067"/>
      <c r="AE95" s="892"/>
      <c r="AF95" s="899"/>
      <c r="AG95" s="1065"/>
      <c r="AH95" s="1061"/>
      <c r="AI95" s="1061"/>
      <c r="AJ95" s="1066"/>
      <c r="AK95" s="1060"/>
      <c r="AL95" s="1061"/>
      <c r="AM95" s="1061"/>
      <c r="AN95" s="1069"/>
      <c r="AO95" s="1069"/>
      <c r="AP95" s="1066"/>
      <c r="AQ95" s="1067">
        <f>IF(AND('Раскладка продуктов'!$BC$3=1,'Блок ввода'!AC35=1),AO95*2,0)</f>
        <v>0</v>
      </c>
      <c r="AR95" s="1070"/>
      <c r="AS95" s="1061"/>
      <c r="AT95" s="1061"/>
      <c r="AU95" s="1061"/>
      <c r="AV95" s="1061"/>
      <c r="AW95" s="1061"/>
      <c r="AX95" s="1061"/>
      <c r="AY95" s="1071"/>
      <c r="AZ95" s="1072"/>
      <c r="BA95" s="1061"/>
      <c r="BB95" s="1061"/>
      <c r="BC95" s="1061"/>
      <c r="BD95" s="1061"/>
      <c r="BE95" s="1073">
        <f>IF('Блок ввода'!T207=2,15*1.4,0)</f>
        <v>0</v>
      </c>
      <c r="BF95" s="1073"/>
      <c r="BG95" s="1073"/>
      <c r="BH95" s="1073"/>
      <c r="BI95" s="1074"/>
      <c r="BJ95" s="1075"/>
      <c r="BK95" s="1076"/>
      <c r="BL95" s="1069"/>
      <c r="BM95" s="1069"/>
      <c r="BN95" s="1062"/>
      <c r="BO95" s="1077"/>
      <c r="BP95" s="1078"/>
      <c r="BQ95" s="1079"/>
      <c r="BR95" s="766"/>
      <c r="BY95" s="764">
        <f>N95+AN95*'Блок ввода'!D80+'Раскладка продуктов'!AO95*'Блок ввода'!D83</f>
        <v>0</v>
      </c>
      <c r="BZ95" s="765"/>
      <c r="CF95" s="475"/>
      <c r="CG95" s="475"/>
    </row>
    <row r="96" spans="2:85" ht="24" customHeight="1" thickBot="1" x14ac:dyDescent="0.25">
      <c r="B96" s="1339"/>
      <c r="C96" s="1346"/>
      <c r="D96" s="1343"/>
      <c r="E96" s="1344"/>
      <c r="F96" s="1323"/>
      <c r="G96" s="1324"/>
      <c r="H96" s="1324"/>
      <c r="I96" s="1324"/>
      <c r="J96" s="1324"/>
      <c r="K96" s="911">
        <v>100</v>
      </c>
      <c r="L96" s="912">
        <v>150</v>
      </c>
      <c r="M96" s="1080"/>
      <c r="N96" s="1187">
        <v>0</v>
      </c>
      <c r="O96" s="1082"/>
      <c r="P96" s="1064"/>
      <c r="Q96" s="1065"/>
      <c r="R96" s="1061"/>
      <c r="S96" s="1061"/>
      <c r="T96" s="1061"/>
      <c r="U96" s="1061"/>
      <c r="V96" s="1061"/>
      <c r="W96" s="1066"/>
      <c r="X96" s="1083"/>
      <c r="Y96" s="1065"/>
      <c r="Z96" s="1061"/>
      <c r="AA96" s="1061"/>
      <c r="AB96" s="1061"/>
      <c r="AC96" s="1066"/>
      <c r="AD96" s="1067"/>
      <c r="AE96" s="892"/>
      <c r="AF96" s="899"/>
      <c r="AG96" s="1065">
        <f>IF(OR('Блок ввода'!T207&lt;=7,'Блок ввода'!T207=9),30-AG102/2-(BE95+BE104)/2.8,0)</f>
        <v>30</v>
      </c>
      <c r="AH96" s="1072"/>
      <c r="AI96" s="1061">
        <f>IF('Блок ввода'!T207=4,20,0)</f>
        <v>0</v>
      </c>
      <c r="AJ96" s="1066"/>
      <c r="AK96" s="1060"/>
      <c r="AL96" s="1061"/>
      <c r="AM96" s="1061"/>
      <c r="AN96" s="1069"/>
      <c r="AO96" s="1069"/>
      <c r="AP96" s="1066"/>
      <c r="AQ96" s="1084">
        <f>IF(AND('Раскладка продуктов'!$BC$3=1,'Блок ввода'!AC35=1),AO96*2,0)</f>
        <v>0</v>
      </c>
      <c r="AR96" s="1085"/>
      <c r="AS96" s="1086"/>
      <c r="AT96" s="1086"/>
      <c r="AU96" s="1086"/>
      <c r="AV96" s="1086"/>
      <c r="AW96" s="1086"/>
      <c r="AX96" s="1087">
        <f>IF('Блок ввода'!N178=1,0.25,0)</f>
        <v>0</v>
      </c>
      <c r="AY96" s="1088"/>
      <c r="AZ96" s="1089"/>
      <c r="BA96" s="1086"/>
      <c r="BB96" s="1086"/>
      <c r="BC96" s="1086">
        <v>1.5</v>
      </c>
      <c r="BD96" s="1086"/>
      <c r="BE96" s="1090"/>
      <c r="BF96" s="1090"/>
      <c r="BG96" s="1090"/>
      <c r="BH96" s="1086">
        <f>IF('Блок ввода'!$B$223=1,O96/37.5/2,O96/37.5)</f>
        <v>0</v>
      </c>
      <c r="BI96" s="1091"/>
      <c r="BJ96" s="1092"/>
      <c r="BK96" s="1076"/>
      <c r="BL96" s="1069"/>
      <c r="BM96" s="1069"/>
      <c r="BN96" s="1062"/>
      <c r="BO96" s="1077"/>
      <c r="BP96" s="1078">
        <v>250</v>
      </c>
      <c r="BQ96" s="1079"/>
      <c r="BR96" s="766"/>
      <c r="BY96" s="764">
        <f>N96+AN96*'Блок ввода'!D81+'Раскладка продуктов'!AO96*'Блок ввода'!D84</f>
        <v>0</v>
      </c>
      <c r="BZ96" s="765"/>
      <c r="CF96" s="475"/>
      <c r="CG96" s="475"/>
    </row>
    <row r="97" spans="1:101" ht="24" customHeight="1" x14ac:dyDescent="0.2">
      <c r="B97" s="1339"/>
      <c r="C97" s="1346"/>
      <c r="D97" s="1379" t="str">
        <f>CONCATENATE("О б е д, ОКГ = ",CD100)</f>
        <v>О б е д, ОКГ = 820</v>
      </c>
      <c r="E97" s="483" t="s">
        <v>228</v>
      </c>
      <c r="F97" s="1332" t="str">
        <f>IF('Блок ввода'!$G$4=1,'Блок ввода'!G54,"Зарегистрируйте программу")</f>
        <v>Зарегистрируйте программу</v>
      </c>
      <c r="G97" s="1333"/>
      <c r="H97" s="1333"/>
      <c r="I97" s="1333"/>
      <c r="J97" s="1334"/>
      <c r="K97" s="869"/>
      <c r="L97" s="870"/>
      <c r="M97" s="1039"/>
      <c r="N97" s="1188">
        <v>0</v>
      </c>
      <c r="O97" s="1040"/>
      <c r="P97" s="1040"/>
      <c r="Q97" s="1043"/>
      <c r="R97" s="1039">
        <f>IF('Блок ввода'!R210=2,5,IF('Блок ввода'!R210=12,5,0))</f>
        <v>0</v>
      </c>
      <c r="S97" s="1039"/>
      <c r="T97" s="1039"/>
      <c r="U97" s="1039"/>
      <c r="V97" s="1039"/>
      <c r="W97" s="1044"/>
      <c r="X97" s="1040"/>
      <c r="Y97" s="1043"/>
      <c r="Z97" s="1039"/>
      <c r="AA97" s="1039"/>
      <c r="AB97" s="1039">
        <f>IF('Блок ввода'!E52=16,30,0)</f>
        <v>0</v>
      </c>
      <c r="AC97" s="1044"/>
      <c r="AD97" s="1045"/>
      <c r="AE97" s="870"/>
      <c r="AF97" s="873">
        <f>30-AF103-AF94</f>
        <v>12</v>
      </c>
      <c r="AG97" s="1043"/>
      <c r="AH97" s="1039"/>
      <c r="AI97" s="1039"/>
      <c r="AJ97" s="1044"/>
      <c r="AK97" s="1038">
        <f>IF('Блок ввода'!E52=17,0,150-P97*5-R97*5-AL97-AM97-AN97-AO97-AP97-AY97)</f>
        <v>65</v>
      </c>
      <c r="AL97" s="1039">
        <f>IF('Блок ввода'!R210=2,20,IF('Блок ввода'!R210=5,150-AN97-AO97-AY97,IF('Блок ввода'!R210=8,20,0)))</f>
        <v>0</v>
      </c>
      <c r="AM97" s="1039">
        <f>IF(OR('Блок ввода'!R210=1,'Блок ввода'!R210=16),40,IF('Блок ввода'!R210=2,20,IF('Блок ввода'!R210=6,150-AN97-AO97-AY97,IF('Блок ввода'!R210=7,150-AN97-AO97-AY97,IF('Блок ввода'!R210=17,(150-AO97-AN97)*375/500,IF('Блок ввода'!R210&gt;10,150-R97*5-AN97-AO97-AP97-AY97,0))))))</f>
        <v>40</v>
      </c>
      <c r="AN97" s="1055">
        <f>IF('Блок ввода'!R210=20,150-AO97,10)</f>
        <v>10</v>
      </c>
      <c r="AO97" s="1046">
        <v>10</v>
      </c>
      <c r="AP97" s="1044">
        <f>IF(OR('Блок ввода'!R210&lt;3,'Блок ввода'!R210=16),25,IF('Блок ввода'!R210=4,45,IF(OR('Блок ввода'!R210=9,'Блок ввода'!R210=15,'Блок ввода'!R210=18,'Блок ввода'!R210=19,'Блок ввода'!R210=21),150-AN97-AO97-AY97,IF('Блок ввода'!R210=10,150-AN97-AO97-AY97,IF('Блок ввода'!R210=12,55,IF('Блок ввода'!R210=13,40,0))))))</f>
        <v>25</v>
      </c>
      <c r="AQ97" s="1045">
        <f>IF(AND('Раскладка продуктов'!$BC$3=1,'Блок ввода'!AC35=1),AO97*2,0)</f>
        <v>0</v>
      </c>
      <c r="AR97" s="1047">
        <f>IF(AND('Раскладка продуктов'!$BC$3=2,'Блок ввода'!$AC$35=1),AO97/10,0)</f>
        <v>0</v>
      </c>
      <c r="AS97" s="1039"/>
      <c r="AT97" s="1039"/>
      <c r="AU97" s="1039"/>
      <c r="AV97" s="1039"/>
      <c r="AW97" s="1039"/>
      <c r="AX97" s="1039"/>
      <c r="AY97" s="1049"/>
      <c r="AZ97" s="1050"/>
      <c r="BA97" s="1039"/>
      <c r="BB97" s="1039"/>
      <c r="BC97" s="1039"/>
      <c r="BD97" s="1039"/>
      <c r="BE97" s="1051"/>
      <c r="BF97" s="1051"/>
      <c r="BG97" s="1051"/>
      <c r="BH97" s="1051"/>
      <c r="BI97" s="1052"/>
      <c r="BJ97" s="1053"/>
      <c r="BK97" s="1054"/>
      <c r="BL97" s="1055"/>
      <c r="BM97" s="1055"/>
      <c r="BN97" s="1056"/>
      <c r="BO97" s="1057"/>
      <c r="BP97" s="1093">
        <f>IF('Блок ввода'!E52=17,('Раскладка продуктов'!AM97+'Раскладка продуктов'!AF97+'Раскладка продуктов'!AN97/2+'Раскладка продуктов'!AO97*0.84),(AK97*'Блок ввода'!$D$4+AL97*'Блок ввода'!$D$9+AM97*'Блок ввода'!$D$8+AN97/2+AO97*0.84+AP97/10*9+AX97/10*8+AF97))</f>
        <v>127.05000000000001</v>
      </c>
      <c r="BQ97" s="1059"/>
      <c r="BR97" s="766"/>
      <c r="BZ97" s="765"/>
      <c r="CB97" s="765">
        <f>SUM(AK97:AP97)+R97*5</f>
        <v>150</v>
      </c>
      <c r="CF97" s="475"/>
      <c r="CG97" s="475"/>
    </row>
    <row r="98" spans="1:101" ht="24" customHeight="1" x14ac:dyDescent="0.2">
      <c r="B98" s="1339"/>
      <c r="C98" s="1346"/>
      <c r="D98" s="1380"/>
      <c r="E98" s="484" t="s">
        <v>229</v>
      </c>
      <c r="F98" s="1319" t="str">
        <f>IF('Блок ввода'!$G$4=1,'Блок ввода'!G103,"Зарегистрируйте программу")</f>
        <v>Зарегистрируйте программу</v>
      </c>
      <c r="G98" s="1320"/>
      <c r="H98" s="1320"/>
      <c r="I98" s="1320"/>
      <c r="J98" s="1320"/>
      <c r="K98" s="891"/>
      <c r="L98" s="892"/>
      <c r="M98" s="1061"/>
      <c r="N98" s="1189">
        <v>2</v>
      </c>
      <c r="O98" s="1063"/>
      <c r="P98" s="1063">
        <f>IF('Блок ввода'!R211=14,20,IF('Блок ввода'!R211=22,55-(AN98+AO98)/5,0))</f>
        <v>0</v>
      </c>
      <c r="Q98" s="1065">
        <f>IF('Блок ввода'!R211=15,20,IF('Блок ввода'!R211=23,60-N98-(AN98+AO98)/5-AQ98-AR98*2,0))</f>
        <v>0</v>
      </c>
      <c r="R98" s="1061">
        <f>IF('Блок ввода'!R211=8,20,0)</f>
        <v>0</v>
      </c>
      <c r="S98" s="1061">
        <f>IF('Блок ввода'!R211=16,20,0)</f>
        <v>0</v>
      </c>
      <c r="T98" s="1061">
        <f>IF('Блок ввода'!R211=17,20,0)</f>
        <v>0</v>
      </c>
      <c r="U98" s="1061">
        <f>IF('Блок ввода'!R211=4,15,IF('Блок ввода'!R211=19,30,0))</f>
        <v>30</v>
      </c>
      <c r="V98" s="1061">
        <f>IF('Блок ввода'!R211=3,20,IF('Блок ввода'!R211=12,25,0))</f>
        <v>0</v>
      </c>
      <c r="W98" s="1066"/>
      <c r="X98" s="1063">
        <f>IF('Блок ввода'!R211=13,25,IF('Блок ввода'!R211=21,55-(AN98+AO98)/5-AQ98-AR98*2,0))</f>
        <v>0</v>
      </c>
      <c r="Y98" s="1065"/>
      <c r="Z98" s="1061"/>
      <c r="AA98" s="1061"/>
      <c r="AB98" s="1061"/>
      <c r="AC98" s="1068">
        <f>IF('Блок ввода'!E100=18,12,0)</f>
        <v>0</v>
      </c>
      <c r="AD98" s="1067"/>
      <c r="AE98" s="892"/>
      <c r="AF98" s="899"/>
      <c r="AG98" s="1065"/>
      <c r="AH98" s="1061"/>
      <c r="AI98" s="1061"/>
      <c r="AJ98" s="1066"/>
      <c r="AK98" s="1060">
        <f>IF('Блок ввода'!E100=24,0,ОКГП-(SUM(P98:X98))*5-AL98-AM98-AN98-AO98-AP98-AY98)</f>
        <v>100</v>
      </c>
      <c r="AL98" s="1061">
        <f>IF('Блок ввода'!R211&lt;3,140,IF('Блок ввода'!R211=3,90,IF('Блок ввода'!R211=4,115,IF('Блок ввода'!R211=5,80,IF('Блок ввода'!R211=9,90,0)))))</f>
        <v>0</v>
      </c>
      <c r="AM98" s="1061">
        <f>IF('Блок ввода'!R211=5,60,IF('Блок ввода'!R211=6,60,IF('Блок ввода'!R211=20,120,0)))</f>
        <v>0</v>
      </c>
      <c r="AN98" s="1094">
        <v>10</v>
      </c>
      <c r="AO98" s="1094">
        <v>10</v>
      </c>
      <c r="AP98" s="1066">
        <f>IF('Блок ввода'!R211=6,80,IF('Блок ввода'!R211=7,50,IF('Блок ввода'!R211=8,50,IF('Блок ввода'!R211=9,50,IF('Блок ввода'!R211=11,105,IF('Блок ввода'!R211=19,5,IF('Блок ввода'!R211=20,70,0)))))))</f>
        <v>5</v>
      </c>
      <c r="AQ98" s="1067">
        <f>IF(AND('Раскладка продуктов'!$BC$3=1,'Блок ввода'!AC35=1),AO98*2,0)</f>
        <v>0</v>
      </c>
      <c r="AR98" s="1070">
        <f>IF(AND('Раскладка продуктов'!$BC$3=2,'Блок ввода'!$AC$35=1),AO98/10,0)</f>
        <v>0</v>
      </c>
      <c r="AS98" s="1061"/>
      <c r="AT98" s="1061"/>
      <c r="AU98" s="1061"/>
      <c r="AV98" s="1061"/>
      <c r="AW98" s="1061"/>
      <c r="AX98" s="1072">
        <f>IF('Блок ввода'!R211=20,0.5,0)</f>
        <v>0</v>
      </c>
      <c r="AY98" s="1071"/>
      <c r="AZ98" s="1072">
        <f>IF('Блок ввода'!A34&lt;&gt;2,0,IF(OR('Блок ввода'!E100=21,'Блок ввода'!E100=22,'Блок ввода'!E100=23),('Блок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0</v>
      </c>
      <c r="BA98" s="1061">
        <f>IF('Блок ввода'!$A$34=2,0,BT98)</f>
        <v>0</v>
      </c>
      <c r="BB98" s="1061"/>
      <c r="BC98" s="1061"/>
      <c r="BD98" s="1061"/>
      <c r="BE98" s="1073"/>
      <c r="BF98" s="1073">
        <f>IF('Блок ввода'!E100=24,(300-'Раскладка продуктов'!N98*5-'Раскладка продуктов'!AN98-'Раскладка продуктов'!AO98)*375/500,0)</f>
        <v>0</v>
      </c>
      <c r="BG98" s="1073"/>
      <c r="BH98" s="1073"/>
      <c r="BI98" s="1074"/>
      <c r="BJ98" s="1075"/>
      <c r="BK98" s="1076"/>
      <c r="BL98" s="1069"/>
      <c r="BM98" s="1069"/>
      <c r="BN98" s="1062"/>
      <c r="BO98" s="1077"/>
      <c r="BP98" s="909">
        <f>IF($BP$1=1,550,500)</f>
        <v>550</v>
      </c>
      <c r="BQ98" s="1079"/>
      <c r="BR98" s="766"/>
      <c r="BT98" s="764">
        <f>IF('Блок ввода'!E100&gt;20,IF('Блок ввода'!A34=3,BU98*15/100,BU98/5),0)</f>
        <v>0</v>
      </c>
      <c r="BU98" s="764">
        <f>IF(OR('Блок ввода'!E100=21,'Блок ввода'!E100=22,'Блок ввода'!E100=23),('Блок ввода'!$L$34-$AZ$34-$AZ$47-$AZ$60-$AZ$73-$AZ$103-$AZ$116-$AZ$129-$AZ$25-$AZ$38-$AZ$51-$AZ$64-$AZ$94-$AZ$107-$AZ$120)/2,0)</f>
        <v>0</v>
      </c>
      <c r="BZ98" s="765"/>
      <c r="CB98" s="765">
        <f>SUM(N98:X98)*5+SUM(AK98:AP98)+BF98*500/375</f>
        <v>285</v>
      </c>
      <c r="CF98" s="475"/>
      <c r="CG98" s="475"/>
    </row>
    <row r="99" spans="1:101" ht="24" customHeight="1" x14ac:dyDescent="0.2">
      <c r="B99" s="1339"/>
      <c r="C99" s="1346"/>
      <c r="D99" s="1380"/>
      <c r="E99" s="484" t="s">
        <v>229</v>
      </c>
      <c r="F99" s="1319" t="str">
        <f>IF('Блок ввода'!$G$4=1,'Блок ввода'!G107,"Зарегистрируйте программу")</f>
        <v>Зарегистрируйте программу</v>
      </c>
      <c r="G99" s="1320"/>
      <c r="H99" s="1320"/>
      <c r="I99" s="1320"/>
      <c r="J99" s="1320"/>
      <c r="K99" s="891"/>
      <c r="L99" s="892"/>
      <c r="M99" s="1061"/>
      <c r="N99" s="1189">
        <v>2</v>
      </c>
      <c r="O99" s="1063"/>
      <c r="P99" s="1063">
        <f>IF('Блок ввода'!R212=14,20,IF('Блок ввода'!R212=22,55-(AN99+AO99)/5,0))</f>
        <v>0</v>
      </c>
      <c r="Q99" s="1065">
        <f>IF('Блок ввода'!R212=15,20,IF('Блок ввода'!R212=23,60-N99-(AN99+AO99)/5-AQ99-AR99*2,0))</f>
        <v>0</v>
      </c>
      <c r="R99" s="1061">
        <f>IF('Блок ввода'!R212=8,20,0)</f>
        <v>0</v>
      </c>
      <c r="S99" s="1061">
        <f>IF('Блок ввода'!R212=16,20,0)</f>
        <v>0</v>
      </c>
      <c r="T99" s="1061">
        <f>IF('Блок ввода'!R212=17,20,0)</f>
        <v>0</v>
      </c>
      <c r="U99" s="1061">
        <f>IF('Блок ввода'!R212=4,15,IF('Блок ввода'!R212=19,30,0))</f>
        <v>30</v>
      </c>
      <c r="V99" s="1061">
        <f>IF('Блок ввода'!R212=3,20,IF('Блок ввода'!R212=12,25,0))</f>
        <v>0</v>
      </c>
      <c r="W99" s="1066"/>
      <c r="X99" s="1063">
        <f>IF('Блок ввода'!R212=13,25,IF('Блок ввода'!R212=21,55-(AN99+AO99)/5-AQ99-AR99*2,0))</f>
        <v>0</v>
      </c>
      <c r="Y99" s="1065"/>
      <c r="Z99" s="1061"/>
      <c r="AA99" s="1061"/>
      <c r="AB99" s="1095"/>
      <c r="AC99" s="1068">
        <f>IF('Блок ввода'!E104=18,12,0)</f>
        <v>0</v>
      </c>
      <c r="AD99" s="1067"/>
      <c r="AE99" s="892">
        <v>4</v>
      </c>
      <c r="AF99" s="899"/>
      <c r="AG99" s="1065"/>
      <c r="AH99" s="1061"/>
      <c r="AI99" s="1061"/>
      <c r="AJ99" s="1066"/>
      <c r="AK99" s="1060">
        <f>IF('Блок ввода'!E104=24,0,ОКГП-(SUM(P99:X99))*5-AL99-AM99-AN99-AO99-AP99-AY99)</f>
        <v>90</v>
      </c>
      <c r="AL99" s="1061">
        <f>IF('Блок ввода'!R212&lt;3,140,IF('Блок ввода'!R212=3,90,IF('Блок ввода'!R212=4,115,IF('Блок ввода'!R212=5,80,IF('Блок ввода'!R212=9,90,0)))))</f>
        <v>0</v>
      </c>
      <c r="AM99" s="1061">
        <f>IF('Блок ввода'!R212=5,60,IF('Блок ввода'!R212=6,60,IF('Блок ввода'!R212=20,120,0)))</f>
        <v>0</v>
      </c>
      <c r="AN99" s="1094">
        <v>10</v>
      </c>
      <c r="AO99" s="1094">
        <v>10</v>
      </c>
      <c r="AP99" s="1066">
        <f>IF('Блок ввода'!R212=6,80,IF('Блок ввода'!R212=7,50,IF('Блок ввода'!R212=8,50,IF('Блок ввода'!R212=9,50,IF('Блок ввода'!R212=11,105,IF('Блок ввода'!R212=19,15,IF('Блок ввода'!R212=20,70,0)))))))</f>
        <v>15</v>
      </c>
      <c r="AQ99" s="1067">
        <f>IF(AND('Раскладка продуктов'!$BC$3=1,'Блок ввода'!AC35=1),AO99*2,0)</f>
        <v>0</v>
      </c>
      <c r="AR99" s="1070">
        <f>IF(AND('Раскладка продуктов'!$BC$3=2,'Блок ввода'!$AC$35=1),AO99/10,0)</f>
        <v>0</v>
      </c>
      <c r="AS99" s="1061"/>
      <c r="AT99" s="1061"/>
      <c r="AU99" s="1061"/>
      <c r="AV99" s="1061"/>
      <c r="AW99" s="1061"/>
      <c r="AX99" s="1072">
        <f>IF('Блок ввода'!R212=20,0.5,0)</f>
        <v>0</v>
      </c>
      <c r="AY99" s="1071"/>
      <c r="AZ99" s="1072">
        <f>IF('Блок ввода'!A34&lt;&gt;2,0,IF(OR('Блок ввода'!E104=21,'Блок ввода'!E104=22,'Блок ввода'!E104=23),('Блок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0</v>
      </c>
      <c r="BA99" s="1061">
        <f>IF('Блок ввода'!$A$34=2,0,BT99)</f>
        <v>0</v>
      </c>
      <c r="BB99" s="1061"/>
      <c r="BC99" s="1061"/>
      <c r="BD99" s="1061"/>
      <c r="BE99" s="1073"/>
      <c r="BF99" s="1073">
        <f>IF('Блок ввода'!E104=24,(300-'Раскладка продуктов'!N99*5-'Раскладка продуктов'!AN99-'Раскладка продуктов'!AO99)*375/500,0)</f>
        <v>0</v>
      </c>
      <c r="BG99" s="1073"/>
      <c r="BH99" s="1073"/>
      <c r="BI99" s="1074"/>
      <c r="BJ99" s="1075"/>
      <c r="BK99" s="1076"/>
      <c r="BL99" s="1069"/>
      <c r="BM99" s="1069"/>
      <c r="BN99" s="1062"/>
      <c r="BO99" s="1077"/>
      <c r="BP99" s="909">
        <f>IF($BP$1=1,550,500)</f>
        <v>550</v>
      </c>
      <c r="BQ99" s="1096"/>
      <c r="BR99" s="766"/>
      <c r="BT99" s="764">
        <f>IF('Блок ввода'!E104&gt;20,IF('Блок ввода'!A34=3,BU99*15/100,BU99/5),0)</f>
        <v>0</v>
      </c>
      <c r="BU99" s="764">
        <f>IF(OR('Блок ввода'!E104=21,'Блок ввода'!E104=22,'Блок ввода'!E104=23),('Блок ввода'!$L$34-$AZ$34-$AZ$47-$AZ$60-$AZ$73-$AZ$103-$AZ$116-$AZ$129-$AZ$25-$AZ$38-$AZ$51-$AZ$64-$AZ$94-$AZ$107-$AZ$120)/2,0)</f>
        <v>0</v>
      </c>
      <c r="BZ99" s="765"/>
      <c r="CB99" s="765">
        <f>SUM(N99:X99)*5+SUM(AK99:AP99)+BF99*500/375</f>
        <v>285</v>
      </c>
      <c r="CF99" s="475"/>
      <c r="CG99" s="475"/>
    </row>
    <row r="100" spans="1:101" ht="24" customHeight="1" x14ac:dyDescent="0.2">
      <c r="B100" s="1339"/>
      <c r="C100" s="1346"/>
      <c r="D100" s="1380"/>
      <c r="E100" s="484" t="s">
        <v>230</v>
      </c>
      <c r="F100" s="1319" t="str">
        <f>IF('Блок ввода'!$G$4=1,CONCATENATE('Блок ввода'!Y214,'Блок ввода'!AA214),"Зарегистрируйте программу")</f>
        <v>Зарегистрируйте программу</v>
      </c>
      <c r="G100" s="1320"/>
      <c r="H100" s="1320"/>
      <c r="I100" s="1320"/>
      <c r="J100" s="1348"/>
      <c r="K100" s="891"/>
      <c r="L100" s="892"/>
      <c r="M100" s="1061"/>
      <c r="N100" s="1189">
        <v>2</v>
      </c>
      <c r="O100" s="1063">
        <f>IF('Блок ввода'!R213=4,20,IF('Блок ввода'!R213=16,75,IF('Блок ввода'!R213=24,20,0)))</f>
        <v>0</v>
      </c>
      <c r="P100" s="1063">
        <f>IF('Блок ввода'!R213=8,(ОКГВ-AN100-AO100-AY100)/5,IF('Блок ввода'!R213=12,16,IF('Блок ввода'!S213=7,(ОКГВ-AN100-AO100-AP100-AY100)/5,0)))</f>
        <v>0</v>
      </c>
      <c r="Q100" s="1060">
        <f>IF('Блок ввода'!S213=8,CB100/5,0)</f>
        <v>0</v>
      </c>
      <c r="R100" s="1061">
        <f>IF('Блок ввода'!S213=9,CB100/5,0)</f>
        <v>0</v>
      </c>
      <c r="S100" s="1061">
        <f>IF('Блок ввода'!S213=11,CB100/5,0)</f>
        <v>0</v>
      </c>
      <c r="T100" s="1061">
        <f>IF('Блок ввода'!S213=12,CB100/5,0)</f>
        <v>0</v>
      </c>
      <c r="U100" s="1061">
        <f>IF('Блок ввода'!S213=10,CB100/5,IF('Блок ввода'!S213=16,CB100/5-V100,0))</f>
        <v>0</v>
      </c>
      <c r="V100" s="1061">
        <f>IF('Блок ввода'!S213=14,CB100/5,IF('Блок ввода'!S213=16,40,0))</f>
        <v>0</v>
      </c>
      <c r="W100" s="1068">
        <f>IF('Блок ввода'!S213=13,CB100/5,0)</f>
        <v>0</v>
      </c>
      <c r="X100" s="1063">
        <f>IF('Блок ввода'!R213=14,CB100/5,IF('Блок ввода'!S213=15,CB100/5,0))</f>
        <v>71</v>
      </c>
      <c r="Y100" s="1065">
        <f>IF('Блок ввода'!R213&lt;19,BV1,0)</f>
        <v>0</v>
      </c>
      <c r="Z100" s="1061">
        <f>IF('Блок ввода'!R213=19,75,0)</f>
        <v>75</v>
      </c>
      <c r="AA100" s="1061"/>
      <c r="AB100" s="1061">
        <f>IF('Блок ввода'!R213&gt;20,120-AB97,0)</f>
        <v>0</v>
      </c>
      <c r="AC100" s="1066">
        <f>IF('Блок ввода'!R213=20,96,0)</f>
        <v>0</v>
      </c>
      <c r="AD100" s="1067"/>
      <c r="AE100" s="892">
        <v>4</v>
      </c>
      <c r="AF100" s="899"/>
      <c r="AG100" s="1065"/>
      <c r="AH100" s="1061"/>
      <c r="AI100" s="1061"/>
      <c r="AJ100" s="1066"/>
      <c r="AK100" s="1060">
        <f>IF('Блок ввода'!R213=7,ОКГВ-AL100-AN100-AO100-N100*5-AY100,IF('Блок ввода'!R213=15,ОКГВ-AN100-AO996-AY100,IF('Блок ввода'!S213&lt;5,ОКГВ-P100*5-AN100-AO100-AP100-AL100,)))</f>
        <v>0</v>
      </c>
      <c r="AL100" s="1061">
        <f>IF('Блок ввода'!R213=7,200,IF('Блок ввода'!R213=13,450-N100*5-AN100-AO100-AY100,IF('Блок ввода'!S213=5,CB100,0)))</f>
        <v>0</v>
      </c>
      <c r="AM100" s="1061"/>
      <c r="AN100" s="1094">
        <v>10</v>
      </c>
      <c r="AO100" s="1094">
        <v>10</v>
      </c>
      <c r="AP100" s="1066">
        <f>IF('Блок ввода'!R213=6,20,0)</f>
        <v>0</v>
      </c>
      <c r="AQ100" s="1067">
        <f>IF(AND('Раскладка продуктов'!$BC$3=1,'Блок ввода'!AC35=1),AO100*2,0)</f>
        <v>0</v>
      </c>
      <c r="AR100" s="1070">
        <f>IF(AND('Раскладка продуктов'!$BC$3=2,'Блок ввода'!$AC$35=1),AO100/10,0)</f>
        <v>0</v>
      </c>
      <c r="AS100" s="1061"/>
      <c r="AT100" s="1061"/>
      <c r="AU100" s="1061"/>
      <c r="AV100" s="1061"/>
      <c r="AW100" s="1061"/>
      <c r="AX100" s="1061"/>
      <c r="AY100" s="1071"/>
      <c r="AZ100" s="1072"/>
      <c r="BA100" s="1061"/>
      <c r="BB100" s="1061"/>
      <c r="BC100" s="1061"/>
      <c r="BD100" s="1061"/>
      <c r="BE100" s="1073"/>
      <c r="BF100" s="1073"/>
      <c r="BG100" s="1073"/>
      <c r="BH100" s="1073"/>
      <c r="BI100" s="1074"/>
      <c r="BJ100" s="1075"/>
      <c r="BK100" s="1076"/>
      <c r="BL100" s="1069"/>
      <c r="BM100" s="1069"/>
      <c r="BN100" s="1062"/>
      <c r="BO100" s="1077"/>
      <c r="BP100" s="1078">
        <f>BQ100+P100*2.8+Q100*2.1+R100*3+S100*3+T100*3+U100*2.5+V100*2.1+W100*3+X100*3+BX100+AL100*'Блок ввода'!$D$9+'Раскладка продуктов'!AM100*'Блок ввода'!$D$8+'Раскладка продуктов'!AP100*'Блок ввода'!$D$11+'Раскладка продуктов'!AQ100*'Блок ввода'!$D$12+'Раскладка продуктов'!AX100*'Блок ввода'!$D$13+AD100*0.5+IF(BZ100&gt;0,50,BY100)</f>
        <v>305.8</v>
      </c>
      <c r="BQ100" s="1096">
        <f>'Блок ввода'!AG213</f>
        <v>75</v>
      </c>
      <c r="BR100" s="766"/>
      <c r="BX100" s="764">
        <f>IF(CA100&gt;0,'Раскладка продуктов'!AK100*'Блок ввода'!$D$5,AK100*'Блок ввода'!$D$4)</f>
        <v>0</v>
      </c>
      <c r="BY100" s="764">
        <f>N100+AN100*'Блок ввода'!$D$7+'Раскладка продуктов'!AO100*'Блок ввода'!$D$10</f>
        <v>17.8</v>
      </c>
      <c r="BZ100" s="765">
        <f>IF('Блок ввода'!R213&lt;4,1,IF('Блок ввода'!R213=9,1,IF('Блок ввода'!R213=10,1,IF('Блок ввода'!R213=11,1,IF('Блок ввода'!R213=5,1,IF('Блок ввода'!R213=6,1,IF('Блок ввода'!R213=7,1,0)))))))</f>
        <v>0</v>
      </c>
      <c r="CA100" s="765">
        <f>IF('Блок ввода'!S213=1,1,0)</f>
        <v>0</v>
      </c>
      <c r="CB100" s="765">
        <f>ОКГВ-P100*5-AN100-AO100-AP100-AY100</f>
        <v>355</v>
      </c>
      <c r="CC100" s="765">
        <f>SUM(N100:X100)*5+SUM(AK100:AP100)</f>
        <v>385</v>
      </c>
      <c r="CD100" s="765">
        <f>(CB98+CB99+CC100+CC101)/2+CB97</f>
        <v>820</v>
      </c>
      <c r="CF100" s="475"/>
      <c r="CG100" s="475"/>
    </row>
    <row r="101" spans="1:101" ht="24" customHeight="1" x14ac:dyDescent="0.2">
      <c r="B101" s="1339"/>
      <c r="C101" s="1346"/>
      <c r="D101" s="1380"/>
      <c r="E101" s="484" t="s">
        <v>230</v>
      </c>
      <c r="F101" s="1319" t="str">
        <f>IF('Блок ввода'!$G$4=1,CONCATENATE('Блок ввода'!Y219,'Блок ввода'!AA219),"Зарегистрируйте программу")</f>
        <v>Зарегистрируйте программу</v>
      </c>
      <c r="G101" s="1320"/>
      <c r="H101" s="1320"/>
      <c r="I101" s="1320"/>
      <c r="J101" s="1348"/>
      <c r="K101" s="891"/>
      <c r="L101" s="892"/>
      <c r="M101" s="1061"/>
      <c r="N101" s="1189">
        <v>2</v>
      </c>
      <c r="O101" s="1063">
        <f>IF('Блок ввода'!R214=4,20,IF('Блок ввода'!R214=16,75,IF('Блок ввода'!R214=24,20,0)))</f>
        <v>0</v>
      </c>
      <c r="P101" s="1063">
        <f>IF('Блок ввода'!R214=8,(ОКГВ-AN101-AO101-AY101)/5,IF('Блок ввода'!R214=12,16,IF('Блок ввода'!S214=7,(ОКГВ-AN101-AO101-AP101-AY101)/5,0)))</f>
        <v>0</v>
      </c>
      <c r="Q101" s="1060">
        <f>IF('Блок ввода'!S214=8,CB101/5,0)</f>
        <v>0</v>
      </c>
      <c r="R101" s="1061">
        <f>IF('Блок ввода'!S214=9,CB101/5,0)</f>
        <v>0</v>
      </c>
      <c r="S101" s="1061">
        <f>IF('Блок ввода'!S214=11,CB101/5,0)</f>
        <v>0</v>
      </c>
      <c r="T101" s="1061">
        <f>IF('Блок ввода'!S214=12,CB101/5,0)</f>
        <v>0</v>
      </c>
      <c r="U101" s="1061">
        <f>IF('Блок ввода'!S214=10,CB101/5,IF('Блок ввода'!S214=16,CB101/5-V101,0))</f>
        <v>71</v>
      </c>
      <c r="V101" s="1061">
        <f>IF('Блок ввода'!S214=14,CB101/5,IF('Блок ввода'!S214=16,40,0))</f>
        <v>0</v>
      </c>
      <c r="W101" s="1068">
        <f>IF('Блок ввода'!S214=13,CB101/5,0)</f>
        <v>0</v>
      </c>
      <c r="X101" s="1063">
        <f>IF('Блок ввода'!R214=14,CB101/5,IF('Блок ввода'!S214=15,CB101/5,0))</f>
        <v>0</v>
      </c>
      <c r="Y101" s="1065">
        <f>IF('Блок ввода'!R214&lt;19,BV1,0)</f>
        <v>0</v>
      </c>
      <c r="Z101" s="1061">
        <f>IF('Блок ввода'!R214=19,75,0)</f>
        <v>75</v>
      </c>
      <c r="AA101" s="1061"/>
      <c r="AB101" s="1061">
        <f>IF('Блок ввода'!R214&gt;20,120-AB97,0)</f>
        <v>0</v>
      </c>
      <c r="AC101" s="1066">
        <f>IF('Блок ввода'!R214=20,96,0)</f>
        <v>0</v>
      </c>
      <c r="AD101" s="1067"/>
      <c r="AE101" s="892"/>
      <c r="AF101" s="899"/>
      <c r="AG101" s="1065"/>
      <c r="AH101" s="1061"/>
      <c r="AI101" s="1061"/>
      <c r="AJ101" s="1066"/>
      <c r="AK101" s="1060">
        <f>IF('Блок ввода'!R214=7,ОКГВ-AL101-AN101-AO101-AY101,IF('Блок ввода'!R214=15,ОКГВ-AN101-AO101-AY101,IF('Блок ввода'!S214&lt;5,ОКГВ-P101*5-AN101-AO101-AP101-AY101,)))</f>
        <v>0</v>
      </c>
      <c r="AL101" s="1061">
        <f>IF('Блок ввода'!R214=7,200,IF('Блок ввода'!R214=13,450-N101*5-AN101-AO101-AY101,IF('Блок ввода'!S214=5,CB101,0)))</f>
        <v>0</v>
      </c>
      <c r="AM101" s="1061"/>
      <c r="AN101" s="1094">
        <v>10</v>
      </c>
      <c r="AO101" s="1094">
        <v>10</v>
      </c>
      <c r="AP101" s="1066">
        <f>IF('Блок ввода'!R214=6,20,0)</f>
        <v>0</v>
      </c>
      <c r="AQ101" s="1067">
        <f>IF(AND('Раскладка продуктов'!$BC$3=1,'Блок ввода'!AC35=1),AO101*2,0)</f>
        <v>0</v>
      </c>
      <c r="AR101" s="1070">
        <f>IF(AND('Раскладка продуктов'!$BC$3=2,'Блок ввода'!$AC$35=1),AO101/10,0)</f>
        <v>0</v>
      </c>
      <c r="AS101" s="1061"/>
      <c r="AT101" s="1061"/>
      <c r="AU101" s="1061"/>
      <c r="AV101" s="1061"/>
      <c r="AW101" s="1061"/>
      <c r="AX101" s="1061"/>
      <c r="AY101" s="1071"/>
      <c r="AZ101" s="1072"/>
      <c r="BA101" s="1061"/>
      <c r="BB101" s="1061"/>
      <c r="BC101" s="1061"/>
      <c r="BD101" s="1061"/>
      <c r="BE101" s="1073"/>
      <c r="BF101" s="1073"/>
      <c r="BG101" s="1073"/>
      <c r="BH101" s="1073"/>
      <c r="BI101" s="1074"/>
      <c r="BJ101" s="1075"/>
      <c r="BK101" s="1076"/>
      <c r="BL101" s="1069"/>
      <c r="BM101" s="1069"/>
      <c r="BN101" s="1062"/>
      <c r="BO101" s="1077"/>
      <c r="BP101" s="1078">
        <f>BQ101+P101*2.8+Q101*2.1+R101*3+S101*3+T101*3+U101*2.5+V101*2.1+W101*3+X101*3+BX101+AL101*'Блок ввода'!$D$9+'Раскладка продуктов'!AM101*'Блок ввода'!$D$8+'Раскладка продуктов'!AP101*'Блок ввода'!$D$11+'Раскладка продуктов'!AQ101*'Блок ввода'!$D$12+'Раскладка продуктов'!AX101*'Блок ввода'!$D$13+AD101*0.5+IF(BZ101&gt;0,50,BY101)</f>
        <v>270.3</v>
      </c>
      <c r="BQ101" s="1096">
        <f>'Блок ввода'!AG214</f>
        <v>75</v>
      </c>
      <c r="BR101" s="766"/>
      <c r="BX101" s="764">
        <f>IF(CA101&gt;0,'Раскладка продуктов'!AK101*'Блок ввода'!$D$5,AK101*'Блок ввода'!$D$4)</f>
        <v>0</v>
      </c>
      <c r="BY101" s="764">
        <f>N101+AN101*'Блок ввода'!$D$7+'Раскладка продуктов'!AO101*'Блок ввода'!$D$10</f>
        <v>17.8</v>
      </c>
      <c r="BZ101" s="765">
        <f>IF('Блок ввода'!R214&lt;4,1,IF('Блок ввода'!R214=9,1,IF('Блок ввода'!R214=10,1,IF('Блок ввода'!R214=11,1,IF('Блок ввода'!R214=5,1,IF('Блок ввода'!R214=6,1,IF('Блок ввода'!R214=7,1,0)))))))</f>
        <v>0</v>
      </c>
      <c r="CA101" s="765">
        <f>IF('Блок ввода'!S214=1,1,0)</f>
        <v>0</v>
      </c>
      <c r="CB101" s="765">
        <f>ОКГВ-P101*5-AN101-AO101-AP101-AY101</f>
        <v>355</v>
      </c>
      <c r="CC101" s="765">
        <f>SUM(N101:X101)*5+SUM(AK101:AP101)</f>
        <v>385</v>
      </c>
      <c r="CF101" s="475"/>
      <c r="CG101" s="475"/>
    </row>
    <row r="102" spans="1:101" ht="24" customHeight="1" thickBot="1" x14ac:dyDescent="0.25">
      <c r="B102" s="1339"/>
      <c r="C102" s="1346"/>
      <c r="D102" s="1381"/>
      <c r="E102" s="484" t="s">
        <v>231</v>
      </c>
      <c r="F102" s="1326" t="str">
        <f>IF('Блок ввода'!$G$4=1,'Блок ввода'!U220,"Зарегистрируйте программу")</f>
        <v>Зарегистрируйте программу</v>
      </c>
      <c r="G102" s="1327"/>
      <c r="H102" s="1327"/>
      <c r="I102" s="1327"/>
      <c r="J102" s="1328"/>
      <c r="K102" s="911">
        <v>100</v>
      </c>
      <c r="L102" s="912">
        <v>150</v>
      </c>
      <c r="M102" s="1086">
        <f>IF('Блок ввода'!AC36=2,65,IF('Блок ввода'!AC36=1,88.5,0))</f>
        <v>0</v>
      </c>
      <c r="N102" s="1187">
        <v>0</v>
      </c>
      <c r="O102" s="1098"/>
      <c r="P102" s="1083"/>
      <c r="Q102" s="1099"/>
      <c r="R102" s="1086"/>
      <c r="S102" s="1086"/>
      <c r="T102" s="1086"/>
      <c r="U102" s="1086"/>
      <c r="V102" s="1086"/>
      <c r="W102" s="1100"/>
      <c r="X102" s="1083"/>
      <c r="Y102" s="1099"/>
      <c r="Z102" s="1086"/>
      <c r="AA102" s="1086"/>
      <c r="AB102" s="1086"/>
      <c r="AC102" s="1100"/>
      <c r="AD102" s="1084"/>
      <c r="AE102" s="913"/>
      <c r="AF102" s="940"/>
      <c r="AG102" s="1099"/>
      <c r="AH102" s="1089"/>
      <c r="AI102" s="913">
        <f>IF('Блок ввода'!R215=2,20*IF('Блок ввода'!AA101=1,5,1),IF(AND('Блок ввода'!R215=3,'Блок ввода'!AA101=1),100,0))</f>
        <v>20</v>
      </c>
      <c r="AJ102" s="1100"/>
      <c r="AK102" s="1101"/>
      <c r="AL102" s="1086"/>
      <c r="AM102" s="1086"/>
      <c r="AN102" s="1069"/>
      <c r="AO102" s="1102">
        <f>IF(AND('Блок ввода'!A29=1,'Блок ввода'!I23="Лука"),'Блок ввода'!L23,0)</f>
        <v>0</v>
      </c>
      <c r="AP102" s="1100"/>
      <c r="AQ102" s="1084">
        <f>IF(AND('Раскладка продуктов'!$BC$3=1,'Блок ввода'!AC35=1),AO102*2,0)</f>
        <v>0</v>
      </c>
      <c r="AR102" s="1085"/>
      <c r="AS102" s="1086"/>
      <c r="AT102" s="1086"/>
      <c r="AU102" s="1086"/>
      <c r="AV102" s="1086"/>
      <c r="AW102" s="1086"/>
      <c r="AX102" s="1086"/>
      <c r="AY102" s="1088"/>
      <c r="AZ102" s="1089">
        <f>IF('Блок ввода'!A34=TRUE,IF('Блок ввода'!R215&lt;3,0,IF('Блок ввода'!S29=FALSE,0,BR102/5)),IF('Блок ввода'!R215&lt;3,0,IF('Блок ввода'!S29=FALSE,0,BR102)))</f>
        <v>0</v>
      </c>
      <c r="BA102" s="1086"/>
      <c r="BB102" s="1086">
        <f>IF('Блок ввода'!S94=TRUE,0,IF('Блок ввода'!R215=3,200+IF('Блок ввода'!$A$35=1,400-(AI102*3)),IF(OR('Блок ввода'!R215=4,'Блок ввода'!R215=7),200+IF('Блок ввода'!$A$35=1,400-(AI102*3)),IF(OR('Блок ввода'!R215=5, 'Блок ввода'!R215=7),200+IF('Блок ввода'!$A$35=1,400-(AI102*3)),0))))</f>
        <v>0</v>
      </c>
      <c r="BC102" s="1086"/>
      <c r="BD102" s="1102">
        <f>IF(AND('Блок ввода'!A29=1,'Блок ввода'!I23="Чеснока"),'Блок ввода'!L23,0)</f>
        <v>0</v>
      </c>
      <c r="BE102" s="1089">
        <f>IF('Блок ввода'!R215=6,(200-AI102)/2,0)</f>
        <v>0</v>
      </c>
      <c r="BF102" s="1103"/>
      <c r="BG102" s="1103"/>
      <c r="BH102" s="1103"/>
      <c r="BI102" s="1091"/>
      <c r="BJ102" s="1092"/>
      <c r="BK102" s="1104"/>
      <c r="BL102" s="1102"/>
      <c r="BM102" s="1102"/>
      <c r="BN102" s="1097"/>
      <c r="BO102" s="1105"/>
      <c r="BP102" s="1106">
        <f>IF(BA102&gt;0,BA102,250)</f>
        <v>250</v>
      </c>
      <c r="BQ102" s="1107"/>
      <c r="BR102" s="766"/>
      <c r="BZ102" s="765"/>
      <c r="CF102" s="475"/>
      <c r="CG102" s="475"/>
    </row>
    <row r="103" spans="1:101" ht="24" customHeight="1" x14ac:dyDescent="0.2">
      <c r="B103" s="1339"/>
      <c r="C103" s="1346"/>
      <c r="D103" s="1341" t="str">
        <f>CONCATENATE("Ужин
100%, ОКГ = ",CD103)</f>
        <v>Ужин
100%, ОКГ = 425</v>
      </c>
      <c r="E103" s="1342"/>
      <c r="F103" s="1300" t="str">
        <f>IF('Блок ввода'!$G$4=1,CONCATENATE('Блок ввода'!G187,'Блок ввода'!L187,'Блок ввода'!N187,'Блок ввода'!O187),"Зарегистрируйте программу")</f>
        <v>Зарегистрируйте программу</v>
      </c>
      <c r="G103" s="1301"/>
      <c r="H103" s="1301"/>
      <c r="I103" s="1301"/>
      <c r="J103" s="1321"/>
      <c r="K103" s="952"/>
      <c r="L103" s="953"/>
      <c r="M103" s="1039"/>
      <c r="N103" s="1192">
        <v>2</v>
      </c>
      <c r="O103" s="1040"/>
      <c r="P103" s="1040">
        <f>IF('Блок ввода'!R216=8,(ОКГУ-AN103-AO103-AY103)/5,IF('Блок ввода'!R216=12,15,IF('Блок ввода'!S216=7,(ОКГУ-AN103-AO103-AP103-AY103)/5,0)))</f>
        <v>0</v>
      </c>
      <c r="Q103" s="1038">
        <f>IF('Блок ввода'!S216=8,CB103/5,0)</f>
        <v>0</v>
      </c>
      <c r="R103" s="1039">
        <f>IF('Блок ввода'!S216=9,CB103/5,0)</f>
        <v>0</v>
      </c>
      <c r="S103" s="1039">
        <f>IF('Блок ввода'!S216=11,CB103/5,0)</f>
        <v>0</v>
      </c>
      <c r="T103" s="1039">
        <f>IF('Блок ввода'!S216=12,CB103/5,0)</f>
        <v>0</v>
      </c>
      <c r="U103" s="1039">
        <f>IF('Блок ввода'!S216=10,CB103/5,IF('Блок ввода'!S216=16,CB103/5-V103,0))</f>
        <v>0</v>
      </c>
      <c r="V103" s="1039">
        <f>IF('Блок ввода'!S216=14,CB103/5,IF('Блок ввода'!S216=16,40,0))</f>
        <v>0</v>
      </c>
      <c r="W103" s="1042">
        <f>IF('Блок ввода'!S216=13,CB103/5,0)</f>
        <v>0</v>
      </c>
      <c r="X103" s="1063">
        <f>IF('Блок ввода'!R216=14,CB103/5,IF('Блок ввода'!S216=15,CB103/5,0))</f>
        <v>0</v>
      </c>
      <c r="Y103" s="1043">
        <f>IF('Блок ввода'!R216&lt;19,BV3,0)</f>
        <v>0</v>
      </c>
      <c r="Z103" s="1039">
        <f>IF('Блок ввода'!R216=19,75,IF('Блок ввода'!R216=28,60,0))</f>
        <v>0</v>
      </c>
      <c r="AA103" s="1039"/>
      <c r="AB103" s="1039">
        <f>ROUND(IF('Блок ввода'!E183=28,0,IF('Блок ввода'!E183&gt;20,IF('Блок ввода'!E183=26,102,IF('Блок ввода'!$AC$38=1,156-AB97*1.3-(AC98+AC99)*1.625/2,120-AB97-(AC98+AC99)/2/0.8)),0)),1)</f>
        <v>120</v>
      </c>
      <c r="AC103" s="1044">
        <f>IF(AND('Блок ввода'!R216=20,OR('Блок ввода'!E100=18,'Блок ввода'!E104=18)),96-(AC98+AC99)/2-AB97*0.8,IF('Блок ввода'!R216=20,96,0))</f>
        <v>0</v>
      </c>
      <c r="AD103" s="1045"/>
      <c r="AE103" s="870">
        <v>22</v>
      </c>
      <c r="AF103" s="873">
        <f>IF(OR('Блок ввода'!E183=21,'Блок ввода'!E183=22,'Блок ввода'!E183=23,'Блок ввода'!E183=24),15,3)</f>
        <v>15</v>
      </c>
      <c r="AG103" s="1043"/>
      <c r="AH103" s="1039"/>
      <c r="AI103" s="1039"/>
      <c r="AJ103" s="1044"/>
      <c r="AK103" s="1038">
        <f>IF('Блок ввода'!R216=7,ОКГУ-AL103-AN103-AO103-AY103+IF(AND($N$7=1,N103=0),CF103,IF(N94=0,0,2.5-IF($N$7=2,2.5,0))),IF('Блок ввода'!R216=15,ОКГУ-AN103-AO103-AY103+IF(AND($N$7=1,N103=0),CF103,IF(N94=0,0,2.5-IF($N$7=2,2.5,0))),IF('Блок ввода'!S216&lt;5,ОКГУ-P103*5-AN103-AO103-AO102*2-BD102*4-AP103-AY103+IF(AND($N$7=1,N103=0),CF103,IF(N94=0,0,2.5-IF($N$7=2,2.5,0))),)))</f>
        <v>400</v>
      </c>
      <c r="AL103" s="1039">
        <f>IF('Блок ввода'!R216=7,200,IF('Блок ввода'!R216=13,450-N103*5-AN103-AO103-AO102*2-BD102*4-AY103,IF('Блок ввода'!S216=5,CB103-AO102*2-BD102*4,0)))</f>
        <v>0</v>
      </c>
      <c r="AM103" s="1039">
        <f>IF('Блок ввода'!S216=6,CB103,0)</f>
        <v>0</v>
      </c>
      <c r="AN103" s="1046">
        <v>15</v>
      </c>
      <c r="AO103" s="1046">
        <v>10</v>
      </c>
      <c r="AP103" s="1044">
        <f>IF('Блок ввода'!R216=6,20,0)</f>
        <v>0</v>
      </c>
      <c r="AQ103" s="1108">
        <f>IF(AND('Раскладка продуктов'!$BC$3=1,'Блок ввода'!AC35=1),AO103*2,0)</f>
        <v>0</v>
      </c>
      <c r="AR103" s="1109">
        <f>IF(AND('Раскладка продуктов'!$BC$3=2,'Блок ввода'!$AC$35=1),AO103/10,0)</f>
        <v>0</v>
      </c>
      <c r="AS103" s="1110"/>
      <c r="AT103" s="1110"/>
      <c r="AU103" s="1110"/>
      <c r="AV103" s="1110"/>
      <c r="AW103" s="1110"/>
      <c r="AX103" s="1110">
        <f>IF(AND(OR('Блок ввода'!T216=5,'Блок ввода'!T216=6),'Блок ввода'!$G$32=TRUE),15,IF(OR('Блок ввода'!T216=5,'Блок ввода'!T216=6),1,0))</f>
        <v>0</v>
      </c>
      <c r="AY103" s="1111"/>
      <c r="AZ103" s="1112">
        <f>IF('Блок ввода'!N183=9,150,0)</f>
        <v>0</v>
      </c>
      <c r="BA103" s="1110"/>
      <c r="BB103" s="1110"/>
      <c r="BC103" s="1110"/>
      <c r="BD103" s="1110"/>
      <c r="BE103" s="1113"/>
      <c r="BF103" s="1113"/>
      <c r="BG103" s="1113"/>
      <c r="BH103" s="1114"/>
      <c r="BI103" s="1052">
        <f>IF(Пт!$X$1=8,Пт!$X$3,0)</f>
        <v>0</v>
      </c>
      <c r="BJ103" s="1115">
        <f>IF(Пт!$X$1=4,Пт!$X$3,0)</f>
        <v>0</v>
      </c>
      <c r="BK103" s="1054"/>
      <c r="BL103" s="1055"/>
      <c r="BM103" s="1055"/>
      <c r="BN103" s="1056"/>
      <c r="BO103" s="1057"/>
      <c r="BP103" s="1116">
        <f>BQ103+P103*2.8+Q103*2.1+R103*3+S103*3+T103*3+U103*2.5+V103*2.1+W103*3+X103*3+BX103+AL103*'Блок ввода'!$D$9+'Раскладка продуктов'!AM103*'Блок ввода'!$D$8+'Раскладка продуктов'!AP103*'Блок ввода'!$D$11+'Раскладка продуктов'!AQ103*'Блок ввода'!$D$12+'Раскладка продуктов'!AX103*'Блок ввода'!$D$13+IF(BZ103&gt;0,50,BY103)</f>
        <v>473.5</v>
      </c>
      <c r="BQ103" s="1059">
        <f>'Блок ввода'!AG216</f>
        <v>60</v>
      </c>
      <c r="BR103" s="766"/>
      <c r="BX103" s="764">
        <f>IF(CA103&gt;0,'Раскладка продуктов'!AK103*'Блок ввода'!$D$5,AK103*'Блок ввода'!$D$4)</f>
        <v>392</v>
      </c>
      <c r="BY103" s="764">
        <f>N103+AN103*'Блок ввода'!$D$7+'Раскладка продуктов'!AO103*'Блок ввода'!$D$10</f>
        <v>21.5</v>
      </c>
      <c r="BZ103" s="765">
        <f>IF('Блок ввода'!R216&lt;4,1,IF('Блок ввода'!R216=9,1,IF('Блок ввода'!R216=10,1,IF('Блок ввода'!R216=11,1,IF('Блок ввода'!R216=5,1,IF('Блок ввода'!R216=6,1,IF('Блок ввода'!R216=7,1,0)))))))</f>
        <v>0</v>
      </c>
      <c r="CA103" s="765">
        <f>IF('Блок ввода'!S216=1,1,0)</f>
        <v>1</v>
      </c>
      <c r="CB103" s="765">
        <f>ОКГУ-P103*5-AN103-AO103-AP103-AY103+IF(AND($N$7=1,N103=0),CF103,IF(N94=0,0,2.5-IF(N7=2,2.5,0)))</f>
        <v>400</v>
      </c>
      <c r="CD103" s="762">
        <f>SUM(O103:X103)*5+SUM(AK103:AP103)</f>
        <v>425</v>
      </c>
      <c r="CF103" s="474">
        <f>IF(AND($N$7=1,N103=0),5,0)</f>
        <v>0</v>
      </c>
      <c r="CG103" s="475"/>
    </row>
    <row r="104" spans="1:101" ht="24" customHeight="1" x14ac:dyDescent="0.2">
      <c r="B104" s="1339"/>
      <c r="C104" s="1346"/>
      <c r="D104" s="1343"/>
      <c r="E104" s="1344"/>
      <c r="F104" s="1302"/>
      <c r="G104" s="1303"/>
      <c r="H104" s="1303"/>
      <c r="I104" s="1303"/>
      <c r="J104" s="1322"/>
      <c r="K104" s="891"/>
      <c r="L104" s="892"/>
      <c r="M104" s="1061"/>
      <c r="N104" s="1191">
        <f>IF('Блок ввода'!E183=4,20,IF('Блок ввода'!E183=16,75,IF('Блок ввода'!E183=24,15,0)))</f>
        <v>0</v>
      </c>
      <c r="O104" s="1117"/>
      <c r="P104" s="1063"/>
      <c r="Q104" s="1065"/>
      <c r="R104" s="1061"/>
      <c r="S104" s="1061"/>
      <c r="T104" s="1061"/>
      <c r="U104" s="1061"/>
      <c r="V104" s="1061"/>
      <c r="W104" s="1066"/>
      <c r="X104" s="1063"/>
      <c r="Y104" s="1065"/>
      <c r="Z104" s="1061"/>
      <c r="AA104" s="1061"/>
      <c r="AB104" s="1061"/>
      <c r="AC104" s="1066"/>
      <c r="AD104" s="1067"/>
      <c r="AE104" s="892"/>
      <c r="AF104" s="899"/>
      <c r="AG104" s="1118"/>
      <c r="AH104" s="1119"/>
      <c r="AI104" s="1061"/>
      <c r="AJ104" s="1066"/>
      <c r="AK104" s="1060"/>
      <c r="AL104" s="1061"/>
      <c r="AM104" s="1061"/>
      <c r="AN104" s="1069"/>
      <c r="AO104" s="1069"/>
      <c r="AP104" s="1066"/>
      <c r="AQ104" s="1067">
        <f>IF(AND('Раскладка продуктов'!$BC$3=1,'Блок ввода'!AC35=1),AO104/2,0)</f>
        <v>0</v>
      </c>
      <c r="AR104" s="1070"/>
      <c r="AS104" s="1061"/>
      <c r="AT104" s="1061"/>
      <c r="AU104" s="1061"/>
      <c r="AV104" s="1061"/>
      <c r="AW104" s="1061"/>
      <c r="AX104" s="892">
        <f>IF('Блок ввода'!E183=24,0.25,0)</f>
        <v>0</v>
      </c>
      <c r="AY104" s="1071"/>
      <c r="AZ104" s="1072"/>
      <c r="BA104" s="1061"/>
      <c r="BB104" s="1061"/>
      <c r="BC104" s="1061">
        <f>IF('Блок ввода'!T216=2,10*1.4,0)</f>
        <v>0</v>
      </c>
      <c r="BD104" s="1061"/>
      <c r="BE104" s="1073"/>
      <c r="BF104" s="1073"/>
      <c r="BG104" s="1073"/>
      <c r="BH104" s="1120"/>
      <c r="BI104" s="1074"/>
      <c r="BJ104" s="1121"/>
      <c r="BK104" s="1076"/>
      <c r="BL104" s="1069"/>
      <c r="BM104" s="1069"/>
      <c r="BN104" s="1062"/>
      <c r="BO104" s="1077"/>
      <c r="BP104" s="1078"/>
      <c r="BQ104" s="1079"/>
      <c r="BR104" s="766"/>
      <c r="BS104" s="768">
        <f>IF(AND('Блок ввода'!E178=30,'Блок ввода'!I178=17),BR106+BS106,IF('Блок ввода'!E178=30,(BR106+BS106+430)+BF106*500/375,BR106+BS106+BF106*500/375))</f>
        <v>1650</v>
      </c>
      <c r="BT104" s="764" t="str">
        <f>IF(AND(BS104 &lt;&gt;1750,BS104 &lt;&gt;1745),"ОКГ в пятницу не соответствует ","")</f>
        <v xml:space="preserve">ОКГ в пятницу не соответствует </v>
      </c>
      <c r="BZ104" s="765"/>
      <c r="CF104" s="475"/>
      <c r="CG104" s="475"/>
    </row>
    <row r="105" spans="1:101" ht="24" customHeight="1" thickBot="1" x14ac:dyDescent="0.25">
      <c r="B105" s="1340"/>
      <c r="C105" s="1347"/>
      <c r="D105" s="1343"/>
      <c r="E105" s="1344"/>
      <c r="F105" s="1323"/>
      <c r="G105" s="1324"/>
      <c r="H105" s="1324"/>
      <c r="I105" s="1324"/>
      <c r="J105" s="1325"/>
      <c r="K105" s="967">
        <v>100</v>
      </c>
      <c r="L105" s="922">
        <f>IF('Блок ввода'!T110=5,100,50)</f>
        <v>50</v>
      </c>
      <c r="M105" s="1080"/>
      <c r="N105" s="1190">
        <f>IF(L105=50,37.5,0)</f>
        <v>37.5</v>
      </c>
      <c r="O105" s="1122"/>
      <c r="P105" s="1082"/>
      <c r="Q105" s="1123"/>
      <c r="R105" s="1080"/>
      <c r="S105" s="1080"/>
      <c r="T105" s="1080"/>
      <c r="U105" s="1080"/>
      <c r="V105" s="1080"/>
      <c r="W105" s="1124"/>
      <c r="X105" s="1082"/>
      <c r="Y105" s="1123"/>
      <c r="Z105" s="1080"/>
      <c r="AA105" s="1080"/>
      <c r="AB105" s="1080"/>
      <c r="AC105" s="1124"/>
      <c r="AD105" s="1125"/>
      <c r="AE105" s="919"/>
      <c r="AF105" s="972"/>
      <c r="AG105" s="1123">
        <f>IF(OR('Блок ввода'!T216&lt;=7,'Блок ввода'!T216=9),30-AG102/2-(BE104)/1.4,0)</f>
        <v>30</v>
      </c>
      <c r="AH105" s="1072">
        <v>1</v>
      </c>
      <c r="AI105" s="1080">
        <f>IF('Блок ввода'!T216=4,20,0)</f>
        <v>0</v>
      </c>
      <c r="AJ105" s="1124"/>
      <c r="AK105" s="1126"/>
      <c r="AL105" s="1080"/>
      <c r="AM105" s="1080"/>
      <c r="AN105" s="1127"/>
      <c r="AO105" s="1127"/>
      <c r="AP105" s="1124"/>
      <c r="AQ105" s="1125">
        <f>AO105*2</f>
        <v>0</v>
      </c>
      <c r="AR105" s="1128"/>
      <c r="AS105" s="1080"/>
      <c r="AT105" s="1080"/>
      <c r="AU105" s="1080"/>
      <c r="AV105" s="1080"/>
      <c r="AW105" s="1080"/>
      <c r="AX105" s="1224">
        <f>IF(AND(L105=50,'Блок ввода'!$Q$114=1),0.125,0)</f>
        <v>0</v>
      </c>
      <c r="AY105" s="1129"/>
      <c r="AZ105" s="1130"/>
      <c r="BA105" s="1080"/>
      <c r="BB105" s="1080"/>
      <c r="BC105" s="1080">
        <f>IF('Блок ввода'!T216=8,(35-AG111/2)*1.4,IF('Блок ввода'!T216=7,4.8,0))</f>
        <v>0</v>
      </c>
      <c r="BD105" s="1131"/>
      <c r="BE105" s="1132"/>
      <c r="BF105" s="1132"/>
      <c r="BG105" s="1132"/>
      <c r="BH105" s="971">
        <f>IF(L105=50,0.5,0)</f>
        <v>0.5</v>
      </c>
      <c r="BI105" s="1133"/>
      <c r="BJ105" s="1134"/>
      <c r="BK105" s="1135">
        <v>100</v>
      </c>
      <c r="BL105" s="1127">
        <v>70</v>
      </c>
      <c r="BM105" s="1127">
        <v>0.6</v>
      </c>
      <c r="BN105" s="1081">
        <v>10</v>
      </c>
      <c r="BO105" s="1136">
        <v>200</v>
      </c>
      <c r="BP105" s="1137">
        <v>250</v>
      </c>
      <c r="BQ105" s="1138"/>
      <c r="BR105" s="766">
        <f>IF('Блок ввода'!A29=TRUE,BR106+BS106-'Блок ввода'!L23,BR106+BS106)</f>
        <v>1650</v>
      </c>
      <c r="BZ105" s="765"/>
      <c r="CF105" s="475"/>
      <c r="CG105" s="475"/>
    </row>
    <row r="106" spans="1:101" s="41" customFormat="1" ht="24" customHeight="1" thickTop="1" thickBot="1" x14ac:dyDescent="0.3">
      <c r="A106" s="228">
        <f>BS104</f>
        <v>1650</v>
      </c>
      <c r="B106" s="1335" t="s">
        <v>27</v>
      </c>
      <c r="C106" s="1336"/>
      <c r="D106" s="1336"/>
      <c r="E106" s="1336"/>
      <c r="F106" s="1336"/>
      <c r="G106" s="1336"/>
      <c r="H106" s="1336"/>
      <c r="I106" s="1336"/>
      <c r="J106" s="1337"/>
      <c r="K106" s="1139">
        <f>SUM(K94:K105)</f>
        <v>300</v>
      </c>
      <c r="L106" s="1140">
        <f>SUM(L94:L105)</f>
        <v>350</v>
      </c>
      <c r="M106" s="1141">
        <f>SUM(M94:M105)</f>
        <v>0</v>
      </c>
      <c r="N106" s="1142">
        <f>N94+N95+N96+(N98+N99+N100+N101)/2+SUM(N103:N105)</f>
        <v>50</v>
      </c>
      <c r="O106" s="1143">
        <f>O94+O95+O96+(O98+O99+O100+O101)/2+SUM(O103:O105)</f>
        <v>0</v>
      </c>
      <c r="P106" s="1144">
        <f t="shared" ref="P106:AD106" si="13">P94+P95+P96+(P98+P99)/2+(P100+P101)/2+SUM(P103:P105)</f>
        <v>0</v>
      </c>
      <c r="Q106" s="1145">
        <f t="shared" si="13"/>
        <v>0</v>
      </c>
      <c r="R106" s="1146">
        <f>R94+R95+R96+(R98+R99)/2+(R100+R101)/2+SUM(R103:R105)+R97</f>
        <v>0</v>
      </c>
      <c r="S106" s="1146">
        <f t="shared" si="13"/>
        <v>81</v>
      </c>
      <c r="T106" s="1146">
        <f t="shared" si="13"/>
        <v>0</v>
      </c>
      <c r="U106" s="1146">
        <f t="shared" si="13"/>
        <v>65.5</v>
      </c>
      <c r="V106" s="1146">
        <f t="shared" si="13"/>
        <v>0</v>
      </c>
      <c r="W106" s="1147">
        <f t="shared" si="13"/>
        <v>0</v>
      </c>
      <c r="X106" s="1143">
        <f t="shared" si="13"/>
        <v>35.5</v>
      </c>
      <c r="Y106" s="1145">
        <f t="shared" si="13"/>
        <v>100</v>
      </c>
      <c r="Z106" s="1146">
        <f t="shared" si="13"/>
        <v>75</v>
      </c>
      <c r="AA106" s="1146">
        <f t="shared" si="13"/>
        <v>0</v>
      </c>
      <c r="AB106" s="1146">
        <f>AB94+AB95+AB96+(AB98+AB99)/2+(AB100+AB101)/2+SUM(AB103:AB105)+AB97</f>
        <v>120</v>
      </c>
      <c r="AC106" s="1147">
        <f t="shared" si="13"/>
        <v>0</v>
      </c>
      <c r="AD106" s="1145">
        <f t="shared" si="13"/>
        <v>0</v>
      </c>
      <c r="AE106" s="988">
        <f>SUM(AE94:AE96)+SUM(AE103:AE105)+AE97+SUM(AE98:AE101)/2</f>
        <v>45</v>
      </c>
      <c r="AF106" s="1149">
        <f>SUM(AF94:AF105)</f>
        <v>30</v>
      </c>
      <c r="AG106" s="1150">
        <f>SUM(AG94:AG105)</f>
        <v>60</v>
      </c>
      <c r="AH106" s="1148">
        <f>SUM(AH94:AH105)</f>
        <v>1</v>
      </c>
      <c r="AI106" s="1148">
        <f>SUM(AI94:AI105)</f>
        <v>20</v>
      </c>
      <c r="AJ106" s="1149">
        <v>20</v>
      </c>
      <c r="AK106" s="1150">
        <f t="shared" ref="AK106:AP106" si="14">AK94+AK97+(AK98+AK99+AK100+AK101)/2+AK103</f>
        <v>560</v>
      </c>
      <c r="AL106" s="1148">
        <f t="shared" si="14"/>
        <v>0</v>
      </c>
      <c r="AM106" s="1148">
        <f t="shared" si="14"/>
        <v>40</v>
      </c>
      <c r="AN106" s="1151">
        <f t="shared" si="14"/>
        <v>55</v>
      </c>
      <c r="AO106" s="1151">
        <f>AO94+AO97+(AO98+AO99+AO100+AO101)/2+AO103+AO102</f>
        <v>50</v>
      </c>
      <c r="AP106" s="1152">
        <f t="shared" si="14"/>
        <v>35</v>
      </c>
      <c r="AQ106" s="1153">
        <f>AQ94+AQ97+(AQ98+AQ99+AQ100+AQ101)/2+AQ103+AQ102</f>
        <v>0</v>
      </c>
      <c r="AR106" s="1151">
        <f>AR94+AR97+(AR98+AR99+AR100+AR101)/2+AR103</f>
        <v>0</v>
      </c>
      <c r="AS106" s="1148">
        <v>6</v>
      </c>
      <c r="AT106" s="1140">
        <v>0.2</v>
      </c>
      <c r="AU106" s="1140">
        <v>0.3</v>
      </c>
      <c r="AV106" s="1140">
        <v>2</v>
      </c>
      <c r="AW106" s="1140">
        <v>0.5</v>
      </c>
      <c r="AX106" s="1225">
        <f>AX94+AX97+(AX98+AX99+AX100+AX101)/2+AX103+AX104+AX96+AX105</f>
        <v>1</v>
      </c>
      <c r="AY106" s="1148">
        <f>AY94+AY97+(AY98+AY99+AY100+AY101)/2+AY103</f>
        <v>0</v>
      </c>
      <c r="AZ106" s="1140">
        <f>AZ94+AZ97+(AZ98+AZ99+AZ100+AZ101)/2+AZ103+AZ102</f>
        <v>50</v>
      </c>
      <c r="BA106" s="1146">
        <f>BA94+BA95+BA96+(BA98+BA99+BA100+BA101)/2+SUM(BA103:BA105)</f>
        <v>0</v>
      </c>
      <c r="BB106" s="1146">
        <f t="shared" ref="BB106:BH106" si="15">BB94+BB95+BB96+(BB98+BB99+BB100+BB101)/2+BB102+SUM(BB103:BB105)</f>
        <v>0</v>
      </c>
      <c r="BC106" s="1146">
        <f t="shared" si="15"/>
        <v>1.5</v>
      </c>
      <c r="BD106" s="1146">
        <f t="shared" si="15"/>
        <v>0</v>
      </c>
      <c r="BE106" s="1146">
        <f t="shared" si="15"/>
        <v>0</v>
      </c>
      <c r="BF106" s="1146">
        <f t="shared" si="15"/>
        <v>0</v>
      </c>
      <c r="BG106" s="1146">
        <f t="shared" si="15"/>
        <v>0</v>
      </c>
      <c r="BH106" s="1154">
        <f t="shared" si="15"/>
        <v>0.5</v>
      </c>
      <c r="BI106" s="1154">
        <f>BI94+BI95+BI96+(BI98+BI99+BI100+BI101)/2+BI102++BI103+BI104+BI105</f>
        <v>0</v>
      </c>
      <c r="BJ106" s="1147">
        <f>BJ94+BJ95+BJ96+(BJ98+BJ99+BJ100+BJ101)/2+BJ102++BJ103+BJ104+BJ105</f>
        <v>0</v>
      </c>
      <c r="BK106" s="1155">
        <f>BK94+BK95+BK96+(BK98+BK99+BK100+BK101)/2+BK102+SUM(BK103:BK105)</f>
        <v>100</v>
      </c>
      <c r="BL106" s="1156">
        <f>BL94+BL95+BL96+(BL98+BL99+BL100+BL101)/2+BL102+SUM(BL103:BL105)</f>
        <v>70</v>
      </c>
      <c r="BM106" s="1156">
        <f>BM94+BM95+BM96+(BM98+BM99+BM100+BM101)/2+BM102+SUM(BM103:BM105)</f>
        <v>0.6</v>
      </c>
      <c r="BN106" s="1156">
        <f>BN94+BN95+BN96+(BN98+BN99+BN100+BN101)/2+BN102+SUM(BN103:BN105)</f>
        <v>10</v>
      </c>
      <c r="BO106" s="1157">
        <f>BO94+BO95+BO96+(BO98+BO99+BO100+BO101)/2+BO102+SUM(BO103:BO105)</f>
        <v>200</v>
      </c>
      <c r="BP106" s="1158"/>
      <c r="BQ106" s="1159"/>
      <c r="BR106" s="764">
        <f>SUM(P106:X106)*5</f>
        <v>910</v>
      </c>
      <c r="BS106" s="770">
        <f>SUM(AK106:AP106)+AY106+BD106+IF('Блок ввода'!E52=17,150-AM97-AO97-AN97,0)-AO102+AO102*2-BD102+BD102*4</f>
        <v>740</v>
      </c>
      <c r="BT106" s="764"/>
      <c r="BU106" s="764"/>
      <c r="BV106" s="764"/>
      <c r="BW106" s="764"/>
      <c r="BX106" s="764"/>
      <c r="BY106" s="764"/>
      <c r="BZ106" s="765"/>
      <c r="CA106" s="765"/>
      <c r="CB106" s="765"/>
      <c r="CC106" s="764"/>
      <c r="CD106" s="765"/>
      <c r="CE106" s="764"/>
      <c r="CF106" s="771"/>
      <c r="CG106" s="771"/>
      <c r="CH106" s="772"/>
      <c r="CI106" s="772"/>
      <c r="CJ106" s="772"/>
      <c r="CK106" s="772"/>
      <c r="CL106" s="772"/>
      <c r="CM106" s="772"/>
      <c r="CN106" s="40"/>
      <c r="CO106" s="40"/>
      <c r="CP106" s="40"/>
      <c r="CQ106" s="40"/>
      <c r="CR106" s="40"/>
      <c r="CS106" s="40"/>
      <c r="CT106" s="40"/>
      <c r="CU106" s="40"/>
      <c r="CV106" s="40"/>
      <c r="CW106" s="40"/>
    </row>
    <row r="107" spans="1:101" ht="24" customHeight="1" x14ac:dyDescent="0.2">
      <c r="B107" s="1338" t="s">
        <v>45</v>
      </c>
      <c r="C107" s="1345">
        <f>C94+1</f>
        <v>40096</v>
      </c>
      <c r="D107" s="1341" t="str">
        <f>CONCATENATE("Завтрак
100%, ОКГ = ",IF(AND('Блок ввода'!B221=1,'Блок ввода'!E188=29),CD107+430,CD107))</f>
        <v>Завтрак
100%, ОКГ = 425</v>
      </c>
      <c r="E107" s="1342"/>
      <c r="F107" s="1300" t="str">
        <f>CONCATENATE('Блок ввода'!G192,'Блок ввода'!L192,'Блок ввода'!N192,'Блок ввода'!O192)</f>
        <v>Мясо отвар. с соусом с кашей гречневой рас, хлеб, масло, сахар, кофе натур. с молоком, яйцо</v>
      </c>
      <c r="G107" s="1301"/>
      <c r="H107" s="1301"/>
      <c r="I107" s="1301"/>
      <c r="J107" s="1321"/>
      <c r="K107" s="1160"/>
      <c r="L107" s="1110"/>
      <c r="M107" s="1110"/>
      <c r="N107" s="1185">
        <v>6.5</v>
      </c>
      <c r="O107" s="1161"/>
      <c r="P107" s="1041">
        <f>IF(OR('Блок ввода'!E188=8,'Блок ввода'!I188=17,'Блок ввода'!I188=18),(ОКГ-N107*5-AN107-AO107-AY107)/5+IF(AND($N$7=1,N107=0),CF107/5,IF(N116=0,0,2.5-IF($N$7=2,2.5,0))),IF('Блок ввода'!E188=12,15,IF('Блок ввода'!I188=7,(ОКГ-N107*5-AN107-AO107-AP107-AY107)/5+IF(AND($N$7=1,N107=0),CF107/5,IF(N116=0,0,2.5/5-IF($N$7=2,2.5/5,0))),0)))</f>
        <v>0</v>
      </c>
      <c r="Q107" s="1160">
        <f>IF('Блок ввода'!S220=8,CB107/5,0)</f>
        <v>85</v>
      </c>
      <c r="R107" s="1110">
        <f>IF('Блок ввода'!S220=9,CB107/5,0)</f>
        <v>0</v>
      </c>
      <c r="S107" s="1110">
        <f>IF('Блок ввода'!S220=11,CB107/5,0)</f>
        <v>0</v>
      </c>
      <c r="T107" s="1110">
        <f>IF('Блок ввода'!S220=12,CB107/5,0)</f>
        <v>0</v>
      </c>
      <c r="U107" s="1110">
        <f>IF('Блок ввода'!S220=10,CB107/5,IF('Блок ввода'!S220=16,CB107/5-V107,0))</f>
        <v>0</v>
      </c>
      <c r="V107" s="1110">
        <f>IF('Блок ввода'!S220=14,CB107/5,IF('Блок ввода'!S220=16,40,0))</f>
        <v>0</v>
      </c>
      <c r="W107" s="1162">
        <f>IF('Блок ввода'!S220=13,CB107/5,0)</f>
        <v>0</v>
      </c>
      <c r="X107" s="1161">
        <f>IF('Блок ввода'!R220=14,CB107/5,IF('Блок ввода'!S220=15,CB107/5,0))</f>
        <v>0</v>
      </c>
      <c r="Y107" s="1163">
        <f>IF('Блок ввода'!R220&lt;19,BW3,0)</f>
        <v>100</v>
      </c>
      <c r="Z107" s="1110">
        <f>IF('Блок ввода'!R220=19,75,0)</f>
        <v>0</v>
      </c>
      <c r="AA107" s="1110"/>
      <c r="AB107" s="1039">
        <f>IF('Блок ввода'!E188=28,0,IF(AND('Блок ввода'!E188&gt;20,'Блок ввода'!E188&lt;=27),IF('Блок ввода'!E188=26,102,IF('Блок ввода'!$AB$38=1,156-AB110*1.3-(AC111+AC112)*1.625/2,120-AB110-(AC111+AC112)/2/0.8)),0))</f>
        <v>0</v>
      </c>
      <c r="AC107" s="1044">
        <f>IF(AND('Блок ввода'!E188=20,OR('Блок ввода'!E108=18,'Блок ввода'!E112=18)),96-(AC111+AC112)/2-AB110*0.8,IF('Блок ввода'!E188=20,96,0))</f>
        <v>0</v>
      </c>
      <c r="AD107" s="1108"/>
      <c r="AE107" s="870">
        <v>19</v>
      </c>
      <c r="AF107" s="873">
        <f>IF(OR('Блок ввода'!E188=21,'Блок ввода'!E188=22,'Блок ввода'!E188=23,'Блок ввода'!E188=24),15,3)</f>
        <v>3</v>
      </c>
      <c r="AG107" s="1163"/>
      <c r="AH107" s="1110"/>
      <c r="AI107" s="1110"/>
      <c r="AJ107" s="1164"/>
      <c r="AK107" s="1160">
        <f>IF('Блок ввода'!R220=7,ОКГ-AL107-AN107-AO107-AY107,IF('Блок ввода'!R220=15,ОКГ-AN107-AO107-AY107,IF('Блок ввода'!S220&lt;5,ОКГ-P107*5-AN107-AO107-AP107-AY107,)))</f>
        <v>0</v>
      </c>
      <c r="AL107" s="1110">
        <f>IF('Блок ввода'!R220=7,200,IF('Блок ввода'!R220=13,450-N107*5-AN107-AO107-AY107,IF('Блок ввода'!S220=5,CB107,0)))</f>
        <v>0</v>
      </c>
      <c r="AM107" s="1110">
        <f>IF('Блок ввода'!S220=6,CB107,0)</f>
        <v>0</v>
      </c>
      <c r="AN107" s="1046"/>
      <c r="AO107" s="1046"/>
      <c r="AP107" s="1164">
        <f>IF('Блок ввода'!R220=6,20,0)</f>
        <v>0</v>
      </c>
      <c r="AQ107" s="1045">
        <f>IF(AND('Раскладка продуктов'!$BC$3=1,'Блок ввода'!AD35=1),AO107*2,0)</f>
        <v>0</v>
      </c>
      <c r="AR107" s="1047">
        <f>IF(AND('Раскладка продуктов'!$BC$3=2,'Блок ввода'!$AD$35=1),AO107/10,0)</f>
        <v>0</v>
      </c>
      <c r="AS107" s="1048"/>
      <c r="AT107" s="1039"/>
      <c r="AU107" s="1039"/>
      <c r="AV107" s="1039"/>
      <c r="AW107" s="1039"/>
      <c r="AX107" s="1039">
        <v>1</v>
      </c>
      <c r="AY107" s="1049"/>
      <c r="AZ107" s="1050">
        <f>IF('Блок ввода'!$A$34&lt;&gt;2,0+IF(Сб!$X$1=5,Сб!$X$3,0),IF('Блок ввода'!N188=9,150+IF(Сб!$X$1=5,Сб!$X$3,0)+IF(OR('Блок ввода'!I188=17,'Блок ввода'!I188=18),200,0),IF(OR('Блок ввода'!I188=17,'Блок ввода'!I188=18),200+IF(Сб!$X$1=5,Сб!$X$3,0),0+IF(Сб!$X$1=5,Сб!$X$3,50))))</f>
        <v>50</v>
      </c>
      <c r="BA107" s="1039">
        <f>IF('Блок ввода'!$A$34=2,0,BT107)</f>
        <v>0</v>
      </c>
      <c r="BB107" s="1039"/>
      <c r="BC107" s="1039"/>
      <c r="BD107" s="1039"/>
      <c r="BE107" s="1051"/>
      <c r="BF107" s="1051"/>
      <c r="BG107" s="1051">
        <f>IF('Блок ввода'!E188=30,265,0)</f>
        <v>0</v>
      </c>
      <c r="BH107" s="1051"/>
      <c r="BI107" s="1052">
        <f>IF(Сб!$X$1=7,Сб!$X$3,0)</f>
        <v>0</v>
      </c>
      <c r="BJ107" s="1053">
        <f>IF(Сб!$X$1=3,Сб!$X$3,0)</f>
        <v>0</v>
      </c>
      <c r="BK107" s="1165"/>
      <c r="BL107" s="1166"/>
      <c r="BM107" s="1166"/>
      <c r="BN107" s="1167"/>
      <c r="BO107" s="1168"/>
      <c r="BP107" s="1058">
        <f>BQ107+P107*2.8+Q107*2.1+R107*3+S107*2.5+T107*3+U107*2.5+V107*2.1+W107*3+X107*3+BX107+AL107*'Блок ввода'!$D$9+'Раскладка продуктов'!AM107*'Блок ввода'!$D$8+'Раскладка продуктов'!AP107*'Блок ввода'!$D$11+'Раскладка продуктов'!AQ107*'Блок ввода'!$D$12+'Раскладка продуктов'!AX107*'Блок ввода'!$D$13+0.5*AD107+IF(BZ107&gt;0,50,BY107)+IF(BG107=265,198,0)</f>
        <v>274.5</v>
      </c>
      <c r="BQ107" s="1059">
        <f>IF(BG107=265,47,'Блок ввода'!AG220)</f>
        <v>46</v>
      </c>
      <c r="BR107" s="766"/>
      <c r="BT107" s="762">
        <f>IF(OR('Блок ввода'!I188=17,'Блок ввода'!N188=9),IF('Блок ввода'!$A$34=3,BU107*15/100,BU107/5),0)</f>
        <v>0</v>
      </c>
      <c r="BU107" s="762">
        <f>IF('Блок ввода'!N188=9,150+IF('Блок ввода'!I188=17,200,0),IF('Блок ввода'!I188=17,200,0))</f>
        <v>0</v>
      </c>
      <c r="BX107" s="764">
        <f>IF(CA107&gt;0,'Раскладка продуктов'!AK107*'Блок ввода'!$D$5,AK107*'Блок ввода'!$D$4)</f>
        <v>0</v>
      </c>
      <c r="BY107" s="764">
        <f>N107+AN107*'Блок ввода'!$D$7+'Раскладка продуктов'!AO107*'Блок ввода'!$D$10</f>
        <v>6.5</v>
      </c>
      <c r="BZ107" s="765">
        <f>IF('Блок ввода'!E188&lt;4,1,IF('Блок ввода'!E188=9,1,IF('Блок ввода'!E188=10,1,IF('Блок ввода'!E188=11,1,IF('Блок ввода'!E188=5,1,IF('Блок ввода'!E188=6,1,IF('Блок ввода'!E188=7,1,0)))))))</f>
        <v>1</v>
      </c>
      <c r="CA107" s="765">
        <f>IF('Блок ввода'!S220=1,1,0)</f>
        <v>0</v>
      </c>
      <c r="CB107" s="762">
        <f>IF('Блок ввода'!A30=TRUE,ОКГ-P107*5-AN107-AO107-AP107-AY107+IF(AND($N$7=1,N107=0),CF107,IF(N116=0,0,2.5-IF(N7=2,2.5,0))),ОКГ-P107*5-AN107-AO107-AP107-AY107+IF(AND($N$7=1,N107=0),CF107,IF(N116=0,0,2.5-IF(N7=2,2.5,0))))</f>
        <v>425</v>
      </c>
      <c r="CC107" s="764">
        <f>CB107+N107*5+AN107+AO107</f>
        <v>457.5</v>
      </c>
      <c r="CD107" s="762">
        <f>SUM(O107:X107)*5+SUM(AK107:AP107)+IF(BG107=265,430,0)</f>
        <v>425</v>
      </c>
      <c r="CE107" s="764">
        <f>IF('Блок ввода'!I188=17,1,0)</f>
        <v>0</v>
      </c>
      <c r="CF107" s="474">
        <f>IF(AND($N$7=1,N107=0),5,0)</f>
        <v>0</v>
      </c>
      <c r="CG107" s="475"/>
    </row>
    <row r="108" spans="1:101" ht="24" customHeight="1" x14ac:dyDescent="0.2">
      <c r="B108" s="1339"/>
      <c r="C108" s="1346"/>
      <c r="D108" s="1343"/>
      <c r="E108" s="1344"/>
      <c r="F108" s="1302"/>
      <c r="G108" s="1303"/>
      <c r="H108" s="1303"/>
      <c r="I108" s="1303"/>
      <c r="J108" s="1322"/>
      <c r="K108" s="1060"/>
      <c r="L108" s="1061"/>
      <c r="M108" s="1061"/>
      <c r="N108" s="1186">
        <f>IF('Блок ввода'!E220=4,20,IF('Блок ввода'!E220=16,75,IF('Блок ввода'!E220=24,20,0)))</f>
        <v>0</v>
      </c>
      <c r="O108" s="1063"/>
      <c r="P108" s="1064"/>
      <c r="Q108" s="1065"/>
      <c r="R108" s="1061"/>
      <c r="S108" s="1061"/>
      <c r="T108" s="1061"/>
      <c r="U108" s="1061"/>
      <c r="V108" s="1061"/>
      <c r="W108" s="1066"/>
      <c r="X108" s="1063"/>
      <c r="Y108" s="1065"/>
      <c r="Z108" s="1061"/>
      <c r="AA108" s="1061"/>
      <c r="AB108" s="1061"/>
      <c r="AC108" s="1066"/>
      <c r="AD108" s="1067"/>
      <c r="AE108" s="892"/>
      <c r="AF108" s="899"/>
      <c r="AG108" s="1065"/>
      <c r="AH108" s="1061"/>
      <c r="AI108" s="1061"/>
      <c r="AJ108" s="1066"/>
      <c r="AK108" s="1060"/>
      <c r="AL108" s="1061"/>
      <c r="AM108" s="1061"/>
      <c r="AN108" s="1069"/>
      <c r="AO108" s="1069"/>
      <c r="AP108" s="1066"/>
      <c r="AQ108" s="1067">
        <f>IF(AND('Раскладка продуктов'!$BC$3=1,'Блок ввода'!AD35=1),AO108/2,0)</f>
        <v>0</v>
      </c>
      <c r="AR108" s="1070"/>
      <c r="AS108" s="1061"/>
      <c r="AT108" s="1061"/>
      <c r="AU108" s="1061"/>
      <c r="AV108" s="1061"/>
      <c r="AW108" s="1061"/>
      <c r="AX108" s="1061"/>
      <c r="AY108" s="1071"/>
      <c r="AZ108" s="1072"/>
      <c r="BA108" s="1061"/>
      <c r="BB108" s="1061"/>
      <c r="BC108" s="1061">
        <f>IF('Блок ввода'!T220=2,10*1.4,0)</f>
        <v>0</v>
      </c>
      <c r="BD108" s="1061"/>
      <c r="BE108" s="1073"/>
      <c r="BF108" s="1073"/>
      <c r="BG108" s="1073"/>
      <c r="BH108" s="1073"/>
      <c r="BI108" s="1074"/>
      <c r="BJ108" s="1075"/>
      <c r="BK108" s="1076"/>
      <c r="BL108" s="1069"/>
      <c r="BM108" s="1069"/>
      <c r="BN108" s="1062"/>
      <c r="BO108" s="1077"/>
      <c r="BP108" s="1078"/>
      <c r="BQ108" s="1079"/>
      <c r="BR108" s="766"/>
      <c r="BY108" s="764">
        <f>N108+AN108*'Блок ввода'!D93+'Раскладка продуктов'!AO108*'Блок ввода'!D96</f>
        <v>0</v>
      </c>
      <c r="BZ108" s="765"/>
      <c r="CF108" s="475"/>
      <c r="CG108" s="475"/>
    </row>
    <row r="109" spans="1:101" ht="24" customHeight="1" thickBot="1" x14ac:dyDescent="0.25">
      <c r="B109" s="1339"/>
      <c r="C109" s="1346"/>
      <c r="D109" s="1343"/>
      <c r="E109" s="1344"/>
      <c r="F109" s="1323"/>
      <c r="G109" s="1324"/>
      <c r="H109" s="1324"/>
      <c r="I109" s="1324"/>
      <c r="J109" s="1325"/>
      <c r="K109" s="911">
        <v>100</v>
      </c>
      <c r="L109" s="912">
        <v>150</v>
      </c>
      <c r="M109" s="1080"/>
      <c r="N109" s="1187">
        <v>0</v>
      </c>
      <c r="O109" s="1082"/>
      <c r="P109" s="1064"/>
      <c r="Q109" s="1065"/>
      <c r="R109" s="1061"/>
      <c r="S109" s="1061"/>
      <c r="T109" s="1061"/>
      <c r="U109" s="1061"/>
      <c r="V109" s="1061"/>
      <c r="W109" s="1066"/>
      <c r="X109" s="1063"/>
      <c r="Y109" s="1065"/>
      <c r="Z109" s="1061"/>
      <c r="AA109" s="1061"/>
      <c r="AB109" s="1061"/>
      <c r="AC109" s="1066"/>
      <c r="AD109" s="1067"/>
      <c r="AE109" s="892"/>
      <c r="AF109" s="899"/>
      <c r="AG109" s="1065">
        <f>IF(OR('Блок ввода'!T220&lt;=7,'Блок ввода'!T220=9),30-AG115/2-(BC108)/2.8,0)</f>
        <v>30</v>
      </c>
      <c r="AH109" s="1072"/>
      <c r="AI109" s="1061">
        <f>IF('Блок ввода'!T220=4,20,0)</f>
        <v>0</v>
      </c>
      <c r="AJ109" s="1066"/>
      <c r="AK109" s="1060"/>
      <c r="AL109" s="1061"/>
      <c r="AM109" s="1061"/>
      <c r="AN109" s="1069"/>
      <c r="AO109" s="1069"/>
      <c r="AP109" s="1066"/>
      <c r="AQ109" s="1125">
        <f>IF(AND('Раскладка продуктов'!$BC$3=1,'Блок ввода'!AD35=1),AO109/2,0)</f>
        <v>0</v>
      </c>
      <c r="AR109" s="1128"/>
      <c r="AS109" s="1080"/>
      <c r="AT109" s="1080"/>
      <c r="AU109" s="1080"/>
      <c r="AV109" s="1080"/>
      <c r="AW109" s="1080"/>
      <c r="AX109" s="920">
        <f>IF('Блок ввода'!N188=1,0.25,0)</f>
        <v>0</v>
      </c>
      <c r="AY109" s="1129"/>
      <c r="AZ109" s="1130"/>
      <c r="BA109" s="1080"/>
      <c r="BB109" s="1080"/>
      <c r="BC109" s="1080">
        <v>1.5</v>
      </c>
      <c r="BD109" s="1080"/>
      <c r="BE109" s="1131"/>
      <c r="BF109" s="1131"/>
      <c r="BG109" s="1131"/>
      <c r="BH109" s="1080">
        <f>IF('Блок ввода'!$B$223=1,O109/37.5/2,O109/37.5)</f>
        <v>0</v>
      </c>
      <c r="BI109" s="1169"/>
      <c r="BJ109" s="1170"/>
      <c r="BK109" s="1104"/>
      <c r="BL109" s="1102"/>
      <c r="BM109" s="1102"/>
      <c r="BN109" s="1097"/>
      <c r="BO109" s="1105"/>
      <c r="BP109" s="1078">
        <v>250</v>
      </c>
      <c r="BQ109" s="1079"/>
      <c r="BR109" s="766"/>
      <c r="BY109" s="764">
        <f>N109+AN109*'Блок ввода'!D94+'Раскладка продуктов'!AO109*'Блок ввода'!D97</f>
        <v>0</v>
      </c>
      <c r="BZ109" s="765"/>
      <c r="CF109" s="475"/>
      <c r="CG109" s="475"/>
    </row>
    <row r="110" spans="1:101" ht="24" customHeight="1" x14ac:dyDescent="0.2">
      <c r="B110" s="1339"/>
      <c r="C110" s="1346"/>
      <c r="D110" s="1379" t="str">
        <f>CONCATENATE("О б е д, ОКГ = ",CD113)</f>
        <v>О б е д, ОКГ = 820</v>
      </c>
      <c r="E110" s="483" t="s">
        <v>228</v>
      </c>
      <c r="F110" s="1332" t="str">
        <f>'Блок ввода'!G57</f>
        <v>Салат из свежих помидоров</v>
      </c>
      <c r="G110" s="1333"/>
      <c r="H110" s="1333"/>
      <c r="I110" s="1333"/>
      <c r="J110" s="1334"/>
      <c r="K110" s="869"/>
      <c r="L110" s="870"/>
      <c r="M110" s="1039"/>
      <c r="N110" s="1188">
        <v>0</v>
      </c>
      <c r="O110" s="1040"/>
      <c r="P110" s="1040"/>
      <c r="Q110" s="1043"/>
      <c r="R110" s="1039">
        <f>IF('Блок ввода'!R223=2,5,IF('Блок ввода'!R223=12,5,0))</f>
        <v>0</v>
      </c>
      <c r="S110" s="1039"/>
      <c r="T110" s="1039"/>
      <c r="U110" s="1039"/>
      <c r="V110" s="1039"/>
      <c r="W110" s="1044"/>
      <c r="X110" s="1040"/>
      <c r="Y110" s="1043"/>
      <c r="Z110" s="1039"/>
      <c r="AA110" s="1039"/>
      <c r="AB110" s="1039">
        <f>IF('Блок ввода'!E55=16,30,0)</f>
        <v>0</v>
      </c>
      <c r="AC110" s="1044"/>
      <c r="AD110" s="1045"/>
      <c r="AE110" s="870"/>
      <c r="AF110" s="873">
        <f>30-AF116-AF107</f>
        <v>12</v>
      </c>
      <c r="AG110" s="1043"/>
      <c r="AH110" s="1039"/>
      <c r="AI110" s="1039"/>
      <c r="AJ110" s="1044"/>
      <c r="AK110" s="1038">
        <f>IF('Блок ввода'!E55=17,0,150-P110*5-R110*5-AL110-AM110-AN110-AO110-AP110-AY110)</f>
        <v>0</v>
      </c>
      <c r="AL110" s="1039">
        <f>IF('Блок ввода'!R223=2,20,IF('Блок ввода'!R223=5,150-AN110-AO110-AY110,IF('Блок ввода'!R223=8,20,0)))</f>
        <v>0</v>
      </c>
      <c r="AM110" s="1039">
        <f>IF(OR('Блок ввода'!R223=1,'Блок ввода'!R223=16),40,IF('Блок ввода'!R223=2,20,IF('Блок ввода'!R223=6,150-AN110-AO110-AY110,IF('Блок ввода'!R223=7,150-AN110-AO110-AY110,IF('Блок ввода'!R223=17,(150-AO110-AN110)*375/500,IF('Блок ввода'!R223&gt;10,150-R110*5-AN110-AO110-AP110-AY110,0))))))</f>
        <v>0</v>
      </c>
      <c r="AN110" s="1055">
        <f>IF('Блок ввода'!R223=20,150-AO110,10)</f>
        <v>10</v>
      </c>
      <c r="AO110" s="1046">
        <v>10</v>
      </c>
      <c r="AP110" s="1044">
        <f>IF(OR('Блок ввода'!R223&lt;3,'Блок ввода'!R223=16),25,IF('Блок ввода'!R223=4,45,IF(OR('Блок ввода'!R223=9,'Блок ввода'!R223=15,'Блок ввода'!R223=18,'Блок ввода'!R223=19,'Блок ввода'!R223=21),150-AN110-AO110-AY110,IF('Блок ввода'!R223=10,150-AN110-AO110-AY110,IF('Блок ввода'!R223=12,55,IF('Блок ввода'!R223=13,40,0))))))</f>
        <v>130</v>
      </c>
      <c r="AQ110" s="1045">
        <f>IF(AND('Раскладка продуктов'!$BC$3=1,'Блок ввода'!AD35=1),AO110*2,0)</f>
        <v>0</v>
      </c>
      <c r="AR110" s="1047">
        <f>IF(AND('Раскладка продуктов'!$BC$3=2,'Блок ввода'!$AD$35=1),AO110/10,0)</f>
        <v>0</v>
      </c>
      <c r="AS110" s="1039"/>
      <c r="AT110" s="1039"/>
      <c r="AU110" s="1039"/>
      <c r="AV110" s="1039"/>
      <c r="AW110" s="1039"/>
      <c r="AX110" s="1039"/>
      <c r="AY110" s="1049"/>
      <c r="AZ110" s="1050"/>
      <c r="BA110" s="1039"/>
      <c r="BB110" s="1039"/>
      <c r="BC110" s="1039"/>
      <c r="BD110" s="1039"/>
      <c r="BE110" s="1051"/>
      <c r="BF110" s="1051"/>
      <c r="BG110" s="1051"/>
      <c r="BH110" s="1051"/>
      <c r="BI110" s="1052"/>
      <c r="BJ110" s="1053"/>
      <c r="BK110" s="1054"/>
      <c r="BL110" s="1055"/>
      <c r="BM110" s="1055"/>
      <c r="BN110" s="1056"/>
      <c r="BO110" s="1057"/>
      <c r="BP110" s="1093">
        <f>IF('Блок ввода'!E56=17,('Раскладка продуктов'!AM110+'Раскладка продуктов'!AF110+'Раскладка продуктов'!AN110/2+'Раскладка продуктов'!AO110*0.84),(AK110*'Блок ввода'!$D$4+AL110*'Блок ввода'!$D$9+AM110*'Блок ввода'!$D$8+AN110/2+AO110*0.84+AP110/10*9+AX110/10*8+AF110))</f>
        <v>142.4</v>
      </c>
      <c r="BQ110" s="1059"/>
      <c r="BR110" s="766"/>
      <c r="BZ110" s="765"/>
      <c r="CB110" s="765">
        <f>SUM(AK110:AP110)+R110*5</f>
        <v>150</v>
      </c>
      <c r="CF110" s="475"/>
      <c r="CG110" s="475"/>
    </row>
    <row r="111" spans="1:101" ht="24" customHeight="1" x14ac:dyDescent="0.2">
      <c r="B111" s="1339"/>
      <c r="C111" s="1346"/>
      <c r="D111" s="1380"/>
      <c r="E111" s="484" t="s">
        <v>229</v>
      </c>
      <c r="F111" s="1319" t="str">
        <f>'Блок ввода'!G111</f>
        <v>Щи из кваш.капусты с крупой</v>
      </c>
      <c r="G111" s="1320"/>
      <c r="H111" s="1320"/>
      <c r="I111" s="1320"/>
      <c r="J111" s="1320"/>
      <c r="K111" s="891"/>
      <c r="L111" s="892"/>
      <c r="M111" s="1061"/>
      <c r="N111" s="1189">
        <v>2</v>
      </c>
      <c r="O111" s="1063"/>
      <c r="P111" s="1063">
        <f>IF('Блок ввода'!R224=14,20,IF('Блок ввода'!R224=22,55-(AN111+AO111)/5,0))</f>
        <v>0</v>
      </c>
      <c r="Q111" s="1065">
        <f>IF('Блок ввода'!R224=15,20,IF('Блок ввода'!R224=23,60-N111-(AN111+AO111)/5-AQ111-AR111*2,0))</f>
        <v>0</v>
      </c>
      <c r="R111" s="1061">
        <f>IF('Блок ввода'!R224=8,20,0)</f>
        <v>0</v>
      </c>
      <c r="S111" s="1061">
        <f>IF('Блок ввода'!R224=16,20,0)</f>
        <v>0</v>
      </c>
      <c r="T111" s="1061">
        <f>IF('Блок ввода'!R224=17,20,0)</f>
        <v>0</v>
      </c>
      <c r="U111" s="1061">
        <f>IF('Блок ввода'!R224=4,15,IF('Блок ввода'!R224=19,30,0))</f>
        <v>15</v>
      </c>
      <c r="V111" s="1061">
        <f>IF('Блок ввода'!R224=3,20,IF('Блок ввода'!R224=12,25,0))</f>
        <v>0</v>
      </c>
      <c r="W111" s="1066"/>
      <c r="X111" s="1063">
        <f>IF('Блок ввода'!R224=13,25,IF('Блок ввода'!R224=21,55-(AN111+AO111)/5-AQ111-AR111*2,0))</f>
        <v>0</v>
      </c>
      <c r="Y111" s="1065"/>
      <c r="Z111" s="1061"/>
      <c r="AA111" s="1061"/>
      <c r="AB111" s="1061"/>
      <c r="AC111" s="1068">
        <f>IF('Блок ввода'!E108=18,12,0)</f>
        <v>0</v>
      </c>
      <c r="AD111" s="1067"/>
      <c r="AE111" s="892"/>
      <c r="AF111" s="899"/>
      <c r="AG111" s="1065"/>
      <c r="AH111" s="1061"/>
      <c r="AI111" s="1061"/>
      <c r="AJ111" s="1066"/>
      <c r="AK111" s="1060">
        <f>IF('Блок ввода'!E108=24,0,ОКГП-(SUM(P111:X111,0))*5-AL111-AM111-AN111-AO111-AP111-AY111)</f>
        <v>65</v>
      </c>
      <c r="AL111" s="1061">
        <f>IF('Блок ввода'!R224&lt;3,140,IF('Блок ввода'!R224=3,90,IF('Блок ввода'!R224=4,115,IF('Блок ввода'!R224=5,80,IF('Блок ввода'!R224=9,90,0)))))</f>
        <v>115</v>
      </c>
      <c r="AM111" s="1061">
        <f>IF('Блок ввода'!R224=5,60,IF('Блок ввода'!R224=6,60,IF('Блок ввода'!R224=20,120,0)))</f>
        <v>0</v>
      </c>
      <c r="AN111" s="1094">
        <v>10</v>
      </c>
      <c r="AO111" s="1094">
        <v>10</v>
      </c>
      <c r="AP111" s="1066">
        <f>IF('Блок ввода'!R224=6,80,IF('Блок ввода'!R224=7,50,IF('Блок ввода'!R224=8,50,IF('Блок ввода'!R224=9,50,IF('Блок ввода'!R224=11,105,IF('Блок ввода'!R224=19,5,IF('Блок ввода'!R224=20,70,0)))))))</f>
        <v>0</v>
      </c>
      <c r="AQ111" s="1067">
        <f>IF(AND('Раскладка продуктов'!$BC$3=1,'Блок ввода'!AD35=1),AO111*2,0)</f>
        <v>0</v>
      </c>
      <c r="AR111" s="1070">
        <f>IF(AND('Раскладка продуктов'!$BC$3=2,'Блок ввода'!$AD$35=1),AO111/10,0)</f>
        <v>0</v>
      </c>
      <c r="AS111" s="1061"/>
      <c r="AT111" s="1061"/>
      <c r="AU111" s="1061"/>
      <c r="AV111" s="1061"/>
      <c r="AW111" s="1061"/>
      <c r="AX111" s="1072">
        <f>IF('Блок ввода'!R224=20,0.5,0)</f>
        <v>0</v>
      </c>
      <c r="AY111" s="1071"/>
      <c r="AZ111" s="1072">
        <f>IF('Блок ввода'!$A$34&lt;&gt;2,0,IF(OR('Блок ввода'!E108=21,'Блок ввода'!E108=22,'Блок ввода'!E108=23),('Блок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0</v>
      </c>
      <c r="BA111" s="1061">
        <f>IF('Блок ввода'!$A$34=2,0,BT111)</f>
        <v>0</v>
      </c>
      <c r="BB111" s="1061"/>
      <c r="BC111" s="1061"/>
      <c r="BD111" s="1061"/>
      <c r="BE111" s="1073"/>
      <c r="BF111" s="1073">
        <f>IF('Блок ввода'!E112=24,(300-'Раскладка продуктов'!N111*5-'Раскладка продуктов'!AN111-'Раскладка продуктов'!AO111)*375/500,0)</f>
        <v>0</v>
      </c>
      <c r="BG111" s="1073"/>
      <c r="BH111" s="1073"/>
      <c r="BI111" s="1074"/>
      <c r="BJ111" s="1075"/>
      <c r="BK111" s="1076"/>
      <c r="BL111" s="1069"/>
      <c r="BM111" s="1069"/>
      <c r="BN111" s="1062"/>
      <c r="BO111" s="1077"/>
      <c r="BP111" s="909">
        <f>IF($BP$1=1,550,500)</f>
        <v>550</v>
      </c>
      <c r="BQ111" s="1079"/>
      <c r="BR111" s="766"/>
      <c r="BT111" s="764">
        <f>IF('Блок ввода'!E108&gt;20,IF('Блок ввода'!A34=3,BU111*15/100,BU111/5),0)</f>
        <v>0</v>
      </c>
      <c r="BU111" s="764">
        <f>IF(OR('Блок ввода'!E108=21,'Блок ввода'!E108=22,'Блок ввода'!E108=23),('Блок ввода'!$L$34-$AZ$34-$AZ$47-$AZ$60-$AZ$73-$AZ$103-$AZ$116-$AZ$129-$AZ$25-$AZ$38-$AZ$51-$AZ$64-$AZ$94-$AZ$107-$AZ$120)/2,0)</f>
        <v>0</v>
      </c>
      <c r="BZ111" s="765"/>
      <c r="CB111" s="765">
        <f>SUM(N111:X111)*5+SUM(AK111:AP111)+BF111*500/375</f>
        <v>285</v>
      </c>
      <c r="CF111" s="475"/>
      <c r="CG111" s="475"/>
    </row>
    <row r="112" spans="1:101" ht="24" customHeight="1" x14ac:dyDescent="0.2">
      <c r="B112" s="1339"/>
      <c r="C112" s="1346"/>
      <c r="D112" s="1380"/>
      <c r="E112" s="484" t="s">
        <v>229</v>
      </c>
      <c r="F112" s="1319" t="str">
        <f>'Блок ввода'!G115</f>
        <v>Щи из кваш.капусты с картофелем</v>
      </c>
      <c r="G112" s="1320"/>
      <c r="H112" s="1320"/>
      <c r="I112" s="1320"/>
      <c r="J112" s="1320"/>
      <c r="K112" s="891"/>
      <c r="L112" s="892"/>
      <c r="M112" s="1061"/>
      <c r="N112" s="1189">
        <v>2</v>
      </c>
      <c r="O112" s="1063"/>
      <c r="P112" s="1063">
        <f>IF('Блок ввода'!R225=14,20,IF('Блок ввода'!R225=22,55-(AN112+AO112)/5,0))</f>
        <v>0</v>
      </c>
      <c r="Q112" s="1065">
        <f>IF('Блок ввода'!R225=15,20,IF('Блок ввода'!R225=23,60-N112-(AN112+AO112)/5-AQ112-AR112*2,0))</f>
        <v>0</v>
      </c>
      <c r="R112" s="1061">
        <f>IF('Блок ввода'!R225=8,20,0)</f>
        <v>0</v>
      </c>
      <c r="S112" s="1061">
        <f>IF('Блок ввода'!R225=16,20,0)</f>
        <v>0</v>
      </c>
      <c r="T112" s="1061">
        <f>IF('Блок ввода'!R225=17,20,0)</f>
        <v>0</v>
      </c>
      <c r="U112" s="1061">
        <f>IF('Блок ввода'!R225=4,15,IF('Блок ввода'!R225=19,30,0))</f>
        <v>0</v>
      </c>
      <c r="V112" s="1061">
        <f>IF('Блок ввода'!R225=3,20,IF('Блок ввода'!R225=12,25,0))</f>
        <v>0</v>
      </c>
      <c r="W112" s="1066"/>
      <c r="X112" s="1063">
        <f>IF('Блок ввода'!R225=13,25,IF('Блок ввода'!R225=21,55-(AN112+AO112)/5-AQ112-AR112*2,0))</f>
        <v>0</v>
      </c>
      <c r="Y112" s="1065"/>
      <c r="Z112" s="1061"/>
      <c r="AA112" s="1061"/>
      <c r="AB112" s="1095"/>
      <c r="AC112" s="1068">
        <f>IF('Блок ввода'!E112=18,12,0)</f>
        <v>0</v>
      </c>
      <c r="AD112" s="1067"/>
      <c r="AE112" s="892">
        <v>4</v>
      </c>
      <c r="AF112" s="899"/>
      <c r="AG112" s="1065"/>
      <c r="AH112" s="1061"/>
      <c r="AI112" s="1061"/>
      <c r="AJ112" s="1066"/>
      <c r="AK112" s="1060">
        <f>IF('Блок ввода'!E112=24,0,ОКГП-(SUM(P112:X112))*5-AL112-AM112-AN112-AO112-AP112-AY112)</f>
        <v>115</v>
      </c>
      <c r="AL112" s="1061">
        <f>IF('Блок ввода'!R225&lt;3,140,IF('Блок ввода'!R225=3,90,IF('Блок ввода'!R225=4,115,IF('Блок ввода'!R225=5,80,IF('Блок ввода'!R225=9,90,0)))))</f>
        <v>140</v>
      </c>
      <c r="AM112" s="1061">
        <f>IF('Блок ввода'!R225=5,60,IF('Блок ввода'!R225=6,60,IF('Блок ввода'!R225=20,120,0)))</f>
        <v>0</v>
      </c>
      <c r="AN112" s="1094">
        <v>10</v>
      </c>
      <c r="AO112" s="1094">
        <v>10</v>
      </c>
      <c r="AP112" s="1066">
        <f>IF('Блок ввода'!R225=6,80,IF('Блок ввода'!R225=7,50,IF('Блок ввода'!R225=8,50,IF('Блок ввода'!R225=9,50,IF('Блок ввода'!R225=11,105,IF('Блок ввода'!R225=19,5,IF('Блок ввода'!R225=20,70,0)))))))</f>
        <v>0</v>
      </c>
      <c r="AQ112" s="1067">
        <f>IF(AND('Раскладка продуктов'!$BC$3=1,'Блок ввода'!AD35=1),AO112*2,0)</f>
        <v>0</v>
      </c>
      <c r="AR112" s="1070">
        <f>IF(AND('Раскладка продуктов'!$BC$3=2,'Блок ввода'!$AD$35=1),AO112/10,0)</f>
        <v>0</v>
      </c>
      <c r="AS112" s="1061"/>
      <c r="AT112" s="1061"/>
      <c r="AU112" s="1061"/>
      <c r="AV112" s="1061"/>
      <c r="AW112" s="1061"/>
      <c r="AX112" s="1072">
        <f>IF('Блок ввода'!R225=20,0.5,0)</f>
        <v>0</v>
      </c>
      <c r="AY112" s="1071"/>
      <c r="AZ112" s="1072">
        <f>IF('Блок ввода'!$A$34&lt;&gt;2,0,IF(OR('Блок ввода'!E112=21,'Блок ввода'!E112=22,'Блок ввода'!E112=23),('Блок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0</v>
      </c>
      <c r="BA112" s="1061">
        <f>IF('Блок ввода'!$A$34=2,0,BT112)</f>
        <v>0</v>
      </c>
      <c r="BB112" s="1061"/>
      <c r="BC112" s="1061"/>
      <c r="BD112" s="1061"/>
      <c r="BE112" s="1073"/>
      <c r="BF112" s="1073">
        <f>IF('Блок ввода'!E116=24,(300-'Раскладка продуктов'!N112*5-'Раскладка продуктов'!AN112-'Раскладка продуктов'!AO112)*375/500,0)</f>
        <v>0</v>
      </c>
      <c r="BG112" s="1073"/>
      <c r="BH112" s="1073"/>
      <c r="BI112" s="1074"/>
      <c r="BJ112" s="1075"/>
      <c r="BK112" s="1076"/>
      <c r="BL112" s="1069"/>
      <c r="BM112" s="1069"/>
      <c r="BN112" s="1062"/>
      <c r="BO112" s="1077"/>
      <c r="BP112" s="909">
        <f>IF($BP$1=1,550,500)</f>
        <v>550</v>
      </c>
      <c r="BQ112" s="1096"/>
      <c r="BR112" s="766"/>
      <c r="BT112" s="764">
        <f>IF('Блок ввода'!E112&gt;20,IF('Блок ввода'!A34=3,BU112*15/100,BU112/5),0)</f>
        <v>0</v>
      </c>
      <c r="BU112" s="764">
        <f>IF(OR('Блок ввода'!E112=21,'Блок ввода'!E112=22,'Блок ввода'!E112=23),('Блок ввода'!$L$34-$AZ$34-$AZ$47-$AZ$60-$AZ$73-$AZ$103-$AZ$116-$AZ$129-$AZ$25-$AZ$38-$AZ$51-$AZ$64-$AZ$94-$AZ$107-$AZ$120)/2,0)</f>
        <v>0</v>
      </c>
      <c r="BZ112" s="765"/>
      <c r="CB112" s="765">
        <f>SUM(N112:X112)*5+SUM(AK112:AP112)+BF112*500/375</f>
        <v>285</v>
      </c>
      <c r="CF112" s="475"/>
      <c r="CG112" s="475"/>
    </row>
    <row r="113" spans="1:101" ht="24" customHeight="1" x14ac:dyDescent="0.2">
      <c r="B113" s="1339"/>
      <c r="C113" s="1346"/>
      <c r="D113" s="1380"/>
      <c r="E113" s="484" t="s">
        <v>230</v>
      </c>
      <c r="F113" s="1319" t="str">
        <f>CONCATENATE('Блок ввода'!Y227,'Блок ввода'!AA227)</f>
        <v xml:space="preserve">  Куры отварные с соусом  с кашей комбинированной,  </v>
      </c>
      <c r="G113" s="1320"/>
      <c r="H113" s="1320"/>
      <c r="I113" s="1320"/>
      <c r="J113" s="1348"/>
      <c r="K113" s="891"/>
      <c r="L113" s="892"/>
      <c r="M113" s="1061"/>
      <c r="N113" s="1189">
        <v>2</v>
      </c>
      <c r="O113" s="1063">
        <f>IF('Блок ввода'!R226=4,20,IF('Блок ввода'!R226=16,75,IF('Блок ввода'!R226=24,20,0)))</f>
        <v>0</v>
      </c>
      <c r="P113" s="1063">
        <f>IF('Блок ввода'!R226=8,(ОКГВ-AN113-AO113-AY113)/5,IF('Блок ввода'!R226=12,16,IF('Блок ввода'!S226=7,(ОКГВ-AN113-AO113-AP113-AY113)/5,0)))</f>
        <v>0</v>
      </c>
      <c r="Q113" s="1060">
        <f>IF('Блок ввода'!S226=8,CB113/5,0)</f>
        <v>0</v>
      </c>
      <c r="R113" s="1061">
        <f>IF('Блок ввода'!S226=9,CB113/5,0)</f>
        <v>0</v>
      </c>
      <c r="S113" s="1061">
        <f>IF('Блок ввода'!S226=11,CB113/5,0)</f>
        <v>0</v>
      </c>
      <c r="T113" s="1061">
        <f>IF('Блок ввода'!S226=12,CB113/5,0)</f>
        <v>0</v>
      </c>
      <c r="U113" s="1061">
        <f>IF('Блок ввода'!S226=10,CB113/5,IF('Блок ввода'!S226=16,CB113/5-V113,0))</f>
        <v>31</v>
      </c>
      <c r="V113" s="1061">
        <f>IF('Блок ввода'!S226=14,CB113/5,IF('Блок ввода'!S226=16,40,0))</f>
        <v>40</v>
      </c>
      <c r="W113" s="1068">
        <f>IF('Блок ввода'!S226=13,CB113/5,0)</f>
        <v>0</v>
      </c>
      <c r="X113" s="1063">
        <f>IF('Блок ввода'!R226=14,CB113/5,IF('Блок ввода'!S226=15,CB113/5,0))</f>
        <v>0</v>
      </c>
      <c r="Y113" s="1065">
        <f>IF('Блок ввода'!R226&lt;19,BW1,0)</f>
        <v>150</v>
      </c>
      <c r="Z113" s="1061">
        <f>IF('Блок ввода'!R226=19,75,0)</f>
        <v>0</v>
      </c>
      <c r="AA113" s="1061"/>
      <c r="AB113" s="1061">
        <f>IF('Блок ввода'!R226&gt;20,120-AB110,0)</f>
        <v>0</v>
      </c>
      <c r="AC113" s="1066">
        <f>IF('Блок ввода'!R226=20,96,0)</f>
        <v>0</v>
      </c>
      <c r="AD113" s="1067"/>
      <c r="AE113" s="892">
        <v>4</v>
      </c>
      <c r="AF113" s="899"/>
      <c r="AG113" s="1065"/>
      <c r="AH113" s="1061"/>
      <c r="AI113" s="1061"/>
      <c r="AJ113" s="1066"/>
      <c r="AK113" s="1060">
        <f>IF('Блок ввода'!R226=7,ОКГВ-AL113-AN113-AO113-N113*5-AY113-AQ113*5,IF('Блок ввода'!R226=15,ОКГВ-N113*5-AN113-AO1126-AY113,IF('Блок ввода'!S226&lt;5,ОКГВ-N113*5-P113*5-AN113-AO113-AP113-AY113,)))</f>
        <v>0</v>
      </c>
      <c r="AL113" s="1061">
        <f>IF('Блок ввода'!R226=7,200,IF('Блок ввода'!R226=13,450-N113*5-AN113-AO113-AY113,IF('Блок ввода'!S226=5,CB113,0)))</f>
        <v>0</v>
      </c>
      <c r="AM113" s="1061"/>
      <c r="AN113" s="1094">
        <v>10</v>
      </c>
      <c r="AO113" s="1094">
        <v>10</v>
      </c>
      <c r="AP113" s="1066">
        <f>IF('Блок ввода'!R226=6,20,0)</f>
        <v>0</v>
      </c>
      <c r="AQ113" s="1067">
        <f>IF(AND('Раскладка продуктов'!$BC$3=1,'Блок ввода'!AD35=1),AO113*2,0)</f>
        <v>0</v>
      </c>
      <c r="AR113" s="1070">
        <f>IF(AND('Раскладка продуктов'!$BC$3=2,'Блок ввода'!$AD$35=1),AO113/10,0)</f>
        <v>0</v>
      </c>
      <c r="AS113" s="1061"/>
      <c r="AT113" s="1061"/>
      <c r="AU113" s="1061"/>
      <c r="AV113" s="1061"/>
      <c r="AW113" s="1061"/>
      <c r="AX113" s="1061"/>
      <c r="AY113" s="1071"/>
      <c r="AZ113" s="1072"/>
      <c r="BA113" s="1061"/>
      <c r="BB113" s="1061"/>
      <c r="BC113" s="1061"/>
      <c r="BD113" s="1061"/>
      <c r="BE113" s="1073"/>
      <c r="BF113" s="1073"/>
      <c r="BG113" s="1073"/>
      <c r="BH113" s="1073"/>
      <c r="BI113" s="1074"/>
      <c r="BJ113" s="1075"/>
      <c r="BK113" s="1076"/>
      <c r="BL113" s="1069"/>
      <c r="BM113" s="1069"/>
      <c r="BN113" s="1062"/>
      <c r="BO113" s="1077"/>
      <c r="BP113" s="1078">
        <f>BQ113+P113*2.8+Q113*2.1+R113*3+S113*3+T113*3+U113*2.5+V113*2.1+W113*3+X113*3+BX113+AL113*'Блок ввода'!$D$9+'Раскладка продуктов'!AM113*'Блок ввода'!$D$8+'Раскладка продуктов'!AP113*'Блок ввода'!$D$11+'Раскладка продуктов'!AQ113*'Блок ввода'!$D$12+'Раскладка продуктов'!AX113*'Блок ввода'!$D$13+0.5*AD113+IF(BZ113&gt;0,50,BY113)</f>
        <v>243.3</v>
      </c>
      <c r="BQ113" s="1096">
        <f>'Блок ввода'!AG226</f>
        <v>64</v>
      </c>
      <c r="BR113" s="766"/>
      <c r="BX113" s="764">
        <f>IF(CA113&gt;0,'Раскладка продуктов'!AK113*'Блок ввода'!$D$5,AK113*'Блок ввода'!$D$4)</f>
        <v>0</v>
      </c>
      <c r="BY113" s="764">
        <f>N113+AN113*'Блок ввода'!$D$7+'Раскладка продуктов'!AO113*'Блок ввода'!$D$10</f>
        <v>17.8</v>
      </c>
      <c r="BZ113" s="765">
        <f>IF('Блок ввода'!R226&lt;4,1,IF('Блок ввода'!R226=9,1,IF('Блок ввода'!R226=10,1,IF('Блок ввода'!R226=11,1,IF('Блок ввода'!R226=5,1,IF('Блок ввода'!R226=6,1,IF('Блок ввода'!R226=7,1,0)))))))</f>
        <v>0</v>
      </c>
      <c r="CA113" s="765">
        <f>IF('Блок ввода'!S226=1,1,0)</f>
        <v>0</v>
      </c>
      <c r="CB113" s="765">
        <f>ОКГВ-P113*5-AN113-AO113-AP113-AY113</f>
        <v>355</v>
      </c>
      <c r="CC113" s="765">
        <f>SUM(N113:X113)*5+SUM(AK113:AP113)</f>
        <v>385</v>
      </c>
      <c r="CD113" s="765">
        <f>(CB111+CB112+CC113+CC114)/2+CB110</f>
        <v>820</v>
      </c>
      <c r="CF113" s="475"/>
      <c r="CG113" s="475"/>
    </row>
    <row r="114" spans="1:101" ht="24" customHeight="1" x14ac:dyDescent="0.2">
      <c r="B114" s="1339"/>
      <c r="C114" s="1346"/>
      <c r="D114" s="1380"/>
      <c r="E114" s="484" t="s">
        <v>230</v>
      </c>
      <c r="F114" s="1319" t="str">
        <f>CONCATENATE('Блок ввода'!Y232,'Блок ввода'!AA232)</f>
        <v xml:space="preserve">Куры жареные с соусом  с кашей ячневой рас,  </v>
      </c>
      <c r="G114" s="1320"/>
      <c r="H114" s="1320"/>
      <c r="I114" s="1320"/>
      <c r="J114" s="1348"/>
      <c r="K114" s="891"/>
      <c r="L114" s="892"/>
      <c r="M114" s="1061"/>
      <c r="N114" s="1189">
        <v>2</v>
      </c>
      <c r="O114" s="1063">
        <f>IF('Блок ввода'!R227=4,20,IF('Блок ввода'!R227=16,75,IF('Блок ввода'!R227=24,20,0)))</f>
        <v>0</v>
      </c>
      <c r="P114" s="1063">
        <f>IF('Блок ввода'!R227=8,(ОКГВ-AN114-AO114-AY114)/5,IF('Блок ввода'!R227=12,16,IF('Блок ввода'!S227=7,(ОКГВ-AN114-AO114-AP114-AY114)/5,0)))</f>
        <v>0</v>
      </c>
      <c r="Q114" s="1060">
        <f>IF('Блок ввода'!S227=8,CB114/5,0)</f>
        <v>0</v>
      </c>
      <c r="R114" s="1061">
        <f>IF('Блок ввода'!S227=9,CB114/5,0)</f>
        <v>0</v>
      </c>
      <c r="S114" s="1061">
        <f>IF('Блок ввода'!S227=11,CB114/5,0)</f>
        <v>0</v>
      </c>
      <c r="T114" s="1061">
        <f>IF('Блок ввода'!S227=12,CB114/5,0)</f>
        <v>71</v>
      </c>
      <c r="U114" s="1061">
        <f>IF('Блок ввода'!S227=10,CB114/5,IF('Блок ввода'!S227=16,CB114/5-V114,0))</f>
        <v>0</v>
      </c>
      <c r="V114" s="1061">
        <f>IF('Блок ввода'!S227=14,CB114/5,IF('Блок ввода'!S227=16,40,0))</f>
        <v>0</v>
      </c>
      <c r="W114" s="1068">
        <f>IF('Блок ввода'!S227=13,CB114/5,0)</f>
        <v>0</v>
      </c>
      <c r="X114" s="1063">
        <f>IF('Блок ввода'!R227=14,CB114/5,IF('Блок ввода'!S227=15,CB114/5,0))</f>
        <v>0</v>
      </c>
      <c r="Y114" s="1065">
        <f>IF('Блок ввода'!R227&lt;19,BW1,0)</f>
        <v>150</v>
      </c>
      <c r="Z114" s="1061">
        <f>IF('Блок ввода'!R227=19,75,0)</f>
        <v>0</v>
      </c>
      <c r="AA114" s="1061"/>
      <c r="AB114" s="1061">
        <f>IF('Блок ввода'!R227&gt;20,120-AB110,0)</f>
        <v>0</v>
      </c>
      <c r="AC114" s="1066">
        <f>IF('Блок ввода'!R227=20,96,0)</f>
        <v>0</v>
      </c>
      <c r="AD114" s="1067"/>
      <c r="AE114" s="892"/>
      <c r="AF114" s="899"/>
      <c r="AG114" s="1065"/>
      <c r="AH114" s="1061"/>
      <c r="AI114" s="1061"/>
      <c r="AJ114" s="1066"/>
      <c r="AK114" s="1060">
        <f>IF('Блок ввода'!R227=7,ОКГВ-AL114-AN114-AO114-N114*5-AY114,IF('Блок ввода'!R227=15,ОКГВ-N114*5-AN114-AO114-AY114,IF('Блок ввода'!S227&lt;5,ОКГВ-N114*5-P114*5-AN114-AO114-AP114-AY114,)))</f>
        <v>0</v>
      </c>
      <c r="AL114" s="1061">
        <f>IF('Блок ввода'!R227=7,200,IF('Блок ввода'!R227=13,450-N114*5-AN114-AO114-AY114,IF('Блок ввода'!S227=5,CB114,0)))</f>
        <v>0</v>
      </c>
      <c r="AM114" s="1061"/>
      <c r="AN114" s="1094">
        <v>10</v>
      </c>
      <c r="AO114" s="1094">
        <v>10</v>
      </c>
      <c r="AP114" s="1066">
        <f>IF('Блок ввода'!R227=6,20,0)</f>
        <v>0</v>
      </c>
      <c r="AQ114" s="1067">
        <f>IF(AND('Раскладка продуктов'!$BC$3=1,'Блок ввода'!AD35=1),AO114*2,0)</f>
        <v>0</v>
      </c>
      <c r="AR114" s="1070">
        <f>IF(AND('Раскладка продуктов'!$BC$3=2,'Блок ввода'!$AD$35=1),AO114/10,0)</f>
        <v>0</v>
      </c>
      <c r="AS114" s="1061"/>
      <c r="AT114" s="1061"/>
      <c r="AU114" s="1061"/>
      <c r="AV114" s="1061"/>
      <c r="AW114" s="1061"/>
      <c r="AX114" s="1061"/>
      <c r="AY114" s="1071"/>
      <c r="AZ114" s="1072"/>
      <c r="BA114" s="1061"/>
      <c r="BB114" s="1061"/>
      <c r="BC114" s="1061"/>
      <c r="BD114" s="1061"/>
      <c r="BE114" s="1073"/>
      <c r="BF114" s="1073"/>
      <c r="BG114" s="1073"/>
      <c r="BH114" s="1073"/>
      <c r="BI114" s="1074"/>
      <c r="BJ114" s="1075"/>
      <c r="BK114" s="1076"/>
      <c r="BL114" s="1069"/>
      <c r="BM114" s="1069"/>
      <c r="BN114" s="1062"/>
      <c r="BO114" s="1077"/>
      <c r="BP114" s="1078">
        <f>BQ114+P114*2.8+Q114*2.1+R114*3+S114*3+T114*3+U114*2.5+V114*2.1+W114*3+X114*3+BX114+AL114*'Блок ввода'!$D$9+'Раскладка продуктов'!AM114*'Блок ввода'!$D$8+'Раскладка продуктов'!AP114*'Блок ввода'!$D$11+'Раскладка продуктов'!AQ114*'Блок ввода'!$D$12+'Раскладка продуктов'!AX114*'Блок ввода'!$D$13+0.5*AD114+IF(BZ114&gt;0,50,BY114)</f>
        <v>291.8</v>
      </c>
      <c r="BQ114" s="1096">
        <f>'Блок ввода'!AG227</f>
        <v>61</v>
      </c>
      <c r="BR114" s="766"/>
      <c r="BX114" s="764">
        <f>IF(CA114&gt;0,'Раскладка продуктов'!AK114*'Блок ввода'!$D$5,AK114*'Блок ввода'!$D$4)</f>
        <v>0</v>
      </c>
      <c r="BY114" s="764">
        <f>N114+AN114*'Блок ввода'!$D$7+'Раскладка продуктов'!AO114*'Блок ввода'!$D$10</f>
        <v>17.8</v>
      </c>
      <c r="BZ114" s="765">
        <f>IF('Блок ввода'!R227&lt;4,1,IF('Блок ввода'!R227=9,1,IF('Блок ввода'!R227=10,1,IF('Блок ввода'!R227=11,1,IF('Блок ввода'!R227=5,1,IF('Блок ввода'!R227=6,1,IF('Блок ввода'!R227=7,1,0)))))))</f>
        <v>0</v>
      </c>
      <c r="CA114" s="765">
        <f>IF('Блок ввода'!S227=1,1,0)</f>
        <v>0</v>
      </c>
      <c r="CB114" s="765">
        <f>ОКГВ-P114*5-AN114-AO114-AP114-AY114</f>
        <v>355</v>
      </c>
      <c r="CC114" s="765">
        <f>SUM(N114:X114)*5+SUM(AK114:AP114)</f>
        <v>385</v>
      </c>
      <c r="CF114" s="475"/>
      <c r="CG114" s="475"/>
    </row>
    <row r="115" spans="1:101" ht="24" customHeight="1" thickBot="1" x14ac:dyDescent="0.25">
      <c r="B115" s="1339"/>
      <c r="C115" s="1346"/>
      <c r="D115" s="1381"/>
      <c r="E115" s="484" t="s">
        <v>231</v>
      </c>
      <c r="F115" s="1326" t="str">
        <f>'Блок ввода'!U233</f>
        <v>Сок, хлеб</v>
      </c>
      <c r="G115" s="1327"/>
      <c r="H115" s="1327"/>
      <c r="I115" s="1327"/>
      <c r="J115" s="1328"/>
      <c r="K115" s="911">
        <v>100</v>
      </c>
      <c r="L115" s="912">
        <v>150</v>
      </c>
      <c r="M115" s="1086">
        <f>IF('Блок ввода'!AD36=2,65,IF('Блок ввода'!AD36=1,88.5,0))</f>
        <v>0</v>
      </c>
      <c r="N115" s="1187">
        <v>0</v>
      </c>
      <c r="O115" s="1098"/>
      <c r="P115" s="1083"/>
      <c r="Q115" s="1099"/>
      <c r="R115" s="1086"/>
      <c r="S115" s="1086"/>
      <c r="T115" s="1086"/>
      <c r="U115" s="1086"/>
      <c r="V115" s="1086"/>
      <c r="W115" s="1100"/>
      <c r="X115" s="1083"/>
      <c r="Y115" s="1099"/>
      <c r="Z115" s="1086"/>
      <c r="AA115" s="1086"/>
      <c r="AB115" s="1086"/>
      <c r="AC115" s="1100"/>
      <c r="AD115" s="1084"/>
      <c r="AE115" s="913"/>
      <c r="AF115" s="940"/>
      <c r="AG115" s="1099"/>
      <c r="AH115" s="1089"/>
      <c r="AI115" s="913">
        <f>IF('Блок ввода'!R228=2,20*IF('Блок ввода'!AA114=1,5,1),IF(AND('Блок ввода'!R228=3,'Блок ввода'!AA114=1),100,0))</f>
        <v>0</v>
      </c>
      <c r="AJ115" s="1100"/>
      <c r="AK115" s="1101"/>
      <c r="AL115" s="1086"/>
      <c r="AM115" s="1086"/>
      <c r="AN115" s="1069"/>
      <c r="AO115" s="1102">
        <f>IF(AND('Блок ввода'!A30=1,'Блок ввода'!I23="Лука"),'Блок ввода'!L23,0)</f>
        <v>0</v>
      </c>
      <c r="AP115" s="1100"/>
      <c r="AQ115" s="1084">
        <f>IF(AND('Раскладка продуктов'!$BC$3=1,'Блок ввода'!AD35=1),AO115*2,0)</f>
        <v>0</v>
      </c>
      <c r="AR115" s="1085"/>
      <c r="AS115" s="1086"/>
      <c r="AT115" s="1086"/>
      <c r="AU115" s="1086"/>
      <c r="AV115" s="1086"/>
      <c r="AW115" s="1086"/>
      <c r="AX115" s="1086"/>
      <c r="AY115" s="1088"/>
      <c r="AZ115" s="1089">
        <f>IF('Блок ввода'!A34=1,IF('Блок ввода'!R228&lt;3,0,IF('Блок ввода'!S30=FALSE,0,BR115/5)),IF('Блок ввода'!R228&lt;3,0,IF('Блок ввода'!S30=FALSE,0,BR115)))</f>
        <v>0</v>
      </c>
      <c r="BA115" s="1086"/>
      <c r="BB115" s="1086">
        <f>IF('Блок ввода'!S107=TRUE,0,IF('Блок ввода'!R228=3,200+IF('Блок ввода'!$A$35=1,400-(AI115*3)),IF(OR('Блок ввода'!R228=4,'Блок ввода'!R228=7),200+IF('Блок ввода'!$A$35=1,400-(AI115*3)),IF(OR('Блок ввода'!R228=5, 'Блок ввода'!R228=7),200+IF('Блок ввода'!$A$35=1,400-(AI115*3)),0))))</f>
        <v>0</v>
      </c>
      <c r="BC115" s="1086"/>
      <c r="BD115" s="1102">
        <f>IF(AND('Блок ввода'!A30=1,'Блок ввода'!I23="Чеснока"),'Блок ввода'!L23,0)</f>
        <v>0</v>
      </c>
      <c r="BE115" s="1089">
        <f>IF('Блок ввода'!R228=6,(200-AI115)/2,0)</f>
        <v>0</v>
      </c>
      <c r="BF115" s="1103"/>
      <c r="BG115" s="1103"/>
      <c r="BH115" s="1103"/>
      <c r="BI115" s="1091"/>
      <c r="BJ115" s="1092"/>
      <c r="BK115" s="1104"/>
      <c r="BL115" s="1102"/>
      <c r="BM115" s="1102"/>
      <c r="BN115" s="1097"/>
      <c r="BO115" s="1105"/>
      <c r="BP115" s="1106">
        <f>IF(BA115&gt;0,BA115,250)</f>
        <v>250</v>
      </c>
      <c r="BQ115" s="1107"/>
      <c r="BR115" s="766"/>
      <c r="BZ115" s="765"/>
      <c r="CF115" s="475"/>
      <c r="CG115" s="475"/>
    </row>
    <row r="116" spans="1:101" ht="24" customHeight="1" x14ac:dyDescent="0.2">
      <c r="B116" s="1339"/>
      <c r="C116" s="1346"/>
      <c r="D116" s="1341" t="str">
        <f>CONCATENATE("Ужин
100%, ОКГ = ",CD116)</f>
        <v>Ужин
100%, ОКГ = 425</v>
      </c>
      <c r="E116" s="1342"/>
      <c r="F116" s="1300" t="str">
        <f>CONCATENATE('Блок ввода'!G197,'Блок ввода'!L197,'Блок ввода'!N197,'Блок ввода'!O197)</f>
        <v>Рыба припущенная, с кашей пшенной рас, хлеб, масло, сахар, чай, омлет, булочка</v>
      </c>
      <c r="G116" s="1301"/>
      <c r="H116" s="1301"/>
      <c r="I116" s="1301"/>
      <c r="J116" s="1321"/>
      <c r="K116" s="952"/>
      <c r="L116" s="953"/>
      <c r="M116" s="1039"/>
      <c r="N116" s="1192">
        <v>2</v>
      </c>
      <c r="O116" s="1040"/>
      <c r="P116" s="1040">
        <f>IF('Блок ввода'!R229=8,(ОКГУ-AN116-AO116-AY116)/5,IF('Блок ввода'!R229=12,15,IF('Блок ввода'!S229=7,(ОКГУ-AN116-AO116-AP116-AY116)/5,0)))</f>
        <v>0</v>
      </c>
      <c r="Q116" s="1038">
        <f>IF('Блок ввода'!S229=8,CB116/5,0)</f>
        <v>0</v>
      </c>
      <c r="R116" s="1039">
        <f>IF('Блок ввода'!S229=9,CB116/5,0)</f>
        <v>0</v>
      </c>
      <c r="S116" s="1039">
        <f>IF('Блок ввода'!S229=11,CB116/5,0)</f>
        <v>0</v>
      </c>
      <c r="T116" s="1039">
        <f>IF('Блок ввода'!S229=12,CB116/5,0)</f>
        <v>0</v>
      </c>
      <c r="U116" s="1039">
        <f>IF('Блок ввода'!S229=10,CB116/5,IF('Блок ввода'!S229=16,CB116/5-V116,0))</f>
        <v>81</v>
      </c>
      <c r="V116" s="1039">
        <f>IF('Блок ввода'!S229=14,CB116/5,IF('Блок ввода'!S229=16,40,0))</f>
        <v>0</v>
      </c>
      <c r="W116" s="1042">
        <f>IF('Блок ввода'!S229=13,CB116/5,0)</f>
        <v>0</v>
      </c>
      <c r="X116" s="1063">
        <f>IF('Блок ввода'!R229=14,CB116/5,IF('Блок ввода'!S229=15,CB116/5,0))</f>
        <v>0</v>
      </c>
      <c r="Y116" s="1043">
        <f>IF('Блок ввода'!R229&lt;19,BW3,0)</f>
        <v>0</v>
      </c>
      <c r="Z116" s="1039">
        <f>IF('Блок ввода'!R229=19,75,IF('Блок ввода'!R229=28,60,0))</f>
        <v>0</v>
      </c>
      <c r="AA116" s="1039"/>
      <c r="AB116" s="1039">
        <f>ROUND(IF('Блок ввода'!E193=28,0,IF('Блок ввода'!E193&gt;20,IF('Блок ввода'!E193=26,102,IF('Блок ввода'!$AD$38=1,156-AB123*1.3-(AC111+AC112)*1.625/2,120-AB110-(AC111+AC112)/2/0.8)),0)),1)</f>
        <v>120</v>
      </c>
      <c r="AC116" s="1044">
        <f>IF(AND('Блок ввода'!R229=20,OR('Блок ввода'!E108=18,'Блок ввода'!E112=18)),96-(AC111+AC112)/2-AB110*0.8,IF('Блок ввода'!R229=20,96,0))</f>
        <v>0</v>
      </c>
      <c r="AD116" s="1045"/>
      <c r="AE116" s="870">
        <v>22</v>
      </c>
      <c r="AF116" s="873">
        <f>IF(OR('Блок ввода'!E193=21,'Блок ввода'!E193=22,'Блок ввода'!E193=23,'Блок ввода'!E193=24),15,3)</f>
        <v>15</v>
      </c>
      <c r="AG116" s="1043"/>
      <c r="AH116" s="1039"/>
      <c r="AI116" s="1039"/>
      <c r="AJ116" s="1044"/>
      <c r="AK116" s="1038">
        <f>IF('Блок ввода'!R229=7,ОКГУ-AL116-AN116-AO116-AY116+IF(AND($N$7=1,N116=0),CF116,IF(N107=0,0,2.5-IF($N$7=2,2.5,0))),IF('Блок ввода'!R229=15,ОКГУ-AN116-AO116-AY116+IF(AND($N$7=1,N116=0),CF116,IF(N107=0,0,2.5-IF($N$7=2,2.5,0))),IF('Блок ввода'!S229&lt;5,ОКГУ-P116*5-AN116-AO116-AO115*2-BD115*4-AP116-AY116+IF(AND($N$7=1,N116=0),CF116,IF(N107=0,0,2.5-IF($N$7=2,2.5,0))),)))</f>
        <v>0</v>
      </c>
      <c r="AL116" s="1039">
        <f>IF('Блок ввода'!R229=7,200,IF('Блок ввода'!R229=13,450-N116*5-AN116-AO116-AY116,IF('Блок ввода'!S229=5,CB116,0)))</f>
        <v>0</v>
      </c>
      <c r="AM116" s="1039">
        <f>IF('Блок ввода'!S229=6,CB116,0)</f>
        <v>0</v>
      </c>
      <c r="AN116" s="1046">
        <v>10</v>
      </c>
      <c r="AO116" s="1046">
        <v>10</v>
      </c>
      <c r="AP116" s="1044">
        <f>IF('Блок ввода'!R229=6,20,0)</f>
        <v>0</v>
      </c>
      <c r="AQ116" s="1108">
        <f>IF(AND('Раскладка продуктов'!$BC$3=1,'Блок ввода'!AD35=1),AO116*2,0)</f>
        <v>0</v>
      </c>
      <c r="AR116" s="1109">
        <f>IF(AND('Раскладка продуктов'!$BC$3=2,'Блок ввода'!$AD$35=1),AO116/10,0)</f>
        <v>0</v>
      </c>
      <c r="AS116" s="1110"/>
      <c r="AT116" s="1110"/>
      <c r="AU116" s="1110"/>
      <c r="AV116" s="1110"/>
      <c r="AW116" s="1110"/>
      <c r="AX116" s="1110">
        <f>IF(AND(OR('Блок ввода'!T229=5,'Блок ввода'!T229=6),'Блок ввода'!$G$32=TRUE),15,IF(OR('Блок ввода'!T229=5,'Блок ввода'!T229=6),1,0))</f>
        <v>0</v>
      </c>
      <c r="AY116" s="1111"/>
      <c r="AZ116" s="1112">
        <f>IF('Блок ввода'!N193=9,150,0)</f>
        <v>0</v>
      </c>
      <c r="BA116" s="1110"/>
      <c r="BB116" s="1110"/>
      <c r="BC116" s="1110"/>
      <c r="BD116" s="1110"/>
      <c r="BE116" s="1113"/>
      <c r="BF116" s="1113"/>
      <c r="BG116" s="1113"/>
      <c r="BH116" s="1114"/>
      <c r="BI116" s="1052">
        <f>IF(Сб!$X$1=8,Сб!$X$3,0)</f>
        <v>0</v>
      </c>
      <c r="BJ116" s="1115">
        <f>IF(Сб!$X$1=4,Сб!$X$3,0)</f>
        <v>0</v>
      </c>
      <c r="BK116" s="1054"/>
      <c r="BL116" s="1055"/>
      <c r="BM116" s="1055"/>
      <c r="BN116" s="1056"/>
      <c r="BO116" s="1057"/>
      <c r="BP116" s="1116">
        <f>BQ116+P116*2.8+Q116*2.1+R116*3+S116*3+T116*3+U116*2.5+V116*2.1+W116*3+X116*3+BX116+AL116*'Блок ввода'!$D$9+'Раскладка продуктов'!AM116*'Блок ввода'!$D$8+'Раскладка продуктов'!AP116*'Блок ввода'!$D$11+'Раскладка продуктов'!AQ116*'Блок ввода'!$D$12+'Раскладка продуктов'!AX116*'Блок ввода'!$D$13+IF(BZ116&gt;0,50,BY116)</f>
        <v>300.3</v>
      </c>
      <c r="BQ116" s="1059">
        <f>'Блок ввода'!AG229</f>
        <v>80</v>
      </c>
      <c r="BR116" s="766"/>
      <c r="BX116" s="764">
        <f>IF(CA116&gt;0,'Раскладка продуктов'!AK116*'Блок ввода'!$D$5,AK116*'Блок ввода'!$D$4)</f>
        <v>0</v>
      </c>
      <c r="BY116" s="764">
        <f>N116+AN116*'Блок ввода'!$D$7+'Раскладка продуктов'!AO116*'Блок ввода'!$D$10</f>
        <v>17.8</v>
      </c>
      <c r="BZ116" s="765">
        <f>IF('Блок ввода'!R229&lt;4,1,IF('Блок ввода'!R229=9,1,IF('Блок ввода'!R229=10,1,IF('Блок ввода'!R229=11,1,IF('Блок ввода'!R229=5,1,IF('Блок ввода'!R229=6,1,IF('Блок ввода'!R229=7,1,0)))))))</f>
        <v>0</v>
      </c>
      <c r="CA116" s="765">
        <f>IF('Блок ввода'!S229=1,1,0)</f>
        <v>0</v>
      </c>
      <c r="CB116" s="765">
        <f>ОКГУ-P116*5-AN116-AO116-AP116-AY116+IF(AND($N$7=1,N116=0),CF116,IF(N107=0,0,2.5-IF(N7=2,2.5,0)))</f>
        <v>405</v>
      </c>
      <c r="CD116" s="762">
        <f>SUM(O116:X116)*5+SUM(AK116:AP116)</f>
        <v>425</v>
      </c>
      <c r="CF116" s="474">
        <f>IF(AND($N$7=1,N116=0),5,0)</f>
        <v>0</v>
      </c>
      <c r="CG116" s="475"/>
    </row>
    <row r="117" spans="1:101" ht="24" customHeight="1" x14ac:dyDescent="0.2">
      <c r="B117" s="1339"/>
      <c r="C117" s="1346"/>
      <c r="D117" s="1343"/>
      <c r="E117" s="1344"/>
      <c r="F117" s="1302"/>
      <c r="G117" s="1303"/>
      <c r="H117" s="1303"/>
      <c r="I117" s="1303"/>
      <c r="J117" s="1322"/>
      <c r="K117" s="891"/>
      <c r="L117" s="892"/>
      <c r="M117" s="1061"/>
      <c r="N117" s="1191">
        <f>IF('Блок ввода'!E193=4,20,IF('Блок ввода'!E193=16,75,IF('Блок ввода'!E193=24,15,0)))</f>
        <v>0</v>
      </c>
      <c r="O117" s="1117"/>
      <c r="P117" s="1063"/>
      <c r="Q117" s="1065"/>
      <c r="R117" s="1061"/>
      <c r="S117" s="1061"/>
      <c r="T117" s="1061"/>
      <c r="U117" s="1061"/>
      <c r="V117" s="1061"/>
      <c r="W117" s="1066"/>
      <c r="X117" s="1063"/>
      <c r="Y117" s="1065"/>
      <c r="Z117" s="1061"/>
      <c r="AA117" s="1061"/>
      <c r="AB117" s="1061"/>
      <c r="AC117" s="1066"/>
      <c r="AD117" s="1067"/>
      <c r="AE117" s="892"/>
      <c r="AF117" s="899"/>
      <c r="AG117" s="1118"/>
      <c r="AH117" s="1119"/>
      <c r="AI117" s="1061"/>
      <c r="AJ117" s="1066"/>
      <c r="AK117" s="1060"/>
      <c r="AL117" s="1061"/>
      <c r="AM117" s="1061"/>
      <c r="AN117" s="1069"/>
      <c r="AO117" s="1069"/>
      <c r="AP117" s="1066"/>
      <c r="AQ117" s="1067">
        <f>IF(AND('Раскладка продуктов'!$BC$3=1,'Блок ввода'!AD35=1),AO117*2,0)</f>
        <v>0</v>
      </c>
      <c r="AR117" s="1070"/>
      <c r="AS117" s="1061"/>
      <c r="AT117" s="1061"/>
      <c r="AU117" s="1061"/>
      <c r="AV117" s="1061"/>
      <c r="AW117" s="1061"/>
      <c r="AX117" s="892">
        <f>IF('Блок ввода'!E193=24,0.25,0)</f>
        <v>0</v>
      </c>
      <c r="AY117" s="1071"/>
      <c r="AZ117" s="1072"/>
      <c r="BA117" s="1061"/>
      <c r="BB117" s="1061"/>
      <c r="BC117" s="1061">
        <f>IF('Блок ввода'!T229=2,10*1.4,0)</f>
        <v>0</v>
      </c>
      <c r="BD117" s="1061"/>
      <c r="BE117" s="1073"/>
      <c r="BF117" s="1073"/>
      <c r="BG117" s="1073"/>
      <c r="BH117" s="1120"/>
      <c r="BI117" s="1074"/>
      <c r="BJ117" s="1121"/>
      <c r="BK117" s="1076"/>
      <c r="BL117" s="1069"/>
      <c r="BM117" s="1069"/>
      <c r="BN117" s="1062"/>
      <c r="BO117" s="1077"/>
      <c r="BP117" s="1078"/>
      <c r="BQ117" s="1079"/>
      <c r="BR117" s="766"/>
      <c r="BS117" s="768">
        <f>IF(AND('Блок ввода'!E188=30,'Блок ввода'!I188=17),BR119+BS119,IF('Блок ввода'!E188=30,(BR119+BS119+430)+BF119*500/375,BR119+BS119+BF119*500/375))</f>
        <v>1650</v>
      </c>
      <c r="BT117" s="764" t="str">
        <f>IF(AND(BS117 &lt;&gt;1750,BS117 &lt;&gt;1745),"ОКГ в субботу не соответствует ","")</f>
        <v xml:space="preserve">ОКГ в субботу не соответствует </v>
      </c>
      <c r="BZ117" s="765"/>
      <c r="CF117" s="475"/>
      <c r="CG117" s="475"/>
    </row>
    <row r="118" spans="1:101" ht="24" customHeight="1" thickBot="1" x14ac:dyDescent="0.25">
      <c r="B118" s="1340"/>
      <c r="C118" s="1347"/>
      <c r="D118" s="1343"/>
      <c r="E118" s="1344"/>
      <c r="F118" s="1323"/>
      <c r="G118" s="1324"/>
      <c r="H118" s="1324"/>
      <c r="I118" s="1324"/>
      <c r="J118" s="1325"/>
      <c r="K118" s="967">
        <v>100</v>
      </c>
      <c r="L118" s="922">
        <f>IF('Блок ввода'!T111,100,50)</f>
        <v>100</v>
      </c>
      <c r="M118" s="1080"/>
      <c r="N118" s="1190">
        <f>IF(L118=50,37.5,0)</f>
        <v>0</v>
      </c>
      <c r="O118" s="1122"/>
      <c r="P118" s="1082"/>
      <c r="Q118" s="1123"/>
      <c r="R118" s="1080"/>
      <c r="S118" s="1080"/>
      <c r="T118" s="1080"/>
      <c r="U118" s="1080"/>
      <c r="V118" s="1080"/>
      <c r="W118" s="1124"/>
      <c r="X118" s="1082"/>
      <c r="Y118" s="1123"/>
      <c r="Z118" s="1080"/>
      <c r="AA118" s="1080"/>
      <c r="AB118" s="1080"/>
      <c r="AC118" s="1124"/>
      <c r="AD118" s="1125"/>
      <c r="AE118" s="919"/>
      <c r="AF118" s="972"/>
      <c r="AG118" s="1123">
        <f>IF(OR('Блок ввода'!T229&lt;=7,'Блок ввода'!T229=9),30-AG115/2-(BE117)/1.4,0)</f>
        <v>30</v>
      </c>
      <c r="AH118" s="1072">
        <v>1</v>
      </c>
      <c r="AI118" s="1080">
        <f>IF('Блок ввода'!T229=4,20,0)</f>
        <v>0</v>
      </c>
      <c r="AJ118" s="1124"/>
      <c r="AK118" s="1126"/>
      <c r="AL118" s="1080"/>
      <c r="AM118" s="1080"/>
      <c r="AN118" s="1171"/>
      <c r="AO118" s="1171"/>
      <c r="AP118" s="1124"/>
      <c r="AQ118" s="1125">
        <f>AO118*2</f>
        <v>0</v>
      </c>
      <c r="AR118" s="1128"/>
      <c r="AS118" s="1080"/>
      <c r="AT118" s="1080"/>
      <c r="AU118" s="1080"/>
      <c r="AV118" s="1080"/>
      <c r="AW118" s="1080"/>
      <c r="AX118" s="1224">
        <f>IF(AND(L118=50,'Блок ввода'!$Q$114=1),0.125,0)</f>
        <v>0</v>
      </c>
      <c r="AY118" s="1129"/>
      <c r="AZ118" s="1130"/>
      <c r="BA118" s="1080"/>
      <c r="BB118" s="1080"/>
      <c r="BC118" s="1080">
        <f>IF('Блок ввода'!T229=8,(35-AG124/2)*1.4,IF('Блок ввода'!T229=7,4.8,0))</f>
        <v>0</v>
      </c>
      <c r="BD118" s="1131"/>
      <c r="BE118" s="1132"/>
      <c r="BF118" s="1132"/>
      <c r="BG118" s="1132"/>
      <c r="BH118" s="971">
        <f>IF(L118=50,0.5,0)</f>
        <v>0</v>
      </c>
      <c r="BI118" s="1133"/>
      <c r="BJ118" s="1134"/>
      <c r="BK118" s="1135">
        <v>100</v>
      </c>
      <c r="BL118" s="1127">
        <v>70</v>
      </c>
      <c r="BM118" s="1127">
        <v>0.6</v>
      </c>
      <c r="BN118" s="1081">
        <v>10</v>
      </c>
      <c r="BO118" s="1136">
        <v>200</v>
      </c>
      <c r="BP118" s="1137">
        <v>250</v>
      </c>
      <c r="BQ118" s="1138"/>
      <c r="BR118" s="766">
        <f>IF('Блок ввода'!A30=TRUE,BR119+BS119-'Блок ввода'!L23,BR119+BS119)</f>
        <v>1650</v>
      </c>
      <c r="BZ118" s="765"/>
      <c r="CF118" s="475"/>
      <c r="CG118" s="475"/>
    </row>
    <row r="119" spans="1:101" s="41" customFormat="1" ht="24" customHeight="1" thickTop="1" thickBot="1" x14ac:dyDescent="0.3">
      <c r="A119" s="228">
        <f>BS117</f>
        <v>1650</v>
      </c>
      <c r="B119" s="1335" t="s">
        <v>27</v>
      </c>
      <c r="C119" s="1336"/>
      <c r="D119" s="1336"/>
      <c r="E119" s="1336"/>
      <c r="F119" s="1336"/>
      <c r="G119" s="1336"/>
      <c r="H119" s="1336"/>
      <c r="I119" s="1336"/>
      <c r="J119" s="1337"/>
      <c r="K119" s="1139">
        <f>SUM(K107:K118)</f>
        <v>300</v>
      </c>
      <c r="L119" s="1140">
        <f>SUM(L107:L118)</f>
        <v>400</v>
      </c>
      <c r="M119" s="1141">
        <f>SUM(M107:M118)</f>
        <v>0</v>
      </c>
      <c r="N119" s="1142">
        <f>N107+N108+N109+(N111+N112+N113+N114)/2+SUM(N116:N118)</f>
        <v>12.5</v>
      </c>
      <c r="O119" s="1144">
        <f>O107+O108+O109+(O111+O112+O113+O114)/2+SUM(O116:O118)</f>
        <v>0</v>
      </c>
      <c r="P119" s="1143">
        <f t="shared" ref="P119:AD119" si="16">P107+P108+P109+(P111+P112)/2+(P113+P114)/2+SUM(P116:P118)</f>
        <v>0</v>
      </c>
      <c r="Q119" s="1145">
        <f t="shared" si="16"/>
        <v>85</v>
      </c>
      <c r="R119" s="1146">
        <f>R107+R108+R109+(R111+R112)/2+(R113+R114)/2+SUM(R116:R118)+R110</f>
        <v>0</v>
      </c>
      <c r="S119" s="1146">
        <f t="shared" si="16"/>
        <v>0</v>
      </c>
      <c r="T119" s="1146">
        <f t="shared" si="16"/>
        <v>35.5</v>
      </c>
      <c r="U119" s="1146">
        <f t="shared" si="16"/>
        <v>104</v>
      </c>
      <c r="V119" s="1146">
        <f t="shared" si="16"/>
        <v>20</v>
      </c>
      <c r="W119" s="1147">
        <f t="shared" si="16"/>
        <v>0</v>
      </c>
      <c r="X119" s="1143">
        <f t="shared" si="16"/>
        <v>0</v>
      </c>
      <c r="Y119" s="1145">
        <f t="shared" si="16"/>
        <v>250</v>
      </c>
      <c r="Z119" s="1146">
        <f t="shared" si="16"/>
        <v>0</v>
      </c>
      <c r="AA119" s="1146">
        <f t="shared" si="16"/>
        <v>0</v>
      </c>
      <c r="AB119" s="1146">
        <f>AB107+AB108+AB109+(AB111+AB112)/2+(AB113+AB114)/2+SUM(AB116:AB118)+AB110</f>
        <v>120</v>
      </c>
      <c r="AC119" s="1147">
        <f t="shared" si="16"/>
        <v>0</v>
      </c>
      <c r="AD119" s="1145">
        <f t="shared" si="16"/>
        <v>0</v>
      </c>
      <c r="AE119" s="988">
        <f>SUM(AE107:AE109)+SUM(AE116:AE118)+AE110+SUM(AE111:AE114)/2</f>
        <v>45</v>
      </c>
      <c r="AF119" s="1149">
        <f>SUM(AF107:AF118)</f>
        <v>30</v>
      </c>
      <c r="AG119" s="1150">
        <f>SUM(AG107:AG118)</f>
        <v>60</v>
      </c>
      <c r="AH119" s="1148">
        <f>SUM(AH107:AH118)</f>
        <v>1</v>
      </c>
      <c r="AI119" s="1148">
        <f>SUM(AI107:AI118)</f>
        <v>0</v>
      </c>
      <c r="AJ119" s="1149">
        <v>20</v>
      </c>
      <c r="AK119" s="1150">
        <f t="shared" ref="AK119:AP119" si="17">AK107+AK110+(AK111+AK112+AK113+AK114)/2+AK116</f>
        <v>90</v>
      </c>
      <c r="AL119" s="1148">
        <f t="shared" si="17"/>
        <v>127.5</v>
      </c>
      <c r="AM119" s="1148">
        <f t="shared" si="17"/>
        <v>0</v>
      </c>
      <c r="AN119" s="1151">
        <f t="shared" si="17"/>
        <v>40</v>
      </c>
      <c r="AO119" s="1151">
        <f>AO107+AO110+(AO111+AO112+AO113+AO114)/2+AO116+AO115</f>
        <v>40</v>
      </c>
      <c r="AP119" s="1152">
        <f t="shared" si="17"/>
        <v>130</v>
      </c>
      <c r="AQ119" s="1153">
        <f>AQ107+AQ110+(AQ111+AQ112+AQ113+AQ114)/2+AQ116+AQ115</f>
        <v>0</v>
      </c>
      <c r="AR119" s="1151">
        <f>AR107+AR110+(AR111+AR112+AR113+AR114)/2+AR116</f>
        <v>0</v>
      </c>
      <c r="AS119" s="1148">
        <v>6</v>
      </c>
      <c r="AT119" s="1140">
        <v>0.2</v>
      </c>
      <c r="AU119" s="1140">
        <v>0.3</v>
      </c>
      <c r="AV119" s="1140">
        <v>2</v>
      </c>
      <c r="AW119" s="1140">
        <v>0.5</v>
      </c>
      <c r="AX119" s="1225">
        <f>AX107+AX110+(AX111+AX112+AX113+AX114)/2+AX116+AX109+AX118+AX117</f>
        <v>1</v>
      </c>
      <c r="AY119" s="1148">
        <f>AY107+AY110+(AY111+AY112+AY113+AY114)/2+AY116</f>
        <v>0</v>
      </c>
      <c r="AZ119" s="1140">
        <f>AZ107+AZ110+(AZ111+AZ112+AZ113+AZ114)/2+AZ116+AZ115</f>
        <v>50</v>
      </c>
      <c r="BA119" s="1146">
        <f>BA107+BA108+BA109+(BA111+BA112+BA113+BA114)/2+SUM(BA116:BA118)</f>
        <v>0</v>
      </c>
      <c r="BB119" s="1146">
        <f t="shared" ref="BB119:BH119" si="18">BB107+BB108+BB109+(BB111+BB112+BB113+BB114)/2+BB115+SUM(BB116:BB118)</f>
        <v>0</v>
      </c>
      <c r="BC119" s="1146">
        <f t="shared" si="18"/>
        <v>1.5</v>
      </c>
      <c r="BD119" s="1146">
        <f t="shared" si="18"/>
        <v>0</v>
      </c>
      <c r="BE119" s="1146">
        <f t="shared" si="18"/>
        <v>0</v>
      </c>
      <c r="BF119" s="1146">
        <f t="shared" si="18"/>
        <v>0</v>
      </c>
      <c r="BG119" s="1146">
        <f t="shared" si="18"/>
        <v>0</v>
      </c>
      <c r="BH119" s="1154">
        <f t="shared" si="18"/>
        <v>0</v>
      </c>
      <c r="BI119" s="1154">
        <f>BI107+BI108+BI109+(BI111+BI112+BI113+BI114)/2+BI115++BI116+BI117+BI118</f>
        <v>0</v>
      </c>
      <c r="BJ119" s="1147">
        <f>BJ107+BJ108+BJ109+(BJ111+BJ112+BJ113+BJ114)/2+BJ115++BJ116+BJ117+BJ118</f>
        <v>0</v>
      </c>
      <c r="BK119" s="1155">
        <f>BK107+BK108+BK109+(BK111+BK112+BK113+BK114)/2+BK115+SUM(BK116:BK118)</f>
        <v>100</v>
      </c>
      <c r="BL119" s="1156">
        <f>BL107+BL108+BL109+(BL111+BL112+BL113+BL114)/2+BL115+SUM(BL116:BL118)</f>
        <v>70</v>
      </c>
      <c r="BM119" s="1156">
        <f>BM107+BM108+BM109+(BM111+BM112+BM113+BM114)/2+BM115+SUM(BM116:BM118)</f>
        <v>0.6</v>
      </c>
      <c r="BN119" s="1156">
        <f>BN107+BN108+BN109+(BN111+BN112+BN113+BN114)/2+BN115+SUM(BN116:BN118)</f>
        <v>10</v>
      </c>
      <c r="BO119" s="1157">
        <f>BO107+BO108+BO109+(BO111+BO112+BO113+BO114)/2+BO115+SUM(BO116:BO118)</f>
        <v>200</v>
      </c>
      <c r="BP119" s="1158"/>
      <c r="BQ119" s="1159"/>
      <c r="BR119" s="764">
        <f>SUM(P119:X119)*5</f>
        <v>1222.5</v>
      </c>
      <c r="BS119" s="770">
        <f>SUM(AK119:AP119)+AY119+BD119+IF('Блок ввода'!E55=17,150-AM110-AO110-AN110,0)-AO115+AO115*2-BD115+BD115*4</f>
        <v>427.5</v>
      </c>
      <c r="BT119" s="764"/>
      <c r="BU119" s="764"/>
      <c r="BV119" s="764"/>
      <c r="BW119" s="764"/>
      <c r="BX119" s="764"/>
      <c r="BY119" s="764"/>
      <c r="BZ119" s="765"/>
      <c r="CA119" s="765"/>
      <c r="CB119" s="765"/>
      <c r="CC119" s="764"/>
      <c r="CD119" s="765"/>
      <c r="CE119" s="764"/>
      <c r="CF119" s="771"/>
      <c r="CG119" s="771"/>
      <c r="CH119" s="772"/>
      <c r="CI119" s="772"/>
      <c r="CJ119" s="772"/>
      <c r="CK119" s="772"/>
      <c r="CL119" s="772"/>
      <c r="CM119" s="772"/>
      <c r="CN119" s="40"/>
      <c r="CO119" s="40"/>
      <c r="CP119" s="40"/>
      <c r="CQ119" s="40"/>
      <c r="CR119" s="40"/>
      <c r="CS119" s="40"/>
      <c r="CT119" s="40"/>
      <c r="CU119" s="40"/>
      <c r="CV119" s="40"/>
      <c r="CW119" s="40"/>
    </row>
    <row r="120" spans="1:101" ht="24" customHeight="1" x14ac:dyDescent="0.2">
      <c r="B120" s="1424" t="s">
        <v>400</v>
      </c>
      <c r="C120" s="1345">
        <f>C107+1</f>
        <v>40097</v>
      </c>
      <c r="D120" s="1341" t="str">
        <f>CONCATENATE("Завтрак
100%, ОКГ = ",IF(AND('Блок ввода'!B221=1,'Блок ввода'!E198=29),CD120+430,CD120))</f>
        <v>Завтрак
100%, ОКГ = 425</v>
      </c>
      <c r="E120" s="1342"/>
      <c r="F120" s="1300" t="str">
        <f>CONCATENATE('Блок ввода'!G202,'Блок ввода'!L202,'Блок ввода'!N202,'Блок ввода'!O202)</f>
        <v>Мясо отвар. с соусом с кашей перловой рас, хлеб, масло, сахар, кофе натур. с молоком, сыр, яйцо</v>
      </c>
      <c r="G120" s="1301"/>
      <c r="H120" s="1301"/>
      <c r="I120" s="1301"/>
      <c r="J120" s="1321"/>
      <c r="K120" s="1160"/>
      <c r="L120" s="1110"/>
      <c r="M120" s="1110"/>
      <c r="N120" s="1185">
        <v>6.5</v>
      </c>
      <c r="O120" s="1161"/>
      <c r="P120" s="1041">
        <f>IF(OR('Блок ввода'!E198=8,'Блок ввода'!I198=17,'Блок ввода'!I198=18),(ОКГ-N120*5-AN120-AO120-AY120)/5+IF(AND($N$7=1,N120=0),CF120/5,IF(N129=0,0,2.5-IF($N$7=2,2.5,0))),IF('Блок ввода'!E198=12,15,IF('Блок ввода'!I198=7,(ОКГ-N120*5-AN120-AO120-AP120-AY120)/5+IF(AND($N$7=1,N120=0),CF120/5,IF(N129=0,0,2.5/5-IF($N$7=2,2.5/5,0))),0)))</f>
        <v>0</v>
      </c>
      <c r="Q120" s="1160">
        <f>IF('Блок ввода'!S233=8,CB120/5,0)</f>
        <v>0</v>
      </c>
      <c r="R120" s="1110">
        <f>IF('Блок ввода'!S233=9,CB120/5,0)</f>
        <v>85</v>
      </c>
      <c r="S120" s="1110">
        <f>IF('Блок ввода'!S233=11,CB120/5,0)</f>
        <v>0</v>
      </c>
      <c r="T120" s="1110">
        <f>IF('Блок ввода'!S233=12,CB120/5,0)</f>
        <v>0</v>
      </c>
      <c r="U120" s="1110">
        <f>IF('Блок ввода'!S233=10,CB120/5,IF('Блок ввода'!S233=16,CB120/5-V120,0))</f>
        <v>0</v>
      </c>
      <c r="V120" s="1110">
        <f>IF('Блок ввода'!S233=14,CB120/5,IF('Блок ввода'!S233=16,40,0))</f>
        <v>0</v>
      </c>
      <c r="W120" s="1162">
        <f>IF('Блок ввода'!S233=13,CB120/5,0)</f>
        <v>0</v>
      </c>
      <c r="X120" s="1161">
        <f>IF('Блок ввода'!R233=14,CB120/5,IF('Блок ввода'!S233=15,CB120/5,0))</f>
        <v>0</v>
      </c>
      <c r="Y120" s="1163">
        <f>IF('Блок ввода'!R233&lt;19,BX3,0)</f>
        <v>100</v>
      </c>
      <c r="Z120" s="1110">
        <f>IF('Блок ввода'!R233=19,75,0)</f>
        <v>0</v>
      </c>
      <c r="AA120" s="1110"/>
      <c r="AB120" s="1039">
        <f>IF('Блок ввода'!E198=28,0,IF(AND('Блок ввода'!E198&gt;20,'Блок ввода'!E198&lt;=27),IF('Блок ввода'!E198=26,102,IF('Блок ввода'!$AB$38=1,156-AB123*1.3-(AC124+AC125)*1.625/2,120-AB123-(AC124+AC125)/2/0.8)),0))</f>
        <v>0</v>
      </c>
      <c r="AC120" s="1044">
        <f>IF(AND('Блок ввода'!E198=20,OR('Блок ввода'!E116=18,'Блок ввода'!E120=18)),96-(AC124+AC125)/2-AB123*0.8,IF('Блок ввода'!E198=20,96,0))</f>
        <v>0</v>
      </c>
      <c r="AD120" s="1108"/>
      <c r="AE120" s="870">
        <v>19</v>
      </c>
      <c r="AF120" s="873">
        <f>IF(OR('Блок ввода'!E198=21,'Блок ввода'!E198=22,'Блок ввода'!E198=23,'Блок ввода'!E198=24),15,3)</f>
        <v>3</v>
      </c>
      <c r="AG120" s="1163"/>
      <c r="AH120" s="1110"/>
      <c r="AI120" s="1110"/>
      <c r="AJ120" s="1164"/>
      <c r="AK120" s="1160">
        <f>IF('Блок ввода'!R233=7,ОКГ-AL120-AN120-AO120-AY120,IF('Блок ввода'!R233=15,ОКГ-AN120-AO120-AY120,IF('Блок ввода'!S233&lt;5,ОКГ-P120*5-AN120-AO120-AP120-AY120,)))</f>
        <v>0</v>
      </c>
      <c r="AL120" s="1110">
        <f>IF('Блок ввода'!R233=7,200,IF('Блок ввода'!R233=13,450-N120*5-AN120-AO120-AY120,IF('Блок ввода'!S233=5,CB120,0)))</f>
        <v>0</v>
      </c>
      <c r="AM120" s="1110">
        <f>IF('Блок ввода'!S233=6,CB120,0)</f>
        <v>0</v>
      </c>
      <c r="AN120" s="1046">
        <v>0</v>
      </c>
      <c r="AO120" s="1046">
        <v>0</v>
      </c>
      <c r="AP120" s="1164">
        <f>IF('Блок ввода'!R233=6,20,0)</f>
        <v>0</v>
      </c>
      <c r="AQ120" s="1045">
        <f>IF(AND('Раскладка продуктов'!$BC$3=1,'Блок ввода'!AE35=1),AO120*2,0)</f>
        <v>0</v>
      </c>
      <c r="AR120" s="1047">
        <f>IF(AND('Раскладка продуктов'!$BC$3=2,'Блок ввода'!$AE$35=1),AO120/10,0)</f>
        <v>0</v>
      </c>
      <c r="AS120" s="1048"/>
      <c r="AT120" s="1039"/>
      <c r="AU120" s="1039"/>
      <c r="AV120" s="1039"/>
      <c r="AW120" s="1039"/>
      <c r="AX120" s="1039">
        <v>1</v>
      </c>
      <c r="AY120" s="1049"/>
      <c r="AZ120" s="1050">
        <f>IF('Блок ввода'!$A$34&lt;&gt;2,0+IF(Вс!$X$1=5,Вс!$X$3,0),IF('Блок ввода'!N198=9,150+IF(Вс!$X$1=5,Вс!$X$3,0)+IF(OR('Блок ввода'!I198=17,'Блок ввода'!I198=18),200,0),IF(OR('Блок ввода'!I198=17,'Блок ввода'!I198=18),200+IF(Вс!$X$1=5,Вс!$X$3,0),0+IF(Вс!$X$1=5,Вс!$X$3,50))))</f>
        <v>50</v>
      </c>
      <c r="BA120" s="1039">
        <f>IF('Блок ввода'!$A$34=2,0,BT120)</f>
        <v>0</v>
      </c>
      <c r="BB120" s="1039"/>
      <c r="BC120" s="1039"/>
      <c r="BD120" s="1039"/>
      <c r="BE120" s="1051"/>
      <c r="BF120" s="1051"/>
      <c r="BG120" s="1051">
        <f>IF('Блок ввода'!E198=30,265,0)</f>
        <v>0</v>
      </c>
      <c r="BH120" s="1051"/>
      <c r="BI120" s="1052">
        <f>IF(Вс!$X$1=7,Вс!$X$3,0)</f>
        <v>0</v>
      </c>
      <c r="BJ120" s="1053">
        <f>IF(Вс!$X$1=3,Вс!$X$3,0)</f>
        <v>0</v>
      </c>
      <c r="BK120" s="1165"/>
      <c r="BL120" s="1166"/>
      <c r="BM120" s="1166"/>
      <c r="BN120" s="1167"/>
      <c r="BO120" s="1168"/>
      <c r="BP120" s="1172">
        <f>BQ120+P120*2.8+Q120*2.1+R120*3+S120*3+T120*3+U120*2.5+V120*2.1+W120*3+X120*3+BX120+AL120*'Блок ввода'!$D$9+'Раскладка продуктов'!AM120*'Блок ввода'!$D$8+'Раскладка продуктов'!AP120*'Блок ввода'!$D$11+'Раскладка продуктов'!AQ120*'Блок ввода'!$D$12+'Раскладка продуктов'!AX120*'Блок ввода'!$D$13+0.5*AD120+IF(BZ120&gt;0,50,BY120)+IF(BG120=265,198,0)</f>
        <v>351</v>
      </c>
      <c r="BQ120" s="1059">
        <f>IF(BG120=265,47,'Блок ввода'!AG233)</f>
        <v>46</v>
      </c>
      <c r="BR120" s="766"/>
      <c r="BT120" s="762">
        <f>IF(OR('Блок ввода'!I198=17,'Блок ввода'!N198=9),IF('Блок ввода'!$A$34=3,BU120*15/100,BU120/5),0)</f>
        <v>0</v>
      </c>
      <c r="BU120" s="762">
        <f>IF('Блок ввода'!N198=9,150+IF('Блок ввода'!I198=17,200,0),IF('Блок ввода'!I198=17,200,0))</f>
        <v>0</v>
      </c>
      <c r="BX120" s="764">
        <f>IF(CA120&gt;0,'Раскладка продуктов'!AK120*'Блок ввода'!$D$5,AK120*'Блок ввода'!$D$4)</f>
        <v>0</v>
      </c>
      <c r="BY120" s="764">
        <f>N120+AN120*'Блок ввода'!$D$7+'Раскладка продуктов'!AO120*'Блок ввода'!$D$10</f>
        <v>6.5</v>
      </c>
      <c r="BZ120" s="765">
        <f>IF('Блок ввода'!E198&lt;4,1,IF('Блок ввода'!E198=9,1,IF('Блок ввода'!E198=10,1,IF('Блок ввода'!E198=11,1,IF('Блок ввода'!E198=5,1,IF('Блок ввода'!E198=6,1,IF('Блок ввода'!E198=7,1,0)))))))</f>
        <v>1</v>
      </c>
      <c r="CA120" s="765">
        <f>IF('Блок ввода'!S233=1,1,0)</f>
        <v>0</v>
      </c>
      <c r="CB120" s="762">
        <f>IF('Блок ввода'!A31=TRUE,ОКГ-P120*5-AN120-AO120-AP120-AY120+IF(AND($N$7=1,N120=0),CF120,IF(N129=0,0,2.5-IF(N7=2,2.5,0))),ОКГ-P120*5-AN120-AO120-AP120-AY120+IF(AND($N$7=1,N120=0),CF120,IF(N129=0,0,2.5-IF(N7=2,2.5,0))))</f>
        <v>425</v>
      </c>
      <c r="CD120" s="762">
        <f>SUM(O120:X120)*5+SUM(AK120:AP120)+IF(BG120=265,430,0)</f>
        <v>425</v>
      </c>
      <c r="CE120" s="764">
        <f>IF('Блок ввода'!I198=17,1,0)</f>
        <v>0</v>
      </c>
      <c r="CF120" s="474">
        <f>IF(AND($N$7=1,N120=0),5,0)</f>
        <v>0</v>
      </c>
      <c r="CG120" s="475"/>
    </row>
    <row r="121" spans="1:101" ht="24" customHeight="1" x14ac:dyDescent="0.2">
      <c r="B121" s="1339"/>
      <c r="C121" s="1346"/>
      <c r="D121" s="1343"/>
      <c r="E121" s="1344"/>
      <c r="F121" s="1302"/>
      <c r="G121" s="1303"/>
      <c r="H121" s="1303"/>
      <c r="I121" s="1303"/>
      <c r="J121" s="1322"/>
      <c r="K121" s="1060"/>
      <c r="L121" s="1061"/>
      <c r="M121" s="1061"/>
      <c r="N121" s="1186">
        <f>IF('Блок ввода'!E233=4,20,IF('Блок ввода'!E233=16,75,IF('Блок ввода'!E233=24,20,0)))</f>
        <v>0</v>
      </c>
      <c r="O121" s="1063"/>
      <c r="P121" s="1064"/>
      <c r="Q121" s="1065"/>
      <c r="R121" s="1061"/>
      <c r="S121" s="1061"/>
      <c r="T121" s="1061"/>
      <c r="U121" s="1061"/>
      <c r="V121" s="1061"/>
      <c r="W121" s="1066"/>
      <c r="X121" s="1063"/>
      <c r="Y121" s="1065"/>
      <c r="Z121" s="1061"/>
      <c r="AA121" s="1061"/>
      <c r="AB121" s="1061"/>
      <c r="AC121" s="1066"/>
      <c r="AD121" s="1067"/>
      <c r="AE121" s="892"/>
      <c r="AF121" s="899"/>
      <c r="AG121" s="1065"/>
      <c r="AH121" s="1061"/>
      <c r="AI121" s="1061"/>
      <c r="AJ121" s="1066"/>
      <c r="AK121" s="1060"/>
      <c r="AL121" s="1061"/>
      <c r="AM121" s="1061"/>
      <c r="AN121" s="1069"/>
      <c r="AO121" s="1069"/>
      <c r="AP121" s="1066"/>
      <c r="AQ121" s="1067">
        <f>IF(AND('Раскладка продуктов'!$BC$3=1,'Блок ввода'!AE35=1),AO121*2,0)</f>
        <v>0</v>
      </c>
      <c r="AR121" s="1070"/>
      <c r="AS121" s="1061"/>
      <c r="AT121" s="1061"/>
      <c r="AU121" s="1061"/>
      <c r="AV121" s="1061"/>
      <c r="AW121" s="1061"/>
      <c r="AX121" s="1061"/>
      <c r="AY121" s="1071"/>
      <c r="AZ121" s="1072"/>
      <c r="BA121" s="1061"/>
      <c r="BB121" s="1061"/>
      <c r="BC121" s="1061"/>
      <c r="BD121" s="1061"/>
      <c r="BE121" s="1073">
        <f>IF('Блок ввода'!T233=2,15*1.4,0)</f>
        <v>0</v>
      </c>
      <c r="BF121" s="1073"/>
      <c r="BG121" s="1073"/>
      <c r="BH121" s="1073"/>
      <c r="BI121" s="1074"/>
      <c r="BJ121" s="1075"/>
      <c r="BK121" s="1076"/>
      <c r="BL121" s="1069"/>
      <c r="BM121" s="1069"/>
      <c r="BN121" s="1062"/>
      <c r="BO121" s="1077"/>
      <c r="BP121" s="1078"/>
      <c r="BQ121" s="1079"/>
      <c r="BR121" s="766"/>
      <c r="BY121" s="764">
        <f>N121+AN121*'Блок ввода'!D106+'Раскладка продуктов'!AO121*'Блок ввода'!D109</f>
        <v>0</v>
      </c>
      <c r="BZ121" s="765"/>
      <c r="CF121" s="475"/>
      <c r="CG121" s="475"/>
    </row>
    <row r="122" spans="1:101" ht="24" customHeight="1" thickBot="1" x14ac:dyDescent="0.25">
      <c r="B122" s="1339"/>
      <c r="C122" s="1346"/>
      <c r="D122" s="1343"/>
      <c r="E122" s="1344"/>
      <c r="F122" s="1323"/>
      <c r="G122" s="1324"/>
      <c r="H122" s="1324"/>
      <c r="I122" s="1324"/>
      <c r="J122" s="1325"/>
      <c r="K122" s="911">
        <v>100</v>
      </c>
      <c r="L122" s="912">
        <v>150</v>
      </c>
      <c r="M122" s="1080"/>
      <c r="N122" s="1187">
        <v>0</v>
      </c>
      <c r="O122" s="1082"/>
      <c r="P122" s="1064"/>
      <c r="Q122" s="1065"/>
      <c r="R122" s="1061"/>
      <c r="S122" s="1061"/>
      <c r="T122" s="1061"/>
      <c r="U122" s="1061"/>
      <c r="V122" s="1061"/>
      <c r="W122" s="1066"/>
      <c r="X122" s="1063"/>
      <c r="Y122" s="1065"/>
      <c r="Z122" s="1061"/>
      <c r="AA122" s="1061"/>
      <c r="AB122" s="1061"/>
      <c r="AC122" s="1066"/>
      <c r="AD122" s="1067"/>
      <c r="AE122" s="892"/>
      <c r="AF122" s="899"/>
      <c r="AG122" s="1065">
        <f>IF(OR('Блок ввода'!T233&lt;=7,'Блок ввода'!T233=9),30-AG128/2-(BE121+BE130)/2.8,0)</f>
        <v>30</v>
      </c>
      <c r="AH122" s="1072"/>
      <c r="AI122" s="1061">
        <f>IF('Блок ввода'!T233=4,20,0)</f>
        <v>0</v>
      </c>
      <c r="AJ122" s="1066"/>
      <c r="AK122" s="1060"/>
      <c r="AL122" s="1061"/>
      <c r="AM122" s="1061"/>
      <c r="AN122" s="1173"/>
      <c r="AO122" s="1069"/>
      <c r="AP122" s="1066"/>
      <c r="AQ122" s="1125">
        <f>IF(AND('Раскладка продуктов'!$BC$3=1,'Блок ввода'!AE35=1),AO122*2,0)</f>
        <v>0</v>
      </c>
      <c r="AR122" s="1128"/>
      <c r="AS122" s="1080"/>
      <c r="AT122" s="1080"/>
      <c r="AU122" s="1080"/>
      <c r="AV122" s="1080"/>
      <c r="AW122" s="1080"/>
      <c r="AX122" s="920">
        <f>IF('Блок ввода'!N198=1,0.25,0)</f>
        <v>0</v>
      </c>
      <c r="AY122" s="1129"/>
      <c r="AZ122" s="1130"/>
      <c r="BA122" s="1080"/>
      <c r="BB122" s="1080"/>
      <c r="BC122" s="1080">
        <v>1.5</v>
      </c>
      <c r="BD122" s="1080"/>
      <c r="BE122" s="1131"/>
      <c r="BF122" s="1131"/>
      <c r="BG122" s="1131"/>
      <c r="BH122" s="1080">
        <f>IF('Блок ввода'!$B$223=1,O122/37.5/2,O122/37.5)</f>
        <v>0</v>
      </c>
      <c r="BI122" s="1169"/>
      <c r="BJ122" s="1170"/>
      <c r="BK122" s="1104"/>
      <c r="BL122" s="1102"/>
      <c r="BM122" s="1102"/>
      <c r="BN122" s="1097"/>
      <c r="BO122" s="1105"/>
      <c r="BP122" s="1078">
        <v>250</v>
      </c>
      <c r="BQ122" s="1079"/>
      <c r="BR122" s="766"/>
      <c r="BY122" s="764">
        <f>N122+AN122*'Блок ввода'!D107+'Раскладка продуктов'!AO122*'Блок ввода'!D110</f>
        <v>0</v>
      </c>
      <c r="BZ122" s="765"/>
      <c r="CF122" s="475"/>
      <c r="CG122" s="475"/>
    </row>
    <row r="123" spans="1:101" ht="24" customHeight="1" x14ac:dyDescent="0.2">
      <c r="B123" s="1339"/>
      <c r="C123" s="1346"/>
      <c r="D123" s="1379" t="str">
        <f>CONCATENATE("О б е д, ОКГ = ",CD126)</f>
        <v>О б е д, ОКГ = 820</v>
      </c>
      <c r="E123" s="483" t="s">
        <v>228</v>
      </c>
      <c r="F123" s="1332" t="str">
        <f>'Блок ввода'!G60</f>
        <v>Салат из сол.огурцов с луком</v>
      </c>
      <c r="G123" s="1333"/>
      <c r="H123" s="1333"/>
      <c r="I123" s="1333"/>
      <c r="J123" s="1334"/>
      <c r="K123" s="869"/>
      <c r="L123" s="870"/>
      <c r="M123" s="1039"/>
      <c r="N123" s="1188">
        <v>0</v>
      </c>
      <c r="O123" s="1040"/>
      <c r="P123" s="1040"/>
      <c r="Q123" s="1043"/>
      <c r="R123" s="1039">
        <f>IF('Блок ввода'!R236=2,5,IF('Блок ввода'!R236=12,5,0))</f>
        <v>0</v>
      </c>
      <c r="S123" s="1039"/>
      <c r="T123" s="1039"/>
      <c r="U123" s="1039"/>
      <c r="V123" s="1039"/>
      <c r="W123" s="1044"/>
      <c r="X123" s="1040"/>
      <c r="Y123" s="1043"/>
      <c r="Z123" s="1039"/>
      <c r="AA123" s="1039"/>
      <c r="AB123" s="1039">
        <f>IF('Блок ввода'!E58=16,30,0)</f>
        <v>0</v>
      </c>
      <c r="AC123" s="1044"/>
      <c r="AD123" s="1045"/>
      <c r="AE123" s="870"/>
      <c r="AF123" s="873">
        <f>30-AF129-AF120</f>
        <v>12</v>
      </c>
      <c r="AG123" s="1043"/>
      <c r="AH123" s="1039"/>
      <c r="AI123" s="1039"/>
      <c r="AJ123" s="1044"/>
      <c r="AK123" s="1038">
        <f>IF('Блок ввода'!E58=17,0,150-P123*5-R123*5-AL123-AM123-AN123-AO123-AP123-AY123)</f>
        <v>0</v>
      </c>
      <c r="AL123" s="1039">
        <f>IF('Блок ввода'!R236=2,20,IF('Блок ввода'!R236=5,150-AN123-AO123-AY123,IF('Блок ввода'!R236=8,20,0)))</f>
        <v>0</v>
      </c>
      <c r="AM123" s="1039">
        <f>IF(OR('Блок ввода'!R236=1,'Блок ввода'!R236=16),40,IF('Блок ввода'!R236=2,20,IF('Блок ввода'!R236=6,150-AN123-AO123-AY123,IF('Блок ввода'!R236=7,150-AN123-AO123-AY123,IF('Блок ввода'!R236=17,(150-AO123-AN123)*375/500,IF('Блок ввода'!R236&gt;10,150-R123*5-AN123-AO123-AP123-AY123,0))))))</f>
        <v>0</v>
      </c>
      <c r="AN123" s="1055">
        <f>IF('Блок ввода'!R236=20,150-AO123,10)</f>
        <v>10</v>
      </c>
      <c r="AO123" s="1046">
        <v>10</v>
      </c>
      <c r="AP123" s="1044">
        <f>IF(OR('Блок ввода'!R236&lt;3,'Блок ввода'!R236=16),25,IF('Блок ввода'!R236=4,45,IF(OR('Блок ввода'!R236=9,'Блок ввода'!R236=15,'Блок ввода'!R236=18,'Блок ввода'!R236=19,'Блок ввода'!R236=21),150-AN123-AO123-AY123,IF('Блок ввода'!R236=10,150-AN123-AO123-AY123,IF('Блок ввода'!R236=12,55,IF('Блок ввода'!R236=13,40,0))))))</f>
        <v>130</v>
      </c>
      <c r="AQ123" s="1045">
        <f>IF(AND('Раскладка продуктов'!$BC$3=1,'Блок ввода'!AE35=1),AO123*2,0)</f>
        <v>0</v>
      </c>
      <c r="AR123" s="1047">
        <f>IF(AND('Раскладка продуктов'!$BC$3=2,'Блок ввода'!$AE$35=1),AO123/10,0)</f>
        <v>0</v>
      </c>
      <c r="AS123" s="1039"/>
      <c r="AT123" s="1039"/>
      <c r="AU123" s="1039"/>
      <c r="AV123" s="1039"/>
      <c r="AW123" s="1039"/>
      <c r="AX123" s="1039"/>
      <c r="AY123" s="1049"/>
      <c r="AZ123" s="1050"/>
      <c r="BA123" s="1039"/>
      <c r="BB123" s="1039"/>
      <c r="BC123" s="1039"/>
      <c r="BD123" s="1039"/>
      <c r="BE123" s="1051"/>
      <c r="BF123" s="1051"/>
      <c r="BG123" s="1051"/>
      <c r="BH123" s="1051"/>
      <c r="BI123" s="1052"/>
      <c r="BJ123" s="1053"/>
      <c r="BK123" s="1054"/>
      <c r="BL123" s="1055"/>
      <c r="BM123" s="1055"/>
      <c r="BN123" s="1056"/>
      <c r="BO123" s="1057"/>
      <c r="BP123" s="1093">
        <f>IF('Блок ввода'!E59=17,('Раскладка продуктов'!AM123+'Раскладка продуктов'!AF123+'Раскладка продуктов'!AN123/2+'Раскладка продуктов'!AO123*0.84),(AK123*'Блок ввода'!$D$4+AL123*'Блок ввода'!$D$9+AM123*'Блок ввода'!$D$8+AN123/2+AO123*0.84+AP123/10*9+AX123/10*8+AF123))</f>
        <v>142.4</v>
      </c>
      <c r="BQ123" s="1059"/>
      <c r="BR123" s="766"/>
      <c r="BZ123" s="765"/>
      <c r="CB123" s="765">
        <f>SUM(AK123:AP123)+R123*5</f>
        <v>150</v>
      </c>
      <c r="CF123" s="475"/>
      <c r="CG123" s="475"/>
    </row>
    <row r="124" spans="1:101" ht="24" customHeight="1" x14ac:dyDescent="0.2">
      <c r="B124" s="1339"/>
      <c r="C124" s="1346"/>
      <c r="D124" s="1380"/>
      <c r="E124" s="484" t="s">
        <v>229</v>
      </c>
      <c r="F124" s="1319" t="str">
        <f>'Блок ввода'!G119</f>
        <v>Щи из св. капусты с картофелем</v>
      </c>
      <c r="G124" s="1320"/>
      <c r="H124" s="1320"/>
      <c r="I124" s="1320"/>
      <c r="J124" s="1320"/>
      <c r="K124" s="891"/>
      <c r="L124" s="892"/>
      <c r="M124" s="1061"/>
      <c r="N124" s="1189">
        <v>2</v>
      </c>
      <c r="O124" s="1063"/>
      <c r="P124" s="1063">
        <f>IF('Блок ввода'!R237=14,20,IF('Блок ввода'!R237=22,55-(AN124+AO124)/5,0))</f>
        <v>0</v>
      </c>
      <c r="Q124" s="1065">
        <f>IF('Блок ввода'!R237=15,20,IF('Блок ввода'!R237=23,60-N124-(AN124+AO124)/5-AQ124-AR124*2,0))</f>
        <v>0</v>
      </c>
      <c r="R124" s="1061">
        <f>IF('Блок ввода'!R237=8,20,0)</f>
        <v>0</v>
      </c>
      <c r="S124" s="1061">
        <f>IF('Блок ввода'!R237=16,20,0)</f>
        <v>0</v>
      </c>
      <c r="T124" s="1061">
        <f>IF('Блок ввода'!R237=17,20,0)</f>
        <v>0</v>
      </c>
      <c r="U124" s="1061">
        <f>IF('Блок ввода'!R237=4,15,IF('Блок ввода'!R237=19,30,0))</f>
        <v>0</v>
      </c>
      <c r="V124" s="1061">
        <f>IF('Блок ввода'!R237=3,20,IF('Блок ввода'!R237=12,25,0))</f>
        <v>0</v>
      </c>
      <c r="W124" s="1066"/>
      <c r="X124" s="1063">
        <f>IF('Блок ввода'!R237=13,25,IF('Блок ввода'!R237=21,55-(AN124+AO124)/5-AQ124-AR124*2,0))</f>
        <v>0</v>
      </c>
      <c r="Y124" s="1065"/>
      <c r="Z124" s="1061"/>
      <c r="AA124" s="1061"/>
      <c r="AB124" s="1061"/>
      <c r="AC124" s="1068">
        <f>IF('Блок ввода'!E116=18,12,0)</f>
        <v>0</v>
      </c>
      <c r="AD124" s="1067"/>
      <c r="AE124" s="892"/>
      <c r="AF124" s="899"/>
      <c r="AG124" s="1065"/>
      <c r="AH124" s="1061"/>
      <c r="AI124" s="1061"/>
      <c r="AJ124" s="1066"/>
      <c r="AK124" s="1060">
        <f>IF('Блок ввода'!E116=24,0,ОКГП-(SUM(P124:X124))*5-AL124-AM124-AN124-AO124-AP124-AY124)</f>
        <v>115</v>
      </c>
      <c r="AL124" s="1061">
        <f>IF('Блок ввода'!R237&lt;3,140,IF('Блок ввода'!R237=3,90,IF('Блок ввода'!R237=4,115,IF('Блок ввода'!R237=5,80,IF('Блок ввода'!R237=9,90,0)))))</f>
        <v>140</v>
      </c>
      <c r="AM124" s="1061">
        <f>IF('Блок ввода'!R237=5,60,IF('Блок ввода'!R237=6,60,IF('Блок ввода'!R237=20,120,0)))</f>
        <v>0</v>
      </c>
      <c r="AN124" s="1094">
        <v>10</v>
      </c>
      <c r="AO124" s="1094">
        <v>10</v>
      </c>
      <c r="AP124" s="1066">
        <f>IF('Блок ввода'!R237=6,80,IF('Блок ввода'!R237=7,50,IF('Блок ввода'!R237=8,50,IF('Блок ввода'!R237=9,50,IF('Блок ввода'!R237=11,105,IF('Блок ввода'!R237=19,5,IF('Блок ввода'!R237=20,70,0)))))))</f>
        <v>0</v>
      </c>
      <c r="AQ124" s="1067">
        <f>IF(AND('Раскладка продуктов'!$BC$3=1,'Блок ввода'!AE35=1),AO124*2,0)</f>
        <v>0</v>
      </c>
      <c r="AR124" s="1070">
        <f>IF(AND('Раскладка продуктов'!$BC$3=2,'Блок ввода'!$AE$35=1),AO124/10,0)</f>
        <v>0</v>
      </c>
      <c r="AS124" s="1061"/>
      <c r="AT124" s="1061"/>
      <c r="AU124" s="1061"/>
      <c r="AV124" s="1061"/>
      <c r="AW124" s="1061"/>
      <c r="AX124" s="1072">
        <f>IF('Блок ввода'!R237=20,0.5,0)</f>
        <v>0</v>
      </c>
      <c r="AY124" s="1071"/>
      <c r="AZ124" s="1072">
        <f>IF('Блок ввода'!$A$34&lt;&gt;2,0,IF(OR('Блок ввода'!E116=21,'Блок ввода'!E116=22,'Блок ввода'!E116=23),('Блок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0</v>
      </c>
      <c r="BA124" s="1061">
        <f>IF('Блок ввода'!$A$34=2,0,BT124)</f>
        <v>0</v>
      </c>
      <c r="BB124" s="1061"/>
      <c r="BC124" s="1061"/>
      <c r="BD124" s="1061"/>
      <c r="BE124" s="1073"/>
      <c r="BF124" s="1073">
        <f>IF('Блок ввода'!E116=24,(300-'Раскладка продуктов'!N124*5-'Раскладка продуктов'!AN124-'Раскладка продуктов'!AO124)*375/500,0)</f>
        <v>0</v>
      </c>
      <c r="BG124" s="1073"/>
      <c r="BH124" s="1073"/>
      <c r="BI124" s="1074"/>
      <c r="BJ124" s="1075"/>
      <c r="BK124" s="1076"/>
      <c r="BL124" s="1069"/>
      <c r="BM124" s="1069"/>
      <c r="BN124" s="1062"/>
      <c r="BO124" s="1077"/>
      <c r="BP124" s="909">
        <f>IF($BP$1=1,550,500)</f>
        <v>550</v>
      </c>
      <c r="BQ124" s="1079"/>
      <c r="BR124" s="766"/>
      <c r="BT124" s="764">
        <f>IF('Блок ввода'!E116&gt;20,IF('Блок ввода'!A34=3,BU124*15/100,BU124/5),0)</f>
        <v>0</v>
      </c>
      <c r="BU124" s="764">
        <f>IF(OR('Блок ввода'!E116=21,'Блок ввода'!E116=22,'Блок ввода'!E116=23),('Блок ввода'!$L$34-$AZ$34-$AZ$47-$AZ$60-$AZ$73-$AZ$103-$AZ$116-$AZ$129-$AZ$25-$AZ$38-$AZ$51-$AZ$64-$AZ$94-$AZ$107-$AZ$120)/2,0)</f>
        <v>0</v>
      </c>
      <c r="BZ124" s="765"/>
      <c r="CB124" s="765">
        <f>SUM(N124:X124)*5+SUM(AK124:AP124)+BF124*500/375</f>
        <v>285</v>
      </c>
      <c r="CF124" s="475"/>
      <c r="CG124" s="475"/>
    </row>
    <row r="125" spans="1:101" ht="24" customHeight="1" x14ac:dyDescent="0.2">
      <c r="B125" s="1339"/>
      <c r="C125" s="1346"/>
      <c r="D125" s="1380"/>
      <c r="E125" s="484" t="s">
        <v>229</v>
      </c>
      <c r="F125" s="1319" t="str">
        <f>'Блок ввода'!G123</f>
        <v>Щи из св. капусты с картофелем</v>
      </c>
      <c r="G125" s="1320"/>
      <c r="H125" s="1320"/>
      <c r="I125" s="1320"/>
      <c r="J125" s="1320"/>
      <c r="K125" s="891"/>
      <c r="L125" s="892"/>
      <c r="M125" s="1061"/>
      <c r="N125" s="1189">
        <v>2</v>
      </c>
      <c r="O125" s="1063"/>
      <c r="P125" s="1063">
        <f>IF('Блок ввода'!R238=14,20,IF('Блок ввода'!R238=22,55-(AN125+AO125)/5,0))</f>
        <v>0</v>
      </c>
      <c r="Q125" s="1065">
        <f>IF('Блок ввода'!R238=15,20,IF('Блок ввода'!R238=23,60-N125-(AN125+AO125)/5-AQ125-AR125*2,0))</f>
        <v>0</v>
      </c>
      <c r="R125" s="1061">
        <f>IF('Блок ввода'!R238=8,20,0)</f>
        <v>0</v>
      </c>
      <c r="S125" s="1061">
        <f>IF('Блок ввода'!R238=16,20,0)</f>
        <v>0</v>
      </c>
      <c r="T125" s="1061">
        <f>IF('Блок ввода'!R238=17,20,0)</f>
        <v>0</v>
      </c>
      <c r="U125" s="1061">
        <f>IF('Блок ввода'!R238=4,15,IF('Блок ввода'!R238=19,30,0))</f>
        <v>0</v>
      </c>
      <c r="V125" s="1061">
        <f>IF('Блок ввода'!R238=3,20,IF('Блок ввода'!R238=12,25,0))</f>
        <v>0</v>
      </c>
      <c r="W125" s="1066"/>
      <c r="X125" s="1063">
        <f>IF('Блок ввода'!R238=13,25,IF('Блок ввода'!R238=21,55-(AN125+AO125)/5-AQ125-AR125*2,0))</f>
        <v>0</v>
      </c>
      <c r="Y125" s="1065"/>
      <c r="Z125" s="1061"/>
      <c r="AA125" s="1061"/>
      <c r="AB125" s="1095"/>
      <c r="AC125" s="1068">
        <f>IF('Блок ввода'!E120=18,12,0)</f>
        <v>0</v>
      </c>
      <c r="AD125" s="1067"/>
      <c r="AE125" s="892">
        <v>4</v>
      </c>
      <c r="AF125" s="899"/>
      <c r="AG125" s="1065"/>
      <c r="AH125" s="1061"/>
      <c r="AI125" s="1061"/>
      <c r="AJ125" s="1066"/>
      <c r="AK125" s="1060">
        <f>IF('Блок ввода'!E120=24,0,ОКГП-(SUM(P125:X125))*5-AL125-AM125-AN125-AO125-AP125-AY125)</f>
        <v>115</v>
      </c>
      <c r="AL125" s="1061">
        <f>IF('Блок ввода'!R238&lt;3,140,IF('Блок ввода'!R238=3,90,IF('Блок ввода'!R238=4,115,IF('Блок ввода'!R238=5,80,IF('Блок ввода'!R238=9,90,0)))))</f>
        <v>140</v>
      </c>
      <c r="AM125" s="1061">
        <f>IF('Блок ввода'!R238=5,60,IF('Блок ввода'!R238=6,60,IF('Блок ввода'!R238=20,120,0)))</f>
        <v>0</v>
      </c>
      <c r="AN125" s="1094">
        <v>10</v>
      </c>
      <c r="AO125" s="1094">
        <v>10</v>
      </c>
      <c r="AP125" s="1066">
        <f>IF('Блок ввода'!R238=6,80,IF('Блок ввода'!R238=7,50,IF('Блок ввода'!R238=8,50,IF('Блок ввода'!R238=9,50,IF('Блок ввода'!R238=11,105,IF('Блок ввода'!R238=19,5,IF('Блок ввода'!R238=20,70,0)))))))</f>
        <v>0</v>
      </c>
      <c r="AQ125" s="1067">
        <f>IF(AND('Раскладка продуктов'!$BC$3=1,'Блок ввода'!AE35=1),AO125*2,0)</f>
        <v>0</v>
      </c>
      <c r="AR125" s="1070">
        <f>IF(AND('Раскладка продуктов'!$BC$3=2,'Блок ввода'!$AE$35=1),AO125/10,0)</f>
        <v>0</v>
      </c>
      <c r="AS125" s="1061"/>
      <c r="AT125" s="1061"/>
      <c r="AU125" s="1061"/>
      <c r="AV125" s="1061"/>
      <c r="AW125" s="1061"/>
      <c r="AX125" s="1072">
        <f>IF('Блок ввода'!R238=20,0.5,0)</f>
        <v>0</v>
      </c>
      <c r="AY125" s="1071"/>
      <c r="AZ125" s="1072">
        <f>IF('Блок ввода'!$A$34&lt;&gt;2,0,IF(OR('Блок ввода'!E120=21,'Блок ввода'!E120=22,'Блок ввода'!E120=23),('Блок ввода'!$L$34-AZ25-AZ34-AZ38-AZ47-AZ51-AZ60-AZ64-AZ73-AZ94-AZ103-AZ107-AZ116-AZ120-AZ129-IF('Блок ввода'!N143=9,$AZ$34,0)-IF('Блок ввода'!N153=9,$AZ$47,0)-IF('Блок ввода'!N163=9,$AZ$60,0)-IF('Блок ввода'!N173=9,$AZ$73,0)-IF('Блок ввода'!N183=9,$AZ$103,0)-IF('Блок ввода'!N193=9,$AZ$116,0)-IF('Блок ввода'!N203=9,$AZ$129,0)-IF('Блок ввода'!N138=9,$AZ$25,0)-IF('Блок ввода'!N148=9,$AZ$38,0)-IF('Блок ввода'!N158=9,$AZ$51,0)-IF('Блок ввода'!N168=9,$AZ$64,0)-IF('Блок ввода'!N178=9,$AZ$94,0)-IF('Блок ввода'!N188=9,$AZ$107,0)-IF(OR('Блок ввода'!N198=9,'Блок ввода'!I198=17),$AZ$120,0))/'Блок ввода'!L67,0))</f>
        <v>0</v>
      </c>
      <c r="BA125" s="1061">
        <f>IF('Блок ввода'!$A$34=2,0,BT125)</f>
        <v>0</v>
      </c>
      <c r="BB125" s="1061"/>
      <c r="BC125" s="1061"/>
      <c r="BD125" s="1061"/>
      <c r="BE125" s="1073"/>
      <c r="BF125" s="1073">
        <f>IF('Блок ввода'!E120=24,(300-'Раскладка продуктов'!N125*5-'Раскладка продуктов'!AN125-'Раскладка продуктов'!AO125)*375/500,0)</f>
        <v>0</v>
      </c>
      <c r="BG125" s="1073"/>
      <c r="BH125" s="1073"/>
      <c r="BI125" s="1074"/>
      <c r="BJ125" s="1075"/>
      <c r="BK125" s="1076"/>
      <c r="BL125" s="1069"/>
      <c r="BM125" s="1069"/>
      <c r="BN125" s="1062"/>
      <c r="BO125" s="1077"/>
      <c r="BP125" s="909">
        <f>IF($BP$1=1,550,500)</f>
        <v>550</v>
      </c>
      <c r="BQ125" s="1096"/>
      <c r="BR125" s="766"/>
      <c r="BT125" s="764">
        <f>IF('Блок ввода'!E120&gt;20,IF('Блок ввода'!A34=3,BU125*15/100,BU125/5),0)</f>
        <v>0</v>
      </c>
      <c r="BU125" s="764">
        <f>IF(OR('Блок ввода'!E120=21,'Блок ввода'!E120=22,'Блок ввода'!E120=23),('Блок ввода'!$L$34-$AZ$34-$AZ$47-$AZ$60-$AZ$73-$AZ$103-$AZ$116-$AZ$129-$AZ$25-$AZ$38-$AZ$51-$AZ$64-$AZ$94-$AZ$107-$AZ$120)/2,0)</f>
        <v>0</v>
      </c>
      <c r="BZ125" s="765"/>
      <c r="CB125" s="765">
        <f>SUM(N125:X125)*5+SUM(AK125:AP125)+BF125*500/375</f>
        <v>285</v>
      </c>
      <c r="CF125" s="475"/>
      <c r="CG125" s="475"/>
    </row>
    <row r="126" spans="1:101" ht="24" customHeight="1" x14ac:dyDescent="0.2">
      <c r="B126" s="1339"/>
      <c r="C126" s="1346"/>
      <c r="D126" s="1380"/>
      <c r="E126" s="484" t="s">
        <v>230</v>
      </c>
      <c r="F126" s="1319" t="str">
        <f>CONCATENATE('Блок ввода'!Y240,'Блок ввода'!AA240)</f>
        <v xml:space="preserve">Куры отварные с соусом с кашей гречневой рас,    </v>
      </c>
      <c r="G126" s="1320"/>
      <c r="H126" s="1320"/>
      <c r="I126" s="1320"/>
      <c r="J126" s="1348"/>
      <c r="K126" s="891"/>
      <c r="L126" s="892"/>
      <c r="M126" s="1061"/>
      <c r="N126" s="1189">
        <v>2</v>
      </c>
      <c r="O126" s="1063">
        <f>IF('Блок ввода'!R239=4,20,IF('Блок ввода'!R239=16,75,IF('Блок ввода'!R239=24,20,0)))</f>
        <v>0</v>
      </c>
      <c r="P126" s="1063">
        <f>IF('Блок ввода'!R239=8,(ОКГВ-AN126-AO126-AY126)/5,IF('Блок ввода'!R239=12,16,IF('Блок ввода'!S239=7,(ОКГВ-AN126-AO126-AP126-AY126)/5,0)))</f>
        <v>0</v>
      </c>
      <c r="Q126" s="1060">
        <f>IF('Блок ввода'!S239=8,CB126/5,0)</f>
        <v>71</v>
      </c>
      <c r="R126" s="1061">
        <f>IF('Блок ввода'!S239=9,CB126/5,0)</f>
        <v>0</v>
      </c>
      <c r="S126" s="1061">
        <f>IF('Блок ввода'!S239=11,CB126/5,0)</f>
        <v>0</v>
      </c>
      <c r="T126" s="1061">
        <f>IF('Блок ввода'!S239=12,CB126/5,0)</f>
        <v>0</v>
      </c>
      <c r="U126" s="1061">
        <f>IF('Блок ввода'!S239=10,CB126/5,IF('Блок ввода'!S239=16,CB126/5-V126,0))</f>
        <v>0</v>
      </c>
      <c r="V126" s="1061">
        <f>IF('Блок ввода'!S239=14,CB126/5,IF('Блок ввода'!S239=16,40,0))</f>
        <v>0</v>
      </c>
      <c r="W126" s="1068">
        <f>IF('Блок ввода'!S239=13,CB126/5,0)</f>
        <v>0</v>
      </c>
      <c r="X126" s="1063">
        <f>IF('Блок ввода'!R239=14,CB126/5,IF('Блок ввода'!S239=15,CB126/5,0))</f>
        <v>0</v>
      </c>
      <c r="Y126" s="1065">
        <f>IF('Блок ввода'!R239&lt;19,BX1,0)</f>
        <v>150</v>
      </c>
      <c r="Z126" s="1061">
        <f>IF('Блок ввода'!R239=19,75,0)</f>
        <v>0</v>
      </c>
      <c r="AA126" s="1061"/>
      <c r="AB126" s="1061">
        <f>IF('Блок ввода'!R239&gt;20,120-AB123,0)</f>
        <v>0</v>
      </c>
      <c r="AC126" s="1066">
        <f>IF('Блок ввода'!R239=20,96,0)</f>
        <v>0</v>
      </c>
      <c r="AD126" s="1067"/>
      <c r="AE126" s="892">
        <v>4</v>
      </c>
      <c r="AF126" s="899"/>
      <c r="AG126" s="1065"/>
      <c r="AH126" s="1061"/>
      <c r="AI126" s="1061"/>
      <c r="AJ126" s="1066"/>
      <c r="AK126" s="1060">
        <f>IF('Блок ввода'!R239=7,ОКГВ-AL126-AN126-AO126-N126*5-AY126,IF('Блок ввода'!R239=15,ОКГВ-N126*5-AN126-AO126-AY126,IF('Блок ввода'!S239&lt;5,ОКГВ-N126*5-P126*5-AN126-AO126-AP126-AY126,)))</f>
        <v>0</v>
      </c>
      <c r="AL126" s="1061">
        <f>IF('Блок ввода'!R239=7,200,IF('Блок ввода'!R239=13,450-N126*5-AN126-AO126-AY126,IF('Блок ввода'!S239=5,CB126,0)))</f>
        <v>0</v>
      </c>
      <c r="AM126" s="1061"/>
      <c r="AN126" s="1094">
        <v>10</v>
      </c>
      <c r="AO126" s="1094">
        <v>10</v>
      </c>
      <c r="AP126" s="1066">
        <f>IF('Блок ввода'!R239=6,20,0)</f>
        <v>0</v>
      </c>
      <c r="AQ126" s="1067">
        <f>IF(AND('Раскладка продуктов'!$BC$3=1,'Блок ввода'!AE35=1),AO126*2,0)</f>
        <v>0</v>
      </c>
      <c r="AR126" s="1070">
        <f>IF(AND('Раскладка продуктов'!$BC$3=2,'Блок ввода'!$AE$35=1),AO126/10,0)</f>
        <v>0</v>
      </c>
      <c r="AS126" s="1061"/>
      <c r="AT126" s="1061"/>
      <c r="AU126" s="1061"/>
      <c r="AV126" s="1061"/>
      <c r="AW126" s="1061"/>
      <c r="AX126" s="1061"/>
      <c r="AY126" s="1071"/>
      <c r="AZ126" s="1072"/>
      <c r="BA126" s="1061"/>
      <c r="BB126" s="1061"/>
      <c r="BC126" s="1061"/>
      <c r="BD126" s="1061"/>
      <c r="BE126" s="1073"/>
      <c r="BF126" s="1073"/>
      <c r="BG126" s="1073"/>
      <c r="BH126" s="1073"/>
      <c r="BI126" s="1074"/>
      <c r="BJ126" s="1075"/>
      <c r="BK126" s="1076"/>
      <c r="BL126" s="1069"/>
      <c r="BM126" s="1069"/>
      <c r="BN126" s="1062"/>
      <c r="BO126" s="1077"/>
      <c r="BP126" s="1078">
        <f>BQ126+P126*2.8+Q126*2.1+R126*3+S126*3+T126*3+U126*2.5+V126*2.1+W126*3+X126*3+BX126+AL126*'Блок ввода'!$D$9+'Раскладка продуктов'!AM126*'Блок ввода'!$D$8+'Раскладка продуктов'!AP126*'Блок ввода'!$D$11+'Раскладка продуктов'!AQ126*'Блок ввода'!$D$12+'Раскладка продуктов'!AX126*'Блок ввода'!$D$13+0.5*AD126+IF(BZ126&gt;0,50,BY126)</f>
        <v>230.9</v>
      </c>
      <c r="BQ126" s="1096">
        <f>'Блок ввода'!AG239</f>
        <v>64</v>
      </c>
      <c r="BR126" s="766"/>
      <c r="BX126" s="764">
        <f>IF(CA126&gt;0,'Раскладка продуктов'!AK126*'Блок ввода'!$D$5,AK126*'Блок ввода'!$D$4)</f>
        <v>0</v>
      </c>
      <c r="BY126" s="764">
        <f>N126+AN126*'Блок ввода'!$D$7+'Раскладка продуктов'!AO126*'Блок ввода'!$D$10</f>
        <v>17.8</v>
      </c>
      <c r="BZ126" s="765">
        <f>IF('Блок ввода'!R239&lt;4,1,IF('Блок ввода'!R239=9,1,IF('Блок ввода'!R239=10,1,IF('Блок ввода'!R239=11,1,IF('Блок ввода'!R239=5,1,IF('Блок ввода'!R239=6,1,IF('Блок ввода'!R239=7,1,0)))))))</f>
        <v>0</v>
      </c>
      <c r="CA126" s="765">
        <f>IF('Блок ввода'!S239=1,1,0)</f>
        <v>0</v>
      </c>
      <c r="CB126" s="765">
        <f>ОКГВ-P126*5-AN126-AO126-AP126-AY126</f>
        <v>355</v>
      </c>
      <c r="CC126" s="765">
        <f>SUM(N126:X126)*5+SUM(AK126:AP126)</f>
        <v>385</v>
      </c>
      <c r="CD126" s="765">
        <f>(CB124+CB125+CC126+CC127)/2+CB123</f>
        <v>820</v>
      </c>
      <c r="CF126" s="475"/>
      <c r="CG126" s="475"/>
    </row>
    <row r="127" spans="1:101" ht="24" customHeight="1" x14ac:dyDescent="0.2">
      <c r="B127" s="1339"/>
      <c r="C127" s="1346"/>
      <c r="D127" s="1380"/>
      <c r="E127" s="484" t="s">
        <v>230</v>
      </c>
      <c r="F127" s="1319" t="str">
        <f>CONCATENATE('Блок ввода'!Y245,'Блок ввода'!AA245)</f>
        <v xml:space="preserve">Куры жареные с соусом с кашей рисовой рас,    </v>
      </c>
      <c r="G127" s="1320"/>
      <c r="H127" s="1320"/>
      <c r="I127" s="1320"/>
      <c r="J127" s="1348"/>
      <c r="K127" s="891"/>
      <c r="L127" s="892"/>
      <c r="M127" s="1061"/>
      <c r="N127" s="1189">
        <v>2</v>
      </c>
      <c r="O127" s="1063">
        <f>IF('Блок ввода'!R240=4,20,IF('Блок ввода'!R240=16,75,IF('Блок ввода'!R240=24,20,0)))</f>
        <v>0</v>
      </c>
      <c r="P127" s="1063">
        <f>IF('Блок ввода'!R240=8,(ОКГВ-AN127-AO127-AY127)/5,IF('Блок ввода'!R240=12,16,IF('Блок ввода'!S240=7,(ОКГВ-AN127-AO127-AP127-AY127)/5,0)))</f>
        <v>71</v>
      </c>
      <c r="Q127" s="1060">
        <f>IF('Блок ввода'!S240=8,CB127/5,0)</f>
        <v>0</v>
      </c>
      <c r="R127" s="1061">
        <f>IF('Блок ввода'!S240=9,CB127/5,0)</f>
        <v>0</v>
      </c>
      <c r="S127" s="1061">
        <f>IF('Блок ввода'!S240=11,CB127/5,0)</f>
        <v>0</v>
      </c>
      <c r="T127" s="1061">
        <f>IF('Блок ввода'!S240=12,CB127/5,0)</f>
        <v>0</v>
      </c>
      <c r="U127" s="1061">
        <f>IF('Блок ввода'!S240=10,CB127/5,IF('Блок ввода'!S240=16,CB127/5-V127,0))</f>
        <v>0</v>
      </c>
      <c r="V127" s="1061">
        <f>IF('Блок ввода'!S240=14,CB127/5,IF('Блок ввода'!S240=16,40,0))</f>
        <v>0</v>
      </c>
      <c r="W127" s="1068">
        <f>IF('Блок ввода'!S240=13,CB127/5,0)</f>
        <v>0</v>
      </c>
      <c r="X127" s="1063">
        <f>IF('Блок ввода'!R240=14,CB127/5,IF('Блок ввода'!S240=15,CB127/5,0))</f>
        <v>0</v>
      </c>
      <c r="Y127" s="1065">
        <f>IF('Блок ввода'!R240&lt;19,BX1,0)</f>
        <v>150</v>
      </c>
      <c r="Z127" s="1061">
        <f>IF('Блок ввода'!R240=19,75,0)</f>
        <v>0</v>
      </c>
      <c r="AA127" s="1061"/>
      <c r="AB127" s="1061">
        <f>IF('Блок ввода'!R240&gt;20,120-AB123,0)</f>
        <v>0</v>
      </c>
      <c r="AC127" s="1066">
        <f>IF('Блок ввода'!R240=20,96,0)</f>
        <v>0</v>
      </c>
      <c r="AD127" s="1067"/>
      <c r="AE127" s="892"/>
      <c r="AF127" s="899"/>
      <c r="AG127" s="1065"/>
      <c r="AH127" s="1061"/>
      <c r="AI127" s="1061"/>
      <c r="AJ127" s="1066"/>
      <c r="AK127" s="1060">
        <f>IF('Блок ввода'!R240=7,ОКГВ-AL127-AN127-AO127-N127*5-AY127,IF('Блок ввода'!R240=15,ОКГВ-N127*5-AN127-AO127-AY127,IF('Блок ввода'!S240&lt;5,ОКГВ-N127*5-P127*5-AN127-AO127-AP127-AY127,)))</f>
        <v>0</v>
      </c>
      <c r="AL127" s="1061">
        <f>IF('Блок ввода'!R240=7,200,IF('Блок ввода'!R240=13,450-N127*5-AN127-AO127-AY127,IF('Блок ввода'!S240=5,CB127,0)))</f>
        <v>0</v>
      </c>
      <c r="AM127" s="1061"/>
      <c r="AN127" s="1094">
        <v>10</v>
      </c>
      <c r="AO127" s="1094">
        <v>10</v>
      </c>
      <c r="AP127" s="1066">
        <f>IF('Блок ввода'!R240=6,20,0)</f>
        <v>0</v>
      </c>
      <c r="AQ127" s="1067">
        <f>IF(AND('Раскладка продуктов'!$BC$3=1,'Блок ввода'!AE35=1),AO127*2,0)</f>
        <v>0</v>
      </c>
      <c r="AR127" s="1070">
        <f>IF(AND('Раскладка продуктов'!$BC$3=2,'Блок ввода'!$AE$35=1),AO127/10,0)</f>
        <v>0</v>
      </c>
      <c r="AS127" s="1061"/>
      <c r="AT127" s="1061"/>
      <c r="AU127" s="1061"/>
      <c r="AV127" s="1061"/>
      <c r="AW127" s="1061"/>
      <c r="AX127" s="1061"/>
      <c r="AY127" s="1071"/>
      <c r="AZ127" s="1072"/>
      <c r="BA127" s="1061"/>
      <c r="BB127" s="1061"/>
      <c r="BC127" s="1061"/>
      <c r="BD127" s="1061"/>
      <c r="BE127" s="1073"/>
      <c r="BF127" s="1073"/>
      <c r="BG127" s="1073"/>
      <c r="BH127" s="1073"/>
      <c r="BI127" s="1074"/>
      <c r="BJ127" s="1075"/>
      <c r="BK127" s="1076"/>
      <c r="BL127" s="1069"/>
      <c r="BM127" s="1069"/>
      <c r="BN127" s="1062"/>
      <c r="BO127" s="1077"/>
      <c r="BP127" s="1078">
        <f>BQ127+P127*2.8+Q127*2.1+R127*3+S127*3+T127*3+U127*2.5+V127*2.1+W127*3+X127*3+BX127+AL127*'Блок ввода'!$D$9+'Раскладка продуктов'!AM127*'Блок ввода'!$D$8+'Раскладка продуктов'!AP127*'Блок ввода'!$D$11+'Раскладка продуктов'!AQ127*'Блок ввода'!$D$12+'Раскладка продуктов'!AX127*'Блок ввода'!$D$13+0.5*AD127+IF(BZ127&gt;0,50,BY127)</f>
        <v>277.59999999999997</v>
      </c>
      <c r="BQ127" s="1096">
        <f>'Блок ввода'!AG240</f>
        <v>61</v>
      </c>
      <c r="BR127" s="766"/>
      <c r="BX127" s="764">
        <f>IF(CA127&gt;0,'Раскладка продуктов'!AK127*'Блок ввода'!$D$5,AK127*'Блок ввода'!$D$4)</f>
        <v>0</v>
      </c>
      <c r="BY127" s="764">
        <f>N127+AN127*'Блок ввода'!$D$7+'Раскладка продуктов'!AO127*'Блок ввода'!$D$10</f>
        <v>17.8</v>
      </c>
      <c r="BZ127" s="765">
        <f>IF('Блок ввода'!R240&lt;4,1,IF('Блок ввода'!R240=9,1,IF('Блок ввода'!R240=10,1,IF('Блок ввода'!R240=11,1,IF('Блок ввода'!R240=5,1,IF('Блок ввода'!R240=6,1,IF('Блок ввода'!R240=7,1,0)))))))</f>
        <v>0</v>
      </c>
      <c r="CA127" s="765">
        <f>IF('Блок ввода'!S240=1,1,0)</f>
        <v>0</v>
      </c>
      <c r="CB127" s="765">
        <f>ОКГВ-P127*5-AN127-AO127-AP127-AY127</f>
        <v>0</v>
      </c>
      <c r="CC127" s="765">
        <f>SUM(N127:X127)*5+SUM(AK127:AP127)</f>
        <v>385</v>
      </c>
      <c r="CF127" s="475"/>
      <c r="CG127" s="475"/>
    </row>
    <row r="128" spans="1:101" ht="24" customHeight="1" thickBot="1" x14ac:dyDescent="0.25">
      <c r="B128" s="1339"/>
      <c r="C128" s="1346"/>
      <c r="D128" s="1381"/>
      <c r="E128" s="484" t="s">
        <v>231</v>
      </c>
      <c r="F128" s="1326" t="str">
        <f>'Блок ввода'!U246</f>
        <v>Компот, хлеб</v>
      </c>
      <c r="G128" s="1327"/>
      <c r="H128" s="1327"/>
      <c r="I128" s="1327"/>
      <c r="J128" s="1328"/>
      <c r="K128" s="911">
        <v>100</v>
      </c>
      <c r="L128" s="912">
        <v>150</v>
      </c>
      <c r="M128" s="1086">
        <f>IF('Блок ввода'!AE36=2,65,IF('Блок ввода'!AE36=1,88.5,0))</f>
        <v>0</v>
      </c>
      <c r="N128" s="1187">
        <v>0</v>
      </c>
      <c r="O128" s="1098"/>
      <c r="P128" s="1083"/>
      <c r="Q128" s="1099"/>
      <c r="R128" s="1086"/>
      <c r="S128" s="1086"/>
      <c r="T128" s="1086"/>
      <c r="U128" s="1086"/>
      <c r="V128" s="1086"/>
      <c r="W128" s="1100"/>
      <c r="X128" s="1083"/>
      <c r="Y128" s="1099"/>
      <c r="Z128" s="1086"/>
      <c r="AA128" s="1086"/>
      <c r="AB128" s="1086"/>
      <c r="AC128" s="1100"/>
      <c r="AD128" s="1084"/>
      <c r="AE128" s="913"/>
      <c r="AF128" s="940"/>
      <c r="AG128" s="1099"/>
      <c r="AH128" s="1089"/>
      <c r="AI128" s="913">
        <f>IF('Блок ввода'!R241=2,20*IF('Блок ввода'!AA127=1,5,1),IF(AND('Блок ввода'!R241=3,'Блок ввода'!AA127=1),100,0))</f>
        <v>20</v>
      </c>
      <c r="AJ128" s="1100"/>
      <c r="AK128" s="1101"/>
      <c r="AL128" s="1086"/>
      <c r="AM128" s="1086"/>
      <c r="AN128" s="1069"/>
      <c r="AO128" s="1102">
        <f>IF(AND('Блок ввода'!A31=1,'Блок ввода'!I23="Лука"),'Блок ввода'!L23,0)</f>
        <v>0</v>
      </c>
      <c r="AP128" s="1100"/>
      <c r="AQ128" s="1084">
        <f>IF(AND('Раскладка продуктов'!$BC$3=1,'Блок ввода'!AE35=1),AO128*2,0)</f>
        <v>0</v>
      </c>
      <c r="AR128" s="1085"/>
      <c r="AS128" s="1086"/>
      <c r="AT128" s="1086"/>
      <c r="AU128" s="1086"/>
      <c r="AV128" s="1086"/>
      <c r="AW128" s="1086"/>
      <c r="AX128" s="1086"/>
      <c r="AY128" s="1088"/>
      <c r="AZ128" s="1089">
        <f>IF('Блок ввода'!A34=1,IF('Блок ввода'!R241&lt;3,0,IF('Блок ввода'!S31=FALSE,0,BR128/5)),IF('Блок ввода'!R241&lt;3,0,IF('Блок ввода'!S31=FALSE,0,BR128)))</f>
        <v>0</v>
      </c>
      <c r="BA128" s="1086"/>
      <c r="BB128" s="1086">
        <f>IF('Блок ввода'!S120=TRUE,0,IF('Блок ввода'!R241=3,200+IF('Блок ввода'!$A$35=1,400-(AI128*3)),IF(OR('Блок ввода'!R241=4,'Блок ввода'!R241=7),200+IF('Блок ввода'!$A$35=1,400-(AI128*3)),IF(OR('Блок ввода'!R241=5, 'Блок ввода'!R241=7),200+IF('Блок ввода'!$A$35=1,400-(AI128*3)),0))))</f>
        <v>0</v>
      </c>
      <c r="BC128" s="1086"/>
      <c r="BD128" s="1102">
        <f>IF(AND('Блок ввода'!A31=1,'Блок ввода'!I23="Чеснока"),'Блок ввода'!L23,0)</f>
        <v>0</v>
      </c>
      <c r="BE128" s="1089">
        <f>IF('Блок ввода'!R241=6,(200-AI128)/2,0)</f>
        <v>0</v>
      </c>
      <c r="BF128" s="1103"/>
      <c r="BG128" s="1103"/>
      <c r="BH128" s="1103"/>
      <c r="BI128" s="1091"/>
      <c r="BJ128" s="1092"/>
      <c r="BK128" s="1104"/>
      <c r="BL128" s="1102"/>
      <c r="BM128" s="1102"/>
      <c r="BN128" s="1097"/>
      <c r="BO128" s="1105"/>
      <c r="BP128" s="1106">
        <f>IF(BA128&gt;0,BA128,250)</f>
        <v>250</v>
      </c>
      <c r="BQ128" s="1107"/>
      <c r="BR128" s="766"/>
      <c r="BZ128" s="765"/>
      <c r="CF128" s="475"/>
      <c r="CG128" s="475"/>
    </row>
    <row r="129" spans="1:101" ht="24" customHeight="1" x14ac:dyDescent="0.2">
      <c r="B129" s="1339"/>
      <c r="C129" s="1346"/>
      <c r="D129" s="1341" t="str">
        <f>CONCATENATE("Ужин
100%, ОКГ = ",CD129)</f>
        <v>Ужин
100%, ОКГ = 425</v>
      </c>
      <c r="E129" s="1342"/>
      <c r="F129" s="1300" t="str">
        <f>CONCATENATE('Блок ввода'!G207,'Блок ввода'!L207,'Блок ввода'!N207,'Блок ввода'!O207)</f>
        <v>Рыба отварная,  с картофельным пюре,  хлеб, масло, сахар, чай, яйцо</v>
      </c>
      <c r="G129" s="1301"/>
      <c r="H129" s="1301"/>
      <c r="I129" s="1301"/>
      <c r="J129" s="1321"/>
      <c r="K129" s="952"/>
      <c r="L129" s="953"/>
      <c r="M129" s="1039"/>
      <c r="N129" s="1192">
        <v>2</v>
      </c>
      <c r="O129" s="1040"/>
      <c r="P129" s="1040">
        <f>IF('Блок ввода'!R242=8,(ОКГУ-AN129-AO129-AY129)/5,IF('Блок ввода'!R242=12,15,IF('Блок ввода'!S242=7,(ОКГУ-AN129-AO129-AP129-AY129)/5,0)))</f>
        <v>0</v>
      </c>
      <c r="Q129" s="1038">
        <f>IF('Блок ввода'!S242=8,CB129/5,0)</f>
        <v>0</v>
      </c>
      <c r="R129" s="1039">
        <f>IF('Блок ввода'!S242=9,CB129/5,0)</f>
        <v>0</v>
      </c>
      <c r="S129" s="1039">
        <f>IF('Блок ввода'!S242=11,CB129/5,0)</f>
        <v>0</v>
      </c>
      <c r="T129" s="1039">
        <f>IF('Блок ввода'!S242=12,CB129/5,0)</f>
        <v>0</v>
      </c>
      <c r="U129" s="1039">
        <f>IF('Блок ввода'!S242=10,CB129/5,IF('Блок ввода'!S242=16,CB129/5-V129,0))</f>
        <v>0</v>
      </c>
      <c r="V129" s="1039">
        <f>IF('Блок ввода'!S242=14,CB129/5,IF('Блок ввода'!S242=16,40,0))</f>
        <v>0</v>
      </c>
      <c r="W129" s="1042">
        <f>IF('Блок ввода'!S242=13,CB129/5,0)</f>
        <v>0</v>
      </c>
      <c r="X129" s="1063">
        <f>IF('Блок ввода'!R242=14,CB129/5,IF('Блок ввода'!S242=15,CB129/5,0))</f>
        <v>0</v>
      </c>
      <c r="Y129" s="1043">
        <f>IF('Блок ввода'!R242&lt;19,BX3,0)</f>
        <v>0</v>
      </c>
      <c r="Z129" s="1039">
        <f>IF('Блок ввода'!R242=19,75,IF('Блок ввода'!R242=28,60,0))</f>
        <v>0</v>
      </c>
      <c r="AA129" s="1039"/>
      <c r="AB129" s="1039">
        <f>ROUND(IF('Блок ввода'!E203=28,0,IF('Блок ввода'!E203&gt;20,IF('Блок ввода'!E203=26,102,IF('Блок ввода'!$AD$38=1,156-AB136*1.3-(AC124+AC125)*1.625/2,120-AB123-(AC124+AC125)/2/0.8)),0)),1)</f>
        <v>120</v>
      </c>
      <c r="AC129" s="1044">
        <v>0</v>
      </c>
      <c r="AD129" s="1045"/>
      <c r="AE129" s="870">
        <v>22</v>
      </c>
      <c r="AF129" s="873">
        <f>IF(OR('Блок ввода'!E203=21,'Блок ввода'!E203=22,'Блок ввода'!E203=23,'Блок ввода'!E203=24),15,3)</f>
        <v>15</v>
      </c>
      <c r="AG129" s="1043"/>
      <c r="AH129" s="1039"/>
      <c r="AI129" s="1039"/>
      <c r="AJ129" s="1044"/>
      <c r="AK129" s="1038">
        <f>IF('Блок ввода'!R242=7,ОКГУ-AL129-AN129-AO129-AY129+IF(AND($N$7=1,N129=0),CF129,IF(N120=0,0,2.5-IF($N$7=2,2.5,0))),IF('Блок ввода'!R242=15,ОКГУ-AN129-AO129-AY129+IF(AND($N$7=1,N129=0),CF129,IF(N120=0,0,2.5-IF($N$7=2,2.5,0))),IF('Блок ввода'!S242&lt;5,ОКГУ-P129*5-AN129-AO129-AO128*2-BD128*4-AP129-AY129+IF(AND($N$7=1,N129=0),CF129,IF(N120=0,0,2.5-IF($N$7=2,2.5,0))),)))</f>
        <v>405</v>
      </c>
      <c r="AL129" s="1039">
        <f>IF('Блок ввода'!R242=7,200,IF('Блок ввода'!R242=13,450-N129*5-AN129-AO129-BD128*4-AY129-AO128*2,IF('Блок ввода'!S242=5,CB129-BD128*4-AO128*2,0)))</f>
        <v>0</v>
      </c>
      <c r="AM129" s="1039">
        <f>IF('Блок ввода'!S242=6,CB129,0)</f>
        <v>0</v>
      </c>
      <c r="AN129" s="1046">
        <v>10</v>
      </c>
      <c r="AO129" s="1046">
        <v>10</v>
      </c>
      <c r="AP129" s="1044">
        <f>IF('Блок ввода'!R242=6,20,0)</f>
        <v>0</v>
      </c>
      <c r="AQ129" s="1108">
        <f>IF(AND('Раскладка продуктов'!$BC$3=1,'Блок ввода'!AE35=1),AO129*2,0)</f>
        <v>0</v>
      </c>
      <c r="AR129" s="1109">
        <f>IF(AND('Раскладка продуктов'!$BC$3=2,'Блок ввода'!$AE$35=1),AO129/10,0)</f>
        <v>0</v>
      </c>
      <c r="AS129" s="1110"/>
      <c r="AT129" s="1110"/>
      <c r="AU129" s="1110"/>
      <c r="AV129" s="1110"/>
      <c r="AW129" s="1110"/>
      <c r="AX129" s="1110">
        <f>IF(AND(OR('Блок ввода'!T242=5,'Блок ввода'!T242=6),'Блок ввода'!$G$32=TRUE),15,IF(OR('Блок ввода'!T242=5,'Блок ввода'!T242=6),1,0))</f>
        <v>0</v>
      </c>
      <c r="AY129" s="1111"/>
      <c r="AZ129" s="1112">
        <f>IF('Блок ввода'!N203=9,150,0)</f>
        <v>0</v>
      </c>
      <c r="BA129" s="1110"/>
      <c r="BB129" s="1110"/>
      <c r="BC129" s="1110"/>
      <c r="BD129" s="1110"/>
      <c r="BE129" s="1113"/>
      <c r="BF129" s="1113"/>
      <c r="BG129" s="1113"/>
      <c r="BH129" s="1114"/>
      <c r="BI129" s="1052">
        <f>IF(Вс!$X$1=8,Вс!$X$3,0)</f>
        <v>0</v>
      </c>
      <c r="BJ129" s="1115">
        <f>IF(Вс!$X$1=4,Вс!$X$3,0)</f>
        <v>0</v>
      </c>
      <c r="BK129" s="1054"/>
      <c r="BL129" s="1055"/>
      <c r="BM129" s="1055"/>
      <c r="BN129" s="1056"/>
      <c r="BO129" s="1057"/>
      <c r="BP129" s="1116">
        <f>BQ129+P129*2.8+Q129*2.1+R129*3+S129*2.5+T129*3+U129*2.5+V129*2.1+W129*3+X129*3+BX129+AL129*'Блок ввода'!$D$9+'Раскладка продуктов'!AM129*'Блок ввода'!$D$8+'Раскладка продуктов'!AP129*'Блок ввода'!$D$11+'Раскладка продуктов'!AQ129*'Блок ввода'!$D$12+'Раскладка продуктов'!AX129*'Блок ввода'!$D$13+IF(BZ129&gt;0,50,BY129)</f>
        <v>494.7</v>
      </c>
      <c r="BQ129" s="1059">
        <f>'Блок ввода'!AG242</f>
        <v>80</v>
      </c>
      <c r="BR129" s="766"/>
      <c r="BX129" s="764">
        <f>IF(CA129&gt;0,'Раскладка продуктов'!AK129*'Блок ввода'!$D$5,AK129*'Блок ввода'!$D$4)</f>
        <v>396.9</v>
      </c>
      <c r="BY129" s="764">
        <f>N129+AN129*'Блок ввода'!$D$7+'Раскладка продуктов'!AO129*'Блок ввода'!$D$10</f>
        <v>17.8</v>
      </c>
      <c r="BZ129" s="765">
        <f>IF('Блок ввода'!R242&lt;4,1,IF('Блок ввода'!R242=9,1,IF('Блок ввода'!R242=10,1,IF('Блок ввода'!R242=11,1,IF('Блок ввода'!R242=5,1,IF('Блок ввода'!R242=6,1,IF('Блок ввода'!R242=7,1,0)))))))</f>
        <v>0</v>
      </c>
      <c r="CA129" s="765">
        <f>IF('Блок ввода'!S242=1,1,0)</f>
        <v>1</v>
      </c>
      <c r="CB129" s="765">
        <f>ОКГУ-P129*5-AN129-AO129-AP129-AY129+IF(AND($N$7=1,N129=0),CF129,IF(N120=0,0,2.5-IF(N7=2,2.5,0)))</f>
        <v>405</v>
      </c>
      <c r="CD129" s="762">
        <f>SUM(O129:X129)*5+SUM(AK129:AP129)</f>
        <v>425</v>
      </c>
      <c r="CF129" s="474">
        <f>IF(AND($N$7=1,N129=0),5,0)</f>
        <v>0</v>
      </c>
      <c r="CG129" s="475"/>
    </row>
    <row r="130" spans="1:101" ht="24" customHeight="1" x14ac:dyDescent="0.2">
      <c r="B130" s="1339"/>
      <c r="C130" s="1346"/>
      <c r="D130" s="1343"/>
      <c r="E130" s="1344"/>
      <c r="F130" s="1302"/>
      <c r="G130" s="1303"/>
      <c r="H130" s="1303"/>
      <c r="I130" s="1303"/>
      <c r="J130" s="1322"/>
      <c r="K130" s="891"/>
      <c r="L130" s="892"/>
      <c r="M130" s="1110"/>
      <c r="N130" s="1191">
        <f>IF('Блок ввода'!E203=4,20,IF('Блок ввода'!E203=16,75,IF('Блок ввода'!E203=24,15,0)))</f>
        <v>0</v>
      </c>
      <c r="O130" s="1117"/>
      <c r="P130" s="1063"/>
      <c r="Q130" s="1065"/>
      <c r="R130" s="1061"/>
      <c r="S130" s="1061"/>
      <c r="T130" s="1061"/>
      <c r="U130" s="1061"/>
      <c r="V130" s="1061"/>
      <c r="W130" s="1066"/>
      <c r="X130" s="1063"/>
      <c r="Y130" s="1065"/>
      <c r="Z130" s="1061"/>
      <c r="AA130" s="1061"/>
      <c r="AB130" s="1061"/>
      <c r="AC130" s="1066"/>
      <c r="AD130" s="1067"/>
      <c r="AE130" s="892"/>
      <c r="AF130" s="899"/>
      <c r="AG130" s="1118"/>
      <c r="AH130" s="1119"/>
      <c r="AI130" s="1061"/>
      <c r="AJ130" s="1066"/>
      <c r="AK130" s="1060"/>
      <c r="AL130" s="1061"/>
      <c r="AM130" s="1061"/>
      <c r="AN130" s="1069"/>
      <c r="AO130" s="1069"/>
      <c r="AP130" s="1066"/>
      <c r="AQ130" s="1067">
        <f>IF(AND('Раскладка продуктов'!$BC$3=1,'Блок ввода'!AE35=1),AO130/2,0)</f>
        <v>0</v>
      </c>
      <c r="AR130" s="1070"/>
      <c r="AS130" s="1061"/>
      <c r="AT130" s="1061"/>
      <c r="AU130" s="1061"/>
      <c r="AV130" s="1061"/>
      <c r="AW130" s="1061"/>
      <c r="AX130" s="892">
        <f>IF('Блок ввода'!E203=24,0.25,0)</f>
        <v>0</v>
      </c>
      <c r="AY130" s="1071"/>
      <c r="AZ130" s="1072"/>
      <c r="BA130" s="1061"/>
      <c r="BB130" s="1061"/>
      <c r="BC130" s="1061">
        <f>IF('Блок ввода'!T242=2,10*1.4,0)</f>
        <v>14</v>
      </c>
      <c r="BD130" s="1061"/>
      <c r="BE130" s="1073"/>
      <c r="BF130" s="1073"/>
      <c r="BG130" s="1073"/>
      <c r="BH130" s="1120"/>
      <c r="BI130" s="1074"/>
      <c r="BJ130" s="1121"/>
      <c r="BK130" s="1076"/>
      <c r="BL130" s="1069"/>
      <c r="BM130" s="1069"/>
      <c r="BN130" s="1062"/>
      <c r="BO130" s="1077"/>
      <c r="BP130" s="1078"/>
      <c r="BQ130" s="1079"/>
      <c r="BR130" s="766"/>
      <c r="BS130" s="768">
        <f>IF(AND('Блок ввода'!E198=30,'Блок ввода'!I198=17),BR132+BS132,IF('Блок ввода'!E198=30,(BR132+BS132+430)+BF132*500/375,BR132+BS132+BF132*500/375))</f>
        <v>1650</v>
      </c>
      <c r="BT130" s="764" t="str">
        <f>IF(AND(BS130 &lt;&gt;1750,BS130 &lt;&gt;1745),"ОКГ в воскресенье не соответствует ","")</f>
        <v xml:space="preserve">ОКГ в воскресенье не соответствует </v>
      </c>
      <c r="BZ130" s="765"/>
      <c r="CF130" s="475"/>
      <c r="CG130" s="475"/>
    </row>
    <row r="131" spans="1:101" ht="24" customHeight="1" thickBot="1" x14ac:dyDescent="0.25">
      <c r="B131" s="1340"/>
      <c r="C131" s="1347"/>
      <c r="D131" s="1343"/>
      <c r="E131" s="1344"/>
      <c r="F131" s="1323"/>
      <c r="G131" s="1324"/>
      <c r="H131" s="1324"/>
      <c r="I131" s="1324"/>
      <c r="J131" s="1325"/>
      <c r="K131" s="967">
        <v>100</v>
      </c>
      <c r="L131" s="922">
        <f>IF('Блок ввода'!T112=5,100,50)</f>
        <v>50</v>
      </c>
      <c r="M131" s="1174"/>
      <c r="N131" s="1190">
        <f>IF(L131=50,37.5,0)</f>
        <v>37.5</v>
      </c>
      <c r="O131" s="1122"/>
      <c r="P131" s="1082"/>
      <c r="Q131" s="1123"/>
      <c r="R131" s="1080"/>
      <c r="S131" s="1080"/>
      <c r="T131" s="1080"/>
      <c r="U131" s="1080"/>
      <c r="V131" s="1080"/>
      <c r="W131" s="1124"/>
      <c r="X131" s="1082"/>
      <c r="Y131" s="1123"/>
      <c r="Z131" s="1080"/>
      <c r="AA131" s="1080"/>
      <c r="AB131" s="1080"/>
      <c r="AC131" s="1124"/>
      <c r="AD131" s="1125"/>
      <c r="AE131" s="919"/>
      <c r="AF131" s="972"/>
      <c r="AG131" s="1123">
        <f>IF(OR('Блок ввода'!T242&lt;=7,'Блок ввода'!T242=9),30-AG128/2-(BE130)/1.4,0)</f>
        <v>30</v>
      </c>
      <c r="AH131" s="1072">
        <v>1</v>
      </c>
      <c r="AI131" s="1080">
        <f>IF('Блок ввода'!T242=4,20,0)</f>
        <v>0</v>
      </c>
      <c r="AJ131" s="1124"/>
      <c r="AK131" s="1126"/>
      <c r="AL131" s="1080"/>
      <c r="AM131" s="1080"/>
      <c r="AN131" s="1171"/>
      <c r="AO131" s="1171"/>
      <c r="AP131" s="1124"/>
      <c r="AQ131" s="1125">
        <f>AO131*2</f>
        <v>0</v>
      </c>
      <c r="AR131" s="1128"/>
      <c r="AS131" s="1080"/>
      <c r="AT131" s="1080"/>
      <c r="AU131" s="1080"/>
      <c r="AV131" s="1080"/>
      <c r="AW131" s="1080"/>
      <c r="AX131" s="1224">
        <f>IF(AND(L131=50,'Блок ввода'!$Q$114=1),0.125,0)</f>
        <v>0</v>
      </c>
      <c r="AY131" s="1129"/>
      <c r="AZ131" s="1130"/>
      <c r="BA131" s="1080"/>
      <c r="BB131" s="1080"/>
      <c r="BC131" s="1080">
        <f>IF('Блок ввода'!T242=8,(35-AG137/2)*1.4,IF('Блок ввода'!T242=7,4.8,0))</f>
        <v>0</v>
      </c>
      <c r="BD131" s="1131"/>
      <c r="BE131" s="1132"/>
      <c r="BF131" s="1132"/>
      <c r="BG131" s="1132"/>
      <c r="BH131" s="971">
        <f>IF(L131=50,0.5,0)</f>
        <v>0.5</v>
      </c>
      <c r="BI131" s="1133"/>
      <c r="BJ131" s="1134"/>
      <c r="BK131" s="1135">
        <v>100</v>
      </c>
      <c r="BL131" s="1127">
        <v>70</v>
      </c>
      <c r="BM131" s="1127">
        <v>0.6</v>
      </c>
      <c r="BN131" s="1081">
        <v>10</v>
      </c>
      <c r="BO131" s="1136">
        <v>200</v>
      </c>
      <c r="BP131" s="1137">
        <v>250</v>
      </c>
      <c r="BQ131" s="1138"/>
      <c r="BR131" s="766">
        <f>IF('Блок ввода'!A31=TRUE,BR132+BS132-'Блок ввода'!L23,BR132+BS132)</f>
        <v>1650</v>
      </c>
      <c r="BZ131" s="765"/>
      <c r="CF131" s="475"/>
      <c r="CG131" s="475"/>
    </row>
    <row r="132" spans="1:101" s="41" customFormat="1" ht="24" customHeight="1" thickTop="1" thickBot="1" x14ac:dyDescent="0.3">
      <c r="A132" s="227">
        <f>BS130</f>
        <v>1650</v>
      </c>
      <c r="B132" s="1335" t="s">
        <v>27</v>
      </c>
      <c r="C132" s="1336"/>
      <c r="D132" s="1336"/>
      <c r="E132" s="1336"/>
      <c r="F132" s="1336"/>
      <c r="G132" s="1336"/>
      <c r="H132" s="1336"/>
      <c r="I132" s="1336"/>
      <c r="J132" s="1336"/>
      <c r="K132" s="1175">
        <f>SUM(K120:K131)</f>
        <v>300</v>
      </c>
      <c r="L132" s="1140">
        <f>SUM(L120:L131)</f>
        <v>350</v>
      </c>
      <c r="M132" s="1141">
        <f>SUM(M120:M131)</f>
        <v>0</v>
      </c>
      <c r="N132" s="1142">
        <f>N120+N121+N122+(N124+N125+N126+N127)/2+SUM(N129:N131)</f>
        <v>50</v>
      </c>
      <c r="O132" s="1143">
        <f>O120+O121+O122+(O124+O125+O126+O127)/2+SUM(O129:O131)</f>
        <v>0</v>
      </c>
      <c r="P132" s="1143">
        <f t="shared" ref="P132:AA132" si="19">P120+P121+P122+(P124+P125)/2+(P126+P127)/2+SUM(P129:P131)</f>
        <v>35.5</v>
      </c>
      <c r="Q132" s="1145">
        <f t="shared" si="19"/>
        <v>35.5</v>
      </c>
      <c r="R132" s="1146">
        <f>R120+R121+R122+(R124+R125)/2+(R126+R127)/2+SUM(R129:R131)+R123</f>
        <v>85</v>
      </c>
      <c r="S132" s="1146">
        <f t="shared" si="19"/>
        <v>0</v>
      </c>
      <c r="T132" s="1146">
        <f t="shared" si="19"/>
        <v>0</v>
      </c>
      <c r="U132" s="1146">
        <f t="shared" si="19"/>
        <v>0</v>
      </c>
      <c r="V132" s="1146">
        <f t="shared" si="19"/>
        <v>0</v>
      </c>
      <c r="W132" s="1147">
        <f>W120+W121+W122+(W124+W125)/2+(W126+W127)/2+SUM(W129:W131)</f>
        <v>0</v>
      </c>
      <c r="X132" s="1143">
        <f t="shared" si="19"/>
        <v>0</v>
      </c>
      <c r="Y132" s="1145">
        <f t="shared" si="19"/>
        <v>250</v>
      </c>
      <c r="Z132" s="1145">
        <f t="shared" si="19"/>
        <v>0</v>
      </c>
      <c r="AA132" s="1146">
        <f t="shared" si="19"/>
        <v>0</v>
      </c>
      <c r="AB132" s="1146">
        <f>AB120+AB121+AB122+(AB124+AB125)/2+(AB126+AB127)/2+SUM(AB129:AB131)+AB123</f>
        <v>120</v>
      </c>
      <c r="AC132" s="1147">
        <v>0</v>
      </c>
      <c r="AD132" s="1145">
        <f>AD120+AD121+AD122+(AD124+AD125)/2+(AD126+AD127)/2+SUM(AD129:AD131)</f>
        <v>0</v>
      </c>
      <c r="AE132" s="988">
        <f>SUM(AE120:AE122)+SUM(AE129:AE131)+AE123+SUM(AE124:AE127)/2</f>
        <v>45</v>
      </c>
      <c r="AF132" s="1149">
        <f>SUM(AF120:AF131)</f>
        <v>30</v>
      </c>
      <c r="AG132" s="1150">
        <f>SUM(AG120:AG131)</f>
        <v>60</v>
      </c>
      <c r="AH132" s="1140">
        <f>SUM(AH120:AH131)</f>
        <v>1</v>
      </c>
      <c r="AI132" s="1148">
        <f>SUM(AI120:AI131)</f>
        <v>20</v>
      </c>
      <c r="AJ132" s="1149">
        <v>20</v>
      </c>
      <c r="AK132" s="1150">
        <f t="shared" ref="AK132:AP132" si="20">AK120+AK123+(AK124+AK125+AK126+AK127)/2+AK129</f>
        <v>520</v>
      </c>
      <c r="AL132" s="1148">
        <f t="shared" si="20"/>
        <v>140</v>
      </c>
      <c r="AM132" s="1148">
        <f t="shared" si="20"/>
        <v>0</v>
      </c>
      <c r="AN132" s="1151">
        <f t="shared" si="20"/>
        <v>40</v>
      </c>
      <c r="AO132" s="1151">
        <f>AO120+AO123+(AO124+AO125+AO126+AO127)/2+AO129+AO128</f>
        <v>40</v>
      </c>
      <c r="AP132" s="1152">
        <f t="shared" si="20"/>
        <v>130</v>
      </c>
      <c r="AQ132" s="1153">
        <f>AQ120+AQ123+(AQ124+AQ125+AQ126+AQ127)/2+AQ129+AQ128</f>
        <v>0</v>
      </c>
      <c r="AR132" s="1151">
        <f>AR120+AR123+(AR124+AR125+AR126+AR127)/2+AR129</f>
        <v>0</v>
      </c>
      <c r="AS132" s="1148">
        <v>6</v>
      </c>
      <c r="AT132" s="1140">
        <v>0.2</v>
      </c>
      <c r="AU132" s="1140">
        <v>0.3</v>
      </c>
      <c r="AV132" s="1140">
        <v>2</v>
      </c>
      <c r="AW132" s="1140">
        <v>0.5</v>
      </c>
      <c r="AX132" s="1225">
        <f>AX120+AX130+AX123+(AX124+AX125+AX126+AX127)/2+AX129+AX122+AX131+AX128</f>
        <v>1</v>
      </c>
      <c r="AY132" s="1148">
        <f>AY120+AY123+(AY124+AY125+AY126+AY127)/2+AY129</f>
        <v>0</v>
      </c>
      <c r="AZ132" s="1140">
        <f>AZ120+AZ123+(AZ124+AZ125+AZ126+AZ127)/2+AZ129+AZ128</f>
        <v>50</v>
      </c>
      <c r="BA132" s="1146">
        <f>BA120+BA121+BA122+(BA124+BA125+BA126+BA127)/2+SUM(BA129:BA131)</f>
        <v>0</v>
      </c>
      <c r="BB132" s="1146">
        <f t="shared" ref="BB132:BH132" si="21">BB120+BB121+BB122+(BB124+BB125+BB126+BB127)/2+BB128+SUM(BB129:BB131)</f>
        <v>0</v>
      </c>
      <c r="BC132" s="1146">
        <f t="shared" si="21"/>
        <v>15.5</v>
      </c>
      <c r="BD132" s="1146">
        <f t="shared" si="21"/>
        <v>0</v>
      </c>
      <c r="BE132" s="1146">
        <f t="shared" si="21"/>
        <v>0</v>
      </c>
      <c r="BF132" s="1146">
        <f t="shared" si="21"/>
        <v>0</v>
      </c>
      <c r="BG132" s="1146">
        <f t="shared" si="21"/>
        <v>0</v>
      </c>
      <c r="BH132" s="1154">
        <f t="shared" si="21"/>
        <v>0.5</v>
      </c>
      <c r="BI132" s="1154">
        <f>BI120+BI121+BI122+(BI124+BI125+BI126+BI127)/2+BI128++BI129+BI130+BI131</f>
        <v>0</v>
      </c>
      <c r="BJ132" s="1147">
        <f>BJ120+BJ121+BJ122+(BJ124+BJ125+BJ126+BJ127)/2+BJ128++BJ129+BJ130+BJ131</f>
        <v>0</v>
      </c>
      <c r="BK132" s="1155">
        <f>BK120+BK121+BK122+(BK124+BK125+BK126+BK127)/2+BK128+SUM(BK129:BK131)</f>
        <v>100</v>
      </c>
      <c r="BL132" s="1156">
        <f>BL120+BL121+BL122+(BL124+BL125+BL126+BL127)/2+BL128+SUM(BL129:BL131)</f>
        <v>70</v>
      </c>
      <c r="BM132" s="1156">
        <f>BM120+BM121+BM122+(BM124+BM125+BM126+BM127)/2+BM128+SUM(BM129:BM131)</f>
        <v>0.6</v>
      </c>
      <c r="BN132" s="1156">
        <f>BN120+BN121+BN122+(BN124+BN125+BN126+BN127)/2+BN128+SUM(BN129:BN131)</f>
        <v>10</v>
      </c>
      <c r="BO132" s="1157">
        <f>BO120+BO121+BO122+(BO124+BO125+BO126+BO127)/2+BO128+SUM(BO129:BO131)</f>
        <v>200</v>
      </c>
      <c r="BP132" s="1176"/>
      <c r="BQ132" s="1177"/>
      <c r="BR132" s="764">
        <f>SUM(P132:X132)*5</f>
        <v>780</v>
      </c>
      <c r="BS132" s="770">
        <f>SUM(AK132:AP132)+AY132+BD132+IF('Блок ввода'!E58=17,150-AM123-AO123-AN123,0)-AO128+AO128*2-BD128+BD128*4</f>
        <v>870</v>
      </c>
      <c r="BT132" s="764"/>
      <c r="BU132" s="764"/>
      <c r="BV132" s="764"/>
      <c r="BW132" s="764"/>
      <c r="BX132" s="764"/>
      <c r="BY132" s="764"/>
      <c r="BZ132" s="765"/>
      <c r="CA132" s="765"/>
      <c r="CB132" s="765"/>
      <c r="CC132" s="764"/>
      <c r="CD132" s="765"/>
      <c r="CE132" s="764"/>
      <c r="CF132" s="771"/>
      <c r="CG132" s="771"/>
      <c r="CH132" s="772"/>
      <c r="CI132" s="772"/>
      <c r="CJ132" s="772"/>
      <c r="CK132" s="772"/>
      <c r="CL132" s="772"/>
      <c r="CM132" s="772"/>
      <c r="CN132" s="40"/>
      <c r="CO132" s="40"/>
      <c r="CP132" s="40"/>
      <c r="CQ132" s="40"/>
      <c r="CR132" s="40"/>
      <c r="CS132" s="40"/>
      <c r="CT132" s="40"/>
      <c r="CU132" s="40"/>
      <c r="CV132" s="40"/>
      <c r="CW132" s="40"/>
    </row>
    <row r="133" spans="1:101" s="1193" customFormat="1" ht="24" customHeight="1" thickTop="1" thickBot="1" x14ac:dyDescent="0.25">
      <c r="B133" s="1430" t="s">
        <v>32</v>
      </c>
      <c r="C133" s="1431"/>
      <c r="D133" s="1431"/>
      <c r="E133" s="1431"/>
      <c r="F133" s="1431"/>
      <c r="G133" s="1431"/>
      <c r="H133" s="1431"/>
      <c r="I133" s="1431"/>
      <c r="J133" s="1432"/>
      <c r="K133" s="1194">
        <f t="shared" ref="K133:Z133" si="22">SUM(K132,K119,K106,K76,K63,K50,K37)</f>
        <v>2100</v>
      </c>
      <c r="L133" s="1195">
        <f>ROUND(SUM(L132,L119,L106,L76,L63,L50,L37),0)</f>
        <v>2500</v>
      </c>
      <c r="M133" s="1195">
        <f t="shared" si="22"/>
        <v>0</v>
      </c>
      <c r="N133" s="1196">
        <f t="shared" si="22"/>
        <v>312.5</v>
      </c>
      <c r="O133" s="1197">
        <f t="shared" si="22"/>
        <v>0</v>
      </c>
      <c r="P133" s="1198">
        <f t="shared" si="22"/>
        <v>121</v>
      </c>
      <c r="Q133" s="1199">
        <f t="shared" si="22"/>
        <v>120.5</v>
      </c>
      <c r="R133" s="1200">
        <f t="shared" si="22"/>
        <v>120.5</v>
      </c>
      <c r="S133" s="1200">
        <f t="shared" si="22"/>
        <v>81</v>
      </c>
      <c r="T133" s="1200">
        <f t="shared" si="22"/>
        <v>104.5</v>
      </c>
      <c r="U133" s="1200">
        <f t="shared" si="22"/>
        <v>264.5</v>
      </c>
      <c r="V133" s="1200">
        <f t="shared" si="22"/>
        <v>377.5</v>
      </c>
      <c r="W133" s="1200">
        <f t="shared" si="22"/>
        <v>0</v>
      </c>
      <c r="X133" s="1197">
        <f t="shared" si="22"/>
        <v>119.5</v>
      </c>
      <c r="Y133" s="1199">
        <f t="shared" si="22"/>
        <v>1500</v>
      </c>
      <c r="Z133" s="1199">
        <f t="shared" si="22"/>
        <v>75</v>
      </c>
      <c r="AA133" s="1200">
        <f>SUM(AA132,AA119,AA106,AA76,AA63,AA50,AA37)</f>
        <v>0</v>
      </c>
      <c r="AB133" s="1200">
        <f>SUM(AB132,AB119,AB106,AB76,AB63,AB50,AB37)</f>
        <v>840</v>
      </c>
      <c r="AC133" s="1199">
        <f>SUM(AC132,AC119,AC106,AC76,AC63,AC50,AC37)</f>
        <v>0</v>
      </c>
      <c r="AD133" s="1199">
        <f>SUM(AD132,AD119,AD106,AD76,AD63,AD50,AD37)</f>
        <v>0</v>
      </c>
      <c r="AE133" s="1200">
        <f t="shared" ref="AE133:AQ133" si="23">SUM(AE132,AE119,AE106,AE76,AE63,AE50,AE37)</f>
        <v>315</v>
      </c>
      <c r="AF133" s="1201">
        <f t="shared" si="23"/>
        <v>210</v>
      </c>
      <c r="AG133" s="1199">
        <f t="shared" si="23"/>
        <v>410</v>
      </c>
      <c r="AH133" s="1202">
        <f t="shared" si="23"/>
        <v>7</v>
      </c>
      <c r="AI133" s="1200">
        <f t="shared" si="23"/>
        <v>100</v>
      </c>
      <c r="AJ133" s="1201">
        <f t="shared" si="23"/>
        <v>140</v>
      </c>
      <c r="AK133" s="1199">
        <f t="shared" si="23"/>
        <v>3057.5</v>
      </c>
      <c r="AL133" s="1200">
        <f t="shared" si="23"/>
        <v>515</v>
      </c>
      <c r="AM133" s="1200">
        <f t="shared" si="23"/>
        <v>180</v>
      </c>
      <c r="AN133" s="1203">
        <f t="shared" si="23"/>
        <v>435</v>
      </c>
      <c r="AO133" s="1203">
        <f t="shared" si="23"/>
        <v>290</v>
      </c>
      <c r="AP133" s="1204">
        <f t="shared" si="23"/>
        <v>522.5</v>
      </c>
      <c r="AQ133" s="1205">
        <f t="shared" si="23"/>
        <v>0</v>
      </c>
      <c r="AR133" s="1203">
        <f t="shared" ref="AR133:AW133" si="24">SUM(AR132,AR119,AR106,AR76,AR63,AR50,AR37)</f>
        <v>0</v>
      </c>
      <c r="AS133" s="1200">
        <f t="shared" si="24"/>
        <v>42</v>
      </c>
      <c r="AT133" s="1202">
        <f t="shared" si="24"/>
        <v>1.4</v>
      </c>
      <c r="AU133" s="1202">
        <f t="shared" si="24"/>
        <v>2.1</v>
      </c>
      <c r="AV133" s="1202">
        <f t="shared" si="24"/>
        <v>14</v>
      </c>
      <c r="AW133" s="1202">
        <f t="shared" si="24"/>
        <v>3.5</v>
      </c>
      <c r="AX133" s="1226">
        <f t="shared" ref="AX133:BG133" si="25">SUM(AX132,AX119,AX106,AX76,AX63,AX50,AX37)</f>
        <v>7.25</v>
      </c>
      <c r="AY133" s="1200">
        <f t="shared" si="25"/>
        <v>0</v>
      </c>
      <c r="AZ133" s="1202">
        <f t="shared" si="25"/>
        <v>1050</v>
      </c>
      <c r="BA133" s="1200">
        <f t="shared" si="25"/>
        <v>0</v>
      </c>
      <c r="BB133" s="1200">
        <f t="shared" si="25"/>
        <v>400</v>
      </c>
      <c r="BC133" s="1200">
        <f>SUM(BC132,BC119,BC106,BC76,BC63,BC50,BC37)</f>
        <v>38.5</v>
      </c>
      <c r="BD133" s="1200">
        <f>SUM(BD132,BD119,BD106,BD76,BD63,BD50,BD37)</f>
        <v>0</v>
      </c>
      <c r="BE133" s="1206">
        <f t="shared" si="25"/>
        <v>0</v>
      </c>
      <c r="BF133" s="1207">
        <f t="shared" si="25"/>
        <v>0</v>
      </c>
      <c r="BG133" s="1206">
        <f t="shared" si="25"/>
        <v>265</v>
      </c>
      <c r="BH133" s="1208">
        <f t="shared" ref="BH133:BO133" si="26">SUM(BH132,BH119,BH106,BH76,BH63,BH50,BH37)</f>
        <v>3.5</v>
      </c>
      <c r="BI133" s="1209">
        <f t="shared" si="26"/>
        <v>0</v>
      </c>
      <c r="BJ133" s="1210">
        <f t="shared" si="26"/>
        <v>0</v>
      </c>
      <c r="BK133" s="1211">
        <f t="shared" si="26"/>
        <v>700</v>
      </c>
      <c r="BL133" s="1203">
        <f t="shared" si="26"/>
        <v>490</v>
      </c>
      <c r="BM133" s="1203">
        <f t="shared" si="26"/>
        <v>4.2</v>
      </c>
      <c r="BN133" s="1203">
        <f t="shared" si="26"/>
        <v>70</v>
      </c>
      <c r="BO133" s="1203">
        <f t="shared" si="26"/>
        <v>1400</v>
      </c>
      <c r="BP133" s="1178"/>
      <c r="BQ133" s="1179"/>
      <c r="BR133" s="1212">
        <f>SUM(N133,P133:X133)*5</f>
        <v>8107.5</v>
      </c>
      <c r="BS133" s="1213">
        <f>SUM(AK133:AP133)+AY133</f>
        <v>5000</v>
      </c>
      <c r="BT133" s="1213"/>
      <c r="BU133" s="1213"/>
      <c r="BV133" s="1213"/>
      <c r="BW133" s="1213"/>
      <c r="BX133" s="1213"/>
      <c r="BY133" s="1213"/>
      <c r="BZ133" s="1213"/>
      <c r="CA133" s="1213"/>
      <c r="CB133" s="1213"/>
      <c r="CC133" s="1213"/>
      <c r="CD133" s="1213"/>
      <c r="CE133" s="1213"/>
      <c r="CF133" s="1214"/>
      <c r="CG133" s="1214"/>
      <c r="CH133" s="1215"/>
      <c r="CI133" s="1215"/>
      <c r="CJ133" s="1215"/>
      <c r="CK133" s="1215"/>
      <c r="CL133" s="1215"/>
      <c r="CM133" s="1215"/>
      <c r="CN133" s="1216"/>
      <c r="CO133" s="1216"/>
      <c r="CP133" s="1216"/>
      <c r="CQ133" s="1216"/>
      <c r="CR133" s="1216"/>
      <c r="CS133" s="1216"/>
      <c r="CT133" s="1216"/>
      <c r="CU133" s="1216"/>
      <c r="CV133" s="1216"/>
      <c r="CW133" s="1216"/>
    </row>
    <row r="134" spans="1:101" s="1" customFormat="1" ht="20.25" x14ac:dyDescent="0.3">
      <c r="B134" s="44"/>
      <c r="C134" s="45"/>
      <c r="D134" s="44"/>
      <c r="E134" s="44"/>
      <c r="F134" s="44"/>
      <c r="G134" s="44"/>
      <c r="H134" s="46" t="s">
        <v>38</v>
      </c>
      <c r="I134" s="46"/>
      <c r="J134" s="46"/>
      <c r="K134" s="44">
        <f>K133/7</f>
        <v>300</v>
      </c>
      <c r="L134" s="44">
        <f t="shared" ref="L134:BE134" si="27">L133/7</f>
        <v>357.14285714285717</v>
      </c>
      <c r="M134" s="44"/>
      <c r="N134" s="44">
        <f t="shared" si="27"/>
        <v>44.642857142857146</v>
      </c>
      <c r="O134" s="47">
        <f t="shared" si="27"/>
        <v>0</v>
      </c>
      <c r="P134" s="44">
        <f t="shared" si="27"/>
        <v>17.285714285714285</v>
      </c>
      <c r="Q134" s="44">
        <f t="shared" si="27"/>
        <v>17.214285714285715</v>
      </c>
      <c r="R134" s="44">
        <f t="shared" si="27"/>
        <v>17.214285714285715</v>
      </c>
      <c r="S134" s="44">
        <f t="shared" si="27"/>
        <v>11.571428571428571</v>
      </c>
      <c r="T134" s="44">
        <f t="shared" si="27"/>
        <v>14.928571428571429</v>
      </c>
      <c r="U134" s="72">
        <f t="shared" si="27"/>
        <v>37.785714285714285</v>
      </c>
      <c r="V134" s="44">
        <f t="shared" si="27"/>
        <v>53.928571428571431</v>
      </c>
      <c r="W134" s="44">
        <f t="shared" si="27"/>
        <v>0</v>
      </c>
      <c r="X134" s="44">
        <f t="shared" si="27"/>
        <v>17.071428571428573</v>
      </c>
      <c r="Y134" s="44">
        <f t="shared" si="27"/>
        <v>214.28571428571428</v>
      </c>
      <c r="Z134" s="44">
        <f t="shared" si="27"/>
        <v>10.714285714285714</v>
      </c>
      <c r="AA134" s="44">
        <f t="shared" si="27"/>
        <v>0</v>
      </c>
      <c r="AB134" s="44">
        <f t="shared" si="27"/>
        <v>120</v>
      </c>
      <c r="AC134" s="44">
        <f>AC133/7</f>
        <v>0</v>
      </c>
      <c r="AD134" s="44">
        <f t="shared" si="27"/>
        <v>0</v>
      </c>
      <c r="AE134" s="44">
        <f t="shared" si="27"/>
        <v>45</v>
      </c>
      <c r="AF134" s="44">
        <f t="shared" si="27"/>
        <v>30</v>
      </c>
      <c r="AG134" s="44">
        <f t="shared" si="27"/>
        <v>58.571428571428569</v>
      </c>
      <c r="AH134" s="44">
        <f t="shared" si="27"/>
        <v>1</v>
      </c>
      <c r="AI134" s="44">
        <f t="shared" si="27"/>
        <v>14.285714285714286</v>
      </c>
      <c r="AJ134" s="44">
        <f t="shared" si="27"/>
        <v>20</v>
      </c>
      <c r="AK134" s="44">
        <f t="shared" si="27"/>
        <v>436.78571428571428</v>
      </c>
      <c r="AL134" s="44">
        <f t="shared" si="27"/>
        <v>73.571428571428569</v>
      </c>
      <c r="AM134" s="44">
        <f t="shared" si="27"/>
        <v>25.714285714285715</v>
      </c>
      <c r="AN134" s="44">
        <f t="shared" si="27"/>
        <v>62.142857142857146</v>
      </c>
      <c r="AO134" s="44">
        <f t="shared" si="27"/>
        <v>41.428571428571431</v>
      </c>
      <c r="AP134" s="44">
        <f t="shared" si="27"/>
        <v>74.642857142857139</v>
      </c>
      <c r="AQ134" s="44">
        <f t="shared" si="27"/>
        <v>0</v>
      </c>
      <c r="AR134" s="44">
        <f t="shared" si="27"/>
        <v>0</v>
      </c>
      <c r="AS134" s="47">
        <f t="shared" si="27"/>
        <v>6</v>
      </c>
      <c r="AT134" s="47">
        <f t="shared" si="27"/>
        <v>0.19999999999999998</v>
      </c>
      <c r="AU134" s="47">
        <f t="shared" si="27"/>
        <v>0.3</v>
      </c>
      <c r="AV134" s="47">
        <f t="shared" si="27"/>
        <v>2</v>
      </c>
      <c r="AW134" s="47">
        <f t="shared" si="27"/>
        <v>0.5</v>
      </c>
      <c r="AX134" s="44"/>
      <c r="AY134" s="44">
        <f t="shared" si="27"/>
        <v>0</v>
      </c>
      <c r="AZ134" s="44">
        <f t="shared" si="27"/>
        <v>150</v>
      </c>
      <c r="BA134" s="44">
        <f t="shared" si="27"/>
        <v>0</v>
      </c>
      <c r="BB134" s="44"/>
      <c r="BC134" s="44"/>
      <c r="BD134" s="44"/>
      <c r="BE134" s="44">
        <f t="shared" si="27"/>
        <v>0</v>
      </c>
      <c r="BF134" s="44"/>
      <c r="BG134" s="44"/>
      <c r="BH134" s="44"/>
      <c r="BI134" s="44"/>
      <c r="BJ134" s="44"/>
      <c r="BK134" s="48"/>
      <c r="BL134" s="48"/>
      <c r="BM134" s="48"/>
      <c r="BN134" s="48"/>
      <c r="BO134" s="48"/>
      <c r="BP134" s="86"/>
      <c r="BQ134" s="86"/>
      <c r="BR134" s="777"/>
      <c r="BS134" s="764"/>
      <c r="BT134" s="764"/>
      <c r="BU134" s="764"/>
      <c r="BV134" s="764"/>
      <c r="BW134" s="764"/>
      <c r="BX134" s="764"/>
      <c r="BY134" s="764"/>
      <c r="BZ134" s="764"/>
      <c r="CA134" s="765"/>
      <c r="CB134" s="770">
        <f>(BS132+BS119+BS106+BS76+BS63+BS50+BS37)/7</f>
        <v>714.28571428571433</v>
      </c>
      <c r="CC134" s="770">
        <f>(N134+P134+Q134+R134+S134+T134+U134+V134+W134+X134)*5</f>
        <v>1158.2142857142858</v>
      </c>
      <c r="CD134" s="778">
        <f>(BS130+BS117+BS104+BS74+BS61+BS48+BS35)/7</f>
        <v>1710.7142857142858</v>
      </c>
      <c r="CE134" s="764"/>
      <c r="CF134" s="779"/>
      <c r="CG134" s="779"/>
      <c r="CH134" s="780"/>
      <c r="CI134" s="780"/>
      <c r="CJ134" s="780"/>
      <c r="CK134" s="780"/>
      <c r="CL134" s="780"/>
      <c r="CM134" s="780"/>
    </row>
    <row r="135" spans="1:101" s="10" customFormat="1" x14ac:dyDescent="0.2">
      <c r="B135" s="1304" t="str">
        <f>CONCATENATE("ОКГ за неделю = ",'Блок ввода'!H13)</f>
        <v>ОКГ за неделю = 1710,71428571429</v>
      </c>
      <c r="C135" s="1304"/>
      <c r="D135" s="1304"/>
      <c r="E135" s="1304"/>
      <c r="N135" s="8"/>
      <c r="U135" s="73"/>
      <c r="AN135" s="8"/>
      <c r="AO135" s="8"/>
      <c r="BE135" s="9"/>
      <c r="BF135" s="9"/>
      <c r="BG135" s="9"/>
      <c r="BH135" s="9"/>
      <c r="BK135" s="8"/>
      <c r="BL135" s="8"/>
      <c r="BM135" s="8"/>
      <c r="BN135" s="8"/>
      <c r="BO135" s="8"/>
      <c r="BP135" s="87"/>
      <c r="BQ135" s="87"/>
      <c r="BR135" s="290"/>
      <c r="BS135" s="764"/>
      <c r="BT135" s="764"/>
      <c r="BU135" s="764"/>
      <c r="BV135" s="764"/>
      <c r="BW135" s="764"/>
      <c r="BX135" s="764"/>
      <c r="BY135" s="764"/>
      <c r="BZ135" s="764"/>
      <c r="CA135" s="765"/>
      <c r="CB135" s="1299">
        <f>CB134+CC134</f>
        <v>1872.5</v>
      </c>
      <c r="CC135" s="1299"/>
      <c r="CD135" s="765"/>
      <c r="CE135" s="764"/>
      <c r="CF135" s="764"/>
      <c r="CG135" s="764"/>
      <c r="CH135" s="290"/>
      <c r="CI135" s="290"/>
      <c r="CJ135" s="290"/>
      <c r="CK135" s="290"/>
      <c r="CL135" s="290"/>
      <c r="CM135" s="290"/>
    </row>
    <row r="136" spans="1:101" s="10" customFormat="1" x14ac:dyDescent="0.2">
      <c r="C136" s="49"/>
      <c r="N136" s="8"/>
      <c r="U136" s="73"/>
      <c r="AN136" s="8"/>
      <c r="AO136" s="8"/>
      <c r="AZ136" s="50">
        <f>AZ133</f>
        <v>1050</v>
      </c>
      <c r="BE136" s="9"/>
      <c r="BF136" s="9"/>
      <c r="BG136" s="9"/>
      <c r="BH136" s="9"/>
      <c r="BK136" s="8"/>
      <c r="BL136" s="8"/>
      <c r="BM136" s="8"/>
      <c r="BN136" s="8"/>
      <c r="BO136" s="8"/>
      <c r="BP136" s="87"/>
      <c r="BQ136" s="87"/>
      <c r="BR136" s="290"/>
      <c r="BS136" s="764"/>
      <c r="BT136" s="764"/>
      <c r="BU136" s="764"/>
      <c r="BV136" s="764"/>
      <c r="BW136" s="764"/>
      <c r="BX136" s="764"/>
      <c r="BY136" s="764"/>
      <c r="BZ136" s="764"/>
      <c r="CA136" s="765"/>
      <c r="CB136" s="765"/>
      <c r="CC136" s="764"/>
      <c r="CD136" s="765"/>
      <c r="CE136" s="764"/>
      <c r="CF136" s="764"/>
      <c r="CG136" s="764"/>
      <c r="CH136" s="290"/>
      <c r="CI136" s="290"/>
      <c r="CJ136" s="290"/>
      <c r="CK136" s="290"/>
      <c r="CL136" s="290"/>
      <c r="CM136" s="290"/>
    </row>
    <row r="137" spans="1:101" s="10" customFormat="1" ht="18" x14ac:dyDescent="0.25">
      <c r="C137" s="5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48"/>
      <c r="O137" s="1"/>
      <c r="P137" s="1"/>
      <c r="Q137" s="1"/>
      <c r="R137" s="1"/>
      <c r="S137" s="1"/>
      <c r="T137" s="1"/>
      <c r="U137" s="74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N137" s="48"/>
      <c r="AO137" s="48"/>
      <c r="AP137" s="1"/>
      <c r="AQ137" s="1"/>
      <c r="AR137" s="1"/>
      <c r="AS137" s="1"/>
      <c r="AT137" s="1"/>
      <c r="AU137" s="1"/>
      <c r="AV137" s="1"/>
      <c r="AW137" s="1"/>
      <c r="AY137" s="1"/>
      <c r="AZ137" s="1"/>
      <c r="BA137" s="1"/>
      <c r="BB137" s="1"/>
      <c r="BC137" s="1"/>
      <c r="BD137" s="1"/>
      <c r="BE137" s="52"/>
      <c r="BF137" s="52"/>
      <c r="BG137" s="52"/>
      <c r="BH137" s="52"/>
      <c r="BI137" s="1"/>
      <c r="BJ137" s="1"/>
      <c r="BK137" s="48"/>
      <c r="BL137" s="48"/>
      <c r="BM137" s="48"/>
      <c r="BN137" s="48"/>
      <c r="BO137" s="48"/>
      <c r="BP137" s="88"/>
      <c r="BQ137" s="88"/>
      <c r="BR137" s="781"/>
      <c r="BS137" s="764"/>
      <c r="BT137" s="764"/>
      <c r="BU137" s="764"/>
      <c r="BV137" s="764"/>
      <c r="BW137" s="764"/>
      <c r="BX137" s="764"/>
      <c r="BY137" s="764"/>
      <c r="BZ137" s="764"/>
      <c r="CA137" s="765"/>
      <c r="CB137" s="765"/>
      <c r="CC137" s="764"/>
      <c r="CD137" s="765"/>
      <c r="CE137" s="764"/>
      <c r="CF137" s="764"/>
      <c r="CG137" s="764"/>
      <c r="CH137" s="290"/>
      <c r="CI137" s="290"/>
      <c r="CJ137" s="290"/>
      <c r="CK137" s="290"/>
      <c r="CL137" s="290"/>
      <c r="CM137" s="290"/>
    </row>
    <row r="138" spans="1:101" ht="18" x14ac:dyDescent="0.25">
      <c r="C138" s="1426" t="str">
        <f>'Блок ввода'!G9</f>
        <v>Заместитель командира войсковой части по тылу</v>
      </c>
      <c r="D138" s="1426"/>
      <c r="E138" s="1426"/>
      <c r="F138" s="1426"/>
      <c r="G138" s="1426"/>
      <c r="H138" s="1426"/>
      <c r="I138" s="1426"/>
      <c r="J138" s="1426"/>
      <c r="K138" s="1426"/>
      <c r="L138" s="1426"/>
      <c r="M138" s="1426"/>
      <c r="N138" s="1426"/>
      <c r="O138" s="1426"/>
      <c r="P138" s="1426"/>
      <c r="Q138" s="1426"/>
      <c r="R138" s="1426"/>
      <c r="S138" s="1426"/>
      <c r="T138" s="1426"/>
      <c r="U138" s="1426"/>
      <c r="V138" s="1426"/>
      <c r="W138" s="1426"/>
      <c r="X138" s="1426"/>
      <c r="Y138" s="1426"/>
      <c r="Z138" s="1426"/>
      <c r="AA138" s="1426"/>
      <c r="AB138" s="1426"/>
      <c r="AC138" s="1426"/>
      <c r="AD138" s="1426"/>
      <c r="AE138" s="1426"/>
      <c r="AF138" s="1426"/>
      <c r="AG138" s="1426"/>
      <c r="AH138" s="1426"/>
      <c r="AI138" s="1426"/>
      <c r="AJ138" s="1426"/>
      <c r="AK138" s="1426"/>
      <c r="AL138" s="1426"/>
      <c r="AM138" s="1426"/>
      <c r="AN138" s="1426"/>
      <c r="AO138" s="1426"/>
      <c r="AP138" s="1426"/>
      <c r="AQ138" s="1426"/>
      <c r="AR138" s="1426"/>
      <c r="AS138" s="1426"/>
      <c r="AT138" s="1426"/>
      <c r="AU138" s="1426"/>
      <c r="AV138" s="1426"/>
      <c r="AW138" s="1426"/>
      <c r="AX138" s="1426"/>
      <c r="AY138" s="1426"/>
      <c r="AZ138" s="1426"/>
      <c r="BA138" s="1426"/>
      <c r="BB138" s="1426"/>
      <c r="BC138" s="1426"/>
      <c r="BD138" s="1426"/>
      <c r="BE138" s="1426"/>
      <c r="BF138" s="1426"/>
      <c r="BG138" s="1426"/>
      <c r="BH138" s="1426"/>
      <c r="BI138" s="1426"/>
      <c r="BJ138" s="1426"/>
      <c r="BK138" s="1426"/>
      <c r="BL138" s="1426"/>
      <c r="BM138" s="1426"/>
      <c r="BN138" s="1426"/>
      <c r="BO138" s="1426"/>
      <c r="BP138" s="1426"/>
      <c r="BQ138" s="1426"/>
    </row>
    <row r="139" spans="1:101" ht="18" x14ac:dyDescent="0.25">
      <c r="C139" s="53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48"/>
      <c r="O139" s="54"/>
      <c r="P139" s="54"/>
      <c r="Q139" s="54"/>
      <c r="R139" s="54"/>
      <c r="S139" s="54"/>
      <c r="T139" s="54"/>
      <c r="U139" s="75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48"/>
      <c r="AO139" s="48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2"/>
      <c r="BF139" s="52"/>
      <c r="BG139" s="52"/>
      <c r="BH139" s="52"/>
      <c r="BI139" s="54"/>
      <c r="BJ139" s="54"/>
      <c r="BK139" s="48"/>
      <c r="BL139" s="48"/>
      <c r="BM139" s="48"/>
      <c r="BN139" s="48"/>
      <c r="BO139" s="48"/>
      <c r="BP139" s="89"/>
      <c r="BQ139" s="89"/>
    </row>
    <row r="140" spans="1:101" ht="18.75" x14ac:dyDescent="0.3">
      <c r="C140" s="55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7"/>
      <c r="O140" s="56"/>
      <c r="P140" s="56"/>
      <c r="Q140" s="56"/>
      <c r="R140" s="56"/>
      <c r="S140" s="56"/>
      <c r="T140" s="56"/>
      <c r="U140" s="76"/>
      <c r="V140" s="56"/>
      <c r="W140" s="1433" t="str">
        <f>'Блок ввода'!M9</f>
        <v>капитан</v>
      </c>
      <c r="X140" s="1433"/>
      <c r="Y140" s="1433"/>
      <c r="Z140" s="1433"/>
      <c r="AA140" s="1433"/>
      <c r="AB140" s="134"/>
      <c r="AC140" s="134"/>
      <c r="AD140" s="134"/>
      <c r="AE140" s="134"/>
      <c r="AF140" s="134"/>
      <c r="AG140" s="134"/>
      <c r="AH140" s="134"/>
      <c r="AI140" s="1425" t="str">
        <f>'Блок ввода'!O9</f>
        <v>А.СИДОРОВ</v>
      </c>
      <c r="AJ140" s="1425"/>
      <c r="AK140" s="1425"/>
      <c r="AL140" s="1425"/>
      <c r="AM140" s="56"/>
      <c r="AN140" s="57"/>
      <c r="AO140" s="57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9"/>
      <c r="BF140" s="59"/>
      <c r="BG140" s="59"/>
      <c r="BH140" s="59"/>
      <c r="BI140" s="56"/>
      <c r="BJ140" s="56"/>
      <c r="BK140" s="57"/>
      <c r="BL140" s="57"/>
      <c r="BM140" s="57"/>
      <c r="BN140" s="57"/>
      <c r="BO140" s="57"/>
      <c r="BP140" s="90"/>
      <c r="BQ140" s="90"/>
    </row>
    <row r="141" spans="1:101" ht="18" x14ac:dyDescent="0.25">
      <c r="C141" s="53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48"/>
      <c r="O141" s="54"/>
      <c r="P141" s="54"/>
      <c r="Q141" s="54"/>
      <c r="R141" s="54"/>
      <c r="S141" s="54"/>
      <c r="T141" s="54"/>
      <c r="U141" s="75"/>
      <c r="V141" s="54"/>
      <c r="W141" s="54"/>
      <c r="X141" s="1434" t="s">
        <v>33</v>
      </c>
      <c r="Y141" s="1434"/>
      <c r="Z141" s="1434"/>
      <c r="AA141" s="1434"/>
      <c r="AB141" s="1434"/>
      <c r="AC141" s="1434"/>
      <c r="AD141" s="1434"/>
      <c r="AE141" s="1434"/>
      <c r="AF141" s="1434"/>
      <c r="AG141" s="1434"/>
      <c r="AH141" s="1434"/>
      <c r="AI141" s="1434"/>
      <c r="AJ141" s="1434"/>
      <c r="AK141" s="1434"/>
      <c r="AL141" s="54"/>
      <c r="AM141" s="54"/>
      <c r="AN141" s="48"/>
      <c r="AO141" s="48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2"/>
      <c r="BF141" s="52"/>
      <c r="BG141" s="52"/>
      <c r="BH141" s="52"/>
      <c r="BI141" s="54"/>
      <c r="BJ141" s="54"/>
      <c r="BK141" s="48"/>
      <c r="BL141" s="48"/>
      <c r="BM141" s="48"/>
      <c r="BN141" s="48"/>
      <c r="BO141" s="48"/>
      <c r="BP141" s="89"/>
      <c r="BQ141" s="89"/>
    </row>
    <row r="142" spans="1:101" ht="18" x14ac:dyDescent="0.25">
      <c r="C142" s="53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48"/>
      <c r="O142" s="54"/>
      <c r="P142" s="54"/>
      <c r="Q142" s="54"/>
      <c r="R142" s="54"/>
      <c r="S142" s="54"/>
      <c r="T142" s="54"/>
      <c r="U142" s="75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48"/>
      <c r="AO142" s="48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2"/>
      <c r="BF142" s="52"/>
      <c r="BG142" s="52"/>
      <c r="BH142" s="52"/>
      <c r="BI142" s="54"/>
      <c r="BJ142" s="54"/>
      <c r="BK142" s="48"/>
      <c r="BL142" s="48"/>
      <c r="BM142" s="48"/>
      <c r="BN142" s="48"/>
      <c r="BO142" s="48"/>
      <c r="BP142" s="89"/>
      <c r="BQ142" s="89"/>
    </row>
    <row r="143" spans="1:101" ht="18" x14ac:dyDescent="0.25">
      <c r="C143" s="1426" t="str">
        <f>'Блок ввода'!G10</f>
        <v>Начальник продовольственной службы части</v>
      </c>
      <c r="D143" s="1426"/>
      <c r="E143" s="1426"/>
      <c r="F143" s="1426"/>
      <c r="G143" s="1426"/>
      <c r="H143" s="1426"/>
      <c r="I143" s="1426"/>
      <c r="J143" s="1426"/>
      <c r="K143" s="1426"/>
      <c r="L143" s="1426"/>
      <c r="M143" s="1426"/>
      <c r="N143" s="1426"/>
      <c r="O143" s="135"/>
      <c r="P143" s="135"/>
      <c r="Q143" s="135"/>
      <c r="R143" s="135"/>
      <c r="S143" s="135"/>
      <c r="T143" s="135"/>
      <c r="U143" s="135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1426" t="str">
        <f>'Блок ввода'!G11</f>
        <v>Начальник медицинской службы</v>
      </c>
      <c r="AO143" s="1426"/>
      <c r="AP143" s="1426"/>
      <c r="AQ143" s="1426"/>
      <c r="AR143" s="1426"/>
      <c r="AS143" s="1426"/>
      <c r="AT143" s="1426"/>
      <c r="AU143" s="1426"/>
      <c r="AV143" s="1426"/>
      <c r="AW143" s="1426"/>
      <c r="AX143" s="1426"/>
      <c r="AY143" s="1426"/>
      <c r="AZ143" s="1426"/>
      <c r="BA143" s="1426"/>
      <c r="BB143" s="1426"/>
      <c r="BC143" s="1426"/>
      <c r="BD143" s="1426"/>
      <c r="BE143" s="1426"/>
      <c r="BF143" s="1426"/>
      <c r="BG143" s="1426"/>
      <c r="BH143" s="1426"/>
      <c r="BI143" s="1426"/>
      <c r="BJ143" s="1426"/>
      <c r="BK143" s="1426"/>
      <c r="BL143" s="1426"/>
      <c r="BM143" s="1426"/>
      <c r="BN143" s="1426"/>
      <c r="BO143" s="1426"/>
      <c r="BP143" s="1426"/>
      <c r="BQ143" s="1426"/>
    </row>
    <row r="144" spans="1:101" ht="18" x14ac:dyDescent="0.25">
      <c r="C144" s="53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48"/>
      <c r="O144" s="54"/>
      <c r="P144" s="54"/>
      <c r="Q144" s="54"/>
      <c r="R144" s="54"/>
      <c r="S144" s="54"/>
      <c r="T144" s="54"/>
      <c r="U144" s="75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48"/>
      <c r="AO144" s="48"/>
      <c r="AP144" s="54"/>
      <c r="AQ144" s="54"/>
      <c r="AR144" s="54"/>
      <c r="AS144" s="54"/>
      <c r="AT144" s="54"/>
      <c r="AU144" s="1436" t="s">
        <v>274</v>
      </c>
      <c r="AV144" s="1437"/>
      <c r="AW144" s="1437"/>
      <c r="AX144" s="1437"/>
      <c r="AY144" s="1437"/>
      <c r="AZ144" s="1437"/>
      <c r="BA144" s="1437"/>
      <c r="BB144" s="1437"/>
      <c r="BC144" s="1437"/>
      <c r="BD144" s="1437"/>
      <c r="BE144" s="1437"/>
      <c r="BF144" s="33"/>
      <c r="BG144" s="33"/>
      <c r="BH144" s="33"/>
      <c r="BI144" s="54"/>
      <c r="BJ144" s="54"/>
      <c r="BK144" s="48"/>
      <c r="BL144" s="48"/>
      <c r="BM144" s="48"/>
      <c r="BN144" s="48"/>
      <c r="BO144" s="48"/>
      <c r="BP144" s="89"/>
      <c r="BQ144" s="89"/>
    </row>
    <row r="145" spans="2:101" s="61" customFormat="1" ht="20.25" x14ac:dyDescent="0.3">
      <c r="B145" s="60"/>
      <c r="C145" s="1428" t="str">
        <f>'Блок ввода'!M10</f>
        <v>ст. лейтенант</v>
      </c>
      <c r="D145" s="1428"/>
      <c r="E145" s="1428"/>
      <c r="F145" s="1428"/>
      <c r="G145" s="58"/>
      <c r="H145" s="58"/>
      <c r="I145" s="58"/>
      <c r="J145" s="58"/>
      <c r="K145" s="58"/>
      <c r="L145" s="1435" t="str">
        <f>'Блок ввода'!O10</f>
        <v>А. Демидов11111111</v>
      </c>
      <c r="M145" s="1435"/>
      <c r="N145" s="1435"/>
      <c r="O145" s="1435"/>
      <c r="P145" s="1435"/>
      <c r="Q145" s="1435"/>
      <c r="R145" s="12"/>
      <c r="S145" s="12"/>
      <c r="T145" s="12"/>
      <c r="U145" s="77"/>
      <c r="AN145" s="62"/>
      <c r="AO145" s="62"/>
      <c r="BE145" s="63"/>
      <c r="BF145" s="63"/>
      <c r="BG145" s="63"/>
      <c r="BH145" s="63"/>
      <c r="BK145" s="62"/>
      <c r="BL145" s="62"/>
      <c r="BM145" s="62"/>
      <c r="BN145" s="62"/>
      <c r="BO145" s="62"/>
      <c r="BP145" s="91"/>
      <c r="BQ145" s="91"/>
      <c r="BR145" s="782"/>
      <c r="BS145" s="783"/>
      <c r="BT145" s="783"/>
      <c r="BU145" s="783"/>
      <c r="BV145" s="783"/>
      <c r="BW145" s="783"/>
      <c r="BX145" s="783"/>
      <c r="BY145" s="783"/>
      <c r="BZ145" s="783"/>
      <c r="CA145" s="784"/>
      <c r="CB145" s="784"/>
      <c r="CC145" s="783"/>
      <c r="CD145" s="784"/>
      <c r="CE145" s="783"/>
      <c r="CF145" s="785"/>
      <c r="CG145" s="785"/>
      <c r="CH145" s="786"/>
      <c r="CI145" s="786"/>
      <c r="CJ145" s="786"/>
      <c r="CK145" s="786"/>
      <c r="CL145" s="786"/>
      <c r="CM145" s="786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</row>
    <row r="146" spans="2:101" ht="18.75" x14ac:dyDescent="0.3">
      <c r="C146" s="53"/>
      <c r="D146" s="54"/>
      <c r="E146" s="1434" t="s">
        <v>55</v>
      </c>
      <c r="F146" s="1434"/>
      <c r="G146" s="1434"/>
      <c r="H146" s="1434"/>
      <c r="I146" s="1434"/>
      <c r="J146" s="1434"/>
      <c r="K146" s="1434"/>
      <c r="L146" s="1434"/>
      <c r="M146" s="1434"/>
      <c r="N146" s="1434"/>
      <c r="O146" s="1434"/>
      <c r="P146" s="1434"/>
      <c r="Q146" s="1434"/>
      <c r="R146" s="1434"/>
      <c r="S146" s="54"/>
      <c r="T146" s="54"/>
      <c r="U146" s="75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65"/>
      <c r="AO146" s="65"/>
      <c r="AP146" s="1425" t="str">
        <f>'Блок ввода'!M11</f>
        <v>ст. лейтенант</v>
      </c>
      <c r="AQ146" s="1425"/>
      <c r="AR146" s="1425"/>
      <c r="AS146" s="1425"/>
      <c r="AT146" s="1425"/>
      <c r="AU146" s="1425"/>
      <c r="AV146" s="1425"/>
      <c r="AW146" s="58"/>
      <c r="AX146" s="58"/>
      <c r="AY146" s="58"/>
      <c r="AZ146" s="58"/>
      <c r="BA146" s="1427" t="str">
        <f>'Блок ввода'!O11</f>
        <v>М.СОКОЛОВ</v>
      </c>
      <c r="BB146" s="1427"/>
      <c r="BC146" s="1427"/>
      <c r="BD146" s="1427"/>
      <c r="BE146" s="1427"/>
      <c r="BF146" s="1427"/>
      <c r="BG146" s="1427"/>
      <c r="BH146" s="1427"/>
      <c r="BI146" s="1427"/>
      <c r="BJ146" s="1427"/>
      <c r="BK146" s="1427"/>
      <c r="BL146" s="1427"/>
      <c r="BM146" s="1427"/>
      <c r="BN146" s="66"/>
      <c r="BO146" s="65"/>
      <c r="BP146" s="92"/>
      <c r="BQ146" s="92"/>
    </row>
    <row r="147" spans="2:101" ht="18" x14ac:dyDescent="0.25">
      <c r="C147" s="53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48"/>
      <c r="O147" s="54"/>
      <c r="P147" s="54"/>
      <c r="Q147" s="54"/>
      <c r="R147" s="54"/>
      <c r="S147" s="54"/>
      <c r="T147" s="54"/>
      <c r="U147" s="75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48"/>
      <c r="AO147" s="48"/>
      <c r="AP147" s="54"/>
      <c r="AQ147" s="54"/>
      <c r="AR147" s="1434" t="s">
        <v>54</v>
      </c>
      <c r="AS147" s="1434"/>
      <c r="AT147" s="1434"/>
      <c r="AU147" s="1434"/>
      <c r="AV147" s="1434"/>
      <c r="AW147" s="1434"/>
      <c r="AX147" s="1434"/>
      <c r="AY147" s="1434"/>
      <c r="AZ147" s="1434"/>
      <c r="BA147" s="1434"/>
      <c r="BB147" s="1434"/>
      <c r="BC147" s="1434"/>
      <c r="BD147" s="1434"/>
      <c r="BE147" s="1434"/>
      <c r="BF147" s="1434"/>
      <c r="BG147" s="1434"/>
      <c r="BH147" s="1434"/>
      <c r="BI147" s="1434"/>
      <c r="BJ147" s="1434"/>
      <c r="BK147" s="1434"/>
      <c r="BL147" s="1434"/>
      <c r="BM147" s="1434"/>
      <c r="BN147" s="1434"/>
      <c r="BO147" s="1434"/>
      <c r="BP147" s="89"/>
      <c r="BQ147" s="89"/>
    </row>
    <row r="148" spans="2:101" ht="18" x14ac:dyDescent="0.25">
      <c r="C148" s="53"/>
      <c r="D148" s="67"/>
      <c r="E148" s="1429"/>
      <c r="F148" s="1429"/>
      <c r="G148" s="1429"/>
      <c r="H148" s="1429"/>
      <c r="I148" s="68"/>
      <c r="J148" s="68"/>
      <c r="K148" s="54"/>
      <c r="L148" s="54"/>
      <c r="M148" s="54"/>
      <c r="N148" s="48"/>
      <c r="O148" s="54"/>
      <c r="P148" s="54"/>
      <c r="Q148" s="54"/>
      <c r="R148" s="54"/>
      <c r="S148" s="54"/>
      <c r="T148" s="54"/>
      <c r="U148" s="75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48"/>
      <c r="AO148" s="48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2"/>
      <c r="BF148" s="52"/>
      <c r="BG148" s="52"/>
      <c r="BH148" s="52"/>
      <c r="BI148" s="54"/>
      <c r="BJ148" s="54"/>
      <c r="BK148" s="48"/>
      <c r="BL148" s="48"/>
      <c r="BM148" s="48"/>
      <c r="BN148" s="48"/>
      <c r="BO148" s="48"/>
      <c r="BP148" s="89"/>
      <c r="BQ148" s="89"/>
    </row>
    <row r="149" spans="2:101" ht="18" x14ac:dyDescent="0.25">
      <c r="C149" s="53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48"/>
      <c r="O149" s="54"/>
      <c r="P149" s="54"/>
      <c r="Q149" s="54"/>
      <c r="R149" s="54"/>
      <c r="S149" s="54"/>
      <c r="T149" s="54"/>
      <c r="U149" s="75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48"/>
      <c r="AO149" s="48"/>
      <c r="AP149" s="54"/>
      <c r="AQ149" s="54"/>
      <c r="AR149" s="54"/>
      <c r="AS149" s="54"/>
      <c r="AT149" s="54"/>
      <c r="AU149" s="54"/>
      <c r="AV149" s="54"/>
      <c r="AW149" s="54"/>
      <c r="AX149" s="54"/>
      <c r="AY149" s="1429"/>
      <c r="AZ149" s="1465"/>
      <c r="BA149" s="1465"/>
      <c r="BB149" s="1465"/>
      <c r="BC149" s="1465"/>
      <c r="BD149" s="1465"/>
      <c r="BE149" s="1465"/>
      <c r="BF149" s="1465"/>
      <c r="BG149" s="1465"/>
      <c r="BH149" s="1465"/>
      <c r="BI149" s="1465"/>
      <c r="BJ149" s="1465"/>
      <c r="BK149" s="1465"/>
      <c r="BL149" s="1465"/>
      <c r="BM149" s="1465"/>
      <c r="BN149" s="1465"/>
      <c r="BO149" s="1465"/>
      <c r="BP149" s="1465"/>
      <c r="BQ149" s="89"/>
    </row>
    <row r="150" spans="2:101" ht="18" x14ac:dyDescent="0.25">
      <c r="C150" s="53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48"/>
      <c r="O150" s="54"/>
      <c r="P150" s="54"/>
      <c r="Q150" s="54"/>
      <c r="R150" s="54"/>
      <c r="S150" s="54"/>
      <c r="T150" s="54"/>
      <c r="U150" s="75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48"/>
      <c r="AO150" s="48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2"/>
      <c r="BF150" s="52"/>
      <c r="BG150" s="52"/>
      <c r="BH150" s="52"/>
      <c r="BI150" s="54"/>
      <c r="BJ150" s="54"/>
      <c r="BK150" s="48"/>
      <c r="BL150" s="48"/>
      <c r="BM150" s="48"/>
      <c r="BN150" s="48"/>
      <c r="BO150" s="48"/>
      <c r="BP150" s="89"/>
      <c r="BQ150" s="89"/>
    </row>
    <row r="151" spans="2:101" ht="18" x14ac:dyDescent="0.25">
      <c r="C151" s="53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48"/>
      <c r="O151" s="54"/>
      <c r="P151" s="54"/>
      <c r="Q151" s="54"/>
      <c r="R151" s="54"/>
      <c r="S151" s="54"/>
      <c r="T151" s="54"/>
      <c r="U151" s="75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48"/>
      <c r="AO151" s="48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2"/>
      <c r="BF151" s="52"/>
      <c r="BG151" s="52"/>
      <c r="BH151" s="52"/>
      <c r="BI151" s="54"/>
      <c r="BJ151" s="54"/>
      <c r="BK151" s="48"/>
      <c r="BL151" s="48"/>
      <c r="BM151" s="48"/>
      <c r="BN151" s="48"/>
      <c r="BO151" s="48"/>
      <c r="BP151" s="89"/>
      <c r="BQ151" s="89"/>
    </row>
    <row r="152" spans="2:101" ht="18" x14ac:dyDescent="0.25">
      <c r="C152" s="53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48"/>
      <c r="O152" s="54"/>
      <c r="P152" s="54"/>
      <c r="Q152" s="54"/>
      <c r="R152" s="54"/>
      <c r="S152" s="54"/>
      <c r="T152" s="54"/>
      <c r="U152" s="75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48"/>
      <c r="AO152" s="48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2"/>
      <c r="BF152" s="52"/>
      <c r="BG152" s="52"/>
      <c r="BH152" s="52"/>
      <c r="BI152" s="54"/>
      <c r="BJ152" s="54"/>
      <c r="BK152" s="48"/>
      <c r="BL152" s="48"/>
      <c r="BM152" s="48"/>
      <c r="BN152" s="48"/>
      <c r="BO152" s="48"/>
      <c r="BP152" s="89"/>
      <c r="BQ152" s="89"/>
    </row>
  </sheetData>
  <sheetProtection password="E836" sheet="1" objects="1" scenarios="1" selectLockedCells="1" selectUnlockedCells="1"/>
  <customSheetViews>
    <customSheetView guid="{4DE99834-7080-40E5-9A2F-2BF27F7EDEBF}" scale="80" showPageBreaks="1" showGridLines="0" outlineSymbols="0" zeroValues="0" printArea="1" view="pageBreakPreview" showRuler="0" topLeftCell="A28">
      <selection pane="bottomLeft" activeCell="I79" sqref="I79"/>
      <rowBreaks count="1" manualBreakCount="1">
        <brk id="76" min="1" max="57" man="1"/>
      </rowBreaks>
      <pageMargins left="0.31496062992125984" right="0.31496062992125984" top="0.59055118110236227" bottom="0.59055118110236227" header="0.11811023622047245" footer="0.19685039370078741"/>
      <printOptions horizontalCentered="1"/>
      <pageSetup paperSize="8" scale="55" fitToHeight="2" orientation="landscape" horizontalDpi="120" verticalDpi="144" r:id="rId1"/>
      <headerFooter alignWithMargins="0"/>
    </customSheetView>
  </customSheetViews>
  <mergeCells count="272">
    <mergeCell ref="D47:E49"/>
    <mergeCell ref="BH14:BH20"/>
    <mergeCell ref="Z14:Z24"/>
    <mergeCell ref="AD14:AD24"/>
    <mergeCell ref="AG13:AG24"/>
    <mergeCell ref="AF14:AF24"/>
    <mergeCell ref="AB14:AB24"/>
    <mergeCell ref="AA14:AA20"/>
    <mergeCell ref="T14:T20"/>
    <mergeCell ref="S14:S24"/>
    <mergeCell ref="BB83:BB89"/>
    <mergeCell ref="C25:C36"/>
    <mergeCell ref="F38:J40"/>
    <mergeCell ref="D67:D72"/>
    <mergeCell ref="D25:E27"/>
    <mergeCell ref="D28:D33"/>
    <mergeCell ref="F33:J33"/>
    <mergeCell ref="F56:J56"/>
    <mergeCell ref="B50:J50"/>
    <mergeCell ref="D34:E36"/>
    <mergeCell ref="AI82:AI93"/>
    <mergeCell ref="AR83:AR89"/>
    <mergeCell ref="AP83:AP93"/>
    <mergeCell ref="AW83:AW89"/>
    <mergeCell ref="AU83:AU89"/>
    <mergeCell ref="AL83:AL93"/>
    <mergeCell ref="AS83:AS93"/>
    <mergeCell ref="AN83:AN93"/>
    <mergeCell ref="AT83:AT89"/>
    <mergeCell ref="AO83:AO93"/>
    <mergeCell ref="Z8:AF8"/>
    <mergeCell ref="Q83:Q93"/>
    <mergeCell ref="R83:R93"/>
    <mergeCell ref="S83:S93"/>
    <mergeCell ref="U83:U93"/>
    <mergeCell ref="AD82:AF82"/>
    <mergeCell ref="AC14:AC24"/>
    <mergeCell ref="AD13:AF13"/>
    <mergeCell ref="Y82:AC82"/>
    <mergeCell ref="AE83:AE93"/>
    <mergeCell ref="BQ81:BQ93"/>
    <mergeCell ref="BA83:BA89"/>
    <mergeCell ref="BD83:BD89"/>
    <mergeCell ref="BE83:BE93"/>
    <mergeCell ref="BG83:BG89"/>
    <mergeCell ref="BF83:BF89"/>
    <mergeCell ref="BH83:BH89"/>
    <mergeCell ref="BN88:BN89"/>
    <mergeCell ref="BL88:BL93"/>
    <mergeCell ref="BC83:BC89"/>
    <mergeCell ref="BK81:BO87"/>
    <mergeCell ref="BO88:BO93"/>
    <mergeCell ref="K81:BJ81"/>
    <mergeCell ref="AQ82:BJ82"/>
    <mergeCell ref="BI83:BI93"/>
    <mergeCell ref="AY83:AY89"/>
    <mergeCell ref="AZ83:AZ89"/>
    <mergeCell ref="AV83:AV89"/>
    <mergeCell ref="AX83:AX89"/>
    <mergeCell ref="AF83:AF93"/>
    <mergeCell ref="BO19:BO24"/>
    <mergeCell ref="AQ14:AQ24"/>
    <mergeCell ref="BE14:BE24"/>
    <mergeCell ref="AU14:AU20"/>
    <mergeCell ref="BC14:BC20"/>
    <mergeCell ref="AR14:AR20"/>
    <mergeCell ref="BB14:BB20"/>
    <mergeCell ref="AK13:AP13"/>
    <mergeCell ref="AM14:AM24"/>
    <mergeCell ref="AN14:AN24"/>
    <mergeCell ref="BM19:BM24"/>
    <mergeCell ref="AL14:AL24"/>
    <mergeCell ref="AY14:AY20"/>
    <mergeCell ref="AS14:AS24"/>
    <mergeCell ref="AW14:AW20"/>
    <mergeCell ref="AX14:AX20"/>
    <mergeCell ref="C3:J3"/>
    <mergeCell ref="C5:H5"/>
    <mergeCell ref="B4:J4"/>
    <mergeCell ref="C7:H7"/>
    <mergeCell ref="I6:J6"/>
    <mergeCell ref="C6:F6"/>
    <mergeCell ref="I7:J7"/>
    <mergeCell ref="Y7:AG7"/>
    <mergeCell ref="C8:I8"/>
    <mergeCell ref="D12:E24"/>
    <mergeCell ref="BG14:BG20"/>
    <mergeCell ref="V8:Y8"/>
    <mergeCell ref="U14:U24"/>
    <mergeCell ref="Q14:Q24"/>
    <mergeCell ref="N13:N24"/>
    <mergeCell ref="AE14:AE24"/>
    <mergeCell ref="P13:P24"/>
    <mergeCell ref="AY149:BP149"/>
    <mergeCell ref="AL8:AS8"/>
    <mergeCell ref="F101:J101"/>
    <mergeCell ref="F29:J29"/>
    <mergeCell ref="F32:J32"/>
    <mergeCell ref="F30:J30"/>
    <mergeCell ref="F34:J36"/>
    <mergeCell ref="F12:J24"/>
    <mergeCell ref="F72:J72"/>
    <mergeCell ref="BP81:BP89"/>
    <mergeCell ref="D54:D59"/>
    <mergeCell ref="F59:J59"/>
    <mergeCell ref="F60:J62"/>
    <mergeCell ref="B64:B75"/>
    <mergeCell ref="C64:C75"/>
    <mergeCell ref="B51:B62"/>
    <mergeCell ref="D51:E53"/>
    <mergeCell ref="D73:E75"/>
    <mergeCell ref="F67:J67"/>
    <mergeCell ref="F69:J69"/>
    <mergeCell ref="F58:J58"/>
    <mergeCell ref="F64:J66"/>
    <mergeCell ref="F55:J55"/>
    <mergeCell ref="F47:J49"/>
    <mergeCell ref="F57:J57"/>
    <mergeCell ref="B63:J63"/>
    <mergeCell ref="D64:E66"/>
    <mergeCell ref="C51:C62"/>
    <mergeCell ref="F51:J53"/>
    <mergeCell ref="D60:E62"/>
    <mergeCell ref="C38:C49"/>
    <mergeCell ref="F45:J45"/>
    <mergeCell ref="R14:R24"/>
    <mergeCell ref="L13:L24"/>
    <mergeCell ref="M13:M20"/>
    <mergeCell ref="O13:O24"/>
    <mergeCell ref="Q13:W13"/>
    <mergeCell ref="W14:W20"/>
    <mergeCell ref="K13:K24"/>
    <mergeCell ref="F41:J41"/>
    <mergeCell ref="D38:E40"/>
    <mergeCell ref="B37:J37"/>
    <mergeCell ref="B12:C24"/>
    <mergeCell ref="B25:B36"/>
    <mergeCell ref="B38:B49"/>
    <mergeCell ref="F31:J31"/>
    <mergeCell ref="D41:D46"/>
    <mergeCell ref="F42:J42"/>
    <mergeCell ref="F43:J43"/>
    <mergeCell ref="F28:J28"/>
    <mergeCell ref="CA12:CA21"/>
    <mergeCell ref="AZ14:AZ20"/>
    <mergeCell ref="BD14:BD20"/>
    <mergeCell ref="BN19:BN20"/>
    <mergeCell ref="BZ12:BZ21"/>
    <mergeCell ref="BA14:BA20"/>
    <mergeCell ref="BL19:BL24"/>
    <mergeCell ref="BK19:BK20"/>
    <mergeCell ref="BP12:BP24"/>
    <mergeCell ref="BQ12:BQ24"/>
    <mergeCell ref="E148:H148"/>
    <mergeCell ref="C138:BQ138"/>
    <mergeCell ref="B132:J132"/>
    <mergeCell ref="B133:J133"/>
    <mergeCell ref="W140:AA140"/>
    <mergeCell ref="X141:AK141"/>
    <mergeCell ref="E146:R146"/>
    <mergeCell ref="L145:Q145"/>
    <mergeCell ref="AR147:BO147"/>
    <mergeCell ref="AU144:BE144"/>
    <mergeCell ref="D120:E122"/>
    <mergeCell ref="C120:C131"/>
    <mergeCell ref="C143:N143"/>
    <mergeCell ref="D129:E131"/>
    <mergeCell ref="F120:J122"/>
    <mergeCell ref="F125:J125"/>
    <mergeCell ref="F127:J127"/>
    <mergeCell ref="F129:J131"/>
    <mergeCell ref="AP146:AV146"/>
    <mergeCell ref="AN143:BQ143"/>
    <mergeCell ref="BA146:BM146"/>
    <mergeCell ref="C145:F145"/>
    <mergeCell ref="F123:J123"/>
    <mergeCell ref="AI140:AL140"/>
    <mergeCell ref="AQ83:AQ93"/>
    <mergeCell ref="B120:B131"/>
    <mergeCell ref="F124:J124"/>
    <mergeCell ref="F126:J126"/>
    <mergeCell ref="D123:D128"/>
    <mergeCell ref="F128:J128"/>
    <mergeCell ref="AK83:AK93"/>
    <mergeCell ref="AM83:AM93"/>
    <mergeCell ref="D110:D115"/>
    <mergeCell ref="D116:E118"/>
    <mergeCell ref="V14:V24"/>
    <mergeCell ref="Y14:Y24"/>
    <mergeCell ref="X13:X24"/>
    <mergeCell ref="F54:J54"/>
    <mergeCell ref="F46:J46"/>
    <mergeCell ref="F44:J44"/>
    <mergeCell ref="Y13:AC13"/>
    <mergeCell ref="K82:K93"/>
    <mergeCell ref="F68:J68"/>
    <mergeCell ref="B76:J76"/>
    <mergeCell ref="D81:E93"/>
    <mergeCell ref="B81:C93"/>
    <mergeCell ref="F73:J75"/>
    <mergeCell ref="F70:J70"/>
    <mergeCell ref="F71:J71"/>
    <mergeCell ref="F98:J98"/>
    <mergeCell ref="B94:B105"/>
    <mergeCell ref="D97:D102"/>
    <mergeCell ref="BM3:BP3"/>
    <mergeCell ref="AH8:AK8"/>
    <mergeCell ref="BK12:BO15"/>
    <mergeCell ref="AO14:AO24"/>
    <mergeCell ref="AI13:AI24"/>
    <mergeCell ref="AJ7:AR7"/>
    <mergeCell ref="BF14:BF20"/>
    <mergeCell ref="S6:AV6"/>
    <mergeCell ref="AH13:AH20"/>
    <mergeCell ref="AH82:AH93"/>
    <mergeCell ref="X82:X93"/>
    <mergeCell ref="Z83:Z93"/>
    <mergeCell ref="AB83:AB93"/>
    <mergeCell ref="AC83:AC93"/>
    <mergeCell ref="AD83:AD93"/>
    <mergeCell ref="AA83:AA89"/>
    <mergeCell ref="Y83:Y93"/>
    <mergeCell ref="D94:E96"/>
    <mergeCell ref="V83:V93"/>
    <mergeCell ref="L82:L93"/>
    <mergeCell ref="Q82:W82"/>
    <mergeCell ref="O82:O93"/>
    <mergeCell ref="N82:N93"/>
    <mergeCell ref="M82:M89"/>
    <mergeCell ref="W83:W89"/>
    <mergeCell ref="T83:T89"/>
    <mergeCell ref="P82:P93"/>
    <mergeCell ref="F114:J114"/>
    <mergeCell ref="F94:J96"/>
    <mergeCell ref="F112:J112"/>
    <mergeCell ref="F113:J113"/>
    <mergeCell ref="F100:J100"/>
    <mergeCell ref="B106:J106"/>
    <mergeCell ref="F103:J105"/>
    <mergeCell ref="D103:E105"/>
    <mergeCell ref="F99:J99"/>
    <mergeCell ref="C107:C118"/>
    <mergeCell ref="F115:J115"/>
    <mergeCell ref="F81:J93"/>
    <mergeCell ref="F97:J97"/>
    <mergeCell ref="B119:J119"/>
    <mergeCell ref="B107:B118"/>
    <mergeCell ref="F107:J109"/>
    <mergeCell ref="F110:J110"/>
    <mergeCell ref="D107:E109"/>
    <mergeCell ref="C94:C105"/>
    <mergeCell ref="F102:J102"/>
    <mergeCell ref="CB135:CC135"/>
    <mergeCell ref="F25:J27"/>
    <mergeCell ref="B135:E135"/>
    <mergeCell ref="BK88:BK89"/>
    <mergeCell ref="BM88:BM93"/>
    <mergeCell ref="AG82:AG93"/>
    <mergeCell ref="AJ82:AJ93"/>
    <mergeCell ref="AK82:AP82"/>
    <mergeCell ref="F111:J111"/>
    <mergeCell ref="F116:J118"/>
    <mergeCell ref="BJ83:BJ89"/>
    <mergeCell ref="K12:BJ12"/>
    <mergeCell ref="AQ13:BJ13"/>
    <mergeCell ref="BI14:BI24"/>
    <mergeCell ref="BJ14:BJ20"/>
    <mergeCell ref="AJ13:AJ24"/>
    <mergeCell ref="AK14:AK24"/>
    <mergeCell ref="AT14:AT20"/>
    <mergeCell ref="AP14:AP24"/>
    <mergeCell ref="AV14:AV20"/>
  </mergeCells>
  <phoneticPr fontId="0" type="noConversion"/>
  <conditionalFormatting sqref="AN82:AO93 AP51:BQ62 AR83:BH93 AQ82 AP133:BQ133 O25:AM36 AI82:AM105 K25:M36 L82:L105 K133:AM133 BK77:BQ105 AP64:BQ75 AP38:BQ49 BJ83:BJ105 AP82:AP105 O51:AM62 O38:AM49 AP107:BQ118 M90:M105 O82:AG105 AH94:AH105 O120:AM131 L77:BJ80 O107:AM118 N82:N93 AP25:BQ36 AQ94:BI105 K77:K105 K38:M49 K51:M62 K64:M75 O64:AM75 K107:M118 K120:M131 AP120:BQ131">
    <cfRule type="expression" dxfId="51" priority="1" stopIfTrue="1">
      <formula>$K$25:$BQ$133&gt;0</formula>
    </cfRule>
  </conditionalFormatting>
  <conditionalFormatting sqref="AO133">
    <cfRule type="expression" dxfId="50" priority="2" stopIfTrue="1">
      <formula>$AQ$133&gt;0</formula>
    </cfRule>
  </conditionalFormatting>
  <conditionalFormatting sqref="AO25:AO36">
    <cfRule type="expression" dxfId="49" priority="3" stopIfTrue="1">
      <formula>$AQ$25:$AQ$36&gt;0</formula>
    </cfRule>
    <cfRule type="expression" dxfId="48" priority="4" stopIfTrue="1">
      <formula>$AR$25:$AR$36&gt;0</formula>
    </cfRule>
  </conditionalFormatting>
  <conditionalFormatting sqref="AO38:AO49">
    <cfRule type="expression" dxfId="47" priority="5" stopIfTrue="1">
      <formula>$AQ$25:$AQ$36&gt;0</formula>
    </cfRule>
    <cfRule type="expression" dxfId="46" priority="6" stopIfTrue="1">
      <formula>$AR$38:$AR$49&gt;0</formula>
    </cfRule>
  </conditionalFormatting>
  <conditionalFormatting sqref="AO51:AO62">
    <cfRule type="expression" dxfId="45" priority="7" stopIfTrue="1">
      <formula>$AQ$51:$AQ$62&gt;0</formula>
    </cfRule>
    <cfRule type="expression" dxfId="44" priority="8" stopIfTrue="1">
      <formula>$AR$51:$AR$62&gt;0</formula>
    </cfRule>
  </conditionalFormatting>
  <conditionalFormatting sqref="AO64:AO75">
    <cfRule type="expression" dxfId="43" priority="9" stopIfTrue="1">
      <formula>$AQ$64:$AQ$75&gt;0</formula>
    </cfRule>
    <cfRule type="expression" dxfId="42" priority="10" stopIfTrue="1">
      <formula>$AR$64:$AR$75&gt;0</formula>
    </cfRule>
  </conditionalFormatting>
  <conditionalFormatting sqref="AO94:AO105">
    <cfRule type="expression" dxfId="41" priority="11" stopIfTrue="1">
      <formula>$AQ$94:$AQ$105&gt;0</formula>
    </cfRule>
    <cfRule type="expression" dxfId="40" priority="12" stopIfTrue="1">
      <formula>$AR$94:$AR$105&gt;0</formula>
    </cfRule>
  </conditionalFormatting>
  <conditionalFormatting sqref="AO107:AO118">
    <cfRule type="expression" dxfId="39" priority="13" stopIfTrue="1">
      <formula>$AQ$107:$AQ$118&gt;0</formula>
    </cfRule>
    <cfRule type="expression" dxfId="38" priority="14" stopIfTrue="1">
      <formula>$AR$107:$AR$118&gt;0</formula>
    </cfRule>
  </conditionalFormatting>
  <conditionalFormatting sqref="AO120:AO131">
    <cfRule type="expression" dxfId="37" priority="15" stopIfTrue="1">
      <formula>$AQ$120:$AQ$132&gt;0</formula>
    </cfRule>
    <cfRule type="expression" dxfId="36" priority="16" stopIfTrue="1">
      <formula>$AR$120:$AR$132&gt;0</formula>
    </cfRule>
  </conditionalFormatting>
  <conditionalFormatting sqref="B37:BQ37 B50:BQ50 B63:BQ63 B76:BQ76 B119:BQ119 B106:BQ106 B132:BQ132">
    <cfRule type="expression" dxfId="35" priority="17" stopIfTrue="1">
      <formula>$C$3="Зарегистрируйте программу"</formula>
    </cfRule>
  </conditionalFormatting>
  <dataValidations disablePrompts="1" count="8">
    <dataValidation type="whole" allowBlank="1" showInputMessage="1" showErrorMessage="1" errorTitle="ВНИМАНИЕ!" error="ЭТО ПОЛЕ НЕ ПРЕДНАЗНАЧЕНО ДЛЯ ВВОДА !" sqref="N33 N40:N41 N46 N72 N59 N27:N28 N53:N54 N66:N67 N115 N102 N96:N97 N109:N110 N128 N122:N123">
      <formula1>0</formula1>
      <formula2>0</formula2>
    </dataValidation>
    <dataValidation type="whole" allowBlank="1" showInputMessage="1" showErrorMessage="1" errorTitle="ВНИМАНИЕ!" error="ЭТА ЯЧЕЙКА НЕПРЕДНАЗНАЧЕНА ДЛЯ ВВОДА !" sqref="AO26:AO27 AO121:AO122 AO104:AO105 AO95:AO96 AO61:AO62 AO48:AO49 AO108:AO109 AO39:AO40 AO52:AO53 AO74:AO75 AO65:AO66 AO35:AO36">
      <formula1>0</formula1>
      <formula2>0</formula2>
    </dataValidation>
    <dataValidation allowBlank="1" showInputMessage="1" showErrorMessage="1" promptTitle="ВНИМАНИЕ!!!" prompt="Количество яиц за неделю." sqref="AX133"/>
    <dataValidation allowBlank="1" showInputMessage="1" showErrorMessage="1" promptTitle="ВОСКРЕСЕНЬЕ" sqref="B120:B131"/>
    <dataValidation allowBlank="1" showErrorMessage="1" sqref="B25:B36"/>
    <dataValidation type="list" allowBlank="1" showInputMessage="1" showErrorMessage="1" sqref="N98:N101 N29:N32 N55:N58 N68:N71 N73 N103 N129 N111:N114 N116 N42:N45 N47 N60 N124:N127">
      <formula1>$CG$25:$CG$34</formula1>
    </dataValidation>
    <dataValidation type="list" allowBlank="1" showInputMessage="1" showErrorMessage="1" sqref="AN25:AO25 AN34:AO34 AN38:AO38 AN47:AO47 AN51:AO51 AN60:AO60 AN64:AO64 AN73:AO73 AN94:AO94 AN103:AO103 AN107:AO107 AN116:AO116 AN120:AO120 AN124:AN127 AO54:AO58 AO67:AO71 AO97:AO101 AO110:AO114 AO123:AO127 AN129:AO129 AN29:AN32 AN55:AN58 AN68:AN71 AN98:AN101 AN111:AN114 AO28:AO32 AO41:AO45 AN42:AN45">
      <formula1>$CH$25:$CH$34</formula1>
    </dataValidation>
    <dataValidation type="list" allowBlank="1" showInputMessage="1" showErrorMessage="1" sqref="N25 N94 N107 N38 N51 N64 N120">
      <formula1>$CG$25:$CG$28</formula1>
    </dataValidation>
  </dataValidations>
  <hyperlinks>
    <hyperlink ref="B25:B36" location="Пн!A2" tooltip="Переход в НАКЛАДНУЮ" display="П о н е д е л ь н и к "/>
    <hyperlink ref="B38:B49" location="Вт!A2" tooltip="Переход в НАКЛАДНУЮ" display="В т о р н и к "/>
    <hyperlink ref="B51:B62" location="Ср!A2" tooltip="Переход в НАКЛАДНУЮ" display="С р е д а"/>
    <hyperlink ref="B64:B75" location="Чт!A2" tooltip="Переход в НАКЛАДНУЮ" display="Ч е т в е р г"/>
    <hyperlink ref="B94:B105" location="Пт!A2" tooltip="Переход в НАКЛАДНУЮ" display="П  я  т  н  и  ц  а"/>
    <hyperlink ref="B107:B118" location="Сб!A2" tooltip="Переход в НАКЛАДНУЮ" display="С  у  б  б  о  т  а"/>
    <hyperlink ref="B120:B131" location="Вс!A2" tooltip="Переход в НАКЛАДНУЮ" display="В  о  с  к  р  е  с  е  н  ь  е"/>
    <hyperlink ref="A20" r:id="rId2"/>
  </hyperlinks>
  <printOptions horizontalCentered="1"/>
  <pageMargins left="0.31496062992125984" right="0.31496062992125984" top="0.59055118110236227" bottom="0.59055118110236227" header="0.11811023622047245" footer="0.19685039370078741"/>
  <pageSetup paperSize="9" scale="49" fitToHeight="2" orientation="portrait" horizontalDpi="1800" verticalDpi="1800" r:id="rId3"/>
  <headerFooter alignWithMargins="0"/>
  <rowBreaks count="1" manualBreakCount="1">
    <brk id="76" min="1" max="68" man="1"/>
  </rowBreaks>
  <ignoredErrors>
    <ignoredError sqref="AO106 AB76 AO132 T37 AB37 AO37 AO119 R50 AO50 AQ52 AO76 R63 AO63 AQ69" formula="1"/>
  </ignoredErrors>
  <drawing r:id="rId4"/>
  <legacyDrawing r:id="rId5"/>
  <controls>
    <mc:AlternateContent xmlns:mc="http://schemas.openxmlformats.org/markup-compatibility/2006">
      <mc:Choice Requires="x14">
        <control shapeId="1359" r:id="rId6" name="CommandButton1">
          <controlPr locked="0" defaultSize="0" autoLine="0" r:id="rId7">
            <anchor moveWithCells="1">
              <from>
                <xdr:col>0</xdr:col>
                <xdr:colOff>723900</xdr:colOff>
                <xdr:row>0</xdr:row>
                <xdr:rowOff>114300</xdr:rowOff>
              </from>
              <to>
                <xdr:col>0</xdr:col>
                <xdr:colOff>1438275</xdr:colOff>
                <xdr:row>3</xdr:row>
                <xdr:rowOff>66675</xdr:rowOff>
              </to>
            </anchor>
          </controlPr>
        </control>
      </mc:Choice>
      <mc:Fallback>
        <control shapeId="1359" r:id="rId6" name="CommandButton1"/>
      </mc:Fallback>
    </mc:AlternateContent>
    <mc:AlternateContent xmlns:mc="http://schemas.openxmlformats.org/markup-compatibility/2006">
      <mc:Choice Requires="x14">
        <control shapeId="1272" r:id="rId8" name="CommandButton8">
          <controlPr defaultSize="0" print="0" autoLine="0" r:id="rId9">
            <anchor>
              <from>
                <xdr:col>0</xdr:col>
                <xdr:colOff>342900</xdr:colOff>
                <xdr:row>5</xdr:row>
                <xdr:rowOff>171450</xdr:rowOff>
              </from>
              <to>
                <xdr:col>0</xdr:col>
                <xdr:colOff>1866900</xdr:colOff>
                <xdr:row>6</xdr:row>
                <xdr:rowOff>161925</xdr:rowOff>
              </to>
            </anchor>
          </controlPr>
        </control>
      </mc:Choice>
      <mc:Fallback>
        <control shapeId="1272" r:id="rId8" name="CommandButton8"/>
      </mc:Fallback>
    </mc:AlternateContent>
    <mc:AlternateContent xmlns:mc="http://schemas.openxmlformats.org/markup-compatibility/2006">
      <mc:Choice Requires="x14">
        <control shapeId="1271" r:id="rId10" name="CommandButton2">
          <controlPr defaultSize="0" print="0" autoLine="0" r:id="rId11">
            <anchor>
              <from>
                <xdr:col>0</xdr:col>
                <xdr:colOff>342900</xdr:colOff>
                <xdr:row>3</xdr:row>
                <xdr:rowOff>152400</xdr:rowOff>
              </from>
              <to>
                <xdr:col>0</xdr:col>
                <xdr:colOff>1866900</xdr:colOff>
                <xdr:row>5</xdr:row>
                <xdr:rowOff>123825</xdr:rowOff>
              </to>
            </anchor>
          </controlPr>
        </control>
      </mc:Choice>
      <mc:Fallback>
        <control shapeId="1271" r:id="rId10" name="CommandButton2"/>
      </mc:Fallback>
    </mc:AlternateContent>
    <mc:AlternateContent xmlns:mc="http://schemas.openxmlformats.org/markup-compatibility/2006">
      <mc:Choice Requires="x14">
        <control shapeId="1223" r:id="rId12" name="CommandButton7">
          <controlPr defaultSize="0" autoLine="0" r:id="rId13">
            <anchor moveWithCells="1">
              <from>
                <xdr:col>0</xdr:col>
                <xdr:colOff>333375</xdr:colOff>
                <xdr:row>7</xdr:row>
                <xdr:rowOff>152400</xdr:rowOff>
              </from>
              <to>
                <xdr:col>0</xdr:col>
                <xdr:colOff>1838325</xdr:colOff>
                <xdr:row>11</xdr:row>
                <xdr:rowOff>114300</xdr:rowOff>
              </to>
            </anchor>
          </controlPr>
        </control>
      </mc:Choice>
      <mc:Fallback>
        <control shapeId="1223" r:id="rId12" name="CommandButton7"/>
      </mc:Fallback>
    </mc:AlternateContent>
    <mc:AlternateContent xmlns:mc="http://schemas.openxmlformats.org/markup-compatibility/2006">
      <mc:Choice Requires="x14">
        <control shapeId="1222" r:id="rId14" name="CommandButton6">
          <controlPr defaultSize="0" print="0" autoLine="0" autoPict="0" r:id="rId15">
            <anchor moveWithCells="1" sizeWithCells="1">
              <from>
                <xdr:col>0</xdr:col>
                <xdr:colOff>476250</xdr:colOff>
                <xdr:row>18</xdr:row>
                <xdr:rowOff>228600</xdr:rowOff>
              </from>
              <to>
                <xdr:col>0</xdr:col>
                <xdr:colOff>1695450</xdr:colOff>
                <xdr:row>19</xdr:row>
                <xdr:rowOff>247650</xdr:rowOff>
              </to>
            </anchor>
          </controlPr>
        </control>
      </mc:Choice>
      <mc:Fallback>
        <control shapeId="1222" r:id="rId14" name="CommandButton6"/>
      </mc:Fallback>
    </mc:AlternateContent>
    <mc:AlternateContent xmlns:mc="http://schemas.openxmlformats.org/markup-compatibility/2006">
      <mc:Choice Requires="x14">
        <control shapeId="1221" r:id="rId16" name="CommandButton5">
          <controlPr defaultSize="0" print="0" autoLine="0" autoPict="0" r:id="rId17">
            <anchor moveWithCells="1" sizeWithCells="1">
              <from>
                <xdr:col>0</xdr:col>
                <xdr:colOff>476250</xdr:colOff>
                <xdr:row>13</xdr:row>
                <xdr:rowOff>190500</xdr:rowOff>
              </from>
              <to>
                <xdr:col>0</xdr:col>
                <xdr:colOff>1695450</xdr:colOff>
                <xdr:row>14</xdr:row>
                <xdr:rowOff>209550</xdr:rowOff>
              </to>
            </anchor>
          </controlPr>
        </control>
      </mc:Choice>
      <mc:Fallback>
        <control shapeId="1221" r:id="rId16" name="CommandButton5"/>
      </mc:Fallback>
    </mc:AlternateContent>
    <mc:AlternateContent xmlns:mc="http://schemas.openxmlformats.org/markup-compatibility/2006">
      <mc:Choice Requires="x14">
        <control shapeId="1220" r:id="rId18" name="CommandButton4">
          <controlPr defaultSize="0" print="0" autoLine="0" autoPict="0" r:id="rId19">
            <anchor moveWithCells="1" sizeWithCells="1">
              <from>
                <xdr:col>0</xdr:col>
                <xdr:colOff>476250</xdr:colOff>
                <xdr:row>14</xdr:row>
                <xdr:rowOff>219075</xdr:rowOff>
              </from>
              <to>
                <xdr:col>0</xdr:col>
                <xdr:colOff>1695450</xdr:colOff>
                <xdr:row>18</xdr:row>
                <xdr:rowOff>238125</xdr:rowOff>
              </to>
            </anchor>
          </controlPr>
        </control>
      </mc:Choice>
      <mc:Fallback>
        <control shapeId="1220" r:id="rId18" name="CommandButton4"/>
      </mc:Fallback>
    </mc:AlternateContent>
    <mc:AlternateContent xmlns:mc="http://schemas.openxmlformats.org/markup-compatibility/2006">
      <mc:Choice Requires="x14">
        <control shapeId="1219" r:id="rId20" name="CommandButton3">
          <controlPr defaultSize="0" print="0" autoLine="0" r:id="rId21">
            <anchor moveWithCells="1" sizeWithCells="1">
              <from>
                <xdr:col>0</xdr:col>
                <xdr:colOff>476250</xdr:colOff>
                <xdr:row>12</xdr:row>
                <xdr:rowOff>171450</xdr:rowOff>
              </from>
              <to>
                <xdr:col>0</xdr:col>
                <xdr:colOff>1695450</xdr:colOff>
                <xdr:row>13</xdr:row>
                <xdr:rowOff>190500</xdr:rowOff>
              </to>
            </anchor>
          </controlPr>
        </control>
      </mc:Choice>
      <mc:Fallback>
        <control shapeId="1219" r:id="rId20" name="CommandButton3"/>
      </mc:Fallback>
    </mc:AlternateContent>
    <mc:AlternateContent xmlns:mc="http://schemas.openxmlformats.org/markup-compatibility/2006">
      <mc:Choice Requires="x14">
        <control shapeId="1034" r:id="rId22" name="Drop Down 10">
          <controlPr defaultSize="0" autoLine="0" autoPict="0">
            <anchor moveWithCells="1">
              <from>
                <xdr:col>0</xdr:col>
                <xdr:colOff>19050</xdr:colOff>
                <xdr:row>40</xdr:row>
                <xdr:rowOff>19050</xdr:rowOff>
              </from>
              <to>
                <xdr:col>0</xdr:col>
                <xdr:colOff>2647950</xdr:colOff>
                <xdr:row>40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3" name="Drop Down 11">
          <controlPr defaultSize="0" autoLine="0" autoPict="0">
            <anchor moveWithCells="1">
              <from>
                <xdr:col>0</xdr:col>
                <xdr:colOff>19050</xdr:colOff>
                <xdr:row>53</xdr:row>
                <xdr:rowOff>9525</xdr:rowOff>
              </from>
              <to>
                <xdr:col>0</xdr:col>
                <xdr:colOff>2647950</xdr:colOff>
                <xdr:row>53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4" name="Drop Down 12">
          <controlPr defaultSize="0" autoLine="0" autoPict="0">
            <anchor moveWithCells="1">
              <from>
                <xdr:col>0</xdr:col>
                <xdr:colOff>19050</xdr:colOff>
                <xdr:row>66</xdr:row>
                <xdr:rowOff>9525</xdr:rowOff>
              </from>
              <to>
                <xdr:col>0</xdr:col>
                <xdr:colOff>2647950</xdr:colOff>
                <xdr:row>66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25" name="Drop Down 13">
          <controlPr defaultSize="0" autoLine="0" autoPict="0">
            <anchor moveWithCells="1">
              <from>
                <xdr:col>0</xdr:col>
                <xdr:colOff>19050</xdr:colOff>
                <xdr:row>96</xdr:row>
                <xdr:rowOff>9525</xdr:rowOff>
              </from>
              <to>
                <xdr:col>0</xdr:col>
                <xdr:colOff>2647950</xdr:colOff>
                <xdr:row>96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26" name="Drop Down 14">
          <controlPr defaultSize="0" autoLine="0" autoPict="0">
            <anchor moveWithCells="1">
              <from>
                <xdr:col>0</xdr:col>
                <xdr:colOff>19050</xdr:colOff>
                <xdr:row>122</xdr:row>
                <xdr:rowOff>9525</xdr:rowOff>
              </from>
              <to>
                <xdr:col>0</xdr:col>
                <xdr:colOff>2647950</xdr:colOff>
                <xdr:row>122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27" name="Drop Down 15">
          <controlPr defaultSize="0" autoLine="0" autoPict="0">
            <anchor moveWithCells="1">
              <from>
                <xdr:col>0</xdr:col>
                <xdr:colOff>19050</xdr:colOff>
                <xdr:row>109</xdr:row>
                <xdr:rowOff>9525</xdr:rowOff>
              </from>
              <to>
                <xdr:col>0</xdr:col>
                <xdr:colOff>2647950</xdr:colOff>
                <xdr:row>109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8" name="Drop Down 16">
          <controlPr defaultSize="0" autoLine="0" autoPict="0" macro="[0]!Раскрсписок16_Изменение">
            <anchor moveWithCells="1">
              <from>
                <xdr:col>0</xdr:col>
                <xdr:colOff>19050</xdr:colOff>
                <xdr:row>41</xdr:row>
                <xdr:rowOff>28575</xdr:rowOff>
              </from>
              <to>
                <xdr:col>0</xdr:col>
                <xdr:colOff>2647950</xdr:colOff>
                <xdr:row>41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9" name="Drop Down 18">
          <controlPr defaultSize="0" autoLine="0" autoPict="0" macro="[0]!Раскрсписок18_Изменение">
            <anchor moveWithCells="1">
              <from>
                <xdr:col>0</xdr:col>
                <xdr:colOff>19050</xdr:colOff>
                <xdr:row>42</xdr:row>
                <xdr:rowOff>28575</xdr:rowOff>
              </from>
              <to>
                <xdr:col>0</xdr:col>
                <xdr:colOff>2647950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30" name="Drop Down 19">
          <controlPr defaultSize="0" autoLine="0" autoPict="0" macro="[0]!Раскрсписок19_Изменение">
            <anchor moveWithCells="1">
              <from>
                <xdr:col>0</xdr:col>
                <xdr:colOff>19050</xdr:colOff>
                <xdr:row>54</xdr:row>
                <xdr:rowOff>28575</xdr:rowOff>
              </from>
              <to>
                <xdr:col>0</xdr:col>
                <xdr:colOff>2647950</xdr:colOff>
                <xdr:row>54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31" name="Drop Down 20">
          <controlPr defaultSize="0" autoLine="0" autoPict="0" macro="[0]!Раскрсписок20_Изменение">
            <anchor moveWithCells="1">
              <from>
                <xdr:col>0</xdr:col>
                <xdr:colOff>19050</xdr:colOff>
                <xdr:row>55</xdr:row>
                <xdr:rowOff>28575</xdr:rowOff>
              </from>
              <to>
                <xdr:col>0</xdr:col>
                <xdr:colOff>2647950</xdr:colOff>
                <xdr:row>55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32" name="Drop Down 23">
          <controlPr defaultSize="0" autoLine="0" autoPict="0" macro="[0]!Раскрсписок23_Изменение">
            <anchor moveWithCells="1">
              <from>
                <xdr:col>0</xdr:col>
                <xdr:colOff>19050</xdr:colOff>
                <xdr:row>67</xdr:row>
                <xdr:rowOff>28575</xdr:rowOff>
              </from>
              <to>
                <xdr:col>0</xdr:col>
                <xdr:colOff>2647950</xdr:colOff>
                <xdr:row>67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33" name="Drop Down 24">
          <controlPr defaultSize="0" autoLine="0" autoPict="0" macro="[0]!Раскрсписок24_Изменение">
            <anchor moveWithCells="1">
              <from>
                <xdr:col>0</xdr:col>
                <xdr:colOff>19050</xdr:colOff>
                <xdr:row>68</xdr:row>
                <xdr:rowOff>28575</xdr:rowOff>
              </from>
              <to>
                <xdr:col>0</xdr:col>
                <xdr:colOff>2647950</xdr:colOff>
                <xdr:row>68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34" name="Drop Down 25">
          <controlPr defaultSize="0" autoLine="0" autoPict="0" macro="[0]!Раскрсписок25_Изменение">
            <anchor moveWithCells="1">
              <from>
                <xdr:col>0</xdr:col>
                <xdr:colOff>19050</xdr:colOff>
                <xdr:row>97</xdr:row>
                <xdr:rowOff>19050</xdr:rowOff>
              </from>
              <to>
                <xdr:col>0</xdr:col>
                <xdr:colOff>2647950</xdr:colOff>
                <xdr:row>97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35" name="Drop Down 26">
          <controlPr defaultSize="0" autoLine="0" autoPict="0" macro="[0]!Раскрсписок26_Изменение">
            <anchor moveWithCells="1">
              <from>
                <xdr:col>0</xdr:col>
                <xdr:colOff>19050</xdr:colOff>
                <xdr:row>98</xdr:row>
                <xdr:rowOff>19050</xdr:rowOff>
              </from>
              <to>
                <xdr:col>0</xdr:col>
                <xdr:colOff>2647950</xdr:colOff>
                <xdr:row>98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36" name="Drop Down 27">
          <controlPr defaultSize="0" autoLine="0" autoPict="0" macro="[0]!Раскрсписок27_Изменение">
            <anchor moveWithCells="1">
              <from>
                <xdr:col>0</xdr:col>
                <xdr:colOff>19050</xdr:colOff>
                <xdr:row>110</xdr:row>
                <xdr:rowOff>28575</xdr:rowOff>
              </from>
              <to>
                <xdr:col>0</xdr:col>
                <xdr:colOff>2647950</xdr:colOff>
                <xdr:row>110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37" name="Drop Down 28">
          <controlPr defaultSize="0" autoLine="0" autoPict="0" macro="[0]!Раскрсписок28_Изменение">
            <anchor moveWithCells="1">
              <from>
                <xdr:col>0</xdr:col>
                <xdr:colOff>19050</xdr:colOff>
                <xdr:row>111</xdr:row>
                <xdr:rowOff>28575</xdr:rowOff>
              </from>
              <to>
                <xdr:col>0</xdr:col>
                <xdr:colOff>2647950</xdr:colOff>
                <xdr:row>111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38" name="Drop Down 29">
          <controlPr defaultSize="0" autoLine="0" autoPict="0" macro="[0]!Раскрсписок29_Изменение">
            <anchor moveWithCells="1">
              <from>
                <xdr:col>0</xdr:col>
                <xdr:colOff>19050</xdr:colOff>
                <xdr:row>123</xdr:row>
                <xdr:rowOff>28575</xdr:rowOff>
              </from>
              <to>
                <xdr:col>0</xdr:col>
                <xdr:colOff>2647950</xdr:colOff>
                <xdr:row>123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39" name="Drop Down 30">
          <controlPr defaultSize="0" autoLine="0" autoPict="0" macro="[0]!Раскрсписок30_Изменение">
            <anchor moveWithCells="1">
              <from>
                <xdr:col>0</xdr:col>
                <xdr:colOff>19050</xdr:colOff>
                <xdr:row>124</xdr:row>
                <xdr:rowOff>28575</xdr:rowOff>
              </from>
              <to>
                <xdr:col>0</xdr:col>
                <xdr:colOff>2647950</xdr:colOff>
                <xdr:row>124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40" name="Drop Down 32">
          <controlPr defaultSize="0" autoLine="0" autoPict="0">
            <anchor moveWithCells="1">
              <from>
                <xdr:col>0</xdr:col>
                <xdr:colOff>19050</xdr:colOff>
                <xdr:row>37</xdr:row>
                <xdr:rowOff>19050</xdr:rowOff>
              </from>
              <to>
                <xdr:col>0</xdr:col>
                <xdr:colOff>2647950</xdr:colOff>
                <xdr:row>37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41" name="Drop Down 33">
          <controlPr defaultSize="0" autoLine="0" autoPict="0">
            <anchor moveWithCells="1">
              <from>
                <xdr:col>0</xdr:col>
                <xdr:colOff>19050</xdr:colOff>
                <xdr:row>46</xdr:row>
                <xdr:rowOff>19050</xdr:rowOff>
              </from>
              <to>
                <xdr:col>0</xdr:col>
                <xdr:colOff>2647950</xdr:colOff>
                <xdr:row>46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42" name="Drop Down 34">
          <controlPr defaultSize="0" print="0" autoLine="0" autoPict="0">
            <anchor>
              <from>
                <xdr:col>0</xdr:col>
                <xdr:colOff>28575</xdr:colOff>
                <xdr:row>50</xdr:row>
                <xdr:rowOff>28575</xdr:rowOff>
              </from>
              <to>
                <xdr:col>0</xdr:col>
                <xdr:colOff>2657475</xdr:colOff>
                <xdr:row>50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43" name="Drop Down 35">
          <controlPr defaultSize="0" autoLine="0" autoPict="0">
            <anchor moveWithCells="1">
              <from>
                <xdr:col>0</xdr:col>
                <xdr:colOff>19050</xdr:colOff>
                <xdr:row>59</xdr:row>
                <xdr:rowOff>19050</xdr:rowOff>
              </from>
              <to>
                <xdr:col>0</xdr:col>
                <xdr:colOff>2647950</xdr:colOff>
                <xdr:row>59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44" name="Drop Down 36">
          <controlPr defaultSize="0" autoLine="0" autoPict="0">
            <anchor moveWithCells="1">
              <from>
                <xdr:col>0</xdr:col>
                <xdr:colOff>19050</xdr:colOff>
                <xdr:row>63</xdr:row>
                <xdr:rowOff>19050</xdr:rowOff>
              </from>
              <to>
                <xdr:col>0</xdr:col>
                <xdr:colOff>2647950</xdr:colOff>
                <xdr:row>63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45" name="Drop Down 37">
          <controlPr defaultSize="0" autoLine="0" autoPict="0">
            <anchor moveWithCells="1">
              <from>
                <xdr:col>0</xdr:col>
                <xdr:colOff>19050</xdr:colOff>
                <xdr:row>72</xdr:row>
                <xdr:rowOff>19050</xdr:rowOff>
              </from>
              <to>
                <xdr:col>0</xdr:col>
                <xdr:colOff>2647950</xdr:colOff>
                <xdr:row>72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46" name="Drop Down 38">
          <controlPr defaultSize="0" autoLine="0" autoPict="0">
            <anchor moveWithCells="1">
              <from>
                <xdr:col>0</xdr:col>
                <xdr:colOff>19050</xdr:colOff>
                <xdr:row>93</xdr:row>
                <xdr:rowOff>19050</xdr:rowOff>
              </from>
              <to>
                <xdr:col>0</xdr:col>
                <xdr:colOff>2647950</xdr:colOff>
                <xdr:row>93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47" name="Drop Down 39">
          <controlPr defaultSize="0" autoLine="0" autoPict="0">
            <anchor moveWithCells="1">
              <from>
                <xdr:col>0</xdr:col>
                <xdr:colOff>19050</xdr:colOff>
                <xdr:row>102</xdr:row>
                <xdr:rowOff>19050</xdr:rowOff>
              </from>
              <to>
                <xdr:col>0</xdr:col>
                <xdr:colOff>2647950</xdr:colOff>
                <xdr:row>102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48" name="Drop Down 40">
          <controlPr defaultSize="0" autoLine="0" autoPict="0">
            <anchor moveWithCells="1">
              <from>
                <xdr:col>0</xdr:col>
                <xdr:colOff>19050</xdr:colOff>
                <xdr:row>106</xdr:row>
                <xdr:rowOff>19050</xdr:rowOff>
              </from>
              <to>
                <xdr:col>0</xdr:col>
                <xdr:colOff>2647950</xdr:colOff>
                <xdr:row>106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49" name="Drop Down 41">
          <controlPr defaultSize="0" autoLine="0" autoPict="0">
            <anchor moveWithCells="1">
              <from>
                <xdr:col>0</xdr:col>
                <xdr:colOff>19050</xdr:colOff>
                <xdr:row>115</xdr:row>
                <xdr:rowOff>19050</xdr:rowOff>
              </from>
              <to>
                <xdr:col>0</xdr:col>
                <xdr:colOff>2647950</xdr:colOff>
                <xdr:row>115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50" name="Drop Down 42">
          <controlPr defaultSize="0" autoLine="0" autoPict="0">
            <anchor moveWithCells="1">
              <from>
                <xdr:col>0</xdr:col>
                <xdr:colOff>19050</xdr:colOff>
                <xdr:row>119</xdr:row>
                <xdr:rowOff>19050</xdr:rowOff>
              </from>
              <to>
                <xdr:col>0</xdr:col>
                <xdr:colOff>2647950</xdr:colOff>
                <xdr:row>119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51" name="Drop Down 43">
          <controlPr defaultSize="0" autoLine="0" autoPict="0">
            <anchor moveWithCells="1">
              <from>
                <xdr:col>0</xdr:col>
                <xdr:colOff>19050</xdr:colOff>
                <xdr:row>128</xdr:row>
                <xdr:rowOff>19050</xdr:rowOff>
              </from>
              <to>
                <xdr:col>0</xdr:col>
                <xdr:colOff>2647950</xdr:colOff>
                <xdr:row>128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52" name="Drop Down 46">
          <controlPr defaultSize="0" autoLine="0" autoPict="0">
            <anchor moveWithCells="1">
              <from>
                <xdr:col>0</xdr:col>
                <xdr:colOff>19050</xdr:colOff>
                <xdr:row>37</xdr:row>
                <xdr:rowOff>285750</xdr:rowOff>
              </from>
              <to>
                <xdr:col>0</xdr:col>
                <xdr:colOff>2647950</xdr:colOff>
                <xdr:row>38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53" name="Drop Down 49">
          <controlPr defaultSize="0" autoLine="0" autoPict="0">
            <anchor moveWithCells="1">
              <from>
                <xdr:col>0</xdr:col>
                <xdr:colOff>19050</xdr:colOff>
                <xdr:row>47</xdr:row>
                <xdr:rowOff>38100</xdr:rowOff>
              </from>
              <to>
                <xdr:col>0</xdr:col>
                <xdr:colOff>2647950</xdr:colOff>
                <xdr:row>47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54" name="Drop Down 50">
          <controlPr defaultSize="0" autoLine="0" autoPict="0">
            <anchor moveWithCells="1">
              <from>
                <xdr:col>0</xdr:col>
                <xdr:colOff>19050</xdr:colOff>
                <xdr:row>51</xdr:row>
                <xdr:rowOff>28575</xdr:rowOff>
              </from>
              <to>
                <xdr:col>0</xdr:col>
                <xdr:colOff>2647950</xdr:colOff>
                <xdr:row>51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55" name="Drop Down 51">
          <controlPr defaultSize="0" autoLine="0" autoPict="0">
            <anchor moveWithCells="1">
              <from>
                <xdr:col>0</xdr:col>
                <xdr:colOff>19050</xdr:colOff>
                <xdr:row>60</xdr:row>
                <xdr:rowOff>38100</xdr:rowOff>
              </from>
              <to>
                <xdr:col>0</xdr:col>
                <xdr:colOff>2647950</xdr:colOff>
                <xdr:row>60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56" name="Drop Down 52">
          <controlPr defaultSize="0" autoLine="0" autoPict="0">
            <anchor moveWithCells="1">
              <from>
                <xdr:col>0</xdr:col>
                <xdr:colOff>19050</xdr:colOff>
                <xdr:row>64</xdr:row>
                <xdr:rowOff>38100</xdr:rowOff>
              </from>
              <to>
                <xdr:col>0</xdr:col>
                <xdr:colOff>2647950</xdr:colOff>
                <xdr:row>64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57" name="Drop Down 53">
          <controlPr defaultSize="0" autoLine="0" autoPict="0">
            <anchor moveWithCells="1">
              <from>
                <xdr:col>0</xdr:col>
                <xdr:colOff>19050</xdr:colOff>
                <xdr:row>73</xdr:row>
                <xdr:rowOff>38100</xdr:rowOff>
              </from>
              <to>
                <xdr:col>0</xdr:col>
                <xdr:colOff>2647950</xdr:colOff>
                <xdr:row>73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58" name="Drop Down 54">
          <controlPr defaultSize="0" autoLine="0" autoPict="0">
            <anchor moveWithCells="1">
              <from>
                <xdr:col>0</xdr:col>
                <xdr:colOff>19050</xdr:colOff>
                <xdr:row>94</xdr:row>
                <xdr:rowOff>38100</xdr:rowOff>
              </from>
              <to>
                <xdr:col>0</xdr:col>
                <xdr:colOff>2647950</xdr:colOff>
                <xdr:row>94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59" name="Drop Down 55">
          <controlPr defaultSize="0" autoLine="0" autoPict="0">
            <anchor moveWithCells="1">
              <from>
                <xdr:col>0</xdr:col>
                <xdr:colOff>19050</xdr:colOff>
                <xdr:row>103</xdr:row>
                <xdr:rowOff>38100</xdr:rowOff>
              </from>
              <to>
                <xdr:col>0</xdr:col>
                <xdr:colOff>2647950</xdr:colOff>
                <xdr:row>103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60" name="Drop Down 56">
          <controlPr defaultSize="0" autoLine="0" autoPict="0">
            <anchor moveWithCells="1">
              <from>
                <xdr:col>0</xdr:col>
                <xdr:colOff>19050</xdr:colOff>
                <xdr:row>107</xdr:row>
                <xdr:rowOff>38100</xdr:rowOff>
              </from>
              <to>
                <xdr:col>0</xdr:col>
                <xdr:colOff>2647950</xdr:colOff>
                <xdr:row>107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61" name="Drop Down 57">
          <controlPr defaultSize="0" autoLine="0" autoPict="0">
            <anchor moveWithCells="1">
              <from>
                <xdr:col>0</xdr:col>
                <xdr:colOff>19050</xdr:colOff>
                <xdr:row>116</xdr:row>
                <xdr:rowOff>38100</xdr:rowOff>
              </from>
              <to>
                <xdr:col>0</xdr:col>
                <xdr:colOff>2647950</xdr:colOff>
                <xdr:row>116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62" name="Drop Down 58">
          <controlPr defaultSize="0" autoLine="0" autoPict="0">
            <anchor moveWithCells="1">
              <from>
                <xdr:col>0</xdr:col>
                <xdr:colOff>19050</xdr:colOff>
                <xdr:row>120</xdr:row>
                <xdr:rowOff>38100</xdr:rowOff>
              </from>
              <to>
                <xdr:col>0</xdr:col>
                <xdr:colOff>2647950</xdr:colOff>
                <xdr:row>120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63" name="Drop Down 59">
          <controlPr defaultSize="0" autoLine="0" autoPict="0">
            <anchor moveWithCells="1">
              <from>
                <xdr:col>0</xdr:col>
                <xdr:colOff>19050</xdr:colOff>
                <xdr:row>129</xdr:row>
                <xdr:rowOff>38100</xdr:rowOff>
              </from>
              <to>
                <xdr:col>0</xdr:col>
                <xdr:colOff>2647950</xdr:colOff>
                <xdr:row>129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64" name="Drop Down 61">
          <controlPr defaultSize="0" autoLine="0" autoPict="0">
            <anchor moveWithCells="1">
              <from>
                <xdr:col>0</xdr:col>
                <xdr:colOff>19050</xdr:colOff>
                <xdr:row>39</xdr:row>
                <xdr:rowOff>19050</xdr:rowOff>
              </from>
              <to>
                <xdr:col>0</xdr:col>
                <xdr:colOff>2647950</xdr:colOff>
                <xdr:row>39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65" name="Drop Down 62">
          <controlPr defaultSize="0" autoLine="0" autoPict="0">
            <anchor moveWithCells="1">
              <from>
                <xdr:col>0</xdr:col>
                <xdr:colOff>19050</xdr:colOff>
                <xdr:row>48</xdr:row>
                <xdr:rowOff>19050</xdr:rowOff>
              </from>
              <to>
                <xdr:col>0</xdr:col>
                <xdr:colOff>2647950</xdr:colOff>
                <xdr:row>48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7" r:id="rId66" name="Drop Down 63">
          <controlPr defaultSize="0" autoLine="0" autoPict="0">
            <anchor moveWithCells="1">
              <from>
                <xdr:col>0</xdr:col>
                <xdr:colOff>19050</xdr:colOff>
                <xdr:row>61</xdr:row>
                <xdr:rowOff>19050</xdr:rowOff>
              </from>
              <to>
                <xdr:col>0</xdr:col>
                <xdr:colOff>2647950</xdr:colOff>
                <xdr:row>61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67" name="Drop Down 64">
          <controlPr defaultSize="0" autoLine="0" autoPict="0">
            <anchor moveWithCells="1">
              <from>
                <xdr:col>0</xdr:col>
                <xdr:colOff>19050</xdr:colOff>
                <xdr:row>65</xdr:row>
                <xdr:rowOff>19050</xdr:rowOff>
              </from>
              <to>
                <xdr:col>0</xdr:col>
                <xdr:colOff>2647950</xdr:colOff>
                <xdr:row>65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68" name="Drop Down 65">
          <controlPr defaultSize="0" autoLine="0" autoPict="0">
            <anchor moveWithCells="1">
              <from>
                <xdr:col>0</xdr:col>
                <xdr:colOff>19050</xdr:colOff>
                <xdr:row>74</xdr:row>
                <xdr:rowOff>19050</xdr:rowOff>
              </from>
              <to>
                <xdr:col>0</xdr:col>
                <xdr:colOff>2647950</xdr:colOff>
                <xdr:row>74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69" name="Drop Down 66">
          <controlPr defaultSize="0" autoLine="0" autoPict="0">
            <anchor moveWithCells="1">
              <from>
                <xdr:col>0</xdr:col>
                <xdr:colOff>19050</xdr:colOff>
                <xdr:row>95</xdr:row>
                <xdr:rowOff>19050</xdr:rowOff>
              </from>
              <to>
                <xdr:col>0</xdr:col>
                <xdr:colOff>2647950</xdr:colOff>
                <xdr:row>95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70" name="Drop Down 67">
          <controlPr defaultSize="0" autoLine="0" autoPict="0">
            <anchor moveWithCells="1">
              <from>
                <xdr:col>0</xdr:col>
                <xdr:colOff>19050</xdr:colOff>
                <xdr:row>104</xdr:row>
                <xdr:rowOff>19050</xdr:rowOff>
              </from>
              <to>
                <xdr:col>0</xdr:col>
                <xdr:colOff>2647950</xdr:colOff>
                <xdr:row>104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71" name="Drop Down 68">
          <controlPr defaultSize="0" autoLine="0" autoPict="0">
            <anchor moveWithCells="1">
              <from>
                <xdr:col>0</xdr:col>
                <xdr:colOff>19050</xdr:colOff>
                <xdr:row>108</xdr:row>
                <xdr:rowOff>19050</xdr:rowOff>
              </from>
              <to>
                <xdr:col>0</xdr:col>
                <xdr:colOff>2647950</xdr:colOff>
                <xdr:row>108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72" name="Drop Down 69">
          <controlPr defaultSize="0" autoLine="0" autoPict="0">
            <anchor moveWithCells="1">
              <from>
                <xdr:col>0</xdr:col>
                <xdr:colOff>19050</xdr:colOff>
                <xdr:row>117</xdr:row>
                <xdr:rowOff>19050</xdr:rowOff>
              </from>
              <to>
                <xdr:col>0</xdr:col>
                <xdr:colOff>2647950</xdr:colOff>
                <xdr:row>117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73" name="Drop Down 70">
          <controlPr defaultSize="0" autoLine="0" autoPict="0">
            <anchor moveWithCells="1">
              <from>
                <xdr:col>0</xdr:col>
                <xdr:colOff>19050</xdr:colOff>
                <xdr:row>130</xdr:row>
                <xdr:rowOff>19050</xdr:rowOff>
              </from>
              <to>
                <xdr:col>0</xdr:col>
                <xdr:colOff>2647950</xdr:colOff>
                <xdr:row>130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74" name="Drop Down 71">
          <controlPr defaultSize="0" autoLine="0" autoPict="0">
            <anchor moveWithCells="1">
              <from>
                <xdr:col>0</xdr:col>
                <xdr:colOff>19050</xdr:colOff>
                <xdr:row>121</xdr:row>
                <xdr:rowOff>19050</xdr:rowOff>
              </from>
              <to>
                <xdr:col>0</xdr:col>
                <xdr:colOff>2647950</xdr:colOff>
                <xdr:row>121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75" name="Drop Down 72">
          <controlPr defaultSize="0" autoLine="0" autoPict="0">
            <anchor moveWithCells="1">
              <from>
                <xdr:col>0</xdr:col>
                <xdr:colOff>19050</xdr:colOff>
                <xdr:row>52</xdr:row>
                <xdr:rowOff>19050</xdr:rowOff>
              </from>
              <to>
                <xdr:col>0</xdr:col>
                <xdr:colOff>2647950</xdr:colOff>
                <xdr:row>52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76" name="Drop Down 74">
          <controlPr defaultSize="0" autoLine="0" autoPict="0">
            <anchor moveWithCells="1">
              <from>
                <xdr:col>0</xdr:col>
                <xdr:colOff>19050</xdr:colOff>
                <xdr:row>30</xdr:row>
                <xdr:rowOff>28575</xdr:rowOff>
              </from>
              <to>
                <xdr:col>0</xdr:col>
                <xdr:colOff>1247775</xdr:colOff>
                <xdr:row>30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77" name="Drop Down 6">
          <controlPr defaultSize="0" print="0" autoLine="0" autoPict="0">
            <anchor moveWithCells="1" sizeWithCells="1">
              <from>
                <xdr:col>0</xdr:col>
                <xdr:colOff>19050</xdr:colOff>
                <xdr:row>24</xdr:row>
                <xdr:rowOff>19050</xdr:rowOff>
              </from>
              <to>
                <xdr:col>0</xdr:col>
                <xdr:colOff>2647950</xdr:colOff>
                <xdr:row>24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8" name="Drop Down 7">
          <controlPr defaultSize="0" print="0" autoLine="0" autoPict="0">
            <anchor moveWithCells="1" sizeWithCells="1">
              <from>
                <xdr:col>0</xdr:col>
                <xdr:colOff>19050</xdr:colOff>
                <xdr:row>25</xdr:row>
                <xdr:rowOff>57150</xdr:rowOff>
              </from>
              <to>
                <xdr:col>0</xdr:col>
                <xdr:colOff>2647950</xdr:colOff>
                <xdr:row>25</xdr:row>
                <xdr:rowOff>257175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9" name="Drop Down 8">
          <controlPr defaultSize="0" print="0" autoLine="0" autoPict="0">
            <anchor moveWithCells="1" sizeWithCells="1">
              <from>
                <xdr:col>0</xdr:col>
                <xdr:colOff>19050</xdr:colOff>
                <xdr:row>26</xdr:row>
                <xdr:rowOff>19050</xdr:rowOff>
              </from>
              <to>
                <xdr:col>0</xdr:col>
                <xdr:colOff>2647950</xdr:colOff>
                <xdr:row>26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0" name="Drop Down 9">
          <controlPr defaultSize="0" print="0" autoLine="0" autoPict="0">
            <anchor moveWithCells="1" sizeWithCells="1">
              <from>
                <xdr:col>0</xdr:col>
                <xdr:colOff>19050</xdr:colOff>
                <xdr:row>27</xdr:row>
                <xdr:rowOff>19050</xdr:rowOff>
              </from>
              <to>
                <xdr:col>0</xdr:col>
                <xdr:colOff>2647950</xdr:colOff>
                <xdr:row>27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Drop Down 21">
          <controlPr defaultSize="0" print="0" autoLine="0" autoPict="0" macro="[0]!Раскрсписок21_Изменение">
            <anchor moveWithCells="1" sizeWithCells="1">
              <from>
                <xdr:col>0</xdr:col>
                <xdr:colOff>19050</xdr:colOff>
                <xdr:row>27</xdr:row>
                <xdr:rowOff>295275</xdr:rowOff>
              </from>
              <to>
                <xdr:col>0</xdr:col>
                <xdr:colOff>2647950</xdr:colOff>
                <xdr:row>28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82" name="Drop Down 22">
          <controlPr defaultSize="0" print="0" autoLine="0" autoPict="0" macro="[0]!Раскрсписок22_Изменение">
            <anchor moveWithCells="1" sizeWithCells="1">
              <from>
                <xdr:col>0</xdr:col>
                <xdr:colOff>19050</xdr:colOff>
                <xdr:row>29</xdr:row>
                <xdr:rowOff>9525</xdr:rowOff>
              </from>
              <to>
                <xdr:col>0</xdr:col>
                <xdr:colOff>2647950</xdr:colOff>
                <xdr:row>29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83" name="Drop Down 31">
          <controlPr defaultSize="0" autoLine="0" autoPict="0">
            <anchor moveWithCells="1" sizeWithCells="1">
              <from>
                <xdr:col>0</xdr:col>
                <xdr:colOff>19050</xdr:colOff>
                <xdr:row>33</xdr:row>
                <xdr:rowOff>19050</xdr:rowOff>
              </from>
              <to>
                <xdr:col>0</xdr:col>
                <xdr:colOff>2647950</xdr:colOff>
                <xdr:row>33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84" name="Drop Down 44">
          <controlPr defaultSize="0" autoLine="0" autoPict="0">
            <anchor moveWithCells="1" sizeWithCells="1">
              <from>
                <xdr:col>0</xdr:col>
                <xdr:colOff>19050</xdr:colOff>
                <xdr:row>34</xdr:row>
                <xdr:rowOff>38100</xdr:rowOff>
              </from>
              <to>
                <xdr:col>0</xdr:col>
                <xdr:colOff>2647950</xdr:colOff>
                <xdr:row>34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85" name="Drop Down 60">
          <controlPr defaultSize="0" autoLine="0" autoPict="0">
            <anchor moveWithCells="1" sizeWithCells="1">
              <from>
                <xdr:col>0</xdr:col>
                <xdr:colOff>19050</xdr:colOff>
                <xdr:row>35</xdr:row>
                <xdr:rowOff>19050</xdr:rowOff>
              </from>
              <to>
                <xdr:col>0</xdr:col>
                <xdr:colOff>2647950</xdr:colOff>
                <xdr:row>35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86" name="Drop Down 76">
          <controlPr defaultSize="0" print="0" autoLine="0" autoPict="0">
            <anchor moveWithCells="1" sizeWithCells="1">
              <from>
                <xdr:col>0</xdr:col>
                <xdr:colOff>19050</xdr:colOff>
                <xdr:row>32</xdr:row>
                <xdr:rowOff>38100</xdr:rowOff>
              </from>
              <to>
                <xdr:col>0</xdr:col>
                <xdr:colOff>2647950</xdr:colOff>
                <xdr:row>32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87" name="Drop Down 77">
          <controlPr defaultSize="0" autoLine="0" autoPict="0">
            <anchor moveWithCells="1">
              <from>
                <xdr:col>0</xdr:col>
                <xdr:colOff>1419225</xdr:colOff>
                <xdr:row>30</xdr:row>
                <xdr:rowOff>38100</xdr:rowOff>
              </from>
              <to>
                <xdr:col>0</xdr:col>
                <xdr:colOff>2647950</xdr:colOff>
                <xdr:row>30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88" name="Drop Down 78">
          <controlPr defaultSize="0" autoLine="0" autoPict="0">
            <anchor moveWithCells="1">
              <from>
                <xdr:col>0</xdr:col>
                <xdr:colOff>19050</xdr:colOff>
                <xdr:row>31</xdr:row>
                <xdr:rowOff>28575</xdr:rowOff>
              </from>
              <to>
                <xdr:col>0</xdr:col>
                <xdr:colOff>1247775</xdr:colOff>
                <xdr:row>31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89" name="Drop Down 79">
          <controlPr defaultSize="0" autoLine="0" autoPict="0">
            <anchor moveWithCells="1">
              <from>
                <xdr:col>0</xdr:col>
                <xdr:colOff>1419225</xdr:colOff>
                <xdr:row>31</xdr:row>
                <xdr:rowOff>38100</xdr:rowOff>
              </from>
              <to>
                <xdr:col>0</xdr:col>
                <xdr:colOff>2647950</xdr:colOff>
                <xdr:row>31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90" name="Drop Down 80">
          <controlPr defaultSize="0" autoLine="0" autoPict="0">
            <anchor moveWithCells="1">
              <from>
                <xdr:col>0</xdr:col>
                <xdr:colOff>19050</xdr:colOff>
                <xdr:row>43</xdr:row>
                <xdr:rowOff>28575</xdr:rowOff>
              </from>
              <to>
                <xdr:col>0</xdr:col>
                <xdr:colOff>1247775</xdr:colOff>
                <xdr:row>43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91" name="Drop Down 81">
          <controlPr defaultSize="0" autoLine="0" autoPict="0">
            <anchor moveWithCells="1">
              <from>
                <xdr:col>0</xdr:col>
                <xdr:colOff>19050</xdr:colOff>
                <xdr:row>56</xdr:row>
                <xdr:rowOff>28575</xdr:rowOff>
              </from>
              <to>
                <xdr:col>0</xdr:col>
                <xdr:colOff>1247775</xdr:colOff>
                <xdr:row>56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92" name="Drop Down 82">
          <controlPr defaultSize="0" autoLine="0" autoPict="0">
            <anchor moveWithCells="1">
              <from>
                <xdr:col>0</xdr:col>
                <xdr:colOff>19050</xdr:colOff>
                <xdr:row>69</xdr:row>
                <xdr:rowOff>28575</xdr:rowOff>
              </from>
              <to>
                <xdr:col>0</xdr:col>
                <xdr:colOff>1247775</xdr:colOff>
                <xdr:row>69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93" name="Drop Down 83">
          <controlPr defaultSize="0" autoLine="0" autoPict="0">
            <anchor moveWithCells="1">
              <from>
                <xdr:col>0</xdr:col>
                <xdr:colOff>19050</xdr:colOff>
                <xdr:row>99</xdr:row>
                <xdr:rowOff>28575</xdr:rowOff>
              </from>
              <to>
                <xdr:col>0</xdr:col>
                <xdr:colOff>1247775</xdr:colOff>
                <xdr:row>99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94" name="Drop Down 84">
          <controlPr defaultSize="0" autoLine="0" autoPict="0">
            <anchor moveWithCells="1">
              <from>
                <xdr:col>0</xdr:col>
                <xdr:colOff>19050</xdr:colOff>
                <xdr:row>112</xdr:row>
                <xdr:rowOff>28575</xdr:rowOff>
              </from>
              <to>
                <xdr:col>0</xdr:col>
                <xdr:colOff>1247775</xdr:colOff>
                <xdr:row>112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95" name="Drop Down 85">
          <controlPr defaultSize="0" autoLine="0" autoPict="0">
            <anchor moveWithCells="1">
              <from>
                <xdr:col>0</xdr:col>
                <xdr:colOff>19050</xdr:colOff>
                <xdr:row>125</xdr:row>
                <xdr:rowOff>28575</xdr:rowOff>
              </from>
              <to>
                <xdr:col>0</xdr:col>
                <xdr:colOff>1247775</xdr:colOff>
                <xdr:row>125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0" r:id="rId96" name="Drop Down 86">
          <controlPr defaultSize="0" autoLine="0" autoPict="0">
            <anchor moveWithCells="1">
              <from>
                <xdr:col>0</xdr:col>
                <xdr:colOff>19050</xdr:colOff>
                <xdr:row>44</xdr:row>
                <xdr:rowOff>28575</xdr:rowOff>
              </from>
              <to>
                <xdr:col>0</xdr:col>
                <xdr:colOff>1247775</xdr:colOff>
                <xdr:row>44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1" r:id="rId97" name="Drop Down 87">
          <controlPr defaultSize="0" autoLine="0" autoPict="0">
            <anchor moveWithCells="1">
              <from>
                <xdr:col>0</xdr:col>
                <xdr:colOff>19050</xdr:colOff>
                <xdr:row>57</xdr:row>
                <xdr:rowOff>28575</xdr:rowOff>
              </from>
              <to>
                <xdr:col>0</xdr:col>
                <xdr:colOff>1247775</xdr:colOff>
                <xdr:row>57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2" r:id="rId98" name="Drop Down 88">
          <controlPr defaultSize="0" autoLine="0" autoPict="0">
            <anchor moveWithCells="1">
              <from>
                <xdr:col>0</xdr:col>
                <xdr:colOff>19050</xdr:colOff>
                <xdr:row>70</xdr:row>
                <xdr:rowOff>28575</xdr:rowOff>
              </from>
              <to>
                <xdr:col>0</xdr:col>
                <xdr:colOff>1247775</xdr:colOff>
                <xdr:row>70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3" r:id="rId99" name="Drop Down 89">
          <controlPr defaultSize="0" autoLine="0" autoPict="0">
            <anchor moveWithCells="1">
              <from>
                <xdr:col>0</xdr:col>
                <xdr:colOff>19050</xdr:colOff>
                <xdr:row>100</xdr:row>
                <xdr:rowOff>28575</xdr:rowOff>
              </from>
              <to>
                <xdr:col>0</xdr:col>
                <xdr:colOff>1247775</xdr:colOff>
                <xdr:row>100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4" r:id="rId100" name="Drop Down 90">
          <controlPr defaultSize="0" autoLine="0" autoPict="0">
            <anchor moveWithCells="1">
              <from>
                <xdr:col>0</xdr:col>
                <xdr:colOff>19050</xdr:colOff>
                <xdr:row>113</xdr:row>
                <xdr:rowOff>28575</xdr:rowOff>
              </from>
              <to>
                <xdr:col>0</xdr:col>
                <xdr:colOff>1247775</xdr:colOff>
                <xdr:row>113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101" name="Drop Down 91">
          <controlPr defaultSize="0" autoLine="0" autoPict="0">
            <anchor moveWithCells="1">
              <from>
                <xdr:col>0</xdr:col>
                <xdr:colOff>19050</xdr:colOff>
                <xdr:row>126</xdr:row>
                <xdr:rowOff>28575</xdr:rowOff>
              </from>
              <to>
                <xdr:col>0</xdr:col>
                <xdr:colOff>1247775</xdr:colOff>
                <xdr:row>126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102" name="Drop Down 92">
          <controlPr defaultSize="0" autoLine="0" autoPict="0">
            <anchor moveWithCells="1">
              <from>
                <xdr:col>0</xdr:col>
                <xdr:colOff>1419225</xdr:colOff>
                <xdr:row>43</xdr:row>
                <xdr:rowOff>38100</xdr:rowOff>
              </from>
              <to>
                <xdr:col>0</xdr:col>
                <xdr:colOff>2647950</xdr:colOff>
                <xdr:row>43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7" r:id="rId103" name="Drop Down 93">
          <controlPr defaultSize="0" autoLine="0" autoPict="0">
            <anchor moveWithCells="1">
              <from>
                <xdr:col>0</xdr:col>
                <xdr:colOff>1419225</xdr:colOff>
                <xdr:row>56</xdr:row>
                <xdr:rowOff>38100</xdr:rowOff>
              </from>
              <to>
                <xdr:col>0</xdr:col>
                <xdr:colOff>2647950</xdr:colOff>
                <xdr:row>56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8" r:id="rId104" name="Drop Down 94">
          <controlPr defaultSize="0" autoLine="0" autoPict="0">
            <anchor moveWithCells="1">
              <from>
                <xdr:col>0</xdr:col>
                <xdr:colOff>1419225</xdr:colOff>
                <xdr:row>69</xdr:row>
                <xdr:rowOff>38100</xdr:rowOff>
              </from>
              <to>
                <xdr:col>0</xdr:col>
                <xdr:colOff>2647950</xdr:colOff>
                <xdr:row>69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9" r:id="rId105" name="Drop Down 95">
          <controlPr defaultSize="0" autoLine="0" autoPict="0">
            <anchor moveWithCells="1">
              <from>
                <xdr:col>0</xdr:col>
                <xdr:colOff>1419225</xdr:colOff>
                <xdr:row>99</xdr:row>
                <xdr:rowOff>38100</xdr:rowOff>
              </from>
              <to>
                <xdr:col>0</xdr:col>
                <xdr:colOff>2647950</xdr:colOff>
                <xdr:row>99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0" r:id="rId106" name="Drop Down 96">
          <controlPr defaultSize="0" autoLine="0" autoPict="0">
            <anchor moveWithCells="1">
              <from>
                <xdr:col>0</xdr:col>
                <xdr:colOff>1419225</xdr:colOff>
                <xdr:row>112</xdr:row>
                <xdr:rowOff>38100</xdr:rowOff>
              </from>
              <to>
                <xdr:col>0</xdr:col>
                <xdr:colOff>2647950</xdr:colOff>
                <xdr:row>112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1" r:id="rId107" name="Drop Down 97">
          <controlPr defaultSize="0" autoLine="0" autoPict="0">
            <anchor moveWithCells="1">
              <from>
                <xdr:col>0</xdr:col>
                <xdr:colOff>1419225</xdr:colOff>
                <xdr:row>125</xdr:row>
                <xdr:rowOff>38100</xdr:rowOff>
              </from>
              <to>
                <xdr:col>0</xdr:col>
                <xdr:colOff>2647950</xdr:colOff>
                <xdr:row>125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2" r:id="rId108" name="Drop Down 98">
          <controlPr defaultSize="0" autoLine="0" autoPict="0">
            <anchor moveWithCells="1">
              <from>
                <xdr:col>0</xdr:col>
                <xdr:colOff>1419225</xdr:colOff>
                <xdr:row>44</xdr:row>
                <xdr:rowOff>38100</xdr:rowOff>
              </from>
              <to>
                <xdr:col>0</xdr:col>
                <xdr:colOff>2647950</xdr:colOff>
                <xdr:row>44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3" r:id="rId109" name="Drop Down 99">
          <controlPr defaultSize="0" autoLine="0" autoPict="0">
            <anchor moveWithCells="1">
              <from>
                <xdr:col>0</xdr:col>
                <xdr:colOff>1419225</xdr:colOff>
                <xdr:row>57</xdr:row>
                <xdr:rowOff>38100</xdr:rowOff>
              </from>
              <to>
                <xdr:col>0</xdr:col>
                <xdr:colOff>2647950</xdr:colOff>
                <xdr:row>57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4" r:id="rId110" name="Drop Down 100">
          <controlPr defaultSize="0" autoLine="0" autoPict="0">
            <anchor moveWithCells="1">
              <from>
                <xdr:col>0</xdr:col>
                <xdr:colOff>1419225</xdr:colOff>
                <xdr:row>70</xdr:row>
                <xdr:rowOff>38100</xdr:rowOff>
              </from>
              <to>
                <xdr:col>0</xdr:col>
                <xdr:colOff>2647950</xdr:colOff>
                <xdr:row>70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5" r:id="rId111" name="Drop Down 101">
          <controlPr defaultSize="0" autoLine="0" autoPict="0">
            <anchor moveWithCells="1">
              <from>
                <xdr:col>0</xdr:col>
                <xdr:colOff>1419225</xdr:colOff>
                <xdr:row>100</xdr:row>
                <xdr:rowOff>38100</xdr:rowOff>
              </from>
              <to>
                <xdr:col>0</xdr:col>
                <xdr:colOff>2647950</xdr:colOff>
                <xdr:row>100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112" name="Drop Down 102">
          <controlPr defaultSize="0" autoLine="0" autoPict="0">
            <anchor moveWithCells="1">
              <from>
                <xdr:col>0</xdr:col>
                <xdr:colOff>1419225</xdr:colOff>
                <xdr:row>113</xdr:row>
                <xdr:rowOff>38100</xdr:rowOff>
              </from>
              <to>
                <xdr:col>0</xdr:col>
                <xdr:colOff>2647950</xdr:colOff>
                <xdr:row>113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7" r:id="rId113" name="Drop Down 103">
          <controlPr defaultSize="0" autoLine="0" autoPict="0">
            <anchor moveWithCells="1">
              <from>
                <xdr:col>0</xdr:col>
                <xdr:colOff>1419225</xdr:colOff>
                <xdr:row>126</xdr:row>
                <xdr:rowOff>38100</xdr:rowOff>
              </from>
              <to>
                <xdr:col>0</xdr:col>
                <xdr:colOff>2647950</xdr:colOff>
                <xdr:row>126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114" name="Drop Down 105">
          <controlPr defaultSize="0" autoLine="0" autoPict="0">
            <anchor moveWithCells="1">
              <from>
                <xdr:col>0</xdr:col>
                <xdr:colOff>19050</xdr:colOff>
                <xdr:row>45</xdr:row>
                <xdr:rowOff>28575</xdr:rowOff>
              </from>
              <to>
                <xdr:col>0</xdr:col>
                <xdr:colOff>2647950</xdr:colOff>
                <xdr:row>45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115" name="Drop Down 106">
          <controlPr defaultSize="0" autoLine="0" autoPict="0">
            <anchor moveWithCells="1">
              <from>
                <xdr:col>0</xdr:col>
                <xdr:colOff>19050</xdr:colOff>
                <xdr:row>71</xdr:row>
                <xdr:rowOff>28575</xdr:rowOff>
              </from>
              <to>
                <xdr:col>0</xdr:col>
                <xdr:colOff>2647950</xdr:colOff>
                <xdr:row>71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1" r:id="rId116" name="Drop Down 107">
          <controlPr defaultSize="0" autoLine="0" autoPict="0">
            <anchor moveWithCells="1">
              <from>
                <xdr:col>0</xdr:col>
                <xdr:colOff>19050</xdr:colOff>
                <xdr:row>114</xdr:row>
                <xdr:rowOff>28575</xdr:rowOff>
              </from>
              <to>
                <xdr:col>0</xdr:col>
                <xdr:colOff>2647950</xdr:colOff>
                <xdr:row>114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117" name="Drop Down 108">
          <controlPr defaultSize="0" autoLine="0" autoPict="0">
            <anchor moveWithCells="1">
              <from>
                <xdr:col>0</xdr:col>
                <xdr:colOff>19050</xdr:colOff>
                <xdr:row>127</xdr:row>
                <xdr:rowOff>28575</xdr:rowOff>
              </from>
              <to>
                <xdr:col>0</xdr:col>
                <xdr:colOff>2647950</xdr:colOff>
                <xdr:row>127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3" r:id="rId118" name="Drop Down 109">
          <controlPr defaultSize="0" autoLine="0" autoPict="0">
            <anchor moveWithCells="1">
              <from>
                <xdr:col>0</xdr:col>
                <xdr:colOff>19050</xdr:colOff>
                <xdr:row>101</xdr:row>
                <xdr:rowOff>28575</xdr:rowOff>
              </from>
              <to>
                <xdr:col>0</xdr:col>
                <xdr:colOff>2647950</xdr:colOff>
                <xdr:row>101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4" r:id="rId119" name="Drop Down 110">
          <controlPr defaultSize="0" autoLine="0" autoPict="0">
            <anchor moveWithCells="1">
              <from>
                <xdr:col>0</xdr:col>
                <xdr:colOff>19050</xdr:colOff>
                <xdr:row>58</xdr:row>
                <xdr:rowOff>28575</xdr:rowOff>
              </from>
              <to>
                <xdr:col>0</xdr:col>
                <xdr:colOff>2647950</xdr:colOff>
                <xdr:row>58</xdr:row>
                <xdr:rowOff>228600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5"/>
  </sheetPr>
  <dimension ref="A1:P919"/>
  <sheetViews>
    <sheetView showGridLines="0" showZeros="0" topLeftCell="A410" zoomScale="75" zoomScaleNormal="100" workbookViewId="0">
      <selection activeCell="M396" sqref="M396"/>
    </sheetView>
  </sheetViews>
  <sheetFormatPr defaultRowHeight="12.75" x14ac:dyDescent="0.2"/>
  <cols>
    <col min="1" max="1" width="26.42578125" style="295" customWidth="1"/>
    <col min="2" max="2" width="40.28515625" style="296" customWidth="1"/>
    <col min="3" max="3" width="10.140625" style="359" customWidth="1"/>
    <col min="4" max="4" width="11.28515625" style="296" customWidth="1"/>
    <col min="5" max="6" width="9.7109375" style="296" customWidth="1"/>
    <col min="7" max="9" width="14.42578125" style="296" customWidth="1"/>
    <col min="10" max="10" width="15" style="296" customWidth="1"/>
    <col min="11" max="11" width="9.140625" style="297"/>
    <col min="12" max="16" width="9.140625" style="301"/>
    <col min="17" max="16384" width="9.140625" style="302"/>
  </cols>
  <sheetData>
    <row r="1" spans="1:16" s="296" customFormat="1" ht="28.5" customHeight="1" thickBot="1" x14ac:dyDescent="0.45">
      <c r="A1" s="295"/>
      <c r="B1" s="1544" t="s">
        <v>94</v>
      </c>
      <c r="C1" s="1544"/>
      <c r="D1" s="1544"/>
      <c r="E1" s="1544"/>
      <c r="F1" s="1544"/>
      <c r="G1" s="1544"/>
      <c r="H1" s="1544"/>
      <c r="I1" s="1544"/>
      <c r="J1" s="1544"/>
      <c r="K1" s="297"/>
      <c r="L1" s="297"/>
      <c r="M1" s="297"/>
      <c r="N1" s="297"/>
      <c r="O1" s="297"/>
      <c r="P1" s="297"/>
    </row>
    <row r="2" spans="1:16" ht="24" thickBot="1" x14ac:dyDescent="0.4">
      <c r="B2" s="298" t="s">
        <v>122</v>
      </c>
      <c r="C2" s="299"/>
      <c r="D2" s="300" t="s">
        <v>123</v>
      </c>
      <c r="E2" s="298" t="s">
        <v>124</v>
      </c>
      <c r="F2" s="298" t="s">
        <v>125</v>
      </c>
      <c r="G2" s="300" t="s">
        <v>126</v>
      </c>
      <c r="H2" s="300" t="s">
        <v>127</v>
      </c>
      <c r="I2" s="300" t="s">
        <v>128</v>
      </c>
      <c r="J2" s="360" t="s">
        <v>129</v>
      </c>
      <c r="L2" s="297"/>
    </row>
    <row r="3" spans="1:16" ht="15" x14ac:dyDescent="0.25">
      <c r="B3" s="303" t="s">
        <v>391</v>
      </c>
      <c r="C3" s="304">
        <f>Пн!$M$2/1000</f>
        <v>0</v>
      </c>
      <c r="D3" s="305">
        <f>'Раскладка продуктов'!K27</f>
        <v>100</v>
      </c>
      <c r="E3" s="305">
        <f>'Раскладка продуктов'!K33</f>
        <v>100</v>
      </c>
      <c r="F3" s="306">
        <f>'Раскладка продуктов'!K36</f>
        <v>100</v>
      </c>
      <c r="G3" s="307">
        <f>D3*C3</f>
        <v>0</v>
      </c>
      <c r="H3" s="308">
        <f t="shared" ref="H3:H65" si="0">C3*E3</f>
        <v>0</v>
      </c>
      <c r="I3" s="309">
        <f>F3*C3</f>
        <v>0</v>
      </c>
      <c r="J3" s="361">
        <f>G3+H3+I3</f>
        <v>0</v>
      </c>
      <c r="L3" s="297"/>
    </row>
    <row r="4" spans="1:16" ht="15" x14ac:dyDescent="0.25">
      <c r="B4" s="310" t="str">
        <f>IF('Блок ввода'!$H$36=2,"ХЛЕБ ИЗ МУКИ ПШ. В/С",IF('Блок ввода'!$H$36=3,"БАТОН ПРОСТОЙ И НАРЕЗНОЙ  ИЗ МУКИ ПШ. 1 С.","ХЛЕБ ИЗ МУКИ ПШ. 1 С."))</f>
        <v>ХЛЕБ ИЗ МУКИ ПШ. 1 С.</v>
      </c>
      <c r="C4" s="311">
        <f>Пн!$M$2/1000</f>
        <v>0</v>
      </c>
      <c r="D4" s="312">
        <f>'Раскладка продуктов'!L27</f>
        <v>150</v>
      </c>
      <c r="E4" s="312">
        <f>'Раскладка продуктов'!L33</f>
        <v>150</v>
      </c>
      <c r="F4" s="313">
        <f>'Раскладка продуктов'!L36</f>
        <v>50</v>
      </c>
      <c r="G4" s="314">
        <f t="shared" ref="G4:G63" si="1">C4*D4</f>
        <v>0</v>
      </c>
      <c r="H4" s="315">
        <f t="shared" si="0"/>
        <v>0</v>
      </c>
      <c r="I4" s="316">
        <f t="shared" ref="I4:I65" si="2">F4*C4</f>
        <v>0</v>
      </c>
      <c r="J4" s="362">
        <f t="shared" ref="J4:J63" si="3">G4+H4+I4</f>
        <v>0</v>
      </c>
      <c r="L4" s="297"/>
    </row>
    <row r="5" spans="1:16" ht="15" x14ac:dyDescent="0.25">
      <c r="B5" s="310" t="s">
        <v>425</v>
      </c>
      <c r="C5" s="311">
        <f>Пн!$M$2/1000</f>
        <v>0</v>
      </c>
      <c r="D5" s="471"/>
      <c r="E5" s="471">
        <f>'Раскладка продуктов'!M33</f>
        <v>0</v>
      </c>
      <c r="F5" s="472"/>
      <c r="G5" s="314">
        <f t="shared" si="1"/>
        <v>0</v>
      </c>
      <c r="H5" s="315">
        <f>C5*E5</f>
        <v>0</v>
      </c>
      <c r="I5" s="316">
        <f t="shared" si="2"/>
        <v>0</v>
      </c>
      <c r="J5" s="362">
        <f>G5+H5+I5</f>
        <v>0</v>
      </c>
      <c r="L5" s="297"/>
    </row>
    <row r="6" spans="1:16" ht="15" x14ac:dyDescent="0.25">
      <c r="B6" s="310" t="s">
        <v>404</v>
      </c>
      <c r="C6" s="311">
        <f>Пн!$M$2/1000</f>
        <v>0</v>
      </c>
      <c r="D6" s="312">
        <f>'Раскладка продуктов'!O25</f>
        <v>0</v>
      </c>
      <c r="E6" s="312">
        <f>'Раскладка продуктов'!O33</f>
        <v>0</v>
      </c>
      <c r="F6" s="312">
        <f>'Раскладка продуктов'!O36+'Раскладка продуктов'!O35</f>
        <v>0</v>
      </c>
      <c r="G6" s="314">
        <f t="shared" si="1"/>
        <v>0</v>
      </c>
      <c r="H6" s="315">
        <f t="shared" si="0"/>
        <v>0</v>
      </c>
      <c r="I6" s="316">
        <f t="shared" si="2"/>
        <v>0</v>
      </c>
      <c r="J6" s="362">
        <f t="shared" si="3"/>
        <v>0</v>
      </c>
      <c r="L6" s="297"/>
    </row>
    <row r="7" spans="1:16" ht="15" x14ac:dyDescent="0.25">
      <c r="B7" s="317" t="str">
        <f>IF('Блок ввода'!$H$26=1,"МУКА ПШЕНИЧНАЯ 1 С.","МУКА ПШЕНИЧНАЯ 2 С.")</f>
        <v>МУКА ПШЕНИЧНАЯ 1 С.</v>
      </c>
      <c r="C7" s="311">
        <f>Пн!$M$2/1000</f>
        <v>0</v>
      </c>
      <c r="D7" s="312">
        <f>'Раскладка продуктов'!N25</f>
        <v>2</v>
      </c>
      <c r="E7" s="312">
        <f>('Раскладка продуктов'!N29+'Раскладка продуктов'!N30+'Раскладка продуктов'!N31+'Раскладка продуктов'!N32)/2</f>
        <v>4</v>
      </c>
      <c r="F7" s="312">
        <f>'Раскладка продуктов'!N34</f>
        <v>6.5</v>
      </c>
      <c r="G7" s="314">
        <f t="shared" si="1"/>
        <v>0</v>
      </c>
      <c r="H7" s="315">
        <f>C7*E7</f>
        <v>0</v>
      </c>
      <c r="I7" s="316">
        <f t="shared" si="2"/>
        <v>0</v>
      </c>
      <c r="J7" s="362">
        <f t="shared" si="3"/>
        <v>0</v>
      </c>
      <c r="L7" s="297"/>
    </row>
    <row r="8" spans="1:16" ht="15" x14ac:dyDescent="0.25">
      <c r="B8" s="310" t="s">
        <v>132</v>
      </c>
      <c r="C8" s="311">
        <f>Пн!$M$2/1000</f>
        <v>0</v>
      </c>
      <c r="D8" s="312">
        <f>'Раскладка продуктов'!P25</f>
        <v>0</v>
      </c>
      <c r="E8" s="312">
        <f>('Раскладка продуктов'!P29+'Раскладка продуктов'!P30+'Раскладка продуктов'!P31+'Раскладка продуктов'!P32)/2</f>
        <v>60</v>
      </c>
      <c r="F8" s="312">
        <f>'Раскладка продуктов'!P34</f>
        <v>0</v>
      </c>
      <c r="G8" s="314">
        <f t="shared" si="1"/>
        <v>0</v>
      </c>
      <c r="H8" s="315">
        <f>C8*E8</f>
        <v>0</v>
      </c>
      <c r="I8" s="316">
        <f t="shared" si="2"/>
        <v>0</v>
      </c>
      <c r="J8" s="362">
        <f t="shared" si="3"/>
        <v>0</v>
      </c>
      <c r="L8" s="297"/>
    </row>
    <row r="9" spans="1:16" ht="15" x14ac:dyDescent="0.25">
      <c r="B9" s="317" t="s">
        <v>133</v>
      </c>
      <c r="C9" s="311">
        <f>Пн!$M$2/1000</f>
        <v>0</v>
      </c>
      <c r="D9" s="312">
        <f>'Раскладка продуктов'!Q25</f>
        <v>0</v>
      </c>
      <c r="E9" s="312">
        <f>('Раскладка продуктов'!Q29+'Раскладка продуктов'!Q30+'Раскладка продуктов'!Q31+'Раскладка продуктов'!Q32)/2</f>
        <v>0</v>
      </c>
      <c r="F9" s="312">
        <f>'Раскладка продуктов'!Q34</f>
        <v>0</v>
      </c>
      <c r="G9" s="314">
        <f t="shared" si="1"/>
        <v>0</v>
      </c>
      <c r="H9" s="315">
        <f t="shared" si="0"/>
        <v>0</v>
      </c>
      <c r="I9" s="316">
        <f t="shared" si="2"/>
        <v>0</v>
      </c>
      <c r="J9" s="362">
        <f t="shared" si="3"/>
        <v>0</v>
      </c>
      <c r="L9" s="297"/>
    </row>
    <row r="10" spans="1:16" ht="15" x14ac:dyDescent="0.25">
      <c r="B10" s="310" t="s">
        <v>134</v>
      </c>
      <c r="C10" s="311">
        <f>Пн!$M$2/1000</f>
        <v>0</v>
      </c>
      <c r="D10" s="312">
        <f>'Раскладка продуктов'!R25</f>
        <v>0</v>
      </c>
      <c r="E10" s="312">
        <f>('Раскладка продуктов'!R29+'Раскладка продуктов'!R30+'Раскладка продуктов'!R31+'Раскладка продуктов'!R32)/2+'Раскладка продуктов'!R28</f>
        <v>0</v>
      </c>
      <c r="F10" s="312">
        <f>'Раскладка продуктов'!R34</f>
        <v>0</v>
      </c>
      <c r="G10" s="314">
        <f t="shared" si="1"/>
        <v>0</v>
      </c>
      <c r="H10" s="315">
        <f>C10*E10</f>
        <v>0</v>
      </c>
      <c r="I10" s="316">
        <f t="shared" si="2"/>
        <v>0</v>
      </c>
      <c r="J10" s="362">
        <f t="shared" si="3"/>
        <v>0</v>
      </c>
      <c r="L10" s="297"/>
    </row>
    <row r="11" spans="1:16" ht="15" x14ac:dyDescent="0.25">
      <c r="B11" s="317" t="s">
        <v>135</v>
      </c>
      <c r="C11" s="311">
        <f>Пн!$M$2/1000</f>
        <v>0</v>
      </c>
      <c r="D11" s="312">
        <f>'Раскладка продуктов'!V25</f>
        <v>0</v>
      </c>
      <c r="E11" s="312">
        <f>('Раскладка продуктов'!V29+'Раскладка продуктов'!V30+'Раскладка продуктов'!V31+'Раскладка продуктов'!V32)/2</f>
        <v>35.5</v>
      </c>
      <c r="F11" s="312">
        <f>'Раскладка продуктов'!V34</f>
        <v>0</v>
      </c>
      <c r="G11" s="314">
        <f t="shared" si="1"/>
        <v>0</v>
      </c>
      <c r="H11" s="315">
        <f>C11*E11</f>
        <v>0</v>
      </c>
      <c r="I11" s="316">
        <f t="shared" si="2"/>
        <v>0</v>
      </c>
      <c r="J11" s="362">
        <f t="shared" si="3"/>
        <v>0</v>
      </c>
      <c r="L11" s="297"/>
    </row>
    <row r="12" spans="1:16" ht="15" x14ac:dyDescent="0.25">
      <c r="B12" s="310" t="s">
        <v>136</v>
      </c>
      <c r="C12" s="311">
        <f>Пн!$M$2/1000</f>
        <v>0</v>
      </c>
      <c r="D12" s="312">
        <f>'Раскладка продуктов'!U25</f>
        <v>0</v>
      </c>
      <c r="E12" s="312">
        <f>('Раскладка продуктов'!U29+'Раскладка продуктов'!U30+'Раскладка продуктов'!U31+'Раскладка продуктов'!U32)/2</f>
        <v>0</v>
      </c>
      <c r="F12" s="312">
        <f>'Раскладка продуктов'!U34</f>
        <v>0</v>
      </c>
      <c r="G12" s="314">
        <f t="shared" si="1"/>
        <v>0</v>
      </c>
      <c r="H12" s="315">
        <f t="shared" si="0"/>
        <v>0</v>
      </c>
      <c r="I12" s="316">
        <f t="shared" si="2"/>
        <v>0</v>
      </c>
      <c r="J12" s="362">
        <f t="shared" si="3"/>
        <v>0</v>
      </c>
      <c r="L12" s="297"/>
    </row>
    <row r="13" spans="1:16" ht="15" x14ac:dyDescent="0.25">
      <c r="B13" s="317" t="s">
        <v>137</v>
      </c>
      <c r="C13" s="311">
        <f>Пн!$M$2/1000</f>
        <v>0</v>
      </c>
      <c r="D13" s="312">
        <f>'Раскладка продуктов'!S25</f>
        <v>0</v>
      </c>
      <c r="E13" s="312">
        <f>('Раскладка продуктов'!S29+'Раскладка продуктов'!S30+'Раскладка продуктов'!S31+'Раскладка продуктов'!S32)/2</f>
        <v>0</v>
      </c>
      <c r="F13" s="312">
        <f>'Раскладка продуктов'!S34</f>
        <v>0</v>
      </c>
      <c r="G13" s="314">
        <f t="shared" si="1"/>
        <v>0</v>
      </c>
      <c r="H13" s="315">
        <f t="shared" si="0"/>
        <v>0</v>
      </c>
      <c r="I13" s="316">
        <f t="shared" si="2"/>
        <v>0</v>
      </c>
      <c r="J13" s="362">
        <f t="shared" si="3"/>
        <v>0</v>
      </c>
      <c r="L13" s="297"/>
    </row>
    <row r="14" spans="1:16" ht="15" x14ac:dyDescent="0.25">
      <c r="B14" s="310" t="str">
        <f>IF('Блок ввода'!$B$213=2,"КОНЦЕНТРАТ КРУПЯНОЙ","КРУПА ОВСЯНАЯ")</f>
        <v>КРУПА ОВСЯНАЯ</v>
      </c>
      <c r="C14" s="311">
        <f>Пн!$M$2/1000</f>
        <v>0</v>
      </c>
      <c r="D14" s="312">
        <f>'Раскладка продуктов'!W25</f>
        <v>0</v>
      </c>
      <c r="E14" s="312">
        <f>('Раскладка продуктов'!W29+'Раскладка продуктов'!W30+'Раскладка продуктов'!W31+'Раскладка продуктов'!W32)/2</f>
        <v>0</v>
      </c>
      <c r="F14" s="312">
        <f>'Раскладка продуктов'!W34</f>
        <v>0</v>
      </c>
      <c r="G14" s="314">
        <f t="shared" si="1"/>
        <v>0</v>
      </c>
      <c r="H14" s="315">
        <f t="shared" si="0"/>
        <v>0</v>
      </c>
      <c r="I14" s="316">
        <f t="shared" si="2"/>
        <v>0</v>
      </c>
      <c r="J14" s="362">
        <f t="shared" si="3"/>
        <v>0</v>
      </c>
      <c r="L14" s="297"/>
    </row>
    <row r="15" spans="1:16" ht="15" x14ac:dyDescent="0.25">
      <c r="B15" s="310" t="s">
        <v>169</v>
      </c>
      <c r="C15" s="311">
        <f>Пн!$M$2/1000</f>
        <v>0</v>
      </c>
      <c r="D15" s="312">
        <f>'Раскладка продуктов'!T25</f>
        <v>0</v>
      </c>
      <c r="E15" s="312">
        <f>'Раскладка продуктов'!T28+('Раскладка продуктов'!T29+'Раскладка продуктов'!T30+'Раскладка продуктов'!T31+'Раскладка продуктов'!T32)/2</f>
        <v>0</v>
      </c>
      <c r="F15" s="312">
        <f>'Раскладка продуктов'!T34</f>
        <v>0</v>
      </c>
      <c r="G15" s="314">
        <f t="shared" si="1"/>
        <v>0</v>
      </c>
      <c r="H15" s="315">
        <f t="shared" si="0"/>
        <v>0</v>
      </c>
      <c r="I15" s="316">
        <f t="shared" si="2"/>
        <v>0</v>
      </c>
      <c r="J15" s="362">
        <f t="shared" si="3"/>
        <v>0</v>
      </c>
      <c r="L15" s="297"/>
    </row>
    <row r="16" spans="1:16" ht="15" x14ac:dyDescent="0.25">
      <c r="B16" s="310" t="s">
        <v>138</v>
      </c>
      <c r="C16" s="311">
        <f>Пн!$M$2/1000</f>
        <v>0</v>
      </c>
      <c r="D16" s="312">
        <f>'Раскладка продуктов'!X25</f>
        <v>0</v>
      </c>
      <c r="E16" s="312">
        <f>('Раскладка продуктов'!X29+'Раскладка продуктов'!X30+'Раскладка продуктов'!X31+'Раскладка продуктов'!X32)/2</f>
        <v>28</v>
      </c>
      <c r="F16" s="312">
        <f>'Раскладка продуктов'!X34</f>
        <v>0</v>
      </c>
      <c r="G16" s="314">
        <f t="shared" si="1"/>
        <v>0</v>
      </c>
      <c r="H16" s="315">
        <f t="shared" si="0"/>
        <v>0</v>
      </c>
      <c r="I16" s="316">
        <f t="shared" si="2"/>
        <v>0</v>
      </c>
      <c r="J16" s="362">
        <f t="shared" si="3"/>
        <v>0</v>
      </c>
      <c r="L16" s="297"/>
    </row>
    <row r="17" spans="2:15" ht="15" x14ac:dyDescent="0.25">
      <c r="B17" s="318" t="s">
        <v>562</v>
      </c>
      <c r="C17" s="311">
        <f>Пн!$M$2/1000</f>
        <v>0</v>
      </c>
      <c r="D17" s="312">
        <f>IF(OR(D18&gt;0,D20&gt;0,'Блок ввода'!E138=29,'Блок ввода'!E138=20),0,'Раскладка продуктов'!Y25)</f>
        <v>0</v>
      </c>
      <c r="E17" s="312">
        <f>IF(AND(AND('Блок ввода'!W141&lt;&gt;17,'Блок ввода'!W146&lt;&gt;18),AND('Блок ввода'!W141&lt;&gt;18,'Блок ввода'!W146&lt;&gt;17)),('Раскладка продуктов'!Y31+'Раскладка продуктов'!Y32)/2,IF(OR(AND('Блок ввода'!W141=17,'Блок ввода'!W146=18),AND('Блок ввода'!W141=18,'Блок ввода'!W146=17),AND('Блок ввода'!W141=17,'Блок ввода'!W146=17),AND('Блок ввода'!W141=18,'Блок ввода'!W146=18),OR('Блок ввода'!W141=19,'Блок ввода'!W146=19)),0,('Раскладка продуктов'!Y31+'Раскладка продуктов'!Y32)/4))</f>
        <v>150</v>
      </c>
      <c r="F17" s="312">
        <f>IF('Блок ввода'!$E$143&lt;17,'Раскладка продуктов'!$Y$34,0)</f>
        <v>0</v>
      </c>
      <c r="G17" s="314">
        <f t="shared" si="1"/>
        <v>0</v>
      </c>
      <c r="H17" s="315">
        <f t="shared" si="0"/>
        <v>0</v>
      </c>
      <c r="I17" s="316">
        <f t="shared" si="2"/>
        <v>0</v>
      </c>
      <c r="J17" s="362">
        <f t="shared" si="3"/>
        <v>0</v>
      </c>
      <c r="L17" s="297"/>
      <c r="N17" s="297"/>
      <c r="O17" s="297"/>
    </row>
    <row r="18" spans="2:15" ht="15" x14ac:dyDescent="0.25">
      <c r="B18" s="319" t="s">
        <v>139</v>
      </c>
      <c r="C18" s="311">
        <f>Пн!$M$2/1000</f>
        <v>0</v>
      </c>
      <c r="D18" s="312">
        <f>IF(OR('Блок ввода'!$E$138=17,'Блок ввода'!$E$138=18),100,0)</f>
        <v>0</v>
      </c>
      <c r="E18" s="312">
        <f>IF(OR(AND('Блок ввода'!W141=17,'Блок ввода'!W146=18),AND('Блок ввода'!W141=18,'Блок ввода'!W146=17),AND('Блок ввода'!W141=17,'Блок ввода'!W146=17),AND('Блок ввода'!W141=18,'Блок ввода'!W146=18)),('Раскладка продуктов'!Y31+'Раскладка продуктов'!Y32)/2,IF(OR(AND('Блок ввода'!W141=17,'Блок ввода'!W146&lt;&gt;18),AND('Блок ввода'!W141=18,'Блок ввода'!W146&lt;&gt;17),AND('Блок ввода'!W141&lt;&gt;18,'Блок ввода'!W146=17),AND('Блок ввода'!W141&lt;&gt;17,'Блок ввода'!W146=18)),IF(OR('Блок ввода'!W141=19,'Блок ввода'!W146=19),('Раскладка продуктов'!Y31+'Раскладка продуктов'!Y32)/2,('Раскладка продуктов'!Y31+'Раскладка продуктов'!Y32)/4),0))</f>
        <v>0</v>
      </c>
      <c r="F18" s="312">
        <f>IF(AND('Блок ввода'!$E$143&gt;=17,'Блок ввода'!$E$143&lt;=18),'Раскладка продуктов'!$Y$34,0)</f>
        <v>0</v>
      </c>
      <c r="G18" s="314">
        <f t="shared" si="1"/>
        <v>0</v>
      </c>
      <c r="H18" s="315">
        <f t="shared" si="0"/>
        <v>0</v>
      </c>
      <c r="I18" s="316">
        <f t="shared" si="2"/>
        <v>0</v>
      </c>
      <c r="J18" s="362">
        <f t="shared" si="3"/>
        <v>0</v>
      </c>
      <c r="L18" s="297"/>
      <c r="N18" s="297"/>
      <c r="O18" s="297"/>
    </row>
    <row r="19" spans="2:15" ht="15" x14ac:dyDescent="0.25">
      <c r="B19" s="318" t="s">
        <v>140</v>
      </c>
      <c r="C19" s="311">
        <f>Пн!$M$2/1000</f>
        <v>0</v>
      </c>
      <c r="D19" s="312"/>
      <c r="E19" s="312"/>
      <c r="F19" s="312"/>
      <c r="G19" s="314">
        <f t="shared" si="1"/>
        <v>0</v>
      </c>
      <c r="H19" s="315">
        <f t="shared" si="0"/>
        <v>0</v>
      </c>
      <c r="I19" s="316">
        <f t="shared" si="2"/>
        <v>0</v>
      </c>
      <c r="J19" s="362">
        <f t="shared" si="3"/>
        <v>0</v>
      </c>
      <c r="L19" s="297"/>
      <c r="N19" s="297"/>
      <c r="O19" s="297"/>
    </row>
    <row r="20" spans="2:15" ht="15" x14ac:dyDescent="0.25">
      <c r="B20" s="319" t="s">
        <v>184</v>
      </c>
      <c r="C20" s="311">
        <f>Пн!$M$2/1000</f>
        <v>0</v>
      </c>
      <c r="D20" s="312">
        <f>'Раскладка продуктов'!Z25</f>
        <v>0</v>
      </c>
      <c r="E20" s="312">
        <f>('Раскладка продуктов'!Z31+'Раскладка продуктов'!Z32)/2</f>
        <v>0</v>
      </c>
      <c r="F20" s="312">
        <f>'Раскладка продуктов'!Z34</f>
        <v>0</v>
      </c>
      <c r="G20" s="314">
        <f t="shared" si="1"/>
        <v>0</v>
      </c>
      <c r="H20" s="315">
        <f t="shared" si="0"/>
        <v>0</v>
      </c>
      <c r="I20" s="316">
        <f t="shared" si="2"/>
        <v>0</v>
      </c>
      <c r="J20" s="362">
        <f t="shared" si="3"/>
        <v>0</v>
      </c>
      <c r="L20" s="297"/>
      <c r="N20" s="297"/>
      <c r="O20" s="297"/>
    </row>
    <row r="21" spans="2:15" ht="15" x14ac:dyDescent="0.25">
      <c r="B21" s="310" t="str">
        <f>IF(AND('Блок ввода'!$Y$38=1,'Блок ввода'!E143&lt;&gt;26),"РЫБА С ГОЛОВОЙ",IF('Блок ввода'!E143=26,"СЕЛЬДЬ СОЛ. БЕЗ ГОЛОВЫ","РЫБА БЕЗ ГОЛОВЫ/СЕЛЬДЬ С ГОЛ."))</f>
        <v>РЫБА БЕЗ ГОЛОВЫ/СЕЛЬДЬ С ГОЛ.</v>
      </c>
      <c r="C21" s="311">
        <f>Пн!$M$2/1000</f>
        <v>0</v>
      </c>
      <c r="D21" s="312">
        <f>'Раскладка продуктов'!$AB$25</f>
        <v>0</v>
      </c>
      <c r="E21" s="312">
        <f>'Раскладка продуктов'!AB28+('Раскладка продуктов'!AB29+'Раскладка продуктов'!AB30+'Раскладка продуктов'!AB31+'Раскладка продуктов'!AB32)/2</f>
        <v>0</v>
      </c>
      <c r="F21" s="312">
        <f>'Раскладка продуктов'!AB34</f>
        <v>120</v>
      </c>
      <c r="G21" s="314">
        <f t="shared" si="1"/>
        <v>0</v>
      </c>
      <c r="H21" s="315">
        <f>C21*E21</f>
        <v>0</v>
      </c>
      <c r="I21" s="316">
        <f t="shared" si="2"/>
        <v>0</v>
      </c>
      <c r="J21" s="362">
        <f t="shared" si="3"/>
        <v>0</v>
      </c>
      <c r="L21" s="297"/>
    </row>
    <row r="22" spans="2:15" ht="15" x14ac:dyDescent="0.25">
      <c r="B22" s="310" t="str">
        <f>UPPER('Блок ввода'!$B$157)</f>
        <v xml:space="preserve">КОНС. РЫБНЫЕ - КИЛЬКА В ТОМ. СОУСЕ  </v>
      </c>
      <c r="C22" s="311">
        <f>Пн!$M$2/1000</f>
        <v>0</v>
      </c>
      <c r="D22" s="312">
        <f>'Раскладка продуктов'!$AC$25</f>
        <v>0</v>
      </c>
      <c r="E22" s="312">
        <f>'Раскладка продуктов'!AC28+('Раскладка продуктов'!AC29+'Раскладка продуктов'!AC30+'Раскладка продуктов'!AC31+'Раскладка продуктов'!AC32)/2</f>
        <v>0</v>
      </c>
      <c r="F22" s="312">
        <f>'Раскладка продуктов'!AC34</f>
        <v>0</v>
      </c>
      <c r="G22" s="314">
        <f t="shared" si="1"/>
        <v>0</v>
      </c>
      <c r="H22" s="315">
        <f>C22*E22</f>
        <v>0</v>
      </c>
      <c r="I22" s="316">
        <f t="shared" si="2"/>
        <v>0</v>
      </c>
      <c r="J22" s="362">
        <f t="shared" si="3"/>
        <v>0</v>
      </c>
      <c r="L22" s="297"/>
    </row>
    <row r="23" spans="2:15" ht="15" x14ac:dyDescent="0.25">
      <c r="B23" s="317" t="s">
        <v>141</v>
      </c>
      <c r="C23" s="311">
        <f>Пн!$M$2/1000</f>
        <v>0</v>
      </c>
      <c r="D23" s="312">
        <f>'Раскладка продуктов'!AF25</f>
        <v>3</v>
      </c>
      <c r="E23" s="312">
        <f>'Раскладка продуктов'!AF28</f>
        <v>12</v>
      </c>
      <c r="F23" s="312">
        <f>'Раскладка продуктов'!AF34</f>
        <v>15</v>
      </c>
      <c r="G23" s="314">
        <f t="shared" si="1"/>
        <v>0</v>
      </c>
      <c r="H23" s="315">
        <f>C23*E23</f>
        <v>0</v>
      </c>
      <c r="I23" s="316">
        <f t="shared" si="2"/>
        <v>0</v>
      </c>
      <c r="J23" s="362">
        <f t="shared" si="3"/>
        <v>0</v>
      </c>
      <c r="L23" s="297"/>
    </row>
    <row r="24" spans="2:15" ht="15" x14ac:dyDescent="0.25">
      <c r="B24" s="310" t="s">
        <v>142</v>
      </c>
      <c r="C24" s="311">
        <f>Пн!$M$2/1000</f>
        <v>0</v>
      </c>
      <c r="D24" s="312">
        <f>'Раскладка продуктов'!AE25</f>
        <v>19</v>
      </c>
      <c r="E24" s="312"/>
      <c r="F24" s="312">
        <f>'Раскладка продуктов'!AE34</f>
        <v>22</v>
      </c>
      <c r="G24" s="314">
        <f t="shared" si="1"/>
        <v>0</v>
      </c>
      <c r="H24" s="315">
        <f t="shared" si="0"/>
        <v>0</v>
      </c>
      <c r="I24" s="316">
        <f t="shared" si="2"/>
        <v>0</v>
      </c>
      <c r="J24" s="362">
        <f t="shared" si="3"/>
        <v>0</v>
      </c>
      <c r="L24" s="297"/>
    </row>
    <row r="25" spans="2:15" ht="15" x14ac:dyDescent="0.25">
      <c r="B25" s="317" t="s">
        <v>143</v>
      </c>
      <c r="C25" s="311">
        <f>Пн!$M$2/1000</f>
        <v>0</v>
      </c>
      <c r="D25" s="312">
        <f>'Раскладка продуктов'!AD25</f>
        <v>0</v>
      </c>
      <c r="E25" s="312">
        <f>('Раскладка продуктов'!AD29+'Раскладка продуктов'!AD30+'Раскладка продуктов'!AD31+'Раскладка продуктов'!AD32)/2</f>
        <v>0</v>
      </c>
      <c r="F25" s="312">
        <f>'Раскладка продуктов'!AD34</f>
        <v>0</v>
      </c>
      <c r="G25" s="314">
        <f t="shared" si="1"/>
        <v>0</v>
      </c>
      <c r="H25" s="315">
        <f t="shared" si="0"/>
        <v>0</v>
      </c>
      <c r="I25" s="316">
        <f t="shared" si="2"/>
        <v>0</v>
      </c>
      <c r="J25" s="362">
        <f t="shared" si="3"/>
        <v>0</v>
      </c>
      <c r="L25" s="297"/>
    </row>
    <row r="26" spans="2:15" ht="15" x14ac:dyDescent="0.25">
      <c r="B26" s="310" t="s">
        <v>362</v>
      </c>
      <c r="C26" s="311">
        <f>Пн!$M$2/1000</f>
        <v>0</v>
      </c>
      <c r="D26" s="312">
        <f>'Раскладка продуктов'!AZ25</f>
        <v>50</v>
      </c>
      <c r="E26" s="312">
        <f>IF(OR('Блок ввода'!A34=1,'Блок ввода'!A34=3),0,('Раскладка продуктов'!AZ30+'Раскладка продуктов'!AZ29+'Раскладка продуктов'!AZ31+'Раскладка продуктов'!AZ32)/2+'Раскладка продуктов'!AZ33)</f>
        <v>280</v>
      </c>
      <c r="F26" s="312">
        <f>'Раскладка продуктов'!AZ34</f>
        <v>0</v>
      </c>
      <c r="G26" s="314">
        <f t="shared" si="1"/>
        <v>0</v>
      </c>
      <c r="H26" s="315">
        <f t="shared" si="0"/>
        <v>0</v>
      </c>
      <c r="I26" s="316">
        <f t="shared" si="2"/>
        <v>0</v>
      </c>
      <c r="J26" s="362">
        <f t="shared" si="3"/>
        <v>0</v>
      </c>
      <c r="L26" s="297"/>
    </row>
    <row r="27" spans="2:15" ht="15" x14ac:dyDescent="0.25">
      <c r="B27" s="310" t="s">
        <v>144</v>
      </c>
      <c r="C27" s="311">
        <f>Пн!$M$2/1000</f>
        <v>0</v>
      </c>
      <c r="D27" s="312"/>
      <c r="E27" s="312"/>
      <c r="F27" s="312"/>
      <c r="G27" s="314">
        <f t="shared" si="1"/>
        <v>0</v>
      </c>
      <c r="H27" s="315">
        <f t="shared" si="0"/>
        <v>0</v>
      </c>
      <c r="I27" s="316">
        <f t="shared" si="2"/>
        <v>0</v>
      </c>
      <c r="J27" s="362">
        <f t="shared" si="3"/>
        <v>0</v>
      </c>
      <c r="L27" s="297"/>
    </row>
    <row r="28" spans="2:15" ht="15" x14ac:dyDescent="0.25">
      <c r="B28" s="310" t="s">
        <v>145</v>
      </c>
      <c r="C28" s="311">
        <f>Пн!$M$2/1000</f>
        <v>0</v>
      </c>
      <c r="D28" s="312"/>
      <c r="E28" s="312"/>
      <c r="F28" s="312"/>
      <c r="G28" s="314">
        <f t="shared" si="1"/>
        <v>0</v>
      </c>
      <c r="H28" s="315">
        <f t="shared" si="0"/>
        <v>0</v>
      </c>
      <c r="I28" s="316">
        <f t="shared" si="2"/>
        <v>0</v>
      </c>
      <c r="J28" s="362">
        <f t="shared" si="3"/>
        <v>0</v>
      </c>
      <c r="L28" s="297"/>
    </row>
    <row r="29" spans="2:15" ht="15" x14ac:dyDescent="0.25">
      <c r="B29" s="310" t="str">
        <f>IF('Блок ввода'!$A$34=1,"МОЛОКО СГУЩЕНОЕ С САХАРОМ","МОЛОКО СУХОЕ")</f>
        <v>МОЛОКО СУХОЕ</v>
      </c>
      <c r="C29" s="311">
        <f>Пн!$M$2/1000</f>
        <v>0</v>
      </c>
      <c r="D29" s="312">
        <f>IF('Блок ввода'!$A$34=2,0,IF(D26&gt;0,0,'Раскладка продуктов'!AZ25))</f>
        <v>0</v>
      </c>
      <c r="E29" s="312">
        <f>IF(OR('Блок ввода'!$A$34=1,'Блок ввода'!$A$34=3),('Раскладка продуктов'!AZ30+'Раскладка продуктов'!AZ29+'Раскладка продуктов'!AZ31+'Раскладка продуктов'!AZ32)/2+'Раскладка продуктов'!AZ33+('Раскладка продуктов'!BA30+'Раскладка продуктов'!BA29+'Раскладка продуктов'!BA31+'Раскладка продуктов'!BA32)/2+'Раскладка продуктов'!BA33,0)</f>
        <v>0</v>
      </c>
      <c r="F29" s="312">
        <f>'Раскладка продуктов'!AZ34</f>
        <v>0</v>
      </c>
      <c r="G29" s="314">
        <f t="shared" si="1"/>
        <v>0</v>
      </c>
      <c r="H29" s="315">
        <f t="shared" si="0"/>
        <v>0</v>
      </c>
      <c r="I29" s="316">
        <f t="shared" si="2"/>
        <v>0</v>
      </c>
      <c r="J29" s="362">
        <f t="shared" si="3"/>
        <v>0</v>
      </c>
      <c r="L29" s="297"/>
    </row>
    <row r="30" spans="2:15" ht="15" x14ac:dyDescent="0.25">
      <c r="B30" s="310" t="str">
        <f>IF('Блок ввода'!$Z$26=1,"СЫР СЫЧУЖНЫЙ ТВЕРДЫЙ","СЫР ПЛАВЛЕНЫЙ")</f>
        <v>СЫР ПЛАВЛЕНЫЙ</v>
      </c>
      <c r="C30" s="311">
        <f>Пн!$M$2/1000</f>
        <v>0</v>
      </c>
      <c r="D30" s="312"/>
      <c r="E30" s="312"/>
      <c r="F30" s="312"/>
      <c r="G30" s="314">
        <f t="shared" si="1"/>
        <v>0</v>
      </c>
      <c r="H30" s="315">
        <f t="shared" si="0"/>
        <v>0</v>
      </c>
      <c r="I30" s="316">
        <f>F30*C30</f>
        <v>0</v>
      </c>
      <c r="J30" s="362">
        <f t="shared" si="3"/>
        <v>0</v>
      </c>
      <c r="L30" s="297"/>
    </row>
    <row r="31" spans="2:15" ht="15" x14ac:dyDescent="0.25">
      <c r="B31" s="310" t="str">
        <f>IF('Блок ввода'!G32=1,"ПОРОШОК ЯИЧНЫЙ","ЯЙЦА КУРИНЫЕ")</f>
        <v>ЯЙЦА КУРИНЫЕ</v>
      </c>
      <c r="C31" s="311">
        <f>Пн!$M$2/1000</f>
        <v>0</v>
      </c>
      <c r="D31" s="320">
        <f>'Раскладка продуктов'!AX25+'Раскладка продуктов'!AX26+'Раскладка продуктов'!AX27</f>
        <v>1</v>
      </c>
      <c r="E31" s="320">
        <f>'Раскладка продуктов'!AX28+('Раскладка продуктов'!AX29+'Раскладка продуктов'!AX30+'Раскладка продуктов'!AX31+'Раскладка продуктов'!AX32)/2+'Раскладка продуктов'!AX33</f>
        <v>0</v>
      </c>
      <c r="F31" s="320">
        <f>'Раскладка продуктов'!AX34+'Раскладка продуктов'!AX35+'Раскладка продуктов'!AX36</f>
        <v>0</v>
      </c>
      <c r="G31" s="314">
        <f>D31*Пн!M2</f>
        <v>0</v>
      </c>
      <c r="H31" s="321">
        <f>E31*Пн!M2</f>
        <v>0</v>
      </c>
      <c r="I31" s="322">
        <f>IF('Блок ввода'!G32=1,ROUND(F31*C31,3),ROUND(F31*Пн!M2,0))</f>
        <v>0</v>
      </c>
      <c r="J31" s="363">
        <f t="shared" si="3"/>
        <v>0</v>
      </c>
      <c r="L31" s="297"/>
    </row>
    <row r="32" spans="2:15" ht="15" x14ac:dyDescent="0.25">
      <c r="B32" s="310" t="s">
        <v>146</v>
      </c>
      <c r="C32" s="311">
        <f>Пн!$M$2/1000</f>
        <v>0</v>
      </c>
      <c r="D32" s="312">
        <f>'Раскладка продуктов'!AG27</f>
        <v>30</v>
      </c>
      <c r="E32" s="312">
        <f>'Раскладка продуктов'!AG33</f>
        <v>0</v>
      </c>
      <c r="F32" s="312">
        <f>'Раскладка продуктов'!AG36</f>
        <v>30</v>
      </c>
      <c r="G32" s="314">
        <f t="shared" si="1"/>
        <v>0</v>
      </c>
      <c r="H32" s="315">
        <f t="shared" si="0"/>
        <v>0</v>
      </c>
      <c r="I32" s="316">
        <f t="shared" si="2"/>
        <v>0</v>
      </c>
      <c r="J32" s="362">
        <f t="shared" si="3"/>
        <v>0</v>
      </c>
      <c r="L32" s="297"/>
    </row>
    <row r="33" spans="2:12" ht="15" x14ac:dyDescent="0.25">
      <c r="B33" s="310" t="s">
        <v>147</v>
      </c>
      <c r="C33" s="311">
        <f>Пн!$M$2/1000</f>
        <v>0</v>
      </c>
      <c r="D33" s="312">
        <v>20</v>
      </c>
      <c r="E33" s="312"/>
      <c r="F33" s="312"/>
      <c r="G33" s="314">
        <f t="shared" si="1"/>
        <v>0</v>
      </c>
      <c r="H33" s="315">
        <f t="shared" si="0"/>
        <v>0</v>
      </c>
      <c r="I33" s="316">
        <f t="shared" si="2"/>
        <v>0</v>
      </c>
      <c r="J33" s="362">
        <f t="shared" si="3"/>
        <v>0</v>
      </c>
      <c r="L33" s="297"/>
    </row>
    <row r="34" spans="2:12" ht="15" x14ac:dyDescent="0.25">
      <c r="B34" s="310" t="s">
        <v>148</v>
      </c>
      <c r="C34" s="311">
        <f>Пн!$M$2/1000</f>
        <v>0</v>
      </c>
      <c r="D34" s="312">
        <f>IF('Блок ввода'!Y39=TRUE,0,'Раскладка продуктов'!AH27)</f>
        <v>0</v>
      </c>
      <c r="E34" s="312"/>
      <c r="F34" s="312">
        <f>IF(AND('Блок ввода'!Y39=TRUE,'Блок ввода'!N143=3),0,'Раскладка продуктов'!AH36)</f>
        <v>1</v>
      </c>
      <c r="G34" s="314">
        <f t="shared" si="1"/>
        <v>0</v>
      </c>
      <c r="H34" s="315">
        <f t="shared" si="0"/>
        <v>0</v>
      </c>
      <c r="I34" s="316">
        <f t="shared" si="2"/>
        <v>0</v>
      </c>
      <c r="J34" s="362">
        <f t="shared" si="3"/>
        <v>0</v>
      </c>
      <c r="L34" s="297"/>
    </row>
    <row r="35" spans="2:12" ht="15" x14ac:dyDescent="0.25">
      <c r="B35" s="310" t="s">
        <v>149</v>
      </c>
      <c r="C35" s="311">
        <f>Пн!$M$2/1000</f>
        <v>0</v>
      </c>
      <c r="D35" s="312">
        <f>IF('Блок ввода'!Y39=TRUE,'Раскладка продуктов'!AH27,0)</f>
        <v>0</v>
      </c>
      <c r="E35" s="312"/>
      <c r="F35" s="312">
        <f>IF(AND('Блок ввода'!Y39=TRUE,'Блок ввода'!N143=3),'Раскладка продуктов'!AH36,0)</f>
        <v>0</v>
      </c>
      <c r="G35" s="314">
        <f t="shared" si="1"/>
        <v>0</v>
      </c>
      <c r="H35" s="315">
        <f t="shared" si="0"/>
        <v>0</v>
      </c>
      <c r="I35" s="316">
        <f t="shared" si="2"/>
        <v>0</v>
      </c>
      <c r="J35" s="362">
        <f t="shared" si="3"/>
        <v>0</v>
      </c>
      <c r="L35" s="297"/>
    </row>
    <row r="36" spans="2:12" ht="15" x14ac:dyDescent="0.25">
      <c r="B36" s="310" t="s">
        <v>217</v>
      </c>
      <c r="C36" s="311">
        <f>Пн!$M$2/1000</f>
        <v>0</v>
      </c>
      <c r="D36" s="312">
        <f>IF('Блок ввода'!T138=7,'Раскладка продуктов'!BC27,0)</f>
        <v>0</v>
      </c>
      <c r="E36" s="312"/>
      <c r="F36" s="312">
        <f>IF(OR('Блок ввода'!N143=8,'Блок ввода'!N143=2),0,'Раскладка продуктов'!BC36)</f>
        <v>0</v>
      </c>
      <c r="G36" s="314">
        <f t="shared" si="1"/>
        <v>0</v>
      </c>
      <c r="H36" s="315">
        <f t="shared" si="0"/>
        <v>0</v>
      </c>
      <c r="I36" s="316">
        <f t="shared" si="2"/>
        <v>0</v>
      </c>
      <c r="J36" s="362">
        <f t="shared" si="3"/>
        <v>0</v>
      </c>
      <c r="L36" s="297"/>
    </row>
    <row r="37" spans="2:12" ht="15" x14ac:dyDescent="0.25">
      <c r="B37" s="310" t="s">
        <v>150</v>
      </c>
      <c r="C37" s="311">
        <f>Пн!$M$2/1000</f>
        <v>0</v>
      </c>
      <c r="D37" s="312">
        <v>0.2</v>
      </c>
      <c r="E37" s="312"/>
      <c r="F37" s="312"/>
      <c r="G37" s="314">
        <f t="shared" si="1"/>
        <v>0</v>
      </c>
      <c r="H37" s="315">
        <f t="shared" si="0"/>
        <v>0</v>
      </c>
      <c r="I37" s="316">
        <f t="shared" si="2"/>
        <v>0</v>
      </c>
      <c r="J37" s="362">
        <f t="shared" si="3"/>
        <v>0</v>
      </c>
      <c r="L37" s="297"/>
    </row>
    <row r="38" spans="2:12" ht="15" x14ac:dyDescent="0.25">
      <c r="B38" s="310" t="s">
        <v>151</v>
      </c>
      <c r="C38" s="311">
        <f>Пн!$M$2/1000</f>
        <v>0</v>
      </c>
      <c r="D38" s="312">
        <v>0.3</v>
      </c>
      <c r="E38" s="312"/>
      <c r="F38" s="312"/>
      <c r="G38" s="314">
        <f t="shared" si="1"/>
        <v>0</v>
      </c>
      <c r="H38" s="315">
        <f t="shared" si="0"/>
        <v>0</v>
      </c>
      <c r="I38" s="316">
        <f t="shared" si="2"/>
        <v>0</v>
      </c>
      <c r="J38" s="362">
        <f t="shared" si="3"/>
        <v>0</v>
      </c>
      <c r="L38" s="297"/>
    </row>
    <row r="39" spans="2:12" ht="15" x14ac:dyDescent="0.25">
      <c r="B39" s="310" t="s">
        <v>152</v>
      </c>
      <c r="C39" s="311">
        <f>Пн!$M$2/1000</f>
        <v>0</v>
      </c>
      <c r="D39" s="312">
        <v>0.3</v>
      </c>
      <c r="E39" s="312"/>
      <c r="F39" s="312"/>
      <c r="G39" s="314">
        <f t="shared" si="1"/>
        <v>0</v>
      </c>
      <c r="H39" s="315">
        <f t="shared" si="0"/>
        <v>0</v>
      </c>
      <c r="I39" s="316">
        <f t="shared" si="2"/>
        <v>0</v>
      </c>
      <c r="J39" s="362">
        <f t="shared" si="3"/>
        <v>0</v>
      </c>
      <c r="L39" s="297"/>
    </row>
    <row r="40" spans="2:12" ht="15" x14ac:dyDescent="0.25">
      <c r="B40" s="310" t="str">
        <f>IF('Блок ввода'!$A$36=1,"УКСУСНАЯ ЭССЕНЦИЯ","УКСУС")</f>
        <v>УКСУС</v>
      </c>
      <c r="C40" s="311">
        <f>Пн!$M$2/1000</f>
        <v>0</v>
      </c>
      <c r="D40" s="312">
        <f>IF('Блок ввода'!$A$36=1,2/20,2)</f>
        <v>2</v>
      </c>
      <c r="E40" s="312"/>
      <c r="F40" s="312"/>
      <c r="G40" s="314">
        <f t="shared" si="1"/>
        <v>0</v>
      </c>
      <c r="H40" s="315">
        <f t="shared" si="0"/>
        <v>0</v>
      </c>
      <c r="I40" s="316">
        <f t="shared" si="2"/>
        <v>0</v>
      </c>
      <c r="J40" s="362">
        <f t="shared" si="3"/>
        <v>0</v>
      </c>
      <c r="L40" s="297"/>
    </row>
    <row r="41" spans="2:12" ht="15" x14ac:dyDescent="0.25">
      <c r="B41" s="310" t="str">
        <f>IF('Блок ввода'!$A$39=1,"ТОМАТНЫЙ СОУС","ТОМАТНАЯ ПАСТА")</f>
        <v>ТОМАТНАЯ ПАСТА</v>
      </c>
      <c r="C41" s="311">
        <f>Пн!$M$2/1000</f>
        <v>0</v>
      </c>
      <c r="D41" s="312">
        <v>6</v>
      </c>
      <c r="E41" s="312"/>
      <c r="F41" s="312"/>
      <c r="G41" s="314">
        <f t="shared" si="1"/>
        <v>0</v>
      </c>
      <c r="H41" s="315">
        <f t="shared" si="0"/>
        <v>0</v>
      </c>
      <c r="I41" s="316">
        <f t="shared" si="2"/>
        <v>0</v>
      </c>
      <c r="J41" s="362">
        <f t="shared" si="3"/>
        <v>0</v>
      </c>
      <c r="L41" s="297"/>
    </row>
    <row r="42" spans="2:12" ht="15" x14ac:dyDescent="0.25">
      <c r="B42" s="310" t="s">
        <v>376</v>
      </c>
      <c r="C42" s="311">
        <f>Пн!$M$2/1000</f>
        <v>0</v>
      </c>
      <c r="D42" s="312"/>
      <c r="E42" s="312"/>
      <c r="F42" s="312"/>
      <c r="G42" s="314">
        <f t="shared" si="1"/>
        <v>0</v>
      </c>
      <c r="H42" s="315">
        <f t="shared" si="0"/>
        <v>0</v>
      </c>
      <c r="I42" s="316">
        <f t="shared" si="2"/>
        <v>0</v>
      </c>
      <c r="J42" s="362">
        <f t="shared" si="3"/>
        <v>0</v>
      </c>
      <c r="L42" s="297"/>
    </row>
    <row r="43" spans="2:12" ht="15" x14ac:dyDescent="0.25">
      <c r="B43" s="310" t="s">
        <v>153</v>
      </c>
      <c r="C43" s="311">
        <f>Пн!$M$2/1000</f>
        <v>0</v>
      </c>
      <c r="D43" s="312"/>
      <c r="E43" s="312"/>
      <c r="F43" s="312"/>
      <c r="G43" s="314">
        <f t="shared" si="1"/>
        <v>0</v>
      </c>
      <c r="H43" s="315">
        <f t="shared" si="0"/>
        <v>0</v>
      </c>
      <c r="I43" s="316">
        <f t="shared" si="2"/>
        <v>0</v>
      </c>
      <c r="J43" s="362">
        <f t="shared" si="3"/>
        <v>0</v>
      </c>
      <c r="L43" s="297"/>
    </row>
    <row r="44" spans="2:12" ht="15" x14ac:dyDescent="0.25">
      <c r="B44" s="310" t="str">
        <f>IF('Блок ввода'!$B$223=1,"ДРОЖЖИ СУШЕНЫЕ","ДРОЖЖИ ПРЕСОВАННЫЕ" )</f>
        <v>ДРОЖЖИ ПРЕСОВАННЫЕ</v>
      </c>
      <c r="C44" s="311">
        <f>Пн!$M$2/1000</f>
        <v>0</v>
      </c>
      <c r="D44" s="323">
        <f>'Раскладка продуктов'!BH27</f>
        <v>0</v>
      </c>
      <c r="E44" s="312"/>
      <c r="F44" s="323">
        <f>'Раскладка продуктов'!BH36</f>
        <v>1</v>
      </c>
      <c r="G44" s="314">
        <f t="shared" si="1"/>
        <v>0</v>
      </c>
      <c r="H44" s="315">
        <f t="shared" si="0"/>
        <v>0</v>
      </c>
      <c r="I44" s="316">
        <f t="shared" si="2"/>
        <v>0</v>
      </c>
      <c r="J44" s="362">
        <f t="shared" si="3"/>
        <v>0</v>
      </c>
      <c r="L44" s="297"/>
    </row>
    <row r="45" spans="2:12" ht="15" x14ac:dyDescent="0.25">
      <c r="B45" s="310" t="s">
        <v>154</v>
      </c>
      <c r="C45" s="311">
        <f>Пн!$M$2/1000</f>
        <v>0</v>
      </c>
      <c r="D45" s="312">
        <f>'Раскладка продуктов'!AK25</f>
        <v>425</v>
      </c>
      <c r="E45" s="312">
        <f>'Раскладка продуктов'!AK28+('Раскладка продуктов'!AK29+'Раскладка продуктов'!AK30+'Раскладка продуктов'!AK31+'Раскладка продуктов'!AK32)/2</f>
        <v>-12.5</v>
      </c>
      <c r="F45" s="312">
        <f>'Раскладка продуктов'!AK34</f>
        <v>425</v>
      </c>
      <c r="G45" s="314">
        <f t="shared" si="1"/>
        <v>0</v>
      </c>
      <c r="H45" s="315">
        <f t="shared" si="0"/>
        <v>0</v>
      </c>
      <c r="I45" s="316">
        <f t="shared" si="2"/>
        <v>0</v>
      </c>
      <c r="J45" s="362">
        <f t="shared" si="3"/>
        <v>0</v>
      </c>
      <c r="L45" s="297"/>
    </row>
    <row r="46" spans="2:12" ht="15" x14ac:dyDescent="0.25">
      <c r="B46" s="310" t="s">
        <v>155</v>
      </c>
      <c r="C46" s="311">
        <f>Пн!$M$2/1000</f>
        <v>0</v>
      </c>
      <c r="D46" s="312">
        <f>'Раскладка продуктов'!AL25</f>
        <v>0</v>
      </c>
      <c r="E46" s="312">
        <f>'Раскладка продуктов'!AL28+('Раскладка продуктов'!AL29+'Раскладка продуктов'!AL30+'Раскладка продуктов'!AL31+'Раскладка продуктов'!AL32)/2</f>
        <v>0</v>
      </c>
      <c r="F46" s="312">
        <f>'Раскладка продуктов'!AL34</f>
        <v>0</v>
      </c>
      <c r="G46" s="314">
        <f t="shared" si="1"/>
        <v>0</v>
      </c>
      <c r="H46" s="315">
        <f t="shared" si="0"/>
        <v>0</v>
      </c>
      <c r="I46" s="316">
        <f t="shared" si="2"/>
        <v>0</v>
      </c>
      <c r="J46" s="362">
        <f t="shared" si="3"/>
        <v>0</v>
      </c>
      <c r="L46" s="297"/>
    </row>
    <row r="47" spans="2:12" ht="15" x14ac:dyDescent="0.25">
      <c r="B47" s="310" t="s">
        <v>188</v>
      </c>
      <c r="C47" s="311">
        <f>Пн!$M$2/1000</f>
        <v>0</v>
      </c>
      <c r="D47" s="312">
        <f>'Раскладка продуктов'!AM25</f>
        <v>0</v>
      </c>
      <c r="E47" s="312">
        <f>IF('Блок ввода'!E40=17,('Раскладка продуктов'!AM29+'Раскладка продуктов'!AM30+'Раскладка продуктов'!AM31+'Раскладка продуктов'!AM32)/2,('Раскладка продуктов'!AM29+'Раскладка продуктов'!AM30+'Раскладка продуктов'!AM31+'Раскладка продуктов'!AM32)/2+'Раскладка продуктов'!AM28)</f>
        <v>0</v>
      </c>
      <c r="F47" s="312">
        <f>'Раскладка продуктов'!AM34</f>
        <v>0</v>
      </c>
      <c r="G47" s="314">
        <f t="shared" si="1"/>
        <v>0</v>
      </c>
      <c r="H47" s="315">
        <f t="shared" si="0"/>
        <v>0</v>
      </c>
      <c r="I47" s="316">
        <f t="shared" si="2"/>
        <v>0</v>
      </c>
      <c r="J47" s="362">
        <f t="shared" si="3"/>
        <v>0</v>
      </c>
      <c r="L47" s="297"/>
    </row>
    <row r="48" spans="2:12" ht="15" x14ac:dyDescent="0.25">
      <c r="B48" s="310" t="s">
        <v>157</v>
      </c>
      <c r="C48" s="311">
        <f>Пн!$M$2/1000</f>
        <v>0</v>
      </c>
      <c r="D48" s="312">
        <f>'Раскладка продуктов'!AN25</f>
        <v>0</v>
      </c>
      <c r="E48" s="312">
        <f>'Раскладка продуктов'!AN28+('Раскладка продуктов'!AN29+'Раскладка продуктов'!AN30+'Раскладка продуктов'!AN31+'Раскладка продуктов'!AN32)/2</f>
        <v>160</v>
      </c>
      <c r="F48" s="312">
        <f>'Раскладка продуктов'!AN34</f>
        <v>0</v>
      </c>
      <c r="G48" s="314">
        <f t="shared" si="1"/>
        <v>0</v>
      </c>
      <c r="H48" s="315">
        <f t="shared" si="0"/>
        <v>0</v>
      </c>
      <c r="I48" s="316">
        <f t="shared" si="2"/>
        <v>0</v>
      </c>
      <c r="J48" s="362">
        <f t="shared" si="3"/>
        <v>0</v>
      </c>
      <c r="L48" s="297"/>
    </row>
    <row r="49" spans="2:12" ht="15" x14ac:dyDescent="0.25">
      <c r="B49" s="310" t="str">
        <f>IF(AND('Блок ввода'!$A$37=TRUE,'Блок ввода'!$Y$35=TRUE),"ЛУК - ПЕРО",IF(AND('Блок ввода'!$I$37=TRUE,'Блок ввода'!$Y$35),"ЛУК СУШЕНЫЙ","ЛУК РЕПЧАТЫЙ"))</f>
        <v>ЛУК РЕПЧАТЫЙ</v>
      </c>
      <c r="C49" s="311">
        <f>Пн!$M$2/1000</f>
        <v>0</v>
      </c>
      <c r="D49" s="312">
        <f>IF(AND('Блок ввода'!$A$37=TRUE,'Блок ввода'!Y35=TRUE),'Раскладка продуктов'!AO25*2,IF(AND('Блок ввода'!$I$37=TRUE,'Блок ввода'!Y35=TRUE),'Раскладка продуктов'!AR94,'Раскладка продуктов'!AO25))</f>
        <v>0</v>
      </c>
      <c r="E49" s="312">
        <f>IF(AND('Блок ввода'!$A$37=TRUE,'Блок ввода'!Y35=TRUE),('Раскладка продуктов'!AO28+'Раскладка продуктов'!AO33+('Раскладка продуктов'!AO29+'Раскладка продуктов'!AO30+'Раскладка продуктов'!AO31+'Раскладка продуктов'!AO32)/2)*2,IF(AND('Блок ввода'!$I$37=TRUE,'Блок ввода'!Y35=TRUE),'Раскладка продуктов'!AR97+('Раскладка продуктов'!AR98+'Раскладка продуктов'!AR99+'Раскладка продуктов'!AR100+'Раскладка продуктов'!AR101)/2,'Раскладка продуктов'!AO28+('Раскладка продуктов'!AO29+'Раскладка продуктов'!AO30+'Раскладка продуктов'!AO31+'Раскладка продуктов'!AO32)/2)+'Раскладка продуктов'!AO33)</f>
        <v>30</v>
      </c>
      <c r="F49" s="312">
        <f>IF(AND('Блок ввода'!$A$37=TRUE,'Блок ввода'!Y35=TRUE),'Раскладка продуктов'!AO34*2,IF(AND('Блок ввода'!$I$37=TRUE,'Блок ввода'!Y35=TRUE),'Раскладка продуктов'!AR103,'Раскладка продуктов'!AO34))</f>
        <v>0</v>
      </c>
      <c r="G49" s="314">
        <f t="shared" si="1"/>
        <v>0</v>
      </c>
      <c r="H49" s="315">
        <f t="shared" si="0"/>
        <v>0</v>
      </c>
      <c r="I49" s="316">
        <f t="shared" si="2"/>
        <v>0</v>
      </c>
      <c r="J49" s="362">
        <f t="shared" si="3"/>
        <v>0</v>
      </c>
      <c r="L49" s="297"/>
    </row>
    <row r="50" spans="2:12" ht="15" x14ac:dyDescent="0.25">
      <c r="B50" s="324" t="str">
        <f>IF(OR('Блок ввода'!E40=15,'Блок ввода'!E40=21),"ОГУРЦЫ СВЕЖИЕ","ОГУРЦЫ СОЛЕНЫЕ")</f>
        <v>ОГУРЦЫ СОЛЕНЫЕ</v>
      </c>
      <c r="C50" s="311">
        <f>Пн!$M$2/1000</f>
        <v>0</v>
      </c>
      <c r="D50" s="312">
        <f>'Раскладка продуктов'!AP25</f>
        <v>0</v>
      </c>
      <c r="E50" s="312">
        <f>IF(OR('Блок ввода'!E40=10,'Блок ввода'!E40=13,'Блок ввода'!E40=18,'Блок ввода'!E40=19),('Раскладка продуктов'!AP29+'Раскладка продуктов'!AP30+'Раскладка продуктов'!AP31+'Раскладка продуктов'!AP32)/2,IF('Блок ввода'!E40=21,'Раскладка продуктов'!AP28/2,'Раскладка продуктов'!AP28+('Раскладка продуктов'!AP29+'Раскладка продуктов'!AP30+'Раскладка продуктов'!AP31+'Раскладка продуктов'!AP32)/2))</f>
        <v>0</v>
      </c>
      <c r="F50" s="312">
        <v>22</v>
      </c>
      <c r="G50" s="314">
        <f t="shared" si="1"/>
        <v>0</v>
      </c>
      <c r="H50" s="315">
        <f t="shared" si="0"/>
        <v>0</v>
      </c>
      <c r="I50" s="316">
        <f t="shared" si="2"/>
        <v>0</v>
      </c>
      <c r="J50" s="362">
        <f t="shared" si="3"/>
        <v>0</v>
      </c>
      <c r="L50" s="297"/>
    </row>
    <row r="51" spans="2:12" ht="15" x14ac:dyDescent="0.25">
      <c r="B51" s="310" t="str">
        <f>IF(OR('Блок ввода'!E40=19,'Блок ввода'!E40=21),"ПОМИДОРЫ СВЕЖИЕ","ПОМИДОРЫ СОЛЁНЫЕ")</f>
        <v>ПОМИДОРЫ СОЛЁНЫЕ</v>
      </c>
      <c r="C51" s="311">
        <f>Пн!$M$2/1000</f>
        <v>0</v>
      </c>
      <c r="D51" s="312"/>
      <c r="E51" s="312">
        <f>IF(OR('Блок ввода'!E40=10,'Блок ввода'!E40=19),'Раскладка продуктов'!AP28,IF('Блок ввода'!E40=21,'Раскладка продуктов'!AP28/2,0))</f>
        <v>0</v>
      </c>
      <c r="F51" s="312"/>
      <c r="G51" s="314">
        <f t="shared" si="1"/>
        <v>0</v>
      </c>
      <c r="H51" s="315">
        <f t="shared" si="0"/>
        <v>0</v>
      </c>
      <c r="I51" s="316">
        <f t="shared" si="2"/>
        <v>0</v>
      </c>
      <c r="J51" s="362">
        <f t="shared" si="3"/>
        <v>0</v>
      </c>
      <c r="L51" s="297"/>
    </row>
    <row r="52" spans="2:12" ht="15" x14ac:dyDescent="0.25">
      <c r="B52" s="310" t="s">
        <v>227</v>
      </c>
      <c r="C52" s="311">
        <f>Пн!$M$2/1000</f>
        <v>0</v>
      </c>
      <c r="D52" s="312"/>
      <c r="E52" s="312">
        <f>IF(OR('Блок ввода'!E40=13,'Блок ввода'!E40=18),'Раскладка продуктов'!AP28,0)</f>
        <v>0</v>
      </c>
      <c r="F52" s="312"/>
      <c r="G52" s="314">
        <f>C52*D52</f>
        <v>0</v>
      </c>
      <c r="H52" s="315">
        <f>C52*E52</f>
        <v>0</v>
      </c>
      <c r="I52" s="316">
        <f>F52*C52</f>
        <v>0</v>
      </c>
      <c r="J52" s="362">
        <f>G52+H52+I52</f>
        <v>0</v>
      </c>
      <c r="L52" s="297"/>
    </row>
    <row r="53" spans="2:12" ht="15" x14ac:dyDescent="0.25">
      <c r="B53" s="310" t="s">
        <v>158</v>
      </c>
      <c r="C53" s="311">
        <f>Пн!$M$2/1000</f>
        <v>0</v>
      </c>
      <c r="D53" s="312"/>
      <c r="E53" s="312">
        <f>IF('Блок ввода'!AA32=TRUE,0,IF('Раскладка продуктов'!AI33=20,20,0))</f>
        <v>0</v>
      </c>
      <c r="F53" s="312"/>
      <c r="G53" s="314">
        <f t="shared" si="1"/>
        <v>0</v>
      </c>
      <c r="H53" s="315">
        <f t="shared" si="0"/>
        <v>0</v>
      </c>
      <c r="I53" s="316">
        <f t="shared" si="2"/>
        <v>0</v>
      </c>
      <c r="J53" s="362">
        <f t="shared" si="3"/>
        <v>0</v>
      </c>
      <c r="L53" s="297"/>
    </row>
    <row r="54" spans="2:12" ht="15" x14ac:dyDescent="0.25">
      <c r="B54" s="310" t="s">
        <v>159</v>
      </c>
      <c r="C54" s="311">
        <f>Пн!$M$2/1000</f>
        <v>0</v>
      </c>
      <c r="D54" s="312"/>
      <c r="E54" s="312">
        <f>IF(OR(E53&gt;0,E55&gt;0),0,30)</f>
        <v>30</v>
      </c>
      <c r="F54" s="312"/>
      <c r="G54" s="314">
        <f t="shared" si="1"/>
        <v>0</v>
      </c>
      <c r="H54" s="315">
        <f t="shared" si="0"/>
        <v>0</v>
      </c>
      <c r="I54" s="316">
        <f t="shared" si="2"/>
        <v>0</v>
      </c>
      <c r="J54" s="362">
        <f t="shared" si="3"/>
        <v>0</v>
      </c>
      <c r="L54" s="297"/>
    </row>
    <row r="55" spans="2:12" ht="15" x14ac:dyDescent="0.25">
      <c r="B55" s="325" t="str">
        <f>IF('Блок ввода'!$Z$28=1,"ЯБЛОКИ СВЕЖИЕ",IF('Блок ввода'!$Z$28=2,"АПЕЛЬСИНЫ",IF('Блок ввода'!$Z$28=3,"МАНДАРИНЫ",IF('Блок ввода'!$Z$28=4,"ЯГОДЫ"))))</f>
        <v>АПЕЛЬСИНЫ</v>
      </c>
      <c r="C55" s="311">
        <f>Пн!$M$2/1000</f>
        <v>0</v>
      </c>
      <c r="D55" s="312"/>
      <c r="E55" s="312">
        <f>IF(AND('Блок ввода'!$AA$32,OR( 'Блок ввода'!R146=1,'Блок ввода'!R146=4, 'Блок ввода'!R146=7)),100,0)</f>
        <v>0</v>
      </c>
      <c r="F55" s="312"/>
      <c r="G55" s="314">
        <f t="shared" si="1"/>
        <v>0</v>
      </c>
      <c r="H55" s="315">
        <f t="shared" si="0"/>
        <v>0</v>
      </c>
      <c r="I55" s="316">
        <f t="shared" si="2"/>
        <v>0</v>
      </c>
      <c r="J55" s="362">
        <f t="shared" si="3"/>
        <v>0</v>
      </c>
      <c r="L55" s="297"/>
    </row>
    <row r="56" spans="2:12" ht="15" x14ac:dyDescent="0.25">
      <c r="B56" s="310" t="str">
        <f>IF('Блок ввода'!$A$35=TRUE,"АРБУЗ","СОК")</f>
        <v>СОК</v>
      </c>
      <c r="C56" s="311">
        <f>Пн!$M$2/1000</f>
        <v>0</v>
      </c>
      <c r="D56" s="312"/>
      <c r="E56" s="312">
        <f>'Раскладка продуктов'!BB33</f>
        <v>200</v>
      </c>
      <c r="F56" s="312"/>
      <c r="G56" s="314">
        <f t="shared" si="1"/>
        <v>0</v>
      </c>
      <c r="H56" s="315">
        <f t="shared" si="0"/>
        <v>0</v>
      </c>
      <c r="I56" s="316">
        <f t="shared" si="2"/>
        <v>0</v>
      </c>
      <c r="J56" s="362">
        <f t="shared" si="3"/>
        <v>0</v>
      </c>
      <c r="L56" s="297"/>
    </row>
    <row r="57" spans="2:12" ht="15" x14ac:dyDescent="0.25">
      <c r="B57" s="310" t="s">
        <v>170</v>
      </c>
      <c r="C57" s="311">
        <f>Пн!$M$2/1000</f>
        <v>0</v>
      </c>
      <c r="D57" s="312">
        <f>IF('Блок ввода'!N138=1,'Раскладка продуктов'!BC27,0)</f>
        <v>0</v>
      </c>
      <c r="E57" s="312"/>
      <c r="F57" s="312">
        <f>IF(OR('Блок ввода'!$N$143=2,'Блок ввода'!$N$143=8),'Раскладка продуктов'!BC36,0)</f>
        <v>0</v>
      </c>
      <c r="G57" s="314">
        <f t="shared" si="1"/>
        <v>0</v>
      </c>
      <c r="H57" s="315">
        <f t="shared" si="0"/>
        <v>0</v>
      </c>
      <c r="I57" s="316">
        <f t="shared" si="2"/>
        <v>0</v>
      </c>
      <c r="J57" s="362">
        <f t="shared" si="3"/>
        <v>0</v>
      </c>
      <c r="L57" s="297"/>
    </row>
    <row r="58" spans="2:12" ht="15" x14ac:dyDescent="0.25">
      <c r="B58" s="310" t="s">
        <v>196</v>
      </c>
      <c r="C58" s="311">
        <f>Пн!$M$2/1000</f>
        <v>0</v>
      </c>
      <c r="D58" s="312"/>
      <c r="E58" s="312">
        <f>'Раскладка продуктов'!BE33</f>
        <v>0</v>
      </c>
      <c r="F58" s="312"/>
      <c r="G58" s="314">
        <f t="shared" si="1"/>
        <v>0</v>
      </c>
      <c r="H58" s="315">
        <f t="shared" si="0"/>
        <v>0</v>
      </c>
      <c r="I58" s="316">
        <f t="shared" si="2"/>
        <v>0</v>
      </c>
      <c r="J58" s="362">
        <f t="shared" si="3"/>
        <v>0</v>
      </c>
      <c r="L58" s="297"/>
    </row>
    <row r="59" spans="2:12" ht="15" x14ac:dyDescent="0.25">
      <c r="B59" s="310" t="s">
        <v>239</v>
      </c>
      <c r="C59" s="311">
        <f>Пн!$M$2/1000</f>
        <v>0</v>
      </c>
      <c r="D59" s="312"/>
      <c r="E59" s="312">
        <f>IF('Блок ввода'!E40=17,'Раскладка продуктов'!AM28,0)</f>
        <v>0</v>
      </c>
      <c r="F59" s="312"/>
      <c r="G59" s="314">
        <f t="shared" si="1"/>
        <v>0</v>
      </c>
      <c r="H59" s="315">
        <f t="shared" si="0"/>
        <v>0</v>
      </c>
      <c r="I59" s="316">
        <f t="shared" si="2"/>
        <v>0</v>
      </c>
      <c r="J59" s="362">
        <f t="shared" si="3"/>
        <v>0</v>
      </c>
      <c r="L59" s="297"/>
    </row>
    <row r="60" spans="2:12" ht="15" x14ac:dyDescent="0.25">
      <c r="B60" s="326"/>
      <c r="C60" s="311">
        <f>Пн!$M$2/1000</f>
        <v>0</v>
      </c>
      <c r="D60" s="312"/>
      <c r="E60" s="312"/>
      <c r="F60" s="312"/>
      <c r="G60" s="314">
        <f t="shared" si="1"/>
        <v>0</v>
      </c>
      <c r="H60" s="315">
        <f t="shared" si="0"/>
        <v>0</v>
      </c>
      <c r="I60" s="316">
        <f t="shared" si="2"/>
        <v>0</v>
      </c>
      <c r="J60" s="362">
        <f t="shared" si="3"/>
        <v>0</v>
      </c>
      <c r="L60" s="297"/>
    </row>
    <row r="61" spans="2:12" ht="15" x14ac:dyDescent="0.25">
      <c r="B61" s="326"/>
      <c r="C61" s="311">
        <f>Пн!$M$2/1000</f>
        <v>0</v>
      </c>
      <c r="D61" s="312"/>
      <c r="E61" s="312"/>
      <c r="F61" s="312"/>
      <c r="G61" s="314">
        <f t="shared" si="1"/>
        <v>0</v>
      </c>
      <c r="H61" s="315">
        <f t="shared" si="0"/>
        <v>0</v>
      </c>
      <c r="I61" s="316">
        <f t="shared" si="2"/>
        <v>0</v>
      </c>
      <c r="J61" s="362">
        <f t="shared" si="3"/>
        <v>0</v>
      </c>
      <c r="L61" s="297"/>
    </row>
    <row r="62" spans="2:12" ht="15" x14ac:dyDescent="0.25">
      <c r="B62" s="310" t="s">
        <v>250</v>
      </c>
      <c r="C62" s="311">
        <f>Пн!$M$2/1000</f>
        <v>0</v>
      </c>
      <c r="D62" s="312"/>
      <c r="E62" s="312">
        <f>'Раскладка продуктов'!BD33</f>
        <v>0</v>
      </c>
      <c r="F62" s="312"/>
      <c r="G62" s="314">
        <f t="shared" si="1"/>
        <v>0</v>
      </c>
      <c r="H62" s="315">
        <f t="shared" si="0"/>
        <v>0</v>
      </c>
      <c r="I62" s="316">
        <f t="shared" si="2"/>
        <v>0</v>
      </c>
      <c r="J62" s="362">
        <f t="shared" si="3"/>
        <v>0</v>
      </c>
      <c r="L62" s="297"/>
    </row>
    <row r="63" spans="2:12" ht="15" x14ac:dyDescent="0.25">
      <c r="B63" s="327" t="s">
        <v>258</v>
      </c>
      <c r="C63" s="311">
        <f>Пн!$M$2/1000</f>
        <v>0</v>
      </c>
      <c r="D63" s="312"/>
      <c r="E63" s="323">
        <f>IF('Блок ввода'!$B$38=1,1,0)</f>
        <v>0</v>
      </c>
      <c r="F63" s="312"/>
      <c r="G63" s="314">
        <f t="shared" si="1"/>
        <v>0</v>
      </c>
      <c r="H63" s="328">
        <f t="shared" si="0"/>
        <v>0</v>
      </c>
      <c r="I63" s="329">
        <f t="shared" si="2"/>
        <v>0</v>
      </c>
      <c r="J63" s="364">
        <f t="shared" si="3"/>
        <v>0</v>
      </c>
      <c r="L63" s="297"/>
    </row>
    <row r="64" spans="2:12" ht="15" x14ac:dyDescent="0.25">
      <c r="B64" s="327" t="s">
        <v>263</v>
      </c>
      <c r="C64" s="311">
        <f>Пн!$M$2/1000</f>
        <v>0</v>
      </c>
      <c r="D64" s="312">
        <f>'Раскладка продуктов'!BG25</f>
        <v>265</v>
      </c>
      <c r="E64" s="323"/>
      <c r="F64" s="312"/>
      <c r="G64" s="314">
        <f>C64*D64</f>
        <v>0</v>
      </c>
      <c r="H64" s="328">
        <f t="shared" si="0"/>
        <v>0</v>
      </c>
      <c r="I64" s="329">
        <f t="shared" si="2"/>
        <v>0</v>
      </c>
      <c r="J64" s="364">
        <f>G64+H64+I64</f>
        <v>0</v>
      </c>
      <c r="L64" s="297"/>
    </row>
    <row r="65" spans="2:12" ht="15.75" thickBot="1" x14ac:dyDescent="0.3">
      <c r="B65" s="330" t="s">
        <v>266</v>
      </c>
      <c r="C65" s="331">
        <f>Пн!$M$2/1000</f>
        <v>0</v>
      </c>
      <c r="D65" s="332"/>
      <c r="E65" s="333">
        <f>('Раскладка продуктов'!BF29+'Раскладка продуктов'!BF30)/2</f>
        <v>0</v>
      </c>
      <c r="F65" s="332"/>
      <c r="G65" s="334">
        <f>C65*D65</f>
        <v>0</v>
      </c>
      <c r="H65" s="335">
        <f t="shared" si="0"/>
        <v>0</v>
      </c>
      <c r="I65" s="336">
        <f t="shared" si="2"/>
        <v>0</v>
      </c>
      <c r="J65" s="365">
        <f>G65+H65+I65</f>
        <v>0</v>
      </c>
      <c r="L65" s="297"/>
    </row>
    <row r="66" spans="2:12" ht="23.25" customHeight="1" thickBot="1" x14ac:dyDescent="0.45">
      <c r="B66" s="1543" t="s">
        <v>95</v>
      </c>
      <c r="C66" s="1543"/>
      <c r="D66" s="1543"/>
      <c r="E66" s="1543"/>
      <c r="F66" s="1543"/>
      <c r="G66" s="1543"/>
      <c r="H66" s="1543"/>
      <c r="I66" s="1543"/>
      <c r="J66" s="1543"/>
      <c r="L66" s="297"/>
    </row>
    <row r="67" spans="2:12" ht="24" thickBot="1" x14ac:dyDescent="0.4">
      <c r="B67" s="298" t="s">
        <v>122</v>
      </c>
      <c r="C67" s="299"/>
      <c r="D67" s="300" t="s">
        <v>123</v>
      </c>
      <c r="E67" s="298" t="s">
        <v>124</v>
      </c>
      <c r="F67" s="298" t="s">
        <v>125</v>
      </c>
      <c r="G67" s="300" t="s">
        <v>126</v>
      </c>
      <c r="H67" s="300" t="s">
        <v>127</v>
      </c>
      <c r="I67" s="300" t="s">
        <v>128</v>
      </c>
      <c r="J67" s="360" t="s">
        <v>129</v>
      </c>
      <c r="L67" s="297"/>
    </row>
    <row r="68" spans="2:12" ht="15" x14ac:dyDescent="0.25">
      <c r="B68" s="303" t="s">
        <v>391</v>
      </c>
      <c r="C68" s="337">
        <f>Вт!$M$2/1000</f>
        <v>0</v>
      </c>
      <c r="D68" s="312">
        <f>'Раскладка продуктов'!K40</f>
        <v>100</v>
      </c>
      <c r="E68" s="312">
        <f>'Раскладка продуктов'!K46</f>
        <v>100</v>
      </c>
      <c r="F68" s="313">
        <f>'Раскладка продуктов'!K49</f>
        <v>100</v>
      </c>
      <c r="G68" s="338">
        <f>D68*C68</f>
        <v>0</v>
      </c>
      <c r="H68" s="339">
        <f t="shared" ref="H68:H76" si="4">C68*E68</f>
        <v>0</v>
      </c>
      <c r="I68" s="316">
        <f>F68*C68</f>
        <v>0</v>
      </c>
      <c r="J68" s="366">
        <f>G68+H68+I68</f>
        <v>0</v>
      </c>
      <c r="L68" s="297"/>
    </row>
    <row r="69" spans="2:12" ht="15" x14ac:dyDescent="0.25">
      <c r="B69" s="340" t="str">
        <f>$B$4</f>
        <v>ХЛЕБ ИЗ МУКИ ПШ. 1 С.</v>
      </c>
      <c r="C69" s="337">
        <f>Вт!$M$2/1000</f>
        <v>0</v>
      </c>
      <c r="D69" s="312">
        <f>'Раскладка продуктов'!L40</f>
        <v>150</v>
      </c>
      <c r="E69" s="312">
        <f>'Раскладка продуктов'!L46</f>
        <v>150</v>
      </c>
      <c r="F69" s="313">
        <f>'Раскладка продуктов'!L49</f>
        <v>50</v>
      </c>
      <c r="G69" s="314">
        <f t="shared" ref="G69:G95" si="5">C69*D69</f>
        <v>0</v>
      </c>
      <c r="H69" s="315">
        <f t="shared" si="4"/>
        <v>0</v>
      </c>
      <c r="I69" s="316">
        <f t="shared" ref="I69:I128" si="6">F69*C69</f>
        <v>0</v>
      </c>
      <c r="J69" s="362">
        <f t="shared" ref="J69:J128" si="7">G69+H69+I69</f>
        <v>0</v>
      </c>
      <c r="L69" s="297"/>
    </row>
    <row r="70" spans="2:12" ht="15" x14ac:dyDescent="0.25">
      <c r="B70" s="310" t="s">
        <v>425</v>
      </c>
      <c r="C70" s="337">
        <f>Вт!$M$2/1000</f>
        <v>0</v>
      </c>
      <c r="D70" s="312"/>
      <c r="E70" s="312">
        <f>'Раскладка продуктов'!M46</f>
        <v>0</v>
      </c>
      <c r="F70" s="313"/>
      <c r="G70" s="314">
        <f t="shared" si="5"/>
        <v>0</v>
      </c>
      <c r="H70" s="315">
        <f t="shared" si="4"/>
        <v>0</v>
      </c>
      <c r="I70" s="316">
        <f t="shared" si="6"/>
        <v>0</v>
      </c>
      <c r="J70" s="362">
        <f t="shared" si="7"/>
        <v>0</v>
      </c>
      <c r="L70" s="297"/>
    </row>
    <row r="71" spans="2:12" ht="15" x14ac:dyDescent="0.25">
      <c r="B71" s="310" t="s">
        <v>404</v>
      </c>
      <c r="C71" s="337">
        <f>Вт!$M$2/1000</f>
        <v>0</v>
      </c>
      <c r="D71" s="312">
        <f>'Раскладка продуктов'!O38+'Раскладка продуктов'!O39+'Раскладка продуктов'!O40</f>
        <v>0</v>
      </c>
      <c r="E71" s="312">
        <f>'Раскладка продуктов'!O46+('Раскладка продуктов'!O41+'Раскладка продуктов'!O42+'Раскладка продуктов'!O43+'Раскладка продуктов'!O44)/2+'Раскладка продуктов'!O45</f>
        <v>0</v>
      </c>
      <c r="F71" s="312">
        <f>'Раскладка продуктов'!O49+'Раскладка продуктов'!O48</f>
        <v>0</v>
      </c>
      <c r="G71" s="314">
        <f t="shared" si="5"/>
        <v>0</v>
      </c>
      <c r="H71" s="315">
        <f t="shared" si="4"/>
        <v>0</v>
      </c>
      <c r="I71" s="316">
        <f t="shared" si="6"/>
        <v>0</v>
      </c>
      <c r="J71" s="362">
        <f t="shared" si="7"/>
        <v>0</v>
      </c>
      <c r="L71" s="297"/>
    </row>
    <row r="72" spans="2:12" ht="15" x14ac:dyDescent="0.25">
      <c r="B72" s="317" t="str">
        <f>IF('Блок ввода'!$H$26=1,"МУКА ПШЕНИЧНАЯ 1 С.","МУКА ПШЕНИЧНАЯ 2 С.")</f>
        <v>МУКА ПШЕНИЧНАЯ 1 С.</v>
      </c>
      <c r="C72" s="337">
        <f>Вт!$M$2/1000</f>
        <v>0</v>
      </c>
      <c r="D72" s="312">
        <f>'Раскладка продуктов'!N38</f>
        <v>2</v>
      </c>
      <c r="E72" s="312">
        <f>('Раскладка продуктов'!N42+'Раскладка продуктов'!N43+'Раскладка продуктов'!N44+'Раскладка продуктов'!N45)/2</f>
        <v>4</v>
      </c>
      <c r="F72" s="312">
        <f>'Раскладка продуктов'!N47</f>
        <v>6.5</v>
      </c>
      <c r="G72" s="314">
        <f t="shared" si="5"/>
        <v>0</v>
      </c>
      <c r="H72" s="315">
        <f t="shared" si="4"/>
        <v>0</v>
      </c>
      <c r="I72" s="316">
        <f t="shared" si="6"/>
        <v>0</v>
      </c>
      <c r="J72" s="362">
        <f t="shared" si="7"/>
        <v>0</v>
      </c>
      <c r="L72" s="297"/>
    </row>
    <row r="73" spans="2:12" ht="15" x14ac:dyDescent="0.25">
      <c r="B73" s="340" t="s">
        <v>132</v>
      </c>
      <c r="C73" s="337">
        <f>Вт!$M$2/1000</f>
        <v>0</v>
      </c>
      <c r="D73" s="312">
        <f>'Раскладка продуктов'!P38</f>
        <v>0</v>
      </c>
      <c r="E73" s="312">
        <f>('Раскладка продуктов'!P42+'Раскладка продуктов'!P43+'Раскладка продуктов'!P44+'Раскладка продуктов'!P45)/2</f>
        <v>0</v>
      </c>
      <c r="F73" s="312">
        <f>'Раскладка продуктов'!P47</f>
        <v>0</v>
      </c>
      <c r="G73" s="314">
        <f t="shared" si="5"/>
        <v>0</v>
      </c>
      <c r="H73" s="315">
        <f t="shared" si="4"/>
        <v>0</v>
      </c>
      <c r="I73" s="316">
        <f t="shared" si="6"/>
        <v>0</v>
      </c>
      <c r="J73" s="362">
        <f t="shared" si="7"/>
        <v>0</v>
      </c>
    </row>
    <row r="74" spans="2:12" ht="15" x14ac:dyDescent="0.25">
      <c r="B74" s="341" t="s">
        <v>133</v>
      </c>
      <c r="C74" s="337">
        <f>Вт!$M$2/1000</f>
        <v>0</v>
      </c>
      <c r="D74" s="312">
        <f>'Раскладка продуктов'!Q38</f>
        <v>0</v>
      </c>
      <c r="E74" s="312">
        <f>('Раскладка продуктов'!Q42+'Раскладка продуктов'!Q43+'Раскладка продуктов'!Q44+'Раскладка продуктов'!Q45)/2+'Раскладка продуктов'!Q41</f>
        <v>0</v>
      </c>
      <c r="F74" s="312">
        <f>'Раскладка продуктов'!Q47</f>
        <v>0</v>
      </c>
      <c r="G74" s="314">
        <f t="shared" si="5"/>
        <v>0</v>
      </c>
      <c r="H74" s="315">
        <f t="shared" si="4"/>
        <v>0</v>
      </c>
      <c r="I74" s="316">
        <f t="shared" si="6"/>
        <v>0</v>
      </c>
      <c r="J74" s="362">
        <f t="shared" si="7"/>
        <v>0</v>
      </c>
    </row>
    <row r="75" spans="2:12" ht="15" x14ac:dyDescent="0.25">
      <c r="B75" s="340" t="s">
        <v>134</v>
      </c>
      <c r="C75" s="337">
        <f>Вт!$M$2/1000</f>
        <v>0</v>
      </c>
      <c r="D75" s="312">
        <f>'Раскладка продуктов'!R38</f>
        <v>0</v>
      </c>
      <c r="E75" s="312">
        <f>('Раскладка продуктов'!R42+'Раскладка продуктов'!R43+'Раскладка продуктов'!R44+'Раскладка продуктов'!R45)/2</f>
        <v>0</v>
      </c>
      <c r="F75" s="312">
        <f>'Раскладка продуктов'!R47</f>
        <v>0</v>
      </c>
      <c r="G75" s="314">
        <f t="shared" si="5"/>
        <v>0</v>
      </c>
      <c r="H75" s="315">
        <f t="shared" si="4"/>
        <v>0</v>
      </c>
      <c r="I75" s="316">
        <f t="shared" si="6"/>
        <v>0</v>
      </c>
      <c r="J75" s="362">
        <f t="shared" si="7"/>
        <v>0</v>
      </c>
    </row>
    <row r="76" spans="2:12" ht="15" x14ac:dyDescent="0.25">
      <c r="B76" s="341" t="s">
        <v>135</v>
      </c>
      <c r="C76" s="337">
        <f>Вт!$M$2/1000</f>
        <v>0</v>
      </c>
      <c r="D76" s="312">
        <f>'Раскладка продуктов'!V38</f>
        <v>0</v>
      </c>
      <c r="E76" s="312">
        <f>('Раскладка продуктов'!V42+'Раскладка продуктов'!V43+'Раскладка продуктов'!V44+'Раскладка продуктов'!V45)/2</f>
        <v>35.5</v>
      </c>
      <c r="F76" s="312">
        <f>'Раскладка продуктов'!V47</f>
        <v>81</v>
      </c>
      <c r="G76" s="314">
        <f t="shared" si="5"/>
        <v>0</v>
      </c>
      <c r="H76" s="315">
        <f t="shared" si="4"/>
        <v>0</v>
      </c>
      <c r="I76" s="316">
        <f t="shared" si="6"/>
        <v>0</v>
      </c>
      <c r="J76" s="362">
        <f t="shared" si="7"/>
        <v>0</v>
      </c>
    </row>
    <row r="77" spans="2:12" ht="15" x14ac:dyDescent="0.25">
      <c r="B77" s="340" t="s">
        <v>136</v>
      </c>
      <c r="C77" s="337">
        <f>Вт!$M$2/1000</f>
        <v>0</v>
      </c>
      <c r="D77" s="312">
        <f>'Раскладка продуктов'!U38</f>
        <v>0</v>
      </c>
      <c r="E77" s="312">
        <f>('Раскладка продуктов'!U42+'Раскладка продуктов'!U43+'Раскладка продуктов'!U44+'Раскладка продуктов'!U45)/2</f>
        <v>0</v>
      </c>
      <c r="F77" s="312">
        <f>'Раскладка продуктов'!U47</f>
        <v>0</v>
      </c>
      <c r="G77" s="314">
        <f t="shared" si="5"/>
        <v>0</v>
      </c>
      <c r="H77" s="315">
        <f t="shared" ref="H77:H128" si="8">C77*E77</f>
        <v>0</v>
      </c>
      <c r="I77" s="316">
        <f t="shared" si="6"/>
        <v>0</v>
      </c>
      <c r="J77" s="362">
        <f t="shared" si="7"/>
        <v>0</v>
      </c>
    </row>
    <row r="78" spans="2:12" ht="15" x14ac:dyDescent="0.25">
      <c r="B78" s="341" t="s">
        <v>137</v>
      </c>
      <c r="C78" s="337">
        <f>Вт!$M$2/1000</f>
        <v>0</v>
      </c>
      <c r="D78" s="312">
        <f>'Раскладка продуктов'!S38</f>
        <v>0</v>
      </c>
      <c r="E78" s="312">
        <f>('Раскладка продуктов'!S42+'Раскладка продуктов'!S43+'Раскладка продуктов'!S44+'Раскладка продуктов'!S45)/2</f>
        <v>0</v>
      </c>
      <c r="F78" s="312">
        <f>'Раскладка продуктов'!S47+'Раскладка продуктов'!S48+'Раскладка продуктов'!S49</f>
        <v>0</v>
      </c>
      <c r="G78" s="314">
        <f t="shared" si="5"/>
        <v>0</v>
      </c>
      <c r="H78" s="315">
        <f t="shared" si="8"/>
        <v>0</v>
      </c>
      <c r="I78" s="316">
        <f t="shared" si="6"/>
        <v>0</v>
      </c>
      <c r="J78" s="362">
        <f t="shared" si="7"/>
        <v>0</v>
      </c>
    </row>
    <row r="79" spans="2:12" ht="15" x14ac:dyDescent="0.25">
      <c r="B79" s="340" t="str">
        <f>IF('Блок ввода'!$B$213=2,"КОНЦЕНТРАТ КРУПЯНОЙ","КРУПА ОВСЯНАЯ")</f>
        <v>КРУПА ОВСЯНАЯ</v>
      </c>
      <c r="C79" s="337">
        <f>Вт!$M$2/1000</f>
        <v>0</v>
      </c>
      <c r="D79" s="312">
        <f>'Раскладка продуктов'!W38</f>
        <v>0</v>
      </c>
      <c r="E79" s="312">
        <f>('Раскладка продуктов'!W42+'Раскладка продуктов'!W43+'Раскладка продуктов'!W44+'Раскладка продуктов'!W45)/2</f>
        <v>0</v>
      </c>
      <c r="F79" s="312">
        <f>'Раскладка продуктов'!W47</f>
        <v>0</v>
      </c>
      <c r="G79" s="314">
        <f t="shared" si="5"/>
        <v>0</v>
      </c>
      <c r="H79" s="315">
        <f t="shared" si="8"/>
        <v>0</v>
      </c>
      <c r="I79" s="316">
        <f t="shared" si="6"/>
        <v>0</v>
      </c>
      <c r="J79" s="362">
        <f t="shared" si="7"/>
        <v>0</v>
      </c>
    </row>
    <row r="80" spans="2:12" ht="15" x14ac:dyDescent="0.25">
      <c r="B80" s="340" t="s">
        <v>169</v>
      </c>
      <c r="C80" s="337">
        <f>Вт!$M$2/1000</f>
        <v>0</v>
      </c>
      <c r="D80" s="312">
        <f>'Раскладка продуктов'!T38</f>
        <v>0</v>
      </c>
      <c r="E80" s="312">
        <f>('Раскладка продуктов'!T42+'Раскладка продуктов'!T43+'Раскладка продуктов'!T44+'Раскладка продуктов'!T45)/2</f>
        <v>33.5</v>
      </c>
      <c r="F80" s="312">
        <f>'Раскладка продуктов'!T47</f>
        <v>0</v>
      </c>
      <c r="G80" s="314">
        <f t="shared" si="5"/>
        <v>0</v>
      </c>
      <c r="H80" s="315">
        <f t="shared" si="8"/>
        <v>0</v>
      </c>
      <c r="I80" s="316">
        <f t="shared" si="6"/>
        <v>0</v>
      </c>
      <c r="J80" s="362">
        <f t="shared" si="7"/>
        <v>0</v>
      </c>
    </row>
    <row r="81" spans="2:15" ht="15" x14ac:dyDescent="0.25">
      <c r="B81" s="340" t="s">
        <v>138</v>
      </c>
      <c r="C81" s="337">
        <f>Вт!$M$2/1000</f>
        <v>0</v>
      </c>
      <c r="D81" s="312">
        <f>'Раскладка продуктов'!X38</f>
        <v>0</v>
      </c>
      <c r="E81" s="312">
        <f>('Раскладка продуктов'!X42+'Раскладка продуктов'!X43+'Раскладка продуктов'!X44+'Раскладка продуктов'!X45)/2</f>
        <v>28</v>
      </c>
      <c r="F81" s="312">
        <f>'Раскладка продуктов'!X47</f>
        <v>0</v>
      </c>
      <c r="G81" s="314">
        <f t="shared" si="5"/>
        <v>0</v>
      </c>
      <c r="H81" s="315">
        <f t="shared" si="8"/>
        <v>0</v>
      </c>
      <c r="I81" s="316">
        <f t="shared" si="6"/>
        <v>0</v>
      </c>
      <c r="J81" s="362">
        <f t="shared" si="7"/>
        <v>0</v>
      </c>
    </row>
    <row r="82" spans="2:15" ht="15" x14ac:dyDescent="0.25">
      <c r="B82" s="342" t="s">
        <v>431</v>
      </c>
      <c r="C82" s="337">
        <f>Вт!$M$2/1000</f>
        <v>0</v>
      </c>
      <c r="D82" s="312">
        <f>IF(OR(D83&gt;0,D85&gt;0,'Блок ввода'!E148=29,'Блок ввода'!E148=20),0,'Раскладка продуктов'!Y38)</f>
        <v>100</v>
      </c>
      <c r="E82" s="312">
        <f>IF(AND(AND('Блок ввода'!W154&lt;&gt;17,'Блок ввода'!W159&lt;&gt;18),AND('Блок ввода'!W154&lt;&gt;18,'Блок ввода'!W159&lt;&gt;17)),('Раскладка продуктов'!Y44+'Раскладка продуктов'!Y45)/2,IF(OR(AND('Блок ввода'!W154=17,'Блок ввода'!W159=18),AND('Блок ввода'!W154=18,'Блок ввода'!W159=17),AND('Блок ввода'!W154=17,'Блок ввода'!W159=17),AND('Блок ввода'!W154=18,'Блок ввода'!W159=18),OR('Блок ввода'!W154=19,'Блок ввода'!W159=19)),0,('Раскладка продуктов'!Y44+'Раскладка продуктов'!Y45)/4))</f>
        <v>150</v>
      </c>
      <c r="F82" s="312"/>
      <c r="G82" s="314">
        <f t="shared" si="5"/>
        <v>0</v>
      </c>
      <c r="H82" s="315">
        <f t="shared" si="8"/>
        <v>0</v>
      </c>
      <c r="I82" s="316">
        <f t="shared" si="6"/>
        <v>0</v>
      </c>
      <c r="J82" s="362">
        <f t="shared" si="7"/>
        <v>0</v>
      </c>
      <c r="L82" s="297"/>
      <c r="N82" s="297"/>
      <c r="O82" s="297"/>
    </row>
    <row r="83" spans="2:15" ht="15" x14ac:dyDescent="0.25">
      <c r="B83" s="343" t="s">
        <v>139</v>
      </c>
      <c r="C83" s="337">
        <f>Вт!$M$2/1000</f>
        <v>0</v>
      </c>
      <c r="D83" s="312">
        <f>IF(OR('Блок ввода'!E148=17,'Блок ввода'!$E$148=18),100,0)</f>
        <v>0</v>
      </c>
      <c r="E83" s="312">
        <f>IF(OR(AND('Блок ввода'!W154=17,'Блок ввода'!W159=18),AND('Блок ввода'!W154=18,'Блок ввода'!W159=17),AND('Блок ввода'!W154=17,'Блок ввода'!W159=17),AND('Блок ввода'!W154=18,'Блок ввода'!W159=18)),('Раскладка продуктов'!Y44+'Раскладка продуктов'!Y45)/2,IF(OR(AND('Блок ввода'!W154=17,'Блок ввода'!W159&lt;&gt;18),AND('Блок ввода'!W154=18,'Блок ввода'!W159&lt;&gt;17),AND('Блок ввода'!W154&lt;&gt;18,'Блок ввода'!W159=17),AND('Блок ввода'!W154&lt;&gt;17,'Блок ввода'!W159=18)),IF(OR('Блок ввода'!W154=19,'Блок ввода'!W159=19),('Раскладка продуктов'!Y44+'Раскладка продуктов'!Y45)/2,('Раскладка продуктов'!Y44+'Раскладка продуктов'!Y45)/4),0))</f>
        <v>0</v>
      </c>
      <c r="F83" s="312"/>
      <c r="G83" s="314">
        <f t="shared" si="5"/>
        <v>0</v>
      </c>
      <c r="H83" s="315">
        <f t="shared" si="8"/>
        <v>0</v>
      </c>
      <c r="I83" s="316">
        <f t="shared" si="6"/>
        <v>0</v>
      </c>
      <c r="J83" s="362">
        <f t="shared" si="7"/>
        <v>0</v>
      </c>
      <c r="L83" s="297"/>
      <c r="N83" s="297"/>
      <c r="O83" s="297"/>
    </row>
    <row r="84" spans="2:15" ht="15" x14ac:dyDescent="0.25">
      <c r="B84" s="342" t="s">
        <v>140</v>
      </c>
      <c r="C84" s="337">
        <f>Вт!$M$2/1000</f>
        <v>0</v>
      </c>
      <c r="D84" s="312"/>
      <c r="E84" s="312"/>
      <c r="F84" s="312"/>
      <c r="G84" s="314">
        <f t="shared" si="5"/>
        <v>0</v>
      </c>
      <c r="H84" s="315">
        <f t="shared" si="8"/>
        <v>0</v>
      </c>
      <c r="I84" s="316">
        <f t="shared" si="6"/>
        <v>0</v>
      </c>
      <c r="J84" s="362">
        <f t="shared" si="7"/>
        <v>0</v>
      </c>
      <c r="L84" s="297"/>
      <c r="N84" s="297"/>
      <c r="O84" s="297"/>
    </row>
    <row r="85" spans="2:15" ht="15" x14ac:dyDescent="0.25">
      <c r="B85" s="344" t="s">
        <v>184</v>
      </c>
      <c r="C85" s="337">
        <f>Вт!$M$2/1000</f>
        <v>0</v>
      </c>
      <c r="D85" s="312">
        <f>'Раскладка продуктов'!Z38</f>
        <v>0</v>
      </c>
      <c r="E85" s="312">
        <f>('Раскладка продуктов'!Z44+'Раскладка продуктов'!Z45)/2</f>
        <v>0</v>
      </c>
      <c r="F85" s="312">
        <f>'Раскладка продуктов'!Z47</f>
        <v>0</v>
      </c>
      <c r="G85" s="314">
        <f t="shared" si="5"/>
        <v>0</v>
      </c>
      <c r="H85" s="315">
        <f t="shared" si="8"/>
        <v>0</v>
      </c>
      <c r="I85" s="316">
        <f t="shared" si="6"/>
        <v>0</v>
      </c>
      <c r="J85" s="362">
        <f t="shared" si="7"/>
        <v>0</v>
      </c>
      <c r="L85" s="297"/>
      <c r="N85" s="297"/>
      <c r="O85" s="297"/>
    </row>
    <row r="86" spans="2:15" ht="15" x14ac:dyDescent="0.25">
      <c r="B86" s="340" t="str">
        <f>IF(AND('Блок ввода'!$Z$38=1,'Блок ввода'!E153&lt;&gt;26),"РЫБА С ГОЛОВОЙ",IF('Блок ввода'!E153=26,"СЕЛЬДЬ СОЛ. БЕЗ ГОЛОВЫ","РЫБА БЕЗ ГОЛОВЫ/СЕЛЬДЬ С ГОЛ."))</f>
        <v>РЫБА БЕЗ ГОЛОВЫ/СЕЛЬДЬ С ГОЛ.</v>
      </c>
      <c r="C86" s="337">
        <f>Вт!$M$2/1000</f>
        <v>0</v>
      </c>
      <c r="D86" s="312">
        <f>'Раскладка продуктов'!$AB$38</f>
        <v>0</v>
      </c>
      <c r="E86" s="312">
        <f>'Раскладка продуктов'!AB41+('Раскладка продуктов'!AB42+'Раскладка продуктов'!AB43+'Раскладка продуктов'!AB44+'Раскладка продуктов'!AB45)/2</f>
        <v>0</v>
      </c>
      <c r="F86" s="312">
        <f>'Раскладка продуктов'!AB47</f>
        <v>120</v>
      </c>
      <c r="G86" s="314">
        <f t="shared" si="5"/>
        <v>0</v>
      </c>
      <c r="H86" s="315">
        <f t="shared" si="8"/>
        <v>0</v>
      </c>
      <c r="I86" s="316">
        <f t="shared" si="6"/>
        <v>0</v>
      </c>
      <c r="J86" s="362">
        <f t="shared" si="7"/>
        <v>0</v>
      </c>
    </row>
    <row r="87" spans="2:15" ht="15" x14ac:dyDescent="0.25">
      <c r="B87" s="310" t="str">
        <f>UPPER('Блок ввода'!$B$157)</f>
        <v xml:space="preserve">КОНС. РЫБНЫЕ - КИЛЬКА В ТОМ. СОУСЕ  </v>
      </c>
      <c r="C87" s="337">
        <f>Вт!$M$2/1000</f>
        <v>0</v>
      </c>
      <c r="D87" s="312">
        <f>'Раскладка продуктов'!$AC$38</f>
        <v>0</v>
      </c>
      <c r="E87" s="312">
        <f>'Раскладка продуктов'!AB87+('Раскладка продуктов'!AB88+'Раскладка продуктов'!AB89+'Раскладка продуктов'!AB90+'Раскладка продуктов'!AB91)/2</f>
        <v>0</v>
      </c>
      <c r="F87" s="312">
        <f>'Раскладка продуктов'!AC47</f>
        <v>0</v>
      </c>
      <c r="G87" s="314">
        <f t="shared" si="5"/>
        <v>0</v>
      </c>
      <c r="H87" s="315">
        <f t="shared" si="8"/>
        <v>0</v>
      </c>
      <c r="I87" s="316">
        <f t="shared" si="6"/>
        <v>0</v>
      </c>
      <c r="J87" s="362">
        <f t="shared" si="7"/>
        <v>0</v>
      </c>
    </row>
    <row r="88" spans="2:15" ht="15" x14ac:dyDescent="0.25">
      <c r="B88" s="341" t="s">
        <v>141</v>
      </c>
      <c r="C88" s="337">
        <f>Вт!$M$2/1000</f>
        <v>0</v>
      </c>
      <c r="D88" s="312">
        <f>'Раскладка продуктов'!AF38</f>
        <v>3</v>
      </c>
      <c r="E88" s="312">
        <f>'Раскладка продуктов'!AF41</f>
        <v>24</v>
      </c>
      <c r="F88" s="312">
        <f>'Раскладка продуктов'!AF47</f>
        <v>3</v>
      </c>
      <c r="G88" s="314">
        <f t="shared" si="5"/>
        <v>0</v>
      </c>
      <c r="H88" s="315">
        <f t="shared" si="8"/>
        <v>0</v>
      </c>
      <c r="I88" s="316">
        <f t="shared" si="6"/>
        <v>0</v>
      </c>
      <c r="J88" s="362">
        <f t="shared" si="7"/>
        <v>0</v>
      </c>
    </row>
    <row r="89" spans="2:15" ht="15" x14ac:dyDescent="0.25">
      <c r="B89" s="340" t="s">
        <v>142</v>
      </c>
      <c r="C89" s="337">
        <f>Вт!$M$2/1000</f>
        <v>0</v>
      </c>
      <c r="D89" s="312">
        <f>'Раскладка продуктов'!AE38</f>
        <v>19</v>
      </c>
      <c r="E89" s="312">
        <f>IF('Блок ввода'!A34=TRUE,0,)</f>
        <v>0</v>
      </c>
      <c r="F89" s="312">
        <f>'Раскладка продуктов'!AE47</f>
        <v>22</v>
      </c>
      <c r="G89" s="314">
        <f t="shared" si="5"/>
        <v>0</v>
      </c>
      <c r="H89" s="315">
        <f t="shared" si="8"/>
        <v>0</v>
      </c>
      <c r="I89" s="316">
        <f t="shared" si="6"/>
        <v>0</v>
      </c>
      <c r="J89" s="362">
        <f t="shared" si="7"/>
        <v>0</v>
      </c>
    </row>
    <row r="90" spans="2:15" ht="15" x14ac:dyDescent="0.25">
      <c r="B90" s="341" t="s">
        <v>143</v>
      </c>
      <c r="C90" s="337">
        <f>Вт!$M$2/1000</f>
        <v>0</v>
      </c>
      <c r="D90" s="312">
        <f>'Раскладка продуктов'!AD38</f>
        <v>0</v>
      </c>
      <c r="E90" s="312">
        <f>('Раскладка продуктов'!AD42+'Раскладка продуктов'!AD43+'Раскладка продуктов'!AD44+'Раскладка продуктов'!AD45)/2</f>
        <v>0</v>
      </c>
      <c r="F90" s="312">
        <f>'Раскладка продуктов'!AD92</f>
        <v>0</v>
      </c>
      <c r="G90" s="314">
        <f t="shared" si="5"/>
        <v>0</v>
      </c>
      <c r="H90" s="315">
        <f t="shared" si="8"/>
        <v>0</v>
      </c>
      <c r="I90" s="316">
        <f t="shared" si="6"/>
        <v>0</v>
      </c>
      <c r="J90" s="362">
        <f t="shared" si="7"/>
        <v>0</v>
      </c>
    </row>
    <row r="91" spans="2:15" ht="15" x14ac:dyDescent="0.25">
      <c r="B91" s="340" t="s">
        <v>362</v>
      </c>
      <c r="C91" s="337">
        <f>Вт!$M$2/1000</f>
        <v>0</v>
      </c>
      <c r="D91" s="312"/>
      <c r="E91" s="312">
        <f>IF('Блок ввода'!A34=2,(('Раскладка продуктов'!AZ42+'Раскладка продуктов'!AZ43+'Раскладка продуктов'!AZ44+'Раскладка продуктов'!AZ45)/2+'Раскладка продуктов'!AZ46),IF('Блок ввода'!A34=3,(('Раскладка продуктов'!BA42+'Раскладка продуктов'!BA43+'Раскладка продуктов'!BA44+'Раскладка продуктов'!BA45)/2+'Раскладка продуктов'!BA46),0))</f>
        <v>140</v>
      </c>
      <c r="F91" s="312">
        <f>'Раскладка продуктов'!AZ47</f>
        <v>0</v>
      </c>
      <c r="G91" s="314">
        <f t="shared" si="5"/>
        <v>0</v>
      </c>
      <c r="H91" s="315">
        <f t="shared" si="8"/>
        <v>0</v>
      </c>
      <c r="I91" s="316">
        <f t="shared" si="6"/>
        <v>0</v>
      </c>
      <c r="J91" s="362">
        <f t="shared" si="7"/>
        <v>0</v>
      </c>
    </row>
    <row r="92" spans="2:15" ht="15" x14ac:dyDescent="0.25">
      <c r="B92" s="340" t="s">
        <v>144</v>
      </c>
      <c r="C92" s="337">
        <f>Вт!$M$2/1000</f>
        <v>0</v>
      </c>
      <c r="D92" s="312"/>
      <c r="E92" s="312"/>
      <c r="F92" s="312"/>
      <c r="G92" s="314">
        <f t="shared" si="5"/>
        <v>0</v>
      </c>
      <c r="H92" s="315">
        <f t="shared" si="8"/>
        <v>0</v>
      </c>
      <c r="I92" s="316">
        <f t="shared" si="6"/>
        <v>0</v>
      </c>
      <c r="J92" s="362">
        <f t="shared" si="7"/>
        <v>0</v>
      </c>
    </row>
    <row r="93" spans="2:15" ht="15" x14ac:dyDescent="0.25">
      <c r="B93" s="340" t="s">
        <v>145</v>
      </c>
      <c r="C93" s="337">
        <f>Вт!$M$2/1000</f>
        <v>0</v>
      </c>
      <c r="D93" s="312"/>
      <c r="E93" s="312"/>
      <c r="F93" s="312"/>
      <c r="G93" s="314">
        <f t="shared" si="5"/>
        <v>0</v>
      </c>
      <c r="H93" s="315">
        <f t="shared" si="8"/>
        <v>0</v>
      </c>
      <c r="I93" s="316">
        <f t="shared" si="6"/>
        <v>0</v>
      </c>
      <c r="J93" s="362">
        <f t="shared" si="7"/>
        <v>0</v>
      </c>
    </row>
    <row r="94" spans="2:15" ht="15" x14ac:dyDescent="0.25">
      <c r="B94" s="340" t="str">
        <f>IF('Блок ввода'!$A$34=1,"МОЛОКО СГУЩЕНОЕ С САХАРОМ","МОЛОКО СУХОЕ")</f>
        <v>МОЛОКО СУХОЕ</v>
      </c>
      <c r="C94" s="337">
        <f>Вт!$M$2/1000</f>
        <v>0</v>
      </c>
      <c r="D94" s="312">
        <f>'Раскладка продуктов'!AZ38</f>
        <v>50</v>
      </c>
      <c r="E94" s="312">
        <f>IF('Блок ввода'!$A$34=1,('Раскладка продуктов'!AZ42+'Раскладка продуктов'!AZ43+'Раскладка продуктов'!AZ44+'Раскладка продуктов'!AZ45)/2+'Раскладка продуктов'!AZ46,0)</f>
        <v>0</v>
      </c>
      <c r="F94" s="312">
        <f>'Раскладка продуктов'!AZ92</f>
        <v>0</v>
      </c>
      <c r="G94" s="314">
        <f t="shared" si="5"/>
        <v>0</v>
      </c>
      <c r="H94" s="315">
        <f t="shared" si="8"/>
        <v>0</v>
      </c>
      <c r="I94" s="316">
        <f t="shared" si="6"/>
        <v>0</v>
      </c>
      <c r="J94" s="362">
        <f t="shared" si="7"/>
        <v>0</v>
      </c>
    </row>
    <row r="95" spans="2:15" ht="15" x14ac:dyDescent="0.25">
      <c r="B95" s="340" t="str">
        <f>IF('Блок ввода'!$Z$26=1,"СЫР СЫЧУЖНЫЙ ТВЕРДЫЙ","СЫР ПЛАВЛЕНЫЙ")</f>
        <v>СЫР ПЛАВЛЕНЫЙ</v>
      </c>
      <c r="C95" s="337">
        <f>Вт!$M$2/1000</f>
        <v>0</v>
      </c>
      <c r="D95" s="312"/>
      <c r="E95" s="312"/>
      <c r="F95" s="312"/>
      <c r="G95" s="314">
        <f t="shared" si="5"/>
        <v>0</v>
      </c>
      <c r="H95" s="315">
        <f t="shared" si="8"/>
        <v>0</v>
      </c>
      <c r="I95" s="316">
        <f t="shared" si="6"/>
        <v>0</v>
      </c>
      <c r="J95" s="362">
        <f t="shared" si="7"/>
        <v>0</v>
      </c>
    </row>
    <row r="96" spans="2:15" ht="15" x14ac:dyDescent="0.25">
      <c r="B96" s="340" t="str">
        <f>IF('Блок ввода'!$G$32=1,"ПОРОШОК ЯИЧНЫЙ","ЯЙЦА КУРИНЫЕ")</f>
        <v>ЯЙЦА КУРИНЫЕ</v>
      </c>
      <c r="C96" s="337">
        <f>Вт!$M$2/1000</f>
        <v>0</v>
      </c>
      <c r="D96" s="320">
        <f>'Раскладка продуктов'!AX38+'Раскладка продуктов'!AX39+'Раскладка продуктов'!AX40</f>
        <v>1</v>
      </c>
      <c r="E96" s="320">
        <f>'Раскладка продуктов'!AX41+('Раскладка продуктов'!AX42+'Раскладка продуктов'!AX43+'Раскладка продуктов'!AX44+'Раскладка продуктов'!AX45)/2+'Раскладка продуктов'!AX46</f>
        <v>0.25</v>
      </c>
      <c r="F96" s="320">
        <f>'Раскладка продуктов'!AX47+'Раскладка продуктов'!AX48+'Раскладка продуктов'!AX49</f>
        <v>0</v>
      </c>
      <c r="G96" s="345">
        <f>D96*Вт!M2</f>
        <v>0</v>
      </c>
      <c r="H96" s="321">
        <f>E96*Вт!M2</f>
        <v>0</v>
      </c>
      <c r="I96" s="322">
        <f>IF('Блок ввода'!$G$32=1,ROUND(F96*C96,3),ROUND(F96*Вт!M2,0))</f>
        <v>0</v>
      </c>
      <c r="J96" s="367">
        <f t="shared" si="7"/>
        <v>0</v>
      </c>
    </row>
    <row r="97" spans="2:10" ht="15" x14ac:dyDescent="0.25">
      <c r="B97" s="340" t="s">
        <v>146</v>
      </c>
      <c r="C97" s="337">
        <f>Вт!$M$2/1000</f>
        <v>0</v>
      </c>
      <c r="D97" s="312">
        <f>'Раскладка продуктов'!AG40</f>
        <v>30</v>
      </c>
      <c r="E97" s="312">
        <f>'Раскладка продуктов'!AG46</f>
        <v>0</v>
      </c>
      <c r="F97" s="312">
        <f>'Раскладка продуктов'!AG49</f>
        <v>20</v>
      </c>
      <c r="G97" s="314">
        <f t="shared" ref="G97:G128" si="9">C97*D97</f>
        <v>0</v>
      </c>
      <c r="H97" s="315">
        <f t="shared" si="8"/>
        <v>0</v>
      </c>
      <c r="I97" s="316">
        <f t="shared" si="6"/>
        <v>0</v>
      </c>
      <c r="J97" s="362">
        <f t="shared" si="7"/>
        <v>0</v>
      </c>
    </row>
    <row r="98" spans="2:10" ht="15" x14ac:dyDescent="0.25">
      <c r="B98" s="340" t="s">
        <v>147</v>
      </c>
      <c r="C98" s="337">
        <f>Вт!$M$2/1000</f>
        <v>0</v>
      </c>
      <c r="D98" s="312">
        <v>20</v>
      </c>
      <c r="E98" s="312"/>
      <c r="F98" s="312"/>
      <c r="G98" s="314">
        <f t="shared" si="9"/>
        <v>0</v>
      </c>
      <c r="H98" s="315">
        <f t="shared" si="8"/>
        <v>0</v>
      </c>
      <c r="I98" s="316">
        <f t="shared" si="6"/>
        <v>0</v>
      </c>
      <c r="J98" s="362">
        <f t="shared" si="7"/>
        <v>0</v>
      </c>
    </row>
    <row r="99" spans="2:10" ht="15" x14ac:dyDescent="0.25">
      <c r="B99" s="340" t="s">
        <v>148</v>
      </c>
      <c r="C99" s="337">
        <f>Вт!$M$2/1000</f>
        <v>0</v>
      </c>
      <c r="D99" s="312">
        <f>'Раскладка продуктов'!AH40</f>
        <v>0</v>
      </c>
      <c r="E99" s="312"/>
      <c r="F99" s="312">
        <f>'Раскладка продуктов'!AH49</f>
        <v>1</v>
      </c>
      <c r="G99" s="314">
        <f t="shared" si="9"/>
        <v>0</v>
      </c>
      <c r="H99" s="315">
        <f t="shared" si="8"/>
        <v>0</v>
      </c>
      <c r="I99" s="316">
        <f t="shared" si="6"/>
        <v>0</v>
      </c>
      <c r="J99" s="362">
        <f t="shared" si="7"/>
        <v>0</v>
      </c>
    </row>
    <row r="100" spans="2:10" ht="15" x14ac:dyDescent="0.25">
      <c r="B100" s="340" t="s">
        <v>149</v>
      </c>
      <c r="C100" s="337">
        <f>Вт!$M$2/1000</f>
        <v>0</v>
      </c>
      <c r="D100" s="312"/>
      <c r="E100" s="312"/>
      <c r="F100" s="312">
        <f>'Раскладка продуктов'!AH94</f>
        <v>0</v>
      </c>
      <c r="G100" s="314">
        <f t="shared" si="9"/>
        <v>0</v>
      </c>
      <c r="H100" s="315">
        <f t="shared" si="8"/>
        <v>0</v>
      </c>
      <c r="I100" s="316">
        <f t="shared" si="6"/>
        <v>0</v>
      </c>
      <c r="J100" s="362">
        <f t="shared" si="7"/>
        <v>0</v>
      </c>
    </row>
    <row r="101" spans="2:10" ht="15" x14ac:dyDescent="0.25">
      <c r="B101" s="340" t="s">
        <v>217</v>
      </c>
      <c r="C101" s="337">
        <f>Вт!$M$2/1000</f>
        <v>0</v>
      </c>
      <c r="D101" s="312">
        <f>IF('Блок ввода'!T151=7,'Раскладка продуктов'!BC40,0)</f>
        <v>0</v>
      </c>
      <c r="E101" s="312"/>
      <c r="F101" s="312">
        <f>'Раскладка продуктов'!BC49</f>
        <v>14</v>
      </c>
      <c r="G101" s="314">
        <f>C101*D101</f>
        <v>0</v>
      </c>
      <c r="H101" s="315">
        <f>C101*E101</f>
        <v>0</v>
      </c>
      <c r="I101" s="316">
        <f>F101*C101</f>
        <v>0</v>
      </c>
      <c r="J101" s="362">
        <f>G101+H101+I101</f>
        <v>0</v>
      </c>
    </row>
    <row r="102" spans="2:10" ht="15" x14ac:dyDescent="0.25">
      <c r="B102" s="340" t="s">
        <v>150</v>
      </c>
      <c r="C102" s="337">
        <f>Вт!$M$2/1000</f>
        <v>0</v>
      </c>
      <c r="D102" s="312">
        <v>0.2</v>
      </c>
      <c r="E102" s="312"/>
      <c r="F102" s="312"/>
      <c r="G102" s="314">
        <f t="shared" si="9"/>
        <v>0</v>
      </c>
      <c r="H102" s="315">
        <f t="shared" si="8"/>
        <v>0</v>
      </c>
      <c r="I102" s="316">
        <f t="shared" si="6"/>
        <v>0</v>
      </c>
      <c r="J102" s="362">
        <f t="shared" si="7"/>
        <v>0</v>
      </c>
    </row>
    <row r="103" spans="2:10" ht="15" x14ac:dyDescent="0.25">
      <c r="B103" s="340" t="s">
        <v>151</v>
      </c>
      <c r="C103" s="337">
        <f>Вт!$M$2/1000</f>
        <v>0</v>
      </c>
      <c r="D103" s="312">
        <v>0.3</v>
      </c>
      <c r="E103" s="312"/>
      <c r="F103" s="312"/>
      <c r="G103" s="314">
        <f t="shared" si="9"/>
        <v>0</v>
      </c>
      <c r="H103" s="315">
        <f t="shared" si="8"/>
        <v>0</v>
      </c>
      <c r="I103" s="316">
        <f t="shared" si="6"/>
        <v>0</v>
      </c>
      <c r="J103" s="362">
        <f t="shared" si="7"/>
        <v>0</v>
      </c>
    </row>
    <row r="104" spans="2:10" ht="15" x14ac:dyDescent="0.25">
      <c r="B104" s="340" t="s">
        <v>152</v>
      </c>
      <c r="C104" s="337">
        <f>Вт!$M$2/1000</f>
        <v>0</v>
      </c>
      <c r="D104" s="312">
        <v>0.3</v>
      </c>
      <c r="E104" s="312"/>
      <c r="F104" s="312"/>
      <c r="G104" s="314">
        <f t="shared" si="9"/>
        <v>0</v>
      </c>
      <c r="H104" s="315">
        <f t="shared" si="8"/>
        <v>0</v>
      </c>
      <c r="I104" s="316">
        <f t="shared" si="6"/>
        <v>0</v>
      </c>
      <c r="J104" s="362">
        <f t="shared" si="7"/>
        <v>0</v>
      </c>
    </row>
    <row r="105" spans="2:10" ht="15" x14ac:dyDescent="0.25">
      <c r="B105" s="310" t="str">
        <f>IF('Блок ввода'!$A$36=1,"УКСУСНАЯ ЭССЕНЦИЯ","УКСУС")</f>
        <v>УКСУС</v>
      </c>
      <c r="C105" s="337">
        <f>Вт!$M$2/1000</f>
        <v>0</v>
      </c>
      <c r="D105" s="312">
        <f>IF('Блок ввода'!$A$36=1,2/20,2)</f>
        <v>2</v>
      </c>
      <c r="E105" s="312"/>
      <c r="F105" s="312"/>
      <c r="G105" s="314">
        <f t="shared" si="9"/>
        <v>0</v>
      </c>
      <c r="H105" s="315">
        <f t="shared" si="8"/>
        <v>0</v>
      </c>
      <c r="I105" s="316">
        <f t="shared" si="6"/>
        <v>0</v>
      </c>
      <c r="J105" s="362">
        <f t="shared" si="7"/>
        <v>0</v>
      </c>
    </row>
    <row r="106" spans="2:10" ht="15" x14ac:dyDescent="0.25">
      <c r="B106" s="340" t="str">
        <f>IF('Блок ввода'!$A$39=1,"ТОМАТНЫЙ СОУС","ТОМАТНАЯ ПАСТА")</f>
        <v>ТОМАТНАЯ ПАСТА</v>
      </c>
      <c r="C106" s="337">
        <f>Вт!$M$2/1000</f>
        <v>0</v>
      </c>
      <c r="D106" s="312">
        <v>6</v>
      </c>
      <c r="E106" s="312"/>
      <c r="F106" s="312"/>
      <c r="G106" s="314">
        <f t="shared" si="9"/>
        <v>0</v>
      </c>
      <c r="H106" s="315">
        <f t="shared" si="8"/>
        <v>0</v>
      </c>
      <c r="I106" s="316">
        <f t="shared" si="6"/>
        <v>0</v>
      </c>
      <c r="J106" s="362">
        <f t="shared" si="7"/>
        <v>0</v>
      </c>
    </row>
    <row r="107" spans="2:10" ht="15" x14ac:dyDescent="0.25">
      <c r="B107" s="340" t="s">
        <v>376</v>
      </c>
      <c r="C107" s="337">
        <f>Вт!$M$2/1000</f>
        <v>0</v>
      </c>
      <c r="D107" s="312"/>
      <c r="E107" s="312"/>
      <c r="F107" s="312"/>
      <c r="G107" s="314">
        <f t="shared" si="9"/>
        <v>0</v>
      </c>
      <c r="H107" s="315">
        <f t="shared" si="8"/>
        <v>0</v>
      </c>
      <c r="I107" s="316">
        <f t="shared" si="6"/>
        <v>0</v>
      </c>
      <c r="J107" s="362">
        <f t="shared" si="7"/>
        <v>0</v>
      </c>
    </row>
    <row r="108" spans="2:10" ht="15" x14ac:dyDescent="0.25">
      <c r="B108" s="340" t="s">
        <v>153</v>
      </c>
      <c r="C108" s="337">
        <f>Вт!$M$2/1000</f>
        <v>0</v>
      </c>
      <c r="D108" s="312"/>
      <c r="E108" s="312"/>
      <c r="F108" s="312"/>
      <c r="G108" s="314">
        <f t="shared" si="9"/>
        <v>0</v>
      </c>
      <c r="H108" s="315">
        <f t="shared" si="8"/>
        <v>0</v>
      </c>
      <c r="I108" s="316">
        <f t="shared" si="6"/>
        <v>0</v>
      </c>
      <c r="J108" s="362">
        <f t="shared" si="7"/>
        <v>0</v>
      </c>
    </row>
    <row r="109" spans="2:10" ht="15" x14ac:dyDescent="0.25">
      <c r="B109" s="310" t="str">
        <f>IF('Блок ввода'!$B$223=1,"ДРОЖЖИ СУШЕНЫЕ","ДРОЖЖИ ПРЕСОВАННЫЕ" )</f>
        <v>ДРОЖЖИ ПРЕСОВАННЫЕ</v>
      </c>
      <c r="C109" s="337">
        <f>Вт!$M$2/1000</f>
        <v>0</v>
      </c>
      <c r="D109" s="323">
        <f>'Раскладка продуктов'!BH40</f>
        <v>0</v>
      </c>
      <c r="E109" s="312"/>
      <c r="F109" s="323">
        <f>'Раскладка продуктов'!BH49</f>
        <v>0.5</v>
      </c>
      <c r="G109" s="314">
        <f t="shared" si="9"/>
        <v>0</v>
      </c>
      <c r="H109" s="315">
        <f t="shared" si="8"/>
        <v>0</v>
      </c>
      <c r="I109" s="316">
        <f t="shared" si="6"/>
        <v>0</v>
      </c>
      <c r="J109" s="364">
        <f t="shared" si="7"/>
        <v>0</v>
      </c>
    </row>
    <row r="110" spans="2:10" ht="15" x14ac:dyDescent="0.25">
      <c r="B110" s="340" t="s">
        <v>154</v>
      </c>
      <c r="C110" s="337">
        <f>Вт!$M$2/1000</f>
        <v>0</v>
      </c>
      <c r="D110" s="312">
        <f>'Раскладка продуктов'!AK38</f>
        <v>405</v>
      </c>
      <c r="E110" s="312">
        <f>'Раскладка продуктов'!AK41+('Раскладка продуктов'!AK42+'Раскладка продуктов'!AK43+'Раскладка продуктов'!AK44+'Раскладка продуктов'!AK45)/2</f>
        <v>20</v>
      </c>
      <c r="F110" s="312">
        <f>'Раскладка продуктов'!AK47</f>
        <v>0</v>
      </c>
      <c r="G110" s="314">
        <f t="shared" si="9"/>
        <v>0</v>
      </c>
      <c r="H110" s="315">
        <f t="shared" si="8"/>
        <v>0</v>
      </c>
      <c r="I110" s="316">
        <f t="shared" si="6"/>
        <v>0</v>
      </c>
      <c r="J110" s="362">
        <f t="shared" si="7"/>
        <v>0</v>
      </c>
    </row>
    <row r="111" spans="2:10" ht="15" x14ac:dyDescent="0.25">
      <c r="B111" s="340" t="s">
        <v>155</v>
      </c>
      <c r="C111" s="337">
        <f>Вт!$M$2/1000</f>
        <v>0</v>
      </c>
      <c r="D111" s="312">
        <f>'Раскладка продуктов'!AL38</f>
        <v>0</v>
      </c>
      <c r="E111" s="312">
        <f>'Раскладка продуктов'!AL41+('Раскладка продуктов'!AL42+'Раскладка продуктов'!AL43+'Раскладка продуктов'!AL44+'Раскладка продуктов'!AL45)/2</f>
        <v>0</v>
      </c>
      <c r="F111" s="312">
        <f>'Раскладка продуктов'!AL47</f>
        <v>0</v>
      </c>
      <c r="G111" s="314">
        <f t="shared" si="9"/>
        <v>0</v>
      </c>
      <c r="H111" s="315">
        <f t="shared" si="8"/>
        <v>0</v>
      </c>
      <c r="I111" s="316">
        <f t="shared" si="6"/>
        <v>0</v>
      </c>
      <c r="J111" s="362">
        <f t="shared" si="7"/>
        <v>0</v>
      </c>
    </row>
    <row r="112" spans="2:10" ht="15" x14ac:dyDescent="0.25">
      <c r="B112" s="340" t="s">
        <v>156</v>
      </c>
      <c r="C112" s="337">
        <f>Вт!$M$2/1000</f>
        <v>0</v>
      </c>
      <c r="D112" s="312">
        <f>'Раскладка продуктов'!AM38</f>
        <v>0</v>
      </c>
      <c r="E112" s="312">
        <f>IF('Блок ввода'!E43=17,('Раскладка продуктов'!AM42+'Раскладка продуктов'!AM43+'Раскладка продуктов'!AM44+'Раскладка продуктов'!AM45)/2,'Раскладка продуктов'!AM41+('Раскладка продуктов'!AM42+'Раскладка продуктов'!AM43+'Раскладка продуктов'!AM44+'Раскладка продуктов'!AM45)/2)</f>
        <v>60</v>
      </c>
      <c r="F112" s="312">
        <f>'Раскладка продуктов'!AM92</f>
        <v>0</v>
      </c>
      <c r="G112" s="314">
        <f t="shared" si="9"/>
        <v>0</v>
      </c>
      <c r="H112" s="315">
        <f t="shared" si="8"/>
        <v>0</v>
      </c>
      <c r="I112" s="316">
        <f t="shared" si="6"/>
        <v>0</v>
      </c>
      <c r="J112" s="362">
        <f t="shared" si="7"/>
        <v>0</v>
      </c>
    </row>
    <row r="113" spans="2:10" ht="15" x14ac:dyDescent="0.25">
      <c r="B113" s="340" t="s">
        <v>157</v>
      </c>
      <c r="C113" s="337">
        <f>Вт!$M$2/1000</f>
        <v>0</v>
      </c>
      <c r="D113" s="312">
        <f>'Раскладка продуктов'!AN38</f>
        <v>10</v>
      </c>
      <c r="E113" s="312">
        <f>'Раскладка продуктов'!AN41+('Раскладка продуктов'!AN42+'Раскладка продуктов'!AN43+'Раскладка продуктов'!AN44+'Раскладка продуктов'!AN45)/2</f>
        <v>30</v>
      </c>
      <c r="F113" s="312">
        <f>'Раскладка продуктов'!AN47</f>
        <v>10</v>
      </c>
      <c r="G113" s="314">
        <f t="shared" si="9"/>
        <v>0</v>
      </c>
      <c r="H113" s="315">
        <f t="shared" si="8"/>
        <v>0</v>
      </c>
      <c r="I113" s="316">
        <f t="shared" si="6"/>
        <v>0</v>
      </c>
      <c r="J113" s="362">
        <f t="shared" si="7"/>
        <v>0</v>
      </c>
    </row>
    <row r="114" spans="2:10" ht="15" x14ac:dyDescent="0.25">
      <c r="B114" s="340" t="str">
        <f>IF(AND('Блок ввода'!$A$37=TRUE,'Блок ввода'!$Z$35),"ЛУК - ПЕРО",IF(AND('Блок ввода'!$I$37=TRUE,'Блок ввода'!$Z$35),"ЛУК СУШЕНЫЙ","ЛУК РЕПЧАТЫЙ"))</f>
        <v>ЛУК РЕПЧАТЫЙ</v>
      </c>
      <c r="C114" s="337">
        <f>Вт!$M$2/1000</f>
        <v>0</v>
      </c>
      <c r="D114" s="312">
        <f>IF(AND('Блок ввода'!$A$37=TRUE,'Блок ввода'!Z35=TRUE),'Раскладка продуктов'!AO38*2,'Раскладка продуктов'!AO38)</f>
        <v>10</v>
      </c>
      <c r="E114" s="312">
        <f>IF(AND('Блок ввода'!$A$37=TRUE,'Блок ввода'!Z35=TRUE),('Раскладка продуктов'!AO41+'Раскладка продуктов'!AO46+('Раскладка продуктов'!AO44+'Раскладка продуктов'!AO45+'Раскладка продуктов'!AO42+'Раскладка продуктов'!AO43)/2)*2,'Раскладка продуктов'!AO41++('Раскладка продуктов'!AO44+'Раскладка продуктов'!AO45+'Раскладка продуктов'!AO42+'Раскладка продуктов'!AO43)/2+'Раскладка продуктов'!AO46)</f>
        <v>30</v>
      </c>
      <c r="F114" s="312">
        <f>IF(AND('Блок ввода'!$A$37=TRUE,'Блок ввода'!Z35=TRUE),'Раскладка продуктов'!AO47*2,'Раскладка продуктов'!AO47)</f>
        <v>10</v>
      </c>
      <c r="G114" s="314">
        <f t="shared" si="9"/>
        <v>0</v>
      </c>
      <c r="H114" s="315">
        <f t="shared" si="8"/>
        <v>0</v>
      </c>
      <c r="I114" s="316">
        <f t="shared" si="6"/>
        <v>0</v>
      </c>
      <c r="J114" s="362">
        <f t="shared" si="7"/>
        <v>0</v>
      </c>
    </row>
    <row r="115" spans="2:10" ht="15" x14ac:dyDescent="0.25">
      <c r="B115" s="346" t="str">
        <f>IF(OR('Блок ввода'!E43=15,'Блок ввода'!E43=21),"ОГУРЦЫ СВЕЖИЕ","ОГУРЦЫ СОЛЕНЫЕ")</f>
        <v>ОГУРЦЫ СВЕЖИЕ</v>
      </c>
      <c r="C115" s="337">
        <f>Вт!$M$2/1000</f>
        <v>0</v>
      </c>
      <c r="D115" s="312">
        <f>'Раскладка продуктов'!AP38</f>
        <v>0</v>
      </c>
      <c r="E115" s="312">
        <f>IF(OR('Блок ввода'!E43=10,'Блок ввода'!E43=13,'Блок ввода'!E43=18,'Блок ввода'!E43=19),('Раскладка продуктов'!AP42+'Раскладка продуктов'!AP43+'Раскладка продуктов'!AP44+'Раскладка продуктов'!AP45)/2,IF('Блок ввода'!E43=21,'Раскладка продуктов'!AP41/2,'Раскладка продуктов'!AP41+('Раскладка продуктов'!AP42+'Раскладка продуктов'!AP43+'Раскладка продуктов'!AP44+'Раскладка продуктов'!AP45)/2))</f>
        <v>175</v>
      </c>
      <c r="F115" s="312">
        <f>'Раскладка продуктов'!AP92</f>
        <v>0</v>
      </c>
      <c r="G115" s="314">
        <f t="shared" si="9"/>
        <v>0</v>
      </c>
      <c r="H115" s="315">
        <f t="shared" si="8"/>
        <v>0</v>
      </c>
      <c r="I115" s="316">
        <f t="shared" si="6"/>
        <v>0</v>
      </c>
      <c r="J115" s="362">
        <f t="shared" si="7"/>
        <v>0</v>
      </c>
    </row>
    <row r="116" spans="2:10" ht="15" x14ac:dyDescent="0.25">
      <c r="B116" s="340" t="str">
        <f>IF(OR('Блок ввода'!E43=19,'Блок ввода'!E43=21),"ПОМИДОРЫ СВЕЖИЕ","ПОМИДОРЫ СОЛЁНЫЕ")</f>
        <v>ПОМИДОРЫ СОЛЁНЫЕ</v>
      </c>
      <c r="C116" s="337">
        <f>Вт!$M$2/1000</f>
        <v>0</v>
      </c>
      <c r="D116" s="312"/>
      <c r="E116" s="312">
        <f>IF(OR('Блок ввода'!E43=10,'Блок ввода'!E43=19),'Раскладка продуктов'!AP41,IF('Блок ввода'!E43=21,'Раскладка продуктов'!AP41/2,0))</f>
        <v>0</v>
      </c>
      <c r="F116" s="312"/>
      <c r="G116" s="314">
        <f t="shared" si="9"/>
        <v>0</v>
      </c>
      <c r="H116" s="315">
        <f t="shared" si="8"/>
        <v>0</v>
      </c>
      <c r="I116" s="316">
        <f t="shared" si="6"/>
        <v>0</v>
      </c>
      <c r="J116" s="362">
        <f t="shared" si="7"/>
        <v>0</v>
      </c>
    </row>
    <row r="117" spans="2:10" ht="15" x14ac:dyDescent="0.25">
      <c r="B117" s="340" t="s">
        <v>227</v>
      </c>
      <c r="C117" s="337">
        <f>Вт!$M$2/1000</f>
        <v>0</v>
      </c>
      <c r="D117" s="312"/>
      <c r="E117" s="312">
        <f>IF(OR('Блок ввода'!E43=13,'Блок ввода'!E43=18),'Раскладка продуктов'!AP41,0)</f>
        <v>0</v>
      </c>
      <c r="F117" s="312"/>
      <c r="G117" s="314">
        <f>C117*D117</f>
        <v>0</v>
      </c>
      <c r="H117" s="315">
        <f>C117*E117</f>
        <v>0</v>
      </c>
      <c r="I117" s="316">
        <f>F117*C117</f>
        <v>0</v>
      </c>
      <c r="J117" s="362">
        <f>G117+H117+I117</f>
        <v>0</v>
      </c>
    </row>
    <row r="118" spans="2:10" ht="15" x14ac:dyDescent="0.25">
      <c r="B118" s="340" t="s">
        <v>158</v>
      </c>
      <c r="C118" s="337">
        <f>Вт!$M$2/1000</f>
        <v>0</v>
      </c>
      <c r="D118" s="312"/>
      <c r="E118" s="312">
        <f>IF('Блок ввода'!AA32=TRUE,0,IF('Раскладка продуктов'!AI50=20,20,0))</f>
        <v>0</v>
      </c>
      <c r="F118" s="312"/>
      <c r="G118" s="314">
        <f t="shared" si="9"/>
        <v>0</v>
      </c>
      <c r="H118" s="315">
        <f t="shared" si="8"/>
        <v>0</v>
      </c>
      <c r="I118" s="316">
        <f t="shared" si="6"/>
        <v>0</v>
      </c>
      <c r="J118" s="362">
        <f t="shared" si="7"/>
        <v>0</v>
      </c>
    </row>
    <row r="119" spans="2:10" ht="15" x14ac:dyDescent="0.25">
      <c r="B119" s="340" t="s">
        <v>159</v>
      </c>
      <c r="C119" s="337">
        <f>Вт!$M$2/1000</f>
        <v>0</v>
      </c>
      <c r="D119" s="312"/>
      <c r="E119" s="312">
        <f>IF(OR(E118&gt;0,E120&gt;0),0,30)</f>
        <v>30</v>
      </c>
      <c r="F119" s="312"/>
      <c r="G119" s="314">
        <f t="shared" si="9"/>
        <v>0</v>
      </c>
      <c r="H119" s="315">
        <f t="shared" si="8"/>
        <v>0</v>
      </c>
      <c r="I119" s="316">
        <f t="shared" si="6"/>
        <v>0</v>
      </c>
      <c r="J119" s="362">
        <f t="shared" si="7"/>
        <v>0</v>
      </c>
    </row>
    <row r="120" spans="2:10" ht="15" x14ac:dyDescent="0.25">
      <c r="B120" s="325" t="str">
        <f>IF('Блок ввода'!$Z$28=1,"ЯБЛОКИ СВЕЖИЕ",IF('Блок ввода'!$Z$28=2,"АПЕЛЬСИНЫ",IF('Блок ввода'!$Z$28=3,"МАНДАРИНЫ",IF('Блок ввода'!$Z$28=4,"ЯГОДЫ"))))</f>
        <v>АПЕЛЬСИНЫ</v>
      </c>
      <c r="C120" s="337">
        <f>Вт!$M$2/1000</f>
        <v>0</v>
      </c>
      <c r="D120" s="312"/>
      <c r="E120" s="312">
        <f>IF(AND('Блок ввода'!$AA$32,OR( 'Блок ввода'!R159=1,'Блок ввода'!R159=4)),100,0)</f>
        <v>0</v>
      </c>
      <c r="F120" s="312"/>
      <c r="G120" s="314">
        <f t="shared" si="9"/>
        <v>0</v>
      </c>
      <c r="H120" s="315">
        <f t="shared" si="8"/>
        <v>0</v>
      </c>
      <c r="I120" s="316">
        <f t="shared" si="6"/>
        <v>0</v>
      </c>
      <c r="J120" s="362">
        <f t="shared" si="7"/>
        <v>0</v>
      </c>
    </row>
    <row r="121" spans="2:10" ht="15" x14ac:dyDescent="0.25">
      <c r="B121" s="310" t="str">
        <f>IF('Блок ввода'!$A$35=TRUE,"АРБУЗ","СОК")</f>
        <v>СОК</v>
      </c>
      <c r="C121" s="337">
        <f>Вт!$M$2/1000</f>
        <v>0</v>
      </c>
      <c r="D121" s="312"/>
      <c r="E121" s="312">
        <f>'Раскладка продуктов'!BB46</f>
        <v>0</v>
      </c>
      <c r="F121" s="312"/>
      <c r="G121" s="314">
        <f t="shared" si="9"/>
        <v>0</v>
      </c>
      <c r="H121" s="315">
        <f t="shared" si="8"/>
        <v>0</v>
      </c>
      <c r="I121" s="316">
        <f t="shared" si="6"/>
        <v>0</v>
      </c>
      <c r="J121" s="362">
        <f t="shared" si="7"/>
        <v>0</v>
      </c>
    </row>
    <row r="122" spans="2:10" ht="15" x14ac:dyDescent="0.25">
      <c r="B122" s="340" t="s">
        <v>170</v>
      </c>
      <c r="C122" s="337">
        <f>Вт!$M$2/1000</f>
        <v>0</v>
      </c>
      <c r="D122" s="312">
        <f>IF('Блок ввода'!N148=1,'Раскладка продуктов'!BC40,0)</f>
        <v>0</v>
      </c>
      <c r="E122" s="312"/>
      <c r="F122" s="312">
        <f>IF(OR('Блок ввода'!N153=2,'Блок ввода'!N153=8),'Раскладка продуктов'!BC49,0)</f>
        <v>14</v>
      </c>
      <c r="G122" s="314">
        <f t="shared" si="9"/>
        <v>0</v>
      </c>
      <c r="H122" s="315">
        <f t="shared" si="8"/>
        <v>0</v>
      </c>
      <c r="I122" s="316">
        <f t="shared" si="6"/>
        <v>0</v>
      </c>
      <c r="J122" s="362">
        <f t="shared" si="7"/>
        <v>0</v>
      </c>
    </row>
    <row r="123" spans="2:10" ht="15" x14ac:dyDescent="0.25">
      <c r="B123" s="340" t="s">
        <v>196</v>
      </c>
      <c r="C123" s="337">
        <f>Вт!$M$2/1000</f>
        <v>0</v>
      </c>
      <c r="D123" s="312"/>
      <c r="E123" s="312">
        <f>'Раскладка продуктов'!BE46</f>
        <v>0</v>
      </c>
      <c r="F123" s="312"/>
      <c r="G123" s="314">
        <f t="shared" si="9"/>
        <v>0</v>
      </c>
      <c r="H123" s="315">
        <f t="shared" si="8"/>
        <v>0</v>
      </c>
      <c r="I123" s="316">
        <f t="shared" si="6"/>
        <v>0</v>
      </c>
      <c r="J123" s="362">
        <f t="shared" si="7"/>
        <v>0</v>
      </c>
    </row>
    <row r="124" spans="2:10" ht="15" x14ac:dyDescent="0.25">
      <c r="B124" s="340" t="s">
        <v>238</v>
      </c>
      <c r="C124" s="337">
        <f>Вт!$M$2/1000</f>
        <v>0</v>
      </c>
      <c r="D124" s="312"/>
      <c r="E124" s="312">
        <f>IF('Блок ввода'!E43=17,'Раскладка продуктов'!AM41,0)</f>
        <v>0</v>
      </c>
      <c r="F124" s="312"/>
      <c r="G124" s="314">
        <f t="shared" si="9"/>
        <v>0</v>
      </c>
      <c r="H124" s="315">
        <f t="shared" si="8"/>
        <v>0</v>
      </c>
      <c r="I124" s="316">
        <f t="shared" si="6"/>
        <v>0</v>
      </c>
      <c r="J124" s="362">
        <f t="shared" si="7"/>
        <v>0</v>
      </c>
    </row>
    <row r="125" spans="2:10" ht="15" x14ac:dyDescent="0.25">
      <c r="B125" s="347"/>
      <c r="C125" s="337">
        <f>Вт!$M$2/1000</f>
        <v>0</v>
      </c>
      <c r="D125" s="312"/>
      <c r="E125" s="312"/>
      <c r="F125" s="312"/>
      <c r="G125" s="314">
        <f t="shared" si="9"/>
        <v>0</v>
      </c>
      <c r="H125" s="315">
        <f t="shared" si="8"/>
        <v>0</v>
      </c>
      <c r="I125" s="316">
        <f t="shared" si="6"/>
        <v>0</v>
      </c>
      <c r="J125" s="362">
        <f t="shared" si="7"/>
        <v>0</v>
      </c>
    </row>
    <row r="126" spans="2:10" ht="15" x14ac:dyDescent="0.25">
      <c r="B126" s="347"/>
      <c r="C126" s="337">
        <f>Вт!$M$2/1000</f>
        <v>0</v>
      </c>
      <c r="D126" s="312"/>
      <c r="E126" s="312"/>
      <c r="F126" s="312"/>
      <c r="G126" s="314">
        <f>C126*D126</f>
        <v>0</v>
      </c>
      <c r="H126" s="315">
        <f>C126*E126</f>
        <v>0</v>
      </c>
      <c r="I126" s="316">
        <f>F126*C126</f>
        <v>0</v>
      </c>
      <c r="J126" s="362">
        <f>G126+H126+I126</f>
        <v>0</v>
      </c>
    </row>
    <row r="127" spans="2:10" ht="15" x14ac:dyDescent="0.25">
      <c r="B127" s="340" t="s">
        <v>250</v>
      </c>
      <c r="C127" s="337">
        <f>Вт!$M$2/1000</f>
        <v>0</v>
      </c>
      <c r="D127" s="312"/>
      <c r="E127" s="312">
        <f>'Раскладка продуктов'!BD46</f>
        <v>0</v>
      </c>
      <c r="F127" s="312"/>
      <c r="G127" s="314">
        <f>C127*D127</f>
        <v>0</v>
      </c>
      <c r="H127" s="315">
        <f>C127*E127</f>
        <v>0</v>
      </c>
      <c r="I127" s="316">
        <f>F127*C127</f>
        <v>0</v>
      </c>
      <c r="J127" s="362">
        <f>G127+H127+I127</f>
        <v>0</v>
      </c>
    </row>
    <row r="128" spans="2:10" ht="15" x14ac:dyDescent="0.25">
      <c r="B128" s="348" t="s">
        <v>258</v>
      </c>
      <c r="C128" s="337">
        <f>Вт!$M$2/1000</f>
        <v>0</v>
      </c>
      <c r="D128" s="312"/>
      <c r="E128" s="323">
        <f>IF('Блок ввода'!$B$38=1,1,0)</f>
        <v>0</v>
      </c>
      <c r="F128" s="312"/>
      <c r="G128" s="314">
        <f t="shared" si="9"/>
        <v>0</v>
      </c>
      <c r="H128" s="315">
        <f t="shared" si="8"/>
        <v>0</v>
      </c>
      <c r="I128" s="316">
        <f t="shared" si="6"/>
        <v>0</v>
      </c>
      <c r="J128" s="362">
        <f t="shared" si="7"/>
        <v>0</v>
      </c>
    </row>
    <row r="129" spans="2:10" ht="15" x14ac:dyDescent="0.25">
      <c r="B129" s="348" t="s">
        <v>263</v>
      </c>
      <c r="C129" s="337">
        <f>Вт!$M$2/1000</f>
        <v>0</v>
      </c>
      <c r="D129" s="312">
        <f>'Раскладка продуктов'!BG38</f>
        <v>0</v>
      </c>
      <c r="E129" s="323">
        <f>IF('Блок ввода'!$B$38=TRUE,1,0)</f>
        <v>0</v>
      </c>
      <c r="F129" s="312"/>
      <c r="G129" s="314">
        <f>C129*D129</f>
        <v>0</v>
      </c>
      <c r="H129" s="315">
        <f>C129*E129</f>
        <v>0</v>
      </c>
      <c r="I129" s="316">
        <f>F129*C129</f>
        <v>0</v>
      </c>
      <c r="J129" s="362">
        <f>G129+H129+I129</f>
        <v>0</v>
      </c>
    </row>
    <row r="130" spans="2:10" ht="15.75" thickBot="1" x14ac:dyDescent="0.3">
      <c r="B130" s="348" t="s">
        <v>266</v>
      </c>
      <c r="C130" s="337">
        <f>Вт!$M$2/1000</f>
        <v>0</v>
      </c>
      <c r="D130" s="312"/>
      <c r="E130" s="323">
        <f>('Раскладка продуктов'!BF42+'Раскладка продуктов'!BF43)/2</f>
        <v>0</v>
      </c>
      <c r="F130" s="312"/>
      <c r="G130" s="314">
        <f>C130*D130</f>
        <v>0</v>
      </c>
      <c r="H130" s="315">
        <f>C130*E130</f>
        <v>0</v>
      </c>
      <c r="I130" s="316">
        <f>F130*C130</f>
        <v>0</v>
      </c>
      <c r="J130" s="362">
        <f>G130+H130+I130</f>
        <v>0</v>
      </c>
    </row>
    <row r="131" spans="2:10" ht="27" thickBot="1" x14ac:dyDescent="0.45">
      <c r="B131" s="1543" t="s">
        <v>96</v>
      </c>
      <c r="C131" s="1543"/>
      <c r="D131" s="1543"/>
      <c r="E131" s="1543"/>
      <c r="F131" s="1543"/>
      <c r="G131" s="1543"/>
      <c r="H131" s="1543"/>
      <c r="I131" s="1543"/>
      <c r="J131" s="1543"/>
    </row>
    <row r="132" spans="2:10" ht="24" thickBot="1" x14ac:dyDescent="0.4">
      <c r="B132" s="298" t="s">
        <v>122</v>
      </c>
      <c r="C132" s="299"/>
      <c r="D132" s="300" t="s">
        <v>123</v>
      </c>
      <c r="E132" s="298" t="s">
        <v>124</v>
      </c>
      <c r="F132" s="298" t="s">
        <v>125</v>
      </c>
      <c r="G132" s="300" t="s">
        <v>126</v>
      </c>
      <c r="H132" s="300" t="s">
        <v>127</v>
      </c>
      <c r="I132" s="300" t="s">
        <v>128</v>
      </c>
      <c r="J132" s="360" t="s">
        <v>129</v>
      </c>
    </row>
    <row r="133" spans="2:10" ht="15" x14ac:dyDescent="0.25">
      <c r="B133" s="303" t="s">
        <v>391</v>
      </c>
      <c r="C133" s="337">
        <f>Ср!$M$2/1000</f>
        <v>0</v>
      </c>
      <c r="D133" s="312">
        <f>'Раскладка продуктов'!K53</f>
        <v>100</v>
      </c>
      <c r="E133" s="312">
        <f>'Раскладка продуктов'!K59</f>
        <v>100</v>
      </c>
      <c r="F133" s="313">
        <f>'Раскладка продуктов'!K62</f>
        <v>100</v>
      </c>
      <c r="G133" s="338">
        <f>D133*C133</f>
        <v>0</v>
      </c>
      <c r="H133" s="339">
        <f t="shared" ref="H133:H141" si="10">C133*E133</f>
        <v>0</v>
      </c>
      <c r="I133" s="316">
        <f>F133*C133</f>
        <v>0</v>
      </c>
      <c r="J133" s="366">
        <f>G133+H133+I133</f>
        <v>0</v>
      </c>
    </row>
    <row r="134" spans="2:10" ht="15" x14ac:dyDescent="0.25">
      <c r="B134" s="340" t="str">
        <f>$B$4</f>
        <v>ХЛЕБ ИЗ МУКИ ПШ. 1 С.</v>
      </c>
      <c r="C134" s="337">
        <f>Ср!$M$2/1000</f>
        <v>0</v>
      </c>
      <c r="D134" s="312">
        <f>'Раскладка продуктов'!L53</f>
        <v>150</v>
      </c>
      <c r="E134" s="312">
        <f>'Раскладка продуктов'!L59</f>
        <v>150</v>
      </c>
      <c r="F134" s="313">
        <f>'Раскладка продуктов'!L62</f>
        <v>50</v>
      </c>
      <c r="G134" s="314">
        <f t="shared" ref="G134:G159" si="11">C134*D134</f>
        <v>0</v>
      </c>
      <c r="H134" s="315">
        <f>C134*E134</f>
        <v>0</v>
      </c>
      <c r="I134" s="316">
        <f t="shared" ref="I134:I193" si="12">F134*C134</f>
        <v>0</v>
      </c>
      <c r="J134" s="362">
        <f t="shared" ref="J134:J193" si="13">G134+H134+I134</f>
        <v>0</v>
      </c>
    </row>
    <row r="135" spans="2:10" ht="15" x14ac:dyDescent="0.25">
      <c r="B135" s="310" t="s">
        <v>425</v>
      </c>
      <c r="C135" s="337">
        <f>Ср!$M$2/1000</f>
        <v>0</v>
      </c>
      <c r="D135" s="312"/>
      <c r="E135" s="312">
        <f>'Раскладка продуктов'!M59</f>
        <v>0</v>
      </c>
      <c r="F135" s="313"/>
      <c r="G135" s="314">
        <f t="shared" si="11"/>
        <v>0</v>
      </c>
      <c r="H135" s="315">
        <f>C135*E135</f>
        <v>0</v>
      </c>
      <c r="I135" s="316">
        <f t="shared" si="12"/>
        <v>0</v>
      </c>
      <c r="J135" s="362">
        <f t="shared" si="13"/>
        <v>0</v>
      </c>
    </row>
    <row r="136" spans="2:10" ht="15" x14ac:dyDescent="0.25">
      <c r="B136" s="310" t="s">
        <v>404</v>
      </c>
      <c r="C136" s="337">
        <f>Ср!$M$2/1000</f>
        <v>0</v>
      </c>
      <c r="D136" s="312">
        <f>'Раскладка продуктов'!O51</f>
        <v>0</v>
      </c>
      <c r="E136" s="312"/>
      <c r="F136" s="312">
        <f>'Раскладка продуктов'!O62+'Раскладка продуктов'!O61</f>
        <v>0</v>
      </c>
      <c r="G136" s="314">
        <f t="shared" si="11"/>
        <v>0</v>
      </c>
      <c r="H136" s="315">
        <f t="shared" si="10"/>
        <v>0</v>
      </c>
      <c r="I136" s="316">
        <f t="shared" si="12"/>
        <v>0</v>
      </c>
      <c r="J136" s="362">
        <f t="shared" si="13"/>
        <v>0</v>
      </c>
    </row>
    <row r="137" spans="2:10" ht="15" x14ac:dyDescent="0.25">
      <c r="B137" s="317" t="str">
        <f>IF('Блок ввода'!$H$26=1,"МУКА ПШЕНИЧНАЯ 1 С.","МУКА ПШЕНИЧНАЯ 2 С.")</f>
        <v>МУКА ПШЕНИЧНАЯ 1 С.</v>
      </c>
      <c r="C137" s="337">
        <f>Ср!$M$2/1000</f>
        <v>0</v>
      </c>
      <c r="D137" s="312">
        <f>'Раскладка продуктов'!N51</f>
        <v>6.5</v>
      </c>
      <c r="E137" s="312">
        <f>('Раскладка продуктов'!N55+'Раскладка продуктов'!N56+'Раскладка продуктов'!N57+'Раскладка продуктов'!N58)/2</f>
        <v>4</v>
      </c>
      <c r="F137" s="312">
        <f>'Раскладка продуктов'!N60</f>
        <v>2</v>
      </c>
      <c r="G137" s="314">
        <f t="shared" si="11"/>
        <v>0</v>
      </c>
      <c r="H137" s="315">
        <f t="shared" si="10"/>
        <v>0</v>
      </c>
      <c r="I137" s="316">
        <f t="shared" si="12"/>
        <v>0</v>
      </c>
      <c r="J137" s="362">
        <f t="shared" si="13"/>
        <v>0</v>
      </c>
    </row>
    <row r="138" spans="2:10" ht="15" x14ac:dyDescent="0.25">
      <c r="B138" s="340" t="s">
        <v>132</v>
      </c>
      <c r="C138" s="337">
        <f>Ср!$M$2/1000</f>
        <v>0</v>
      </c>
      <c r="D138" s="312">
        <f>'Раскладка продуктов'!P51</f>
        <v>0</v>
      </c>
      <c r="E138" s="312">
        <f>('Раскладка продуктов'!P55+'Раскладка продуктов'!P56+'Раскладка продуктов'!P57+'Раскладка продуктов'!P58)/2</f>
        <v>25.5</v>
      </c>
      <c r="F138" s="312">
        <f>'Раскладка продуктов'!P60+'Раскладка продуктов'!P61+'Раскладка продуктов'!P62</f>
        <v>0</v>
      </c>
      <c r="G138" s="314">
        <f t="shared" si="11"/>
        <v>0</v>
      </c>
      <c r="H138" s="315">
        <f t="shared" si="10"/>
        <v>0</v>
      </c>
      <c r="I138" s="316">
        <f t="shared" si="12"/>
        <v>0</v>
      </c>
      <c r="J138" s="362">
        <f t="shared" si="13"/>
        <v>0</v>
      </c>
    </row>
    <row r="139" spans="2:10" ht="15" x14ac:dyDescent="0.25">
      <c r="B139" s="341" t="s">
        <v>133</v>
      </c>
      <c r="C139" s="337">
        <f>Ср!$M$2/1000</f>
        <v>0</v>
      </c>
      <c r="D139" s="312">
        <f>'Раскладка продуктов'!Q51</f>
        <v>0</v>
      </c>
      <c r="E139" s="312">
        <f>('Раскладка продуктов'!Q55+'Раскладка продуктов'!Q56+'Раскладка продуктов'!Q57+'Раскладка продуктов'!Q58)/2</f>
        <v>0</v>
      </c>
      <c r="F139" s="312">
        <f>'Раскладка продуктов'!Q60</f>
        <v>0</v>
      </c>
      <c r="G139" s="314">
        <f t="shared" si="11"/>
        <v>0</v>
      </c>
      <c r="H139" s="315">
        <f t="shared" si="10"/>
        <v>0</v>
      </c>
      <c r="I139" s="316">
        <f t="shared" si="12"/>
        <v>0</v>
      </c>
      <c r="J139" s="362">
        <f t="shared" si="13"/>
        <v>0</v>
      </c>
    </row>
    <row r="140" spans="2:10" ht="15" x14ac:dyDescent="0.25">
      <c r="B140" s="340" t="s">
        <v>134</v>
      </c>
      <c r="C140" s="337">
        <f>Ср!$M$2/1000</f>
        <v>0</v>
      </c>
      <c r="D140" s="312">
        <f>'Раскладка продуктов'!R51</f>
        <v>0</v>
      </c>
      <c r="E140" s="312">
        <f>('Раскладка продуктов'!R55+'Раскладка продуктов'!R56+'Раскладка продуктов'!R57+'Раскладка продуктов'!R58)/2</f>
        <v>35.5</v>
      </c>
      <c r="F140" s="312">
        <f>'Раскладка продуктов'!R60</f>
        <v>0</v>
      </c>
      <c r="G140" s="314">
        <f t="shared" si="11"/>
        <v>0</v>
      </c>
      <c r="H140" s="315">
        <f t="shared" si="10"/>
        <v>0</v>
      </c>
      <c r="I140" s="316">
        <f t="shared" si="12"/>
        <v>0</v>
      </c>
      <c r="J140" s="362">
        <f t="shared" si="13"/>
        <v>0</v>
      </c>
    </row>
    <row r="141" spans="2:10" ht="15" x14ac:dyDescent="0.25">
      <c r="B141" s="341" t="s">
        <v>135</v>
      </c>
      <c r="C141" s="337">
        <f>Ср!$M$2/1000</f>
        <v>0</v>
      </c>
      <c r="D141" s="312">
        <f>'Раскладка продуктов'!V51</f>
        <v>85</v>
      </c>
      <c r="E141" s="312">
        <f>('Раскладка продуктов'!V55+'Раскладка продуктов'!V56+'Раскладка продуктов'!V57+'Раскладка продуктов'!V58)/2</f>
        <v>0</v>
      </c>
      <c r="F141" s="312">
        <f>'Раскладка продуктов'!V60</f>
        <v>0</v>
      </c>
      <c r="G141" s="314">
        <f t="shared" si="11"/>
        <v>0</v>
      </c>
      <c r="H141" s="315">
        <f t="shared" si="10"/>
        <v>0</v>
      </c>
      <c r="I141" s="316">
        <f t="shared" si="12"/>
        <v>0</v>
      </c>
      <c r="J141" s="362">
        <f t="shared" si="13"/>
        <v>0</v>
      </c>
    </row>
    <row r="142" spans="2:10" ht="15" x14ac:dyDescent="0.25">
      <c r="B142" s="340" t="s">
        <v>136</v>
      </c>
      <c r="C142" s="337">
        <f>Ср!$M$2/1000</f>
        <v>0</v>
      </c>
      <c r="D142" s="312">
        <f>'Раскладка продуктов'!U51</f>
        <v>0</v>
      </c>
      <c r="E142" s="312">
        <f>('Раскладка продуктов'!U55+'Раскладка продуктов'!U56+'Раскладка продуктов'!U57+'Раскладка продуктов'!U58)/2</f>
        <v>0</v>
      </c>
      <c r="F142" s="312">
        <f>'Раскладка продуктов'!U60</f>
        <v>0</v>
      </c>
      <c r="G142" s="314">
        <f t="shared" si="11"/>
        <v>0</v>
      </c>
      <c r="H142" s="315">
        <f t="shared" ref="H142:H193" si="14">C142*E142</f>
        <v>0</v>
      </c>
      <c r="I142" s="316">
        <f t="shared" si="12"/>
        <v>0</v>
      </c>
      <c r="J142" s="362">
        <f t="shared" si="13"/>
        <v>0</v>
      </c>
    </row>
    <row r="143" spans="2:10" ht="15" x14ac:dyDescent="0.25">
      <c r="B143" s="341" t="s">
        <v>137</v>
      </c>
      <c r="C143" s="337">
        <f>Ср!$M$2/1000</f>
        <v>0</v>
      </c>
      <c r="D143" s="312">
        <f>'Раскладка продуктов'!S51</f>
        <v>0</v>
      </c>
      <c r="E143" s="312">
        <f>('Раскладка продуктов'!S55+'Раскладка продуктов'!S56+'Раскладка продуктов'!S57+'Раскладка продуктов'!S58)/2</f>
        <v>0</v>
      </c>
      <c r="F143" s="312">
        <f>'Раскладка продуктов'!S60</f>
        <v>0</v>
      </c>
      <c r="G143" s="314">
        <f t="shared" si="11"/>
        <v>0</v>
      </c>
      <c r="H143" s="315">
        <f t="shared" si="14"/>
        <v>0</v>
      </c>
      <c r="I143" s="316">
        <f t="shared" si="12"/>
        <v>0</v>
      </c>
      <c r="J143" s="362">
        <f t="shared" si="13"/>
        <v>0</v>
      </c>
    </row>
    <row r="144" spans="2:10" ht="15" x14ac:dyDescent="0.25">
      <c r="B144" s="340" t="str">
        <f>IF('Блок ввода'!$B$213=2,"КОНЦЕНТРАТ КРУПЯНОЙ","КРУПА ОВСЯНАЯ")</f>
        <v>КРУПА ОВСЯНАЯ</v>
      </c>
      <c r="C144" s="337">
        <f>Ср!$M$2/1000</f>
        <v>0</v>
      </c>
      <c r="D144" s="312">
        <f>'Раскладка продуктов'!W51</f>
        <v>0</v>
      </c>
      <c r="E144" s="312">
        <f>('Раскладка продуктов'!W55+'Раскладка продуктов'!W56+'Раскладка продуктов'!W57+'Раскладка продуктов'!W58)/2</f>
        <v>0</v>
      </c>
      <c r="F144" s="312">
        <f>'Раскладка продуктов'!W60</f>
        <v>0</v>
      </c>
      <c r="G144" s="314">
        <f t="shared" si="11"/>
        <v>0</v>
      </c>
      <c r="H144" s="315">
        <f t="shared" si="14"/>
        <v>0</v>
      </c>
      <c r="I144" s="316">
        <f t="shared" si="12"/>
        <v>0</v>
      </c>
      <c r="J144" s="362">
        <f t="shared" si="13"/>
        <v>0</v>
      </c>
    </row>
    <row r="145" spans="2:15" ht="15" x14ac:dyDescent="0.25">
      <c r="B145" s="340" t="s">
        <v>169</v>
      </c>
      <c r="C145" s="337">
        <f>Ср!$M$2/1000</f>
        <v>0</v>
      </c>
      <c r="D145" s="312">
        <f>'Раскладка продуктов'!T51</f>
        <v>0</v>
      </c>
      <c r="E145" s="312">
        <f>('Раскладка продуктов'!T55+'Раскладка продуктов'!T56+'Раскладка продуктов'!T57+'Раскладка продуктов'!T58)/2</f>
        <v>0</v>
      </c>
      <c r="F145" s="312">
        <f>'Раскладка продуктов'!T60</f>
        <v>0</v>
      </c>
      <c r="G145" s="314">
        <f t="shared" si="11"/>
        <v>0</v>
      </c>
      <c r="H145" s="315">
        <f t="shared" si="14"/>
        <v>0</v>
      </c>
      <c r="I145" s="316">
        <f t="shared" si="12"/>
        <v>0</v>
      </c>
      <c r="J145" s="362">
        <f t="shared" si="13"/>
        <v>0</v>
      </c>
    </row>
    <row r="146" spans="2:15" ht="15" x14ac:dyDescent="0.25">
      <c r="B146" s="340" t="s">
        <v>138</v>
      </c>
      <c r="C146" s="337">
        <f>Ср!$M$2/1000</f>
        <v>0</v>
      </c>
      <c r="D146" s="312">
        <f>'Раскладка продуктов'!X51</f>
        <v>0</v>
      </c>
      <c r="E146" s="312">
        <f>('Раскладка продуктов'!X55+'Раскладка продуктов'!X56+'Раскладка продуктов'!X57+'Раскладка продуктов'!X58)/2</f>
        <v>28</v>
      </c>
      <c r="F146" s="312">
        <f>'Раскладка продуктов'!X60</f>
        <v>0</v>
      </c>
      <c r="G146" s="314">
        <f t="shared" si="11"/>
        <v>0</v>
      </c>
      <c r="H146" s="315">
        <f t="shared" si="14"/>
        <v>0</v>
      </c>
      <c r="I146" s="316">
        <f t="shared" si="12"/>
        <v>0</v>
      </c>
      <c r="J146" s="362">
        <f t="shared" si="13"/>
        <v>0</v>
      </c>
    </row>
    <row r="147" spans="2:15" ht="15" x14ac:dyDescent="0.25">
      <c r="B147" s="342" t="s">
        <v>431</v>
      </c>
      <c r="C147" s="337">
        <f>Ср!$M$2/1000</f>
        <v>0</v>
      </c>
      <c r="D147" s="312">
        <f>IF(OR(D148&gt;0,D150&gt;0,'Блок ввода'!E158=29),0,'Раскладка продуктов'!Y51)</f>
        <v>100</v>
      </c>
      <c r="E147" s="312">
        <f>IF(AND(AND('Блок ввода'!W167&lt;&gt;17,'Блок ввода'!W172&lt;&gt;18),AND('Блок ввода'!W167&lt;&gt;18,'Блок ввода'!W172&lt;&gt;17)),('Раскладка продуктов'!Y57+'Раскладка продуктов'!Y58)/2,IF(OR(AND('Блок ввода'!W167=17,'Блок ввода'!W172=18),AND('Блок ввода'!W167=18,'Блок ввода'!W172=17),AND('Блок ввода'!W167=17,'Блок ввода'!W172=17),AND('Блок ввода'!W167=18,'Блок ввода'!W172=18),OR('Блок ввода'!W167=19,'Блок ввода'!W172=19)),0,('Раскладка продуктов'!Y57+'Раскладка продуктов'!Y58)/4))</f>
        <v>150</v>
      </c>
      <c r="F147" s="312">
        <f>'Раскладка продуктов'!Y60</f>
        <v>0</v>
      </c>
      <c r="G147" s="314">
        <f t="shared" si="11"/>
        <v>0</v>
      </c>
      <c r="H147" s="315">
        <f t="shared" si="14"/>
        <v>0</v>
      </c>
      <c r="I147" s="316">
        <f t="shared" si="12"/>
        <v>0</v>
      </c>
      <c r="J147" s="362">
        <f t="shared" si="13"/>
        <v>0</v>
      </c>
      <c r="L147" s="297"/>
      <c r="N147" s="297"/>
      <c r="O147" s="297"/>
    </row>
    <row r="148" spans="2:15" ht="15" x14ac:dyDescent="0.25">
      <c r="B148" s="340" t="s">
        <v>139</v>
      </c>
      <c r="C148" s="337">
        <f>Ср!$M$2/1000</f>
        <v>0</v>
      </c>
      <c r="D148" s="312">
        <f>IF(OR('Блок ввода'!$E$158=17,'Блок ввода'!$E$158=18),100,0)</f>
        <v>0</v>
      </c>
      <c r="E148" s="312">
        <f>IF(OR(AND('Блок ввода'!W167=17,'Блок ввода'!W172=18),AND('Блок ввода'!W167=18,'Блок ввода'!W172=17),AND('Блок ввода'!W167=17,'Блок ввода'!W172=17),AND('Блок ввода'!W167=18,'Блок ввода'!W172=18)),('Раскладка продуктов'!Y57+'Раскладка продуктов'!Y58)/2,IF(OR(AND('Блок ввода'!W167=17,'Блок ввода'!W172&lt;&gt;18),AND('Блок ввода'!W167=18,'Блок ввода'!W172&lt;&gt;17),AND('Блок ввода'!W167&lt;&gt;18,'Блок ввода'!W172=17),AND('Блок ввода'!W167&lt;&gt;17,'Блок ввода'!W172=18)),IF(OR('Блок ввода'!W167=19,'Блок ввода'!W172=19),('Раскладка продуктов'!Y57+'Раскладка продуктов'!Y58)/2,('Раскладка продуктов'!Y57+'Раскладка продуктов'!Y58)/4),0))</f>
        <v>0</v>
      </c>
      <c r="F148" s="312"/>
      <c r="G148" s="314">
        <f t="shared" si="11"/>
        <v>0</v>
      </c>
      <c r="H148" s="315">
        <f t="shared" si="14"/>
        <v>0</v>
      </c>
      <c r="I148" s="316">
        <f t="shared" si="12"/>
        <v>0</v>
      </c>
      <c r="J148" s="362">
        <f t="shared" si="13"/>
        <v>0</v>
      </c>
      <c r="L148" s="297"/>
      <c r="N148" s="297"/>
      <c r="O148" s="297"/>
    </row>
    <row r="149" spans="2:15" ht="15" x14ac:dyDescent="0.25">
      <c r="B149" s="341" t="s">
        <v>140</v>
      </c>
      <c r="C149" s="337">
        <f>Ср!$M$2/1000</f>
        <v>0</v>
      </c>
      <c r="D149" s="312"/>
      <c r="E149" s="312"/>
      <c r="F149" s="312"/>
      <c r="G149" s="314">
        <f t="shared" si="11"/>
        <v>0</v>
      </c>
      <c r="H149" s="315">
        <f t="shared" si="14"/>
        <v>0</v>
      </c>
      <c r="I149" s="316">
        <f t="shared" si="12"/>
        <v>0</v>
      </c>
      <c r="J149" s="362">
        <f t="shared" si="13"/>
        <v>0</v>
      </c>
      <c r="L149" s="297"/>
      <c r="N149" s="297"/>
      <c r="O149" s="297"/>
    </row>
    <row r="150" spans="2:15" ht="15" x14ac:dyDescent="0.25">
      <c r="B150" s="349" t="s">
        <v>184</v>
      </c>
      <c r="C150" s="337">
        <f>Ср!$M$2/1000</f>
        <v>0</v>
      </c>
      <c r="D150" s="312">
        <f>'Раскладка продуктов'!Z51</f>
        <v>0</v>
      </c>
      <c r="E150" s="312">
        <f>('Раскладка продуктов'!Z57+'Раскладка продуктов'!Z58)/2</f>
        <v>0</v>
      </c>
      <c r="F150" s="312">
        <f>'Раскладка продуктов'!Z60</f>
        <v>0</v>
      </c>
      <c r="G150" s="314">
        <f t="shared" si="11"/>
        <v>0</v>
      </c>
      <c r="H150" s="315">
        <f>C150*E150</f>
        <v>0</v>
      </c>
      <c r="I150" s="316">
        <f>F150*C150</f>
        <v>0</v>
      </c>
      <c r="J150" s="362">
        <f>G150+H150+I150</f>
        <v>0</v>
      </c>
      <c r="L150" s="297"/>
      <c r="N150" s="297"/>
      <c r="O150" s="297"/>
    </row>
    <row r="151" spans="2:15" ht="15" x14ac:dyDescent="0.25">
      <c r="B151" s="340" t="str">
        <f>IF(AND('Блок ввода'!$AA$38=1,'Блок ввода'!E163&lt;&gt;26),"РЫБА С ГОЛОВОЙ",IF('Блок ввода'!E163=26,"СЕЛЬДЬ СОЛ. БЕЗ ГОЛОВЫ","РЫБА БЕЗ ГОЛОВЫ/СЕЛЬДЬ С ГОЛ."))</f>
        <v>РЫБА БЕЗ ГОЛОВЫ/СЕЛЬДЬ С ГОЛ.</v>
      </c>
      <c r="C151" s="337">
        <f>Ср!$M$2/1000</f>
        <v>0</v>
      </c>
      <c r="D151" s="312">
        <f>'Раскладка продуктов'!$AB$51</f>
        <v>0</v>
      </c>
      <c r="E151" s="312">
        <f>'Раскладка продуктов'!AB54</f>
        <v>30</v>
      </c>
      <c r="F151" s="312">
        <f>'Раскладка продуктов'!AB60</f>
        <v>90</v>
      </c>
      <c r="G151" s="314">
        <f t="shared" si="11"/>
        <v>0</v>
      </c>
      <c r="H151" s="315">
        <f t="shared" si="14"/>
        <v>0</v>
      </c>
      <c r="I151" s="316">
        <f t="shared" si="12"/>
        <v>0</v>
      </c>
      <c r="J151" s="362">
        <f t="shared" si="13"/>
        <v>0</v>
      </c>
    </row>
    <row r="152" spans="2:15" ht="15" x14ac:dyDescent="0.25">
      <c r="B152" s="310" t="str">
        <f>UPPER('Блок ввода'!$B$157)</f>
        <v xml:space="preserve">КОНС. РЫБНЫЕ - КИЛЬКА В ТОМ. СОУСЕ  </v>
      </c>
      <c r="C152" s="337">
        <f>Ср!$M$2/1000</f>
        <v>0</v>
      </c>
      <c r="D152" s="312">
        <f>'Раскладка продуктов'!$AC$51</f>
        <v>0</v>
      </c>
      <c r="E152" s="312"/>
      <c r="F152" s="312">
        <f>'Раскладка продуктов'!AC60</f>
        <v>0</v>
      </c>
      <c r="G152" s="314">
        <f t="shared" si="11"/>
        <v>0</v>
      </c>
      <c r="H152" s="315">
        <f t="shared" si="14"/>
        <v>0</v>
      </c>
      <c r="I152" s="316">
        <f t="shared" si="12"/>
        <v>0</v>
      </c>
      <c r="J152" s="362">
        <f t="shared" si="13"/>
        <v>0</v>
      </c>
    </row>
    <row r="153" spans="2:15" ht="15" x14ac:dyDescent="0.25">
      <c r="B153" s="341" t="s">
        <v>141</v>
      </c>
      <c r="C153" s="337">
        <f>Ср!$M$2/1000</f>
        <v>0</v>
      </c>
      <c r="D153" s="312">
        <f>'Раскладка продуктов'!AF51</f>
        <v>3</v>
      </c>
      <c r="E153" s="312">
        <f>'Раскладка продуктов'!AF54</f>
        <v>12</v>
      </c>
      <c r="F153" s="312">
        <f>'Раскладка продуктов'!AF60</f>
        <v>15</v>
      </c>
      <c r="G153" s="314">
        <f t="shared" si="11"/>
        <v>0</v>
      </c>
      <c r="H153" s="315">
        <f t="shared" si="14"/>
        <v>0</v>
      </c>
      <c r="I153" s="316">
        <f t="shared" si="12"/>
        <v>0</v>
      </c>
      <c r="J153" s="362">
        <f t="shared" si="13"/>
        <v>0</v>
      </c>
    </row>
    <row r="154" spans="2:15" ht="15" x14ac:dyDescent="0.25">
      <c r="B154" s="340" t="s">
        <v>142</v>
      </c>
      <c r="C154" s="337">
        <f>Ср!$M$2/1000</f>
        <v>0</v>
      </c>
      <c r="D154" s="312">
        <f>'Раскладка продуктов'!AE51</f>
        <v>19</v>
      </c>
      <c r="E154" s="312">
        <f>IF('Блок ввода'!A34=TRUE,0,)</f>
        <v>0</v>
      </c>
      <c r="F154" s="312">
        <f>'Раскладка продуктов'!AE60</f>
        <v>22</v>
      </c>
      <c r="G154" s="314">
        <f t="shared" si="11"/>
        <v>0</v>
      </c>
      <c r="H154" s="315">
        <f t="shared" si="14"/>
        <v>0</v>
      </c>
      <c r="I154" s="316">
        <f t="shared" si="12"/>
        <v>0</v>
      </c>
      <c r="J154" s="362">
        <f t="shared" si="13"/>
        <v>0</v>
      </c>
    </row>
    <row r="155" spans="2:15" ht="15" x14ac:dyDescent="0.25">
      <c r="B155" s="341" t="s">
        <v>143</v>
      </c>
      <c r="C155" s="337">
        <f>Ср!$M$2/1000</f>
        <v>0</v>
      </c>
      <c r="D155" s="312">
        <f>'Раскладка продуктов'!AD51</f>
        <v>0</v>
      </c>
      <c r="E155" s="312">
        <f>('Раскладка продуктов'!AD55+'Раскладка продуктов'!AD56+'Раскладка продуктов'!AD57+'Раскладка продуктов'!AD58)/2</f>
        <v>0</v>
      </c>
      <c r="F155" s="312">
        <f>'Раскладка продуктов'!AD60</f>
        <v>0</v>
      </c>
      <c r="G155" s="314">
        <f t="shared" si="11"/>
        <v>0</v>
      </c>
      <c r="H155" s="315">
        <f t="shared" si="14"/>
        <v>0</v>
      </c>
      <c r="I155" s="316">
        <f t="shared" si="12"/>
        <v>0</v>
      </c>
      <c r="J155" s="362">
        <f t="shared" si="13"/>
        <v>0</v>
      </c>
    </row>
    <row r="156" spans="2:15" ht="15" x14ac:dyDescent="0.25">
      <c r="B156" s="340" t="s">
        <v>362</v>
      </c>
      <c r="C156" s="337">
        <f>Ср!$M$2/1000</f>
        <v>0</v>
      </c>
      <c r="D156" s="312"/>
      <c r="E156" s="312">
        <f>IF(OR('Блок ввода'!A34=1,'Блок ввода'!A34=3),0,('Раскладка продуктов'!$AZ$55+'Раскладка продуктов'!$AZ$56+'Раскладка продуктов'!$AZ$57+'Раскладка продуктов'!$AZ$58)/2+'Раскладка продуктов'!$AZ$59)</f>
        <v>280</v>
      </c>
      <c r="F156" s="312">
        <f>'Раскладка продуктов'!AZ60</f>
        <v>0</v>
      </c>
      <c r="G156" s="314">
        <f t="shared" si="11"/>
        <v>0</v>
      </c>
      <c r="H156" s="315">
        <f t="shared" si="14"/>
        <v>0</v>
      </c>
      <c r="I156" s="316">
        <f t="shared" si="12"/>
        <v>0</v>
      </c>
      <c r="J156" s="362">
        <f t="shared" si="13"/>
        <v>0</v>
      </c>
    </row>
    <row r="157" spans="2:15" ht="15" x14ac:dyDescent="0.25">
      <c r="B157" s="340" t="s">
        <v>144</v>
      </c>
      <c r="C157" s="337">
        <f>Ср!$M$2/1000</f>
        <v>0</v>
      </c>
      <c r="D157" s="312"/>
      <c r="E157" s="312"/>
      <c r="F157" s="312"/>
      <c r="G157" s="314">
        <f t="shared" si="11"/>
        <v>0</v>
      </c>
      <c r="H157" s="315">
        <f t="shared" si="14"/>
        <v>0</v>
      </c>
      <c r="I157" s="316">
        <f t="shared" si="12"/>
        <v>0</v>
      </c>
      <c r="J157" s="362">
        <f t="shared" si="13"/>
        <v>0</v>
      </c>
    </row>
    <row r="158" spans="2:15" ht="15" x14ac:dyDescent="0.25">
      <c r="B158" s="340" t="s">
        <v>145</v>
      </c>
      <c r="C158" s="337">
        <f>Ср!$M$2/1000</f>
        <v>0</v>
      </c>
      <c r="D158" s="312"/>
      <c r="E158" s="312"/>
      <c r="F158" s="312"/>
      <c r="G158" s="314">
        <f t="shared" si="11"/>
        <v>0</v>
      </c>
      <c r="H158" s="315">
        <f t="shared" si="14"/>
        <v>0</v>
      </c>
      <c r="I158" s="316">
        <f t="shared" si="12"/>
        <v>0</v>
      </c>
      <c r="J158" s="362">
        <f t="shared" si="13"/>
        <v>0</v>
      </c>
    </row>
    <row r="159" spans="2:15" ht="15" x14ac:dyDescent="0.25">
      <c r="B159" s="340" t="str">
        <f>IF('Блок ввода'!$A$34=1,"МОЛОКО СГУЩЕНОЕ С САХАРОМ","МОЛОКО СУХОЕ")</f>
        <v>МОЛОКО СУХОЕ</v>
      </c>
      <c r="C159" s="337">
        <f>Ср!$M$2/1000</f>
        <v>0</v>
      </c>
      <c r="D159" s="312"/>
      <c r="E159" s="312">
        <f>IF('Блок ввода'!$A$34=1,('Раскладка продуктов'!$AZ$146+'Раскладка продуктов'!$AZ$145+'Раскладка продуктов'!$AZ$147+'Раскладка продуктов'!$AZ$148)/2+'Раскладка продуктов'!$AZ$149,0)</f>
        <v>0</v>
      </c>
      <c r="F159" s="312"/>
      <c r="G159" s="314">
        <f t="shared" si="11"/>
        <v>0</v>
      </c>
      <c r="H159" s="315">
        <f t="shared" si="14"/>
        <v>0</v>
      </c>
      <c r="I159" s="316">
        <f t="shared" si="12"/>
        <v>0</v>
      </c>
      <c r="J159" s="362">
        <f t="shared" si="13"/>
        <v>0</v>
      </c>
    </row>
    <row r="160" spans="2:15" ht="15" x14ac:dyDescent="0.25">
      <c r="B160" s="340" t="str">
        <f>IF('Блок ввода'!$Z$26=1,"СЫР СЫЧУЖНЫЙ ТВЕРДЫЙ","СЫР ПЛАВЛЕНЫЙ")</f>
        <v>СЫР ПЛАВЛЕНЫЙ</v>
      </c>
      <c r="C160" s="337">
        <f>Ср!$M$2/1000</f>
        <v>0</v>
      </c>
      <c r="D160" s="320"/>
      <c r="E160" s="312"/>
      <c r="F160" s="312"/>
      <c r="G160" s="314">
        <f>C160*D160</f>
        <v>0</v>
      </c>
      <c r="H160" s="315">
        <f t="shared" si="14"/>
        <v>0</v>
      </c>
      <c r="I160" s="316">
        <f t="shared" si="12"/>
        <v>0</v>
      </c>
      <c r="J160" s="362">
        <f t="shared" si="13"/>
        <v>0</v>
      </c>
    </row>
    <row r="161" spans="2:10" ht="15" x14ac:dyDescent="0.25">
      <c r="B161" s="340" t="str">
        <f>IF('Блок ввода'!$G$32=1,"ПОРОШОК ЯИЧНЫЙ","ЯЙЦА КУРИНЫЕ")</f>
        <v>ЯЙЦА КУРИНЫЕ</v>
      </c>
      <c r="C161" s="337">
        <f>Ср!$M$2/1000</f>
        <v>0</v>
      </c>
      <c r="D161" s="350">
        <f>'Раскладка продуктов'!AX51+'Раскладка продуктов'!AX52+'Раскладка продуктов'!AX53</f>
        <v>1</v>
      </c>
      <c r="E161" s="350">
        <f>'Раскладка продуктов'!AX54+('Раскладка продуктов'!AX55+'Раскладка продуктов'!AX56+'Раскладка продуктов'!AX57+'Раскладка продуктов'!AX58)/2+'Раскладка продуктов'!AX59</f>
        <v>0</v>
      </c>
      <c r="F161" s="320">
        <f>'Раскладка продуктов'!AX60+'Раскладка продуктов'!AX61+'Раскладка продуктов'!AX62</f>
        <v>0</v>
      </c>
      <c r="G161" s="345">
        <f>D161*Ср!M2</f>
        <v>0</v>
      </c>
      <c r="H161" s="321">
        <f>E161*Ср!M2</f>
        <v>0</v>
      </c>
      <c r="I161" s="322">
        <f>IF('Блок ввода'!$G$32=1,ROUND(F161*C161,3),ROUND(F161*Ср!M2,0))</f>
        <v>0</v>
      </c>
      <c r="J161" s="367">
        <f t="shared" si="13"/>
        <v>0</v>
      </c>
    </row>
    <row r="162" spans="2:10" ht="15" x14ac:dyDescent="0.25">
      <c r="B162" s="340" t="s">
        <v>146</v>
      </c>
      <c r="C162" s="337">
        <f>Ср!$M$2/1000</f>
        <v>0</v>
      </c>
      <c r="D162" s="312">
        <f>'Раскладка продуктов'!AG53</f>
        <v>30</v>
      </c>
      <c r="E162" s="312">
        <f>'Раскладка продуктов'!AG59</f>
        <v>0</v>
      </c>
      <c r="F162" s="312">
        <f>'Раскладка продуктов'!AG62</f>
        <v>30</v>
      </c>
      <c r="G162" s="314">
        <f t="shared" ref="G162:G193" si="15">C162*D162</f>
        <v>0</v>
      </c>
      <c r="H162" s="315">
        <f t="shared" si="14"/>
        <v>0</v>
      </c>
      <c r="I162" s="316">
        <f t="shared" si="12"/>
        <v>0</v>
      </c>
      <c r="J162" s="362">
        <f t="shared" si="13"/>
        <v>0</v>
      </c>
    </row>
    <row r="163" spans="2:10" ht="15" x14ac:dyDescent="0.25">
      <c r="B163" s="340" t="s">
        <v>147</v>
      </c>
      <c r="C163" s="337">
        <f>Ср!$M$2/1000</f>
        <v>0</v>
      </c>
      <c r="D163" s="312">
        <f>'Раскладка продуктов'!AJ63</f>
        <v>20</v>
      </c>
      <c r="E163" s="312"/>
      <c r="F163" s="312"/>
      <c r="G163" s="314">
        <f t="shared" si="15"/>
        <v>0</v>
      </c>
      <c r="H163" s="315">
        <f t="shared" si="14"/>
        <v>0</v>
      </c>
      <c r="I163" s="316">
        <f t="shared" si="12"/>
        <v>0</v>
      </c>
      <c r="J163" s="362">
        <f t="shared" si="13"/>
        <v>0</v>
      </c>
    </row>
    <row r="164" spans="2:10" ht="15" x14ac:dyDescent="0.25">
      <c r="B164" s="340" t="s">
        <v>148</v>
      </c>
      <c r="C164" s="337">
        <f>Ср!$M$2/1000</f>
        <v>0</v>
      </c>
      <c r="D164" s="312">
        <f>'Раскладка продуктов'!AH53</f>
        <v>0</v>
      </c>
      <c r="E164" s="312"/>
      <c r="F164" s="312">
        <f>'Раскладка продуктов'!AH62</f>
        <v>1</v>
      </c>
      <c r="G164" s="314">
        <f t="shared" si="15"/>
        <v>0</v>
      </c>
      <c r="H164" s="315">
        <f t="shared" si="14"/>
        <v>0</v>
      </c>
      <c r="I164" s="316">
        <f t="shared" si="12"/>
        <v>0</v>
      </c>
      <c r="J164" s="362">
        <f t="shared" si="13"/>
        <v>0</v>
      </c>
    </row>
    <row r="165" spans="2:10" ht="15" x14ac:dyDescent="0.25">
      <c r="B165" s="340" t="s">
        <v>149</v>
      </c>
      <c r="C165" s="337">
        <f>Ср!$M$2/1000</f>
        <v>0</v>
      </c>
      <c r="D165" s="312"/>
      <c r="E165" s="312"/>
      <c r="F165" s="312"/>
      <c r="G165" s="314">
        <f t="shared" si="15"/>
        <v>0</v>
      </c>
      <c r="H165" s="315">
        <f t="shared" si="14"/>
        <v>0</v>
      </c>
      <c r="I165" s="316">
        <f t="shared" si="12"/>
        <v>0</v>
      </c>
      <c r="J165" s="362">
        <f t="shared" si="13"/>
        <v>0</v>
      </c>
    </row>
    <row r="166" spans="2:10" ht="15" x14ac:dyDescent="0.25">
      <c r="B166" s="340" t="s">
        <v>217</v>
      </c>
      <c r="C166" s="337">
        <f>Ср!$M$2/1000</f>
        <v>0</v>
      </c>
      <c r="D166" s="312">
        <f>IF('Блок ввода'!T164=7,'Раскладка продуктов'!BC53,0)</f>
        <v>0</v>
      </c>
      <c r="E166" s="312"/>
      <c r="F166" s="312">
        <f>'Раскладка продуктов'!BC62</f>
        <v>0</v>
      </c>
      <c r="G166" s="314">
        <f>C166*D166</f>
        <v>0</v>
      </c>
      <c r="H166" s="315">
        <f>C166*E166</f>
        <v>0</v>
      </c>
      <c r="I166" s="316">
        <f t="shared" si="12"/>
        <v>0</v>
      </c>
      <c r="J166" s="362">
        <f>G166+H166+I166</f>
        <v>0</v>
      </c>
    </row>
    <row r="167" spans="2:10" ht="15" x14ac:dyDescent="0.25">
      <c r="B167" s="340" t="s">
        <v>150</v>
      </c>
      <c r="C167" s="337">
        <f>Ср!$M$2/1000</f>
        <v>0</v>
      </c>
      <c r="D167" s="312">
        <f>'Раскладка продуктов'!AT63</f>
        <v>0.2</v>
      </c>
      <c r="E167" s="312"/>
      <c r="F167" s="312"/>
      <c r="G167" s="314">
        <f t="shared" si="15"/>
        <v>0</v>
      </c>
      <c r="H167" s="315">
        <f t="shared" si="14"/>
        <v>0</v>
      </c>
      <c r="I167" s="316">
        <f t="shared" si="12"/>
        <v>0</v>
      </c>
      <c r="J167" s="362">
        <f t="shared" si="13"/>
        <v>0</v>
      </c>
    </row>
    <row r="168" spans="2:10" ht="15" x14ac:dyDescent="0.25">
      <c r="B168" s="340" t="s">
        <v>151</v>
      </c>
      <c r="C168" s="337">
        <f>Ср!$M$2/1000</f>
        <v>0</v>
      </c>
      <c r="D168" s="312">
        <f>'Раскладка продуктов'!AU63</f>
        <v>0.3</v>
      </c>
      <c r="E168" s="312"/>
      <c r="F168" s="312"/>
      <c r="G168" s="314">
        <f t="shared" si="15"/>
        <v>0</v>
      </c>
      <c r="H168" s="315">
        <f t="shared" si="14"/>
        <v>0</v>
      </c>
      <c r="I168" s="316">
        <f t="shared" si="12"/>
        <v>0</v>
      </c>
      <c r="J168" s="362">
        <f t="shared" si="13"/>
        <v>0</v>
      </c>
    </row>
    <row r="169" spans="2:10" ht="15" x14ac:dyDescent="0.25">
      <c r="B169" s="340" t="s">
        <v>152</v>
      </c>
      <c r="C169" s="337">
        <f>Ср!$M$2/1000</f>
        <v>0</v>
      </c>
      <c r="D169" s="312">
        <f>'Раскладка продуктов'!AW63</f>
        <v>0.5</v>
      </c>
      <c r="E169" s="312"/>
      <c r="F169" s="312"/>
      <c r="G169" s="314">
        <f t="shared" si="15"/>
        <v>0</v>
      </c>
      <c r="H169" s="315">
        <f t="shared" si="14"/>
        <v>0</v>
      </c>
      <c r="I169" s="316">
        <f t="shared" si="12"/>
        <v>0</v>
      </c>
      <c r="J169" s="362">
        <f t="shared" si="13"/>
        <v>0</v>
      </c>
    </row>
    <row r="170" spans="2:10" ht="15" x14ac:dyDescent="0.25">
      <c r="B170" s="310" t="str">
        <f>IF('Блок ввода'!$A$36=1,"УКСУСНАЯ ЭССЕНЦИЯ","УКСУС")</f>
        <v>УКСУС</v>
      </c>
      <c r="C170" s="337">
        <f>Ср!$M$2/1000</f>
        <v>0</v>
      </c>
      <c r="D170" s="312">
        <f>IF('Блок ввода'!$A$36=1,2/20,2)</f>
        <v>2</v>
      </c>
      <c r="E170" s="312"/>
      <c r="F170" s="312"/>
      <c r="G170" s="314">
        <f t="shared" si="15"/>
        <v>0</v>
      </c>
      <c r="H170" s="315">
        <f t="shared" si="14"/>
        <v>0</v>
      </c>
      <c r="I170" s="316">
        <f t="shared" si="12"/>
        <v>0</v>
      </c>
      <c r="J170" s="362">
        <f t="shared" si="13"/>
        <v>0</v>
      </c>
    </row>
    <row r="171" spans="2:10" ht="15" x14ac:dyDescent="0.25">
      <c r="B171" s="340" t="str">
        <f>IF('Блок ввода'!$A$39=1,"ТОМАТНЫЙ СОУС","ТОМАТНАЯ ПАСТА")</f>
        <v>ТОМАТНАЯ ПАСТА</v>
      </c>
      <c r="C171" s="337">
        <f>Ср!$M$2/1000</f>
        <v>0</v>
      </c>
      <c r="D171" s="312">
        <f>'Раскладка продуктов'!AS63</f>
        <v>6</v>
      </c>
      <c r="E171" s="312"/>
      <c r="F171" s="312"/>
      <c r="G171" s="314">
        <f t="shared" si="15"/>
        <v>0</v>
      </c>
      <c r="H171" s="315">
        <f t="shared" si="14"/>
        <v>0</v>
      </c>
      <c r="I171" s="316">
        <f t="shared" si="12"/>
        <v>0</v>
      </c>
      <c r="J171" s="362">
        <f t="shared" si="13"/>
        <v>0</v>
      </c>
    </row>
    <row r="172" spans="2:10" ht="15" x14ac:dyDescent="0.25">
      <c r="B172" s="340" t="s">
        <v>376</v>
      </c>
      <c r="C172" s="337">
        <f>Ср!$M$2/1000</f>
        <v>0</v>
      </c>
      <c r="D172" s="312"/>
      <c r="E172" s="312"/>
      <c r="F172" s="312"/>
      <c r="G172" s="314">
        <f t="shared" si="15"/>
        <v>0</v>
      </c>
      <c r="H172" s="315">
        <f t="shared" si="14"/>
        <v>0</v>
      </c>
      <c r="I172" s="316">
        <f t="shared" si="12"/>
        <v>0</v>
      </c>
      <c r="J172" s="362">
        <f t="shared" si="13"/>
        <v>0</v>
      </c>
    </row>
    <row r="173" spans="2:10" ht="15" x14ac:dyDescent="0.25">
      <c r="B173" s="340" t="s">
        <v>153</v>
      </c>
      <c r="C173" s="337">
        <f>Ср!$M$2/1000</f>
        <v>0</v>
      </c>
      <c r="D173" s="312"/>
      <c r="E173" s="312"/>
      <c r="F173" s="312"/>
      <c r="G173" s="314">
        <f t="shared" si="15"/>
        <v>0</v>
      </c>
      <c r="H173" s="315">
        <f t="shared" si="14"/>
        <v>0</v>
      </c>
      <c r="I173" s="316">
        <f t="shared" si="12"/>
        <v>0</v>
      </c>
      <c r="J173" s="362">
        <f t="shared" si="13"/>
        <v>0</v>
      </c>
    </row>
    <row r="174" spans="2:10" ht="15" x14ac:dyDescent="0.25">
      <c r="B174" s="310" t="str">
        <f>IF('Блок ввода'!$B$223=1,"ДРОЖЖИ СУШЕНЫЕ","ДРОЖЖИ ПРЕСОВАННЫЕ" )</f>
        <v>ДРОЖЖИ ПРЕСОВАННЫЕ</v>
      </c>
      <c r="C174" s="337">
        <f>Ср!$M$2/1000</f>
        <v>0</v>
      </c>
      <c r="D174" s="323">
        <f>'Раскладка продуктов'!BH53</f>
        <v>0</v>
      </c>
      <c r="E174" s="312"/>
      <c r="F174" s="323">
        <f>'Раскладка продуктов'!BH62</f>
        <v>0.5</v>
      </c>
      <c r="G174" s="314">
        <f t="shared" si="15"/>
        <v>0</v>
      </c>
      <c r="H174" s="315">
        <f t="shared" si="14"/>
        <v>0</v>
      </c>
      <c r="I174" s="316">
        <f t="shared" si="12"/>
        <v>0</v>
      </c>
      <c r="J174" s="362">
        <f t="shared" si="13"/>
        <v>0</v>
      </c>
    </row>
    <row r="175" spans="2:10" ht="15" x14ac:dyDescent="0.25">
      <c r="B175" s="340" t="s">
        <v>154</v>
      </c>
      <c r="C175" s="337">
        <f>Ср!$M$2/1000</f>
        <v>0</v>
      </c>
      <c r="D175" s="312">
        <f>'Раскладка продуктов'!AK51</f>
        <v>0</v>
      </c>
      <c r="E175" s="312">
        <f>'Раскладка продуктов'!AK54+('Раскладка продуктов'!AK55+'Раскладка продуктов'!AK56+'Раскладка продуктов'!AK57+'Раскладка продуктов'!AK58)/2</f>
        <v>52.5</v>
      </c>
      <c r="F175" s="312">
        <f>'Раскладка продуктов'!AK60</f>
        <v>400</v>
      </c>
      <c r="G175" s="314">
        <f t="shared" si="15"/>
        <v>0</v>
      </c>
      <c r="H175" s="315">
        <f t="shared" si="14"/>
        <v>0</v>
      </c>
      <c r="I175" s="316">
        <f t="shared" si="12"/>
        <v>0</v>
      </c>
      <c r="J175" s="362">
        <f t="shared" si="13"/>
        <v>0</v>
      </c>
    </row>
    <row r="176" spans="2:10" ht="15" x14ac:dyDescent="0.25">
      <c r="B176" s="340" t="s">
        <v>155</v>
      </c>
      <c r="C176" s="337">
        <f>Ср!$M$2/1000</f>
        <v>0</v>
      </c>
      <c r="D176" s="312">
        <f>'Раскладка продуктов'!AL51</f>
        <v>0</v>
      </c>
      <c r="E176" s="312">
        <f>'Раскладка продуктов'!AL54+('Раскладка продуктов'!AL55+'Раскладка продуктов'!AL56+'Раскладка продуктов'!AL57+'Раскладка продуктов'!AL58)/2</f>
        <v>177.5</v>
      </c>
      <c r="F176" s="312">
        <f>'Раскладка продуктов'!AL60</f>
        <v>0</v>
      </c>
      <c r="G176" s="314">
        <f t="shared" si="15"/>
        <v>0</v>
      </c>
      <c r="H176" s="315">
        <f t="shared" si="14"/>
        <v>0</v>
      </c>
      <c r="I176" s="316">
        <f t="shared" si="12"/>
        <v>0</v>
      </c>
      <c r="J176" s="362">
        <f t="shared" si="13"/>
        <v>0</v>
      </c>
    </row>
    <row r="177" spans="2:10" ht="15" x14ac:dyDescent="0.25">
      <c r="B177" s="340" t="s">
        <v>156</v>
      </c>
      <c r="C177" s="337">
        <f>Ср!$M$2/1000</f>
        <v>0</v>
      </c>
      <c r="D177" s="312"/>
      <c r="E177" s="312">
        <f>IF('Блок ввода'!E46=17,('Раскладка продуктов'!AM55+'Раскладка продуктов'!AM56+'Раскладка продуктов'!AM57+'Раскладка продуктов'!AM58)/2,'Раскладка продуктов'!AM54+('Раскладка продуктов'!AM55+'Раскладка продуктов'!AM56+'Раскладка продуктов'!AM57+'Раскладка продуктов'!AM58)/2)</f>
        <v>40</v>
      </c>
      <c r="F177" s="312"/>
      <c r="G177" s="314">
        <f t="shared" si="15"/>
        <v>0</v>
      </c>
      <c r="H177" s="315">
        <f t="shared" si="14"/>
        <v>0</v>
      </c>
      <c r="I177" s="316">
        <f t="shared" si="12"/>
        <v>0</v>
      </c>
      <c r="J177" s="362">
        <f t="shared" si="13"/>
        <v>0</v>
      </c>
    </row>
    <row r="178" spans="2:10" ht="15" x14ac:dyDescent="0.25">
      <c r="B178" s="340" t="s">
        <v>157</v>
      </c>
      <c r="C178" s="337">
        <f>Ср!$M$2/1000</f>
        <v>0</v>
      </c>
      <c r="D178" s="312">
        <f>'Раскладка продуктов'!AN51</f>
        <v>0</v>
      </c>
      <c r="E178" s="312">
        <f>'Раскладка продуктов'!AN54+('Раскладка продуктов'!AN55+'Раскладка продуктов'!AN56+'Раскладка продуктов'!AN57+'Раскладка продуктов'!AN58)/2</f>
        <v>30</v>
      </c>
      <c r="F178" s="312">
        <f>'Раскладка продуктов'!AN60</f>
        <v>15</v>
      </c>
      <c r="G178" s="314">
        <f t="shared" si="15"/>
        <v>0</v>
      </c>
      <c r="H178" s="315">
        <f t="shared" si="14"/>
        <v>0</v>
      </c>
      <c r="I178" s="316">
        <f t="shared" si="12"/>
        <v>0</v>
      </c>
      <c r="J178" s="362">
        <f t="shared" si="13"/>
        <v>0</v>
      </c>
    </row>
    <row r="179" spans="2:10" ht="15" x14ac:dyDescent="0.25">
      <c r="B179" s="340" t="str">
        <f>IF(AND('Блок ввода'!$A$37=TRUE,'Блок ввода'!$AA$35),"ЛУК - ПЕРО",IF(AND('Блок ввода'!$I$37=TRUE,'Блок ввода'!$AA$35),"ЛУК СУШЕНЫЙ","ЛУК РЕПЧАТЫЙ"))</f>
        <v>ЛУК РЕПЧАТЫЙ</v>
      </c>
      <c r="C179" s="337">
        <f>Ср!$M$2/1000</f>
        <v>0</v>
      </c>
      <c r="D179" s="312">
        <f>IF(AND('Блок ввода'!$A$37=TRUE,'Блок ввода'!AA35=TRUE),'Раскладка продуктов'!AO51*2,'Раскладка продуктов'!AO51)</f>
        <v>0</v>
      </c>
      <c r="E179" s="312">
        <f>IF(AND('Блок ввода'!$A$37=TRUE,'Блок ввода'!AA35=TRUE),('Раскладка продуктов'!AO54+'Раскладка продуктов'!AO59+('Раскладка продуктов'!AO55+'Раскладка продуктов'!AO56+'Раскладка продуктов'!AO57+'Раскладка продуктов'!AO58)/2)*2,('Раскладка продуктов'!AO54+('Раскладка продуктов'!AO55+'Раскладка продуктов'!AO56+'Раскладка продуктов'!AO57+'Раскладка продуктов'!AO58)/2+'Раскладка продуктов'!AO59))</f>
        <v>30</v>
      </c>
      <c r="F179" s="312">
        <f>IF(AND('Блок ввода'!$A$37=TRUE,'Блок ввода'!AA35=TRUE),'Раскладка продуктов'!AO60*2,'Раскладка продуктов'!AO60)</f>
        <v>10</v>
      </c>
      <c r="G179" s="314">
        <f t="shared" si="15"/>
        <v>0</v>
      </c>
      <c r="H179" s="315">
        <f t="shared" si="14"/>
        <v>0</v>
      </c>
      <c r="I179" s="316">
        <f t="shared" si="12"/>
        <v>0</v>
      </c>
      <c r="J179" s="362">
        <f t="shared" si="13"/>
        <v>0</v>
      </c>
    </row>
    <row r="180" spans="2:10" ht="15" x14ac:dyDescent="0.25">
      <c r="B180" s="346" t="str">
        <f>IF(OR('Блок ввода'!E46=15,'Блок ввода'!E46=21),"ОГУРЦЫ СВЕЖИЕ","ОГУРЦЫ СОЛЕНЫЕ")</f>
        <v>ОГУРЦЫ СОЛЕНЫЕ</v>
      </c>
      <c r="C180" s="337">
        <f>Ср!$M$2/1000</f>
        <v>0</v>
      </c>
      <c r="D180" s="312">
        <f>'Раскладка продуктов'!AP51</f>
        <v>0</v>
      </c>
      <c r="E180" s="312">
        <f>IF(OR('Блок ввода'!E46=10,'Блок ввода'!E46=13,'Блок ввода'!E46=18,'Блок ввода'!E46=19),('Раскладка продуктов'!AP55+'Раскладка продуктов'!AP56+'Раскладка продуктов'!AP57+'Раскладка продуктов'!AP58)/2,IF('Блок ввода'!E46=21,'Раскладка продуктов'!AP54/2,'Раскладка продуктов'!AP54+('Раскладка продуктов'!AP55+'Раскладка продуктов'!AP56+'Раскладка продуктов'!AP57+'Раскладка продуктов'!AP58)/2))</f>
        <v>25</v>
      </c>
      <c r="F180" s="312">
        <f>'Раскладка продуктов'!AP60</f>
        <v>0</v>
      </c>
      <c r="G180" s="314">
        <f t="shared" si="15"/>
        <v>0</v>
      </c>
      <c r="H180" s="315">
        <f t="shared" si="14"/>
        <v>0</v>
      </c>
      <c r="I180" s="316">
        <f t="shared" si="12"/>
        <v>0</v>
      </c>
      <c r="J180" s="362">
        <f t="shared" si="13"/>
        <v>0</v>
      </c>
    </row>
    <row r="181" spans="2:10" ht="15" x14ac:dyDescent="0.25">
      <c r="B181" s="340" t="str">
        <f>IF(OR('Блок ввода'!E46=19,'Блок ввода'!E46=21),"ПОМИДОРЫ СВЕЖИЕ","ПОМИДОРЫ СОЛЁНЫЕ")</f>
        <v>ПОМИДОРЫ СОЛЁНЫЕ</v>
      </c>
      <c r="C181" s="337">
        <f>Ср!$M$2/1000</f>
        <v>0</v>
      </c>
      <c r="D181" s="312"/>
      <c r="E181" s="312">
        <f>IF(OR('Блок ввода'!E46=10,'Блок ввода'!E46=19),'Раскладка продуктов'!AP54,IF('Блок ввода'!E46=21,'Раскладка продуктов'!AP54/2,0))</f>
        <v>0</v>
      </c>
      <c r="F181" s="312"/>
      <c r="G181" s="314">
        <f t="shared" si="15"/>
        <v>0</v>
      </c>
      <c r="H181" s="315">
        <f t="shared" si="14"/>
        <v>0</v>
      </c>
      <c r="I181" s="316">
        <f t="shared" si="12"/>
        <v>0</v>
      </c>
      <c r="J181" s="362">
        <f t="shared" si="13"/>
        <v>0</v>
      </c>
    </row>
    <row r="182" spans="2:10" ht="15" x14ac:dyDescent="0.25">
      <c r="B182" s="340" t="s">
        <v>227</v>
      </c>
      <c r="C182" s="337">
        <f>Ср!$M$2/1000</f>
        <v>0</v>
      </c>
      <c r="D182" s="312"/>
      <c r="E182" s="312">
        <f>IF(OR('Блок ввода'!E46=13,'Блок ввода'!E46=18),'Раскладка продуктов'!AP54,0)</f>
        <v>0</v>
      </c>
      <c r="F182" s="312"/>
      <c r="G182" s="314">
        <f>C182*D182</f>
        <v>0</v>
      </c>
      <c r="H182" s="315">
        <f>C182*E182</f>
        <v>0</v>
      </c>
      <c r="I182" s="316">
        <f>F182*C182</f>
        <v>0</v>
      </c>
      <c r="J182" s="362">
        <f>G182+H182+I182</f>
        <v>0</v>
      </c>
    </row>
    <row r="183" spans="2:10" ht="15" x14ac:dyDescent="0.25">
      <c r="B183" s="340" t="s">
        <v>158</v>
      </c>
      <c r="C183" s="337">
        <f>Ср!$M$2/1000</f>
        <v>0</v>
      </c>
      <c r="D183" s="312"/>
      <c r="E183" s="312">
        <f>IF('Блок ввода'!AA32=TRUE,0,IF('Раскладка продуктов'!AI59=20,20,0))</f>
        <v>0</v>
      </c>
      <c r="F183" s="312"/>
      <c r="G183" s="314">
        <f t="shared" si="15"/>
        <v>0</v>
      </c>
      <c r="H183" s="315">
        <f t="shared" si="14"/>
        <v>0</v>
      </c>
      <c r="I183" s="316">
        <f t="shared" si="12"/>
        <v>0</v>
      </c>
      <c r="J183" s="362">
        <f t="shared" si="13"/>
        <v>0</v>
      </c>
    </row>
    <row r="184" spans="2:10" ht="15" x14ac:dyDescent="0.25">
      <c r="B184" s="340" t="s">
        <v>159</v>
      </c>
      <c r="C184" s="337">
        <f>Ср!$M$2/1000</f>
        <v>0</v>
      </c>
      <c r="D184" s="312"/>
      <c r="E184" s="312">
        <f>IF(OR(E183&gt;0,E185&gt;0),0,30)</f>
        <v>30</v>
      </c>
      <c r="F184" s="312"/>
      <c r="G184" s="314">
        <f t="shared" si="15"/>
        <v>0</v>
      </c>
      <c r="H184" s="315">
        <f t="shared" si="14"/>
        <v>0</v>
      </c>
      <c r="I184" s="316">
        <f t="shared" si="12"/>
        <v>0</v>
      </c>
      <c r="J184" s="362">
        <f t="shared" si="13"/>
        <v>0</v>
      </c>
    </row>
    <row r="185" spans="2:10" ht="15" x14ac:dyDescent="0.25">
      <c r="B185" s="325" t="str">
        <f>IF('Блок ввода'!$Z$28=1,"ЯБЛОКИ СВЕЖИЕ",IF('Блок ввода'!$Z$28=2,"АПЕЛЬСИНЫ",IF('Блок ввода'!$Z$28=3,"МАНДАРИНЫ",IF('Блок ввода'!$Z$28=4,"ЯГОДЫ"))))</f>
        <v>АПЕЛЬСИНЫ</v>
      </c>
      <c r="C185" s="337">
        <f>Ср!$M$2/1000</f>
        <v>0</v>
      </c>
      <c r="D185" s="312"/>
      <c r="E185" s="312">
        <f>IF(AND('Блок ввода'!$AA$32,OR( 'Блок ввода'!R172=1,'Блок ввода'!R172=4)),100,0)</f>
        <v>0</v>
      </c>
      <c r="F185" s="312"/>
      <c r="G185" s="314">
        <f t="shared" si="15"/>
        <v>0</v>
      </c>
      <c r="H185" s="315">
        <f t="shared" si="14"/>
        <v>0</v>
      </c>
      <c r="I185" s="316">
        <f t="shared" si="12"/>
        <v>0</v>
      </c>
      <c r="J185" s="362">
        <f t="shared" si="13"/>
        <v>0</v>
      </c>
    </row>
    <row r="186" spans="2:10" ht="15" x14ac:dyDescent="0.25">
      <c r="B186" s="310" t="str">
        <f>IF('Блок ввода'!$A$35=TRUE,"АРБУЗ","СОК")</f>
        <v>СОК</v>
      </c>
      <c r="C186" s="337">
        <f>Ср!$M$2/1000</f>
        <v>0</v>
      </c>
      <c r="D186" s="312"/>
      <c r="E186" s="312">
        <f>'Раскладка продуктов'!BB59</f>
        <v>200</v>
      </c>
      <c r="F186" s="312"/>
      <c r="G186" s="314">
        <f t="shared" si="15"/>
        <v>0</v>
      </c>
      <c r="H186" s="315">
        <f t="shared" si="14"/>
        <v>0</v>
      </c>
      <c r="I186" s="316">
        <f t="shared" si="12"/>
        <v>0</v>
      </c>
      <c r="J186" s="362">
        <f t="shared" si="13"/>
        <v>0</v>
      </c>
    </row>
    <row r="187" spans="2:10" ht="15" x14ac:dyDescent="0.25">
      <c r="B187" s="340" t="s">
        <v>170</v>
      </c>
      <c r="C187" s="337">
        <f>Ср!$M$2/1000</f>
        <v>0</v>
      </c>
      <c r="D187" s="312">
        <f>IF('Блок ввода'!N158=1,'Раскладка продуктов'!BC53,0)</f>
        <v>0</v>
      </c>
      <c r="E187" s="312"/>
      <c r="F187" s="312">
        <f>'Раскладка продуктов'!BC62</f>
        <v>0</v>
      </c>
      <c r="G187" s="314">
        <f t="shared" si="15"/>
        <v>0</v>
      </c>
      <c r="H187" s="315">
        <f t="shared" si="14"/>
        <v>0</v>
      </c>
      <c r="I187" s="316">
        <f t="shared" si="12"/>
        <v>0</v>
      </c>
      <c r="J187" s="362">
        <f t="shared" si="13"/>
        <v>0</v>
      </c>
    </row>
    <row r="188" spans="2:10" ht="15" x14ac:dyDescent="0.25">
      <c r="B188" s="340" t="s">
        <v>196</v>
      </c>
      <c r="C188" s="337">
        <f>Ср!$M$2/1000</f>
        <v>0</v>
      </c>
      <c r="D188" s="312"/>
      <c r="E188" s="312">
        <f>'Раскладка продуктов'!BE59</f>
        <v>0</v>
      </c>
      <c r="F188" s="312"/>
      <c r="G188" s="314">
        <f t="shared" si="15"/>
        <v>0</v>
      </c>
      <c r="H188" s="315">
        <f t="shared" si="14"/>
        <v>0</v>
      </c>
      <c r="I188" s="316">
        <f t="shared" si="12"/>
        <v>0</v>
      </c>
      <c r="J188" s="362">
        <f t="shared" si="13"/>
        <v>0</v>
      </c>
    </row>
    <row r="189" spans="2:10" ht="15" x14ac:dyDescent="0.25">
      <c r="B189" s="340" t="s">
        <v>238</v>
      </c>
      <c r="C189" s="337">
        <f>Ср!$M$2/1000</f>
        <v>0</v>
      </c>
      <c r="D189" s="312"/>
      <c r="E189" s="312">
        <f>IF('Блок ввода'!E46=17,'Раскладка продуктов'!AM54,0)</f>
        <v>0</v>
      </c>
      <c r="F189" s="312"/>
      <c r="G189" s="314">
        <f t="shared" si="15"/>
        <v>0</v>
      </c>
      <c r="H189" s="315">
        <f t="shared" si="14"/>
        <v>0</v>
      </c>
      <c r="I189" s="316">
        <f t="shared" si="12"/>
        <v>0</v>
      </c>
      <c r="J189" s="362">
        <f t="shared" si="13"/>
        <v>0</v>
      </c>
    </row>
    <row r="190" spans="2:10" ht="15" x14ac:dyDescent="0.25">
      <c r="B190" s="347"/>
      <c r="C190" s="337">
        <f>Ср!$M$2/1000</f>
        <v>0</v>
      </c>
      <c r="D190" s="312"/>
      <c r="E190" s="312"/>
      <c r="F190" s="312"/>
      <c r="G190" s="314">
        <f>C190*D190</f>
        <v>0</v>
      </c>
      <c r="H190" s="315">
        <f>C190*E190</f>
        <v>0</v>
      </c>
      <c r="I190" s="316">
        <f>F190*C190</f>
        <v>0</v>
      </c>
      <c r="J190" s="362">
        <f>G190+H190+I190</f>
        <v>0</v>
      </c>
    </row>
    <row r="191" spans="2:10" ht="15" x14ac:dyDescent="0.25">
      <c r="B191" s="347"/>
      <c r="C191" s="337">
        <f>Ср!$M$2/1000</f>
        <v>0</v>
      </c>
      <c r="D191" s="312"/>
      <c r="E191" s="312"/>
      <c r="F191" s="312"/>
      <c r="G191" s="314">
        <f>C191*D191</f>
        <v>0</v>
      </c>
      <c r="H191" s="315">
        <f>C191*E191</f>
        <v>0</v>
      </c>
      <c r="I191" s="316">
        <f>F191*C191</f>
        <v>0</v>
      </c>
      <c r="J191" s="362">
        <f>G191+H191+I191</f>
        <v>0</v>
      </c>
    </row>
    <row r="192" spans="2:10" ht="15" x14ac:dyDescent="0.25">
      <c r="B192" s="340" t="s">
        <v>250</v>
      </c>
      <c r="C192" s="337">
        <f>Ср!$M$2/1000</f>
        <v>0</v>
      </c>
      <c r="D192" s="312"/>
      <c r="E192" s="312">
        <f>'Раскладка продуктов'!BD59</f>
        <v>0</v>
      </c>
      <c r="F192" s="312"/>
      <c r="G192" s="314">
        <f t="shared" si="15"/>
        <v>0</v>
      </c>
      <c r="H192" s="315">
        <f t="shared" si="14"/>
        <v>0</v>
      </c>
      <c r="I192" s="316">
        <f t="shared" si="12"/>
        <v>0</v>
      </c>
      <c r="J192" s="362">
        <f t="shared" si="13"/>
        <v>0</v>
      </c>
    </row>
    <row r="193" spans="2:10" ht="15" x14ac:dyDescent="0.25">
      <c r="B193" s="348" t="s">
        <v>258</v>
      </c>
      <c r="C193" s="337">
        <f>Ср!$M$2/1000</f>
        <v>0</v>
      </c>
      <c r="D193" s="312"/>
      <c r="E193" s="323">
        <f>IF('Блок ввода'!$B$38=1,1,0)</f>
        <v>0</v>
      </c>
      <c r="F193" s="312"/>
      <c r="G193" s="314">
        <f t="shared" si="15"/>
        <v>0</v>
      </c>
      <c r="H193" s="315">
        <f t="shared" si="14"/>
        <v>0</v>
      </c>
      <c r="I193" s="316">
        <f t="shared" si="12"/>
        <v>0</v>
      </c>
      <c r="J193" s="362">
        <f t="shared" si="13"/>
        <v>0</v>
      </c>
    </row>
    <row r="194" spans="2:10" ht="15" x14ac:dyDescent="0.25">
      <c r="B194" s="348" t="s">
        <v>263</v>
      </c>
      <c r="C194" s="337">
        <f>Ср!$M$2/1000</f>
        <v>0</v>
      </c>
      <c r="D194" s="312">
        <f>'Раскладка продуктов'!BG51</f>
        <v>0</v>
      </c>
      <c r="E194" s="323">
        <f>IF('Блок ввода'!$B$38=TRUE,1,0)</f>
        <v>0</v>
      </c>
      <c r="F194" s="312"/>
      <c r="G194" s="314">
        <f>C194*D194</f>
        <v>0</v>
      </c>
      <c r="H194" s="315">
        <f>C194*E194</f>
        <v>0</v>
      </c>
      <c r="I194" s="316">
        <f>F194*C194</f>
        <v>0</v>
      </c>
      <c r="J194" s="362">
        <f>G194+H194+I194</f>
        <v>0</v>
      </c>
    </row>
    <row r="195" spans="2:10" ht="15.75" thickBot="1" x14ac:dyDescent="0.3">
      <c r="B195" s="348" t="s">
        <v>266</v>
      </c>
      <c r="C195" s="337">
        <f>Ср!$M$2/1000</f>
        <v>0</v>
      </c>
      <c r="D195" s="312"/>
      <c r="E195" s="323">
        <f>('Раскладка продуктов'!BF55+'Раскладка продуктов'!BF56)/2</f>
        <v>0</v>
      </c>
      <c r="F195" s="312"/>
      <c r="G195" s="314">
        <f>C195*D195</f>
        <v>0</v>
      </c>
      <c r="H195" s="315">
        <f>C195*E195</f>
        <v>0</v>
      </c>
      <c r="I195" s="316">
        <f>F195*C195</f>
        <v>0</v>
      </c>
      <c r="J195" s="362">
        <f>G195+H195+I195</f>
        <v>0</v>
      </c>
    </row>
    <row r="196" spans="2:10" ht="27" thickBot="1" x14ac:dyDescent="0.45">
      <c r="B196" s="1543" t="s">
        <v>97</v>
      </c>
      <c r="C196" s="1543"/>
      <c r="D196" s="1543"/>
      <c r="E196" s="1543"/>
      <c r="F196" s="1543"/>
      <c r="G196" s="1543"/>
      <c r="H196" s="1543"/>
      <c r="I196" s="1543"/>
      <c r="J196" s="1543"/>
    </row>
    <row r="197" spans="2:10" ht="24" thickBot="1" x14ac:dyDescent="0.4">
      <c r="B197" s="298" t="s">
        <v>122</v>
      </c>
      <c r="C197" s="299"/>
      <c r="D197" s="300" t="s">
        <v>123</v>
      </c>
      <c r="E197" s="298" t="s">
        <v>124</v>
      </c>
      <c r="F197" s="298" t="s">
        <v>125</v>
      </c>
      <c r="G197" s="300" t="s">
        <v>126</v>
      </c>
      <c r="H197" s="300" t="s">
        <v>127</v>
      </c>
      <c r="I197" s="300" t="s">
        <v>128</v>
      </c>
      <c r="J197" s="360" t="s">
        <v>129</v>
      </c>
    </row>
    <row r="198" spans="2:10" ht="15" x14ac:dyDescent="0.25">
      <c r="B198" s="303" t="s">
        <v>391</v>
      </c>
      <c r="C198" s="337">
        <f>Чт!$M$2/1000</f>
        <v>0</v>
      </c>
      <c r="D198" s="312">
        <f>'Раскладка продуктов'!K66</f>
        <v>100</v>
      </c>
      <c r="E198" s="312">
        <f>'Раскладка продуктов'!K72</f>
        <v>100</v>
      </c>
      <c r="F198" s="313">
        <f>'Раскладка продуктов'!K75</f>
        <v>100</v>
      </c>
      <c r="G198" s="338">
        <f>D198*C198</f>
        <v>0</v>
      </c>
      <c r="H198" s="339">
        <f t="shared" ref="H198:H206" si="16">C198*E198</f>
        <v>0</v>
      </c>
      <c r="I198" s="316">
        <f>F198*C198</f>
        <v>0</v>
      </c>
      <c r="J198" s="366">
        <f>G198+H198+I198</f>
        <v>0</v>
      </c>
    </row>
    <row r="199" spans="2:10" ht="15" x14ac:dyDescent="0.25">
      <c r="B199" s="340" t="str">
        <f>$B$4</f>
        <v>ХЛЕБ ИЗ МУКИ ПШ. 1 С.</v>
      </c>
      <c r="C199" s="337">
        <f>Чт!$M$2/1000</f>
        <v>0</v>
      </c>
      <c r="D199" s="312">
        <f>'Раскладка продуктов'!L66</f>
        <v>150</v>
      </c>
      <c r="E199" s="312">
        <f>'Раскладка продуктов'!L72</f>
        <v>150</v>
      </c>
      <c r="F199" s="313">
        <f>'Раскладка продуктов'!L75</f>
        <v>50</v>
      </c>
      <c r="G199" s="314">
        <f t="shared" ref="G199:G225" si="17">C199*D199</f>
        <v>0</v>
      </c>
      <c r="H199" s="315">
        <f t="shared" si="16"/>
        <v>0</v>
      </c>
      <c r="I199" s="316">
        <f t="shared" ref="I199:I258" si="18">F199*C199</f>
        <v>0</v>
      </c>
      <c r="J199" s="362">
        <f t="shared" ref="J199:J258" si="19">G199+H199+I199</f>
        <v>0</v>
      </c>
    </row>
    <row r="200" spans="2:10" ht="15" x14ac:dyDescent="0.25">
      <c r="B200" s="310" t="s">
        <v>425</v>
      </c>
      <c r="C200" s="337">
        <f>Чт!$M$2/1000</f>
        <v>0</v>
      </c>
      <c r="D200" s="312"/>
      <c r="E200" s="312">
        <f>'Раскладка продуктов'!M72</f>
        <v>0</v>
      </c>
      <c r="F200" s="313"/>
      <c r="G200" s="314">
        <f t="shared" si="17"/>
        <v>0</v>
      </c>
      <c r="H200" s="315">
        <f t="shared" si="16"/>
        <v>0</v>
      </c>
      <c r="I200" s="316">
        <f t="shared" si="18"/>
        <v>0</v>
      </c>
      <c r="J200" s="362">
        <f t="shared" si="19"/>
        <v>0</v>
      </c>
    </row>
    <row r="201" spans="2:10" ht="15" x14ac:dyDescent="0.25">
      <c r="B201" s="310" t="s">
        <v>404</v>
      </c>
      <c r="C201" s="337">
        <f>Чт!$M$2/1000</f>
        <v>0</v>
      </c>
      <c r="D201" s="312">
        <f>'Раскладка продуктов'!O66</f>
        <v>0</v>
      </c>
      <c r="E201" s="312">
        <f>'Раскладка продуктов'!O72</f>
        <v>0</v>
      </c>
      <c r="F201" s="312">
        <f>'Раскладка продуктов'!O75+'Раскладка продуктов'!O74</f>
        <v>0</v>
      </c>
      <c r="G201" s="314">
        <f t="shared" si="17"/>
        <v>0</v>
      </c>
      <c r="H201" s="315">
        <f t="shared" si="16"/>
        <v>0</v>
      </c>
      <c r="I201" s="316">
        <f t="shared" si="18"/>
        <v>0</v>
      </c>
      <c r="J201" s="362">
        <f t="shared" si="19"/>
        <v>0</v>
      </c>
    </row>
    <row r="202" spans="2:10" ht="15" x14ac:dyDescent="0.25">
      <c r="B202" s="317" t="str">
        <f>IF('Блок ввода'!$H$26=1,"МУКА ПШЕНИЧНАЯ 1 С.","МУКА ПШЕНИЧНАЯ 2 С.")</f>
        <v>МУКА ПШЕНИЧНАЯ 1 С.</v>
      </c>
      <c r="C202" s="337">
        <f>Чт!$M$2/1000</f>
        <v>0</v>
      </c>
      <c r="D202" s="312">
        <f>'Раскладка продуктов'!N64</f>
        <v>6.5</v>
      </c>
      <c r="E202" s="312">
        <f>('Раскладка продуктов'!N68+'Раскладка продуктов'!N69+'Раскладка продуктов'!N70+'Раскладка продуктов'!N71)/2</f>
        <v>4</v>
      </c>
      <c r="F202" s="312">
        <f>'Раскладка продуктов'!N73</f>
        <v>2</v>
      </c>
      <c r="G202" s="314">
        <f t="shared" si="17"/>
        <v>0</v>
      </c>
      <c r="H202" s="315">
        <f t="shared" si="16"/>
        <v>0</v>
      </c>
      <c r="I202" s="316">
        <f t="shared" si="18"/>
        <v>0</v>
      </c>
      <c r="J202" s="362">
        <f t="shared" si="19"/>
        <v>0</v>
      </c>
    </row>
    <row r="203" spans="2:10" ht="15" x14ac:dyDescent="0.25">
      <c r="B203" s="340" t="s">
        <v>132</v>
      </c>
      <c r="C203" s="337">
        <f>Чт!$M$2/1000</f>
        <v>0</v>
      </c>
      <c r="D203" s="312">
        <f>'Раскладка продуктов'!P64</f>
        <v>0</v>
      </c>
      <c r="E203" s="312">
        <f>('Раскладка продуктов'!P68+'Раскладка продуктов'!P69+'Раскладка продуктов'!P70+'Раскладка продуктов'!P71)/2</f>
        <v>0</v>
      </c>
      <c r="F203" s="312">
        <f>'Раскладка продуктов'!P73</f>
        <v>0</v>
      </c>
      <c r="G203" s="314">
        <f t="shared" si="17"/>
        <v>0</v>
      </c>
      <c r="H203" s="315">
        <f t="shared" si="16"/>
        <v>0</v>
      </c>
      <c r="I203" s="316">
        <f t="shared" si="18"/>
        <v>0</v>
      </c>
      <c r="J203" s="362">
        <f t="shared" si="19"/>
        <v>0</v>
      </c>
    </row>
    <row r="204" spans="2:10" ht="15" x14ac:dyDescent="0.25">
      <c r="B204" s="341" t="s">
        <v>133</v>
      </c>
      <c r="C204" s="337">
        <f>Чт!$M$2/1000</f>
        <v>0</v>
      </c>
      <c r="D204" s="312">
        <f>'Раскладка продуктов'!Q64</f>
        <v>0</v>
      </c>
      <c r="E204" s="312">
        <f>('Раскладка продуктов'!Q68+'Раскладка продуктов'!Q69+'Раскладка продуктов'!Q70+'Раскладка продуктов'!Q71)/2</f>
        <v>0</v>
      </c>
      <c r="F204" s="312">
        <f>'Раскладка продуктов'!Q73</f>
        <v>0</v>
      </c>
      <c r="G204" s="314">
        <f t="shared" si="17"/>
        <v>0</v>
      </c>
      <c r="H204" s="315">
        <f t="shared" si="16"/>
        <v>0</v>
      </c>
      <c r="I204" s="316">
        <f t="shared" si="18"/>
        <v>0</v>
      </c>
      <c r="J204" s="362">
        <f t="shared" si="19"/>
        <v>0</v>
      </c>
    </row>
    <row r="205" spans="2:10" ht="15" x14ac:dyDescent="0.25">
      <c r="B205" s="340" t="s">
        <v>134</v>
      </c>
      <c r="C205" s="337">
        <f>Чт!$M$2/1000</f>
        <v>0</v>
      </c>
      <c r="D205" s="312">
        <f>'Раскладка продуктов'!R64</f>
        <v>0</v>
      </c>
      <c r="E205" s="312">
        <f>'Раскладка продуктов'!R67+('Раскладка продуктов'!R68+'Раскладка продуктов'!R69+'Раскладка продуктов'!R70+'Раскладка продуктов'!R71)/2</f>
        <v>0</v>
      </c>
      <c r="F205" s="312">
        <f>'Раскладка продуктов'!R73</f>
        <v>0</v>
      </c>
      <c r="G205" s="314">
        <f t="shared" si="17"/>
        <v>0</v>
      </c>
      <c r="H205" s="315">
        <f t="shared" si="16"/>
        <v>0</v>
      </c>
      <c r="I205" s="316">
        <f t="shared" si="18"/>
        <v>0</v>
      </c>
      <c r="J205" s="362">
        <f t="shared" si="19"/>
        <v>0</v>
      </c>
    </row>
    <row r="206" spans="2:10" ht="15" x14ac:dyDescent="0.25">
      <c r="B206" s="341" t="s">
        <v>135</v>
      </c>
      <c r="C206" s="337">
        <f>Чт!$M$2/1000</f>
        <v>0</v>
      </c>
      <c r="D206" s="312">
        <f>'Раскладка продуктов'!V64</f>
        <v>85</v>
      </c>
      <c r="E206" s="312">
        <f>('Раскладка продуктов'!V68+'Раскладка продуктов'!V69+'Раскладка продуктов'!V70+'Раскладка продуктов'!V71)/2</f>
        <v>35.5</v>
      </c>
      <c r="F206" s="312">
        <f>'Раскладка продуктов'!V73</f>
        <v>0</v>
      </c>
      <c r="G206" s="314">
        <f t="shared" si="17"/>
        <v>0</v>
      </c>
      <c r="H206" s="315">
        <f t="shared" si="16"/>
        <v>0</v>
      </c>
      <c r="I206" s="316">
        <f t="shared" si="18"/>
        <v>0</v>
      </c>
      <c r="J206" s="362">
        <f t="shared" si="19"/>
        <v>0</v>
      </c>
    </row>
    <row r="207" spans="2:10" ht="15" x14ac:dyDescent="0.25">
      <c r="B207" s="340" t="s">
        <v>136</v>
      </c>
      <c r="C207" s="337">
        <f>Чт!$M$2/1000</f>
        <v>0</v>
      </c>
      <c r="D207" s="312">
        <f>'Раскладка продуктов'!U64</f>
        <v>0</v>
      </c>
      <c r="E207" s="312">
        <f>('Раскладка продуктов'!U68+'Раскладка продуктов'!U69+'Раскладка продуктов'!U70+'Раскладка продуктов'!U71)/2</f>
        <v>15</v>
      </c>
      <c r="F207" s="312">
        <f>'Раскладка продуктов'!U73</f>
        <v>80</v>
      </c>
      <c r="G207" s="314">
        <f t="shared" si="17"/>
        <v>0</v>
      </c>
      <c r="H207" s="315">
        <f t="shared" ref="H207:H258" si="20">C207*E207</f>
        <v>0</v>
      </c>
      <c r="I207" s="316">
        <f t="shared" si="18"/>
        <v>0</v>
      </c>
      <c r="J207" s="362">
        <f t="shared" si="19"/>
        <v>0</v>
      </c>
    </row>
    <row r="208" spans="2:10" ht="15" x14ac:dyDescent="0.25">
      <c r="B208" s="341" t="s">
        <v>137</v>
      </c>
      <c r="C208" s="337">
        <f>Чт!$M$2/1000</f>
        <v>0</v>
      </c>
      <c r="D208" s="312">
        <f>'Раскладка продуктов'!S64</f>
        <v>0</v>
      </c>
      <c r="E208" s="312">
        <f>('Раскладка продуктов'!S68+'Раскладка продуктов'!S69+'Раскладка продуктов'!S70+'Раскладка продуктов'!S71)/2</f>
        <v>0</v>
      </c>
      <c r="F208" s="312">
        <f>'Раскладка продуктов'!S73</f>
        <v>0</v>
      </c>
      <c r="G208" s="314">
        <f t="shared" si="17"/>
        <v>0</v>
      </c>
      <c r="H208" s="315">
        <f t="shared" si="20"/>
        <v>0</v>
      </c>
      <c r="I208" s="316">
        <f t="shared" si="18"/>
        <v>0</v>
      </c>
      <c r="J208" s="362">
        <f t="shared" si="19"/>
        <v>0</v>
      </c>
    </row>
    <row r="209" spans="2:15" ht="15" x14ac:dyDescent="0.25">
      <c r="B209" s="340" t="str">
        <f>IF('Блок ввода'!$B$213=2,"КОНЦЕНТРАТ КРУПЯНОЙ","КРУПА ОВСЯНАЯ")</f>
        <v>КРУПА ОВСЯНАЯ</v>
      </c>
      <c r="C209" s="337">
        <f>Чт!$M$2/1000</f>
        <v>0</v>
      </c>
      <c r="D209" s="312">
        <f>'Раскладка продуктов'!W64</f>
        <v>0</v>
      </c>
      <c r="E209" s="312">
        <f>('Раскладка продуктов'!W68+'Раскладка продуктов'!W69+'Раскладка продуктов'!W70+'Раскладка продуктов'!W71)/2</f>
        <v>0</v>
      </c>
      <c r="F209" s="312">
        <f>'Раскладка продуктов'!W73</f>
        <v>0</v>
      </c>
      <c r="G209" s="314">
        <f t="shared" si="17"/>
        <v>0</v>
      </c>
      <c r="H209" s="315">
        <f t="shared" si="20"/>
        <v>0</v>
      </c>
      <c r="I209" s="316">
        <f t="shared" si="18"/>
        <v>0</v>
      </c>
      <c r="J209" s="362">
        <f t="shared" si="19"/>
        <v>0</v>
      </c>
    </row>
    <row r="210" spans="2:15" ht="15" x14ac:dyDescent="0.25">
      <c r="B210" s="340" t="s">
        <v>169</v>
      </c>
      <c r="C210" s="337">
        <f>Чт!$M$2/1000</f>
        <v>0</v>
      </c>
      <c r="D210" s="312">
        <f>'Раскладка продуктов'!T64</f>
        <v>0</v>
      </c>
      <c r="E210" s="312">
        <f>('Раскладка продуктов'!T68+'Раскладка продуктов'!T69+'Раскладка продуктов'!T70+'Раскладка продуктов'!T71)/2</f>
        <v>35.5</v>
      </c>
      <c r="F210" s="312">
        <f>'Раскладка продуктов'!T73</f>
        <v>0</v>
      </c>
      <c r="G210" s="314">
        <f t="shared" si="17"/>
        <v>0</v>
      </c>
      <c r="H210" s="315">
        <f t="shared" si="20"/>
        <v>0</v>
      </c>
      <c r="I210" s="316">
        <f t="shared" si="18"/>
        <v>0</v>
      </c>
      <c r="J210" s="362">
        <f t="shared" si="19"/>
        <v>0</v>
      </c>
    </row>
    <row r="211" spans="2:15" ht="15" x14ac:dyDescent="0.25">
      <c r="B211" s="340" t="s">
        <v>138</v>
      </c>
      <c r="C211" s="337">
        <f>Чт!$M$2/1000</f>
        <v>0</v>
      </c>
      <c r="D211" s="312">
        <f>'Раскладка продуктов'!X64</f>
        <v>0</v>
      </c>
      <c r="E211" s="312">
        <f>('Раскладка продуктов'!X68+'Раскладка продуктов'!X69+'Раскладка продуктов'!X70+'Раскладка продуктов'!X71)/2</f>
        <v>0</v>
      </c>
      <c r="F211" s="312">
        <f>'Раскладка продуктов'!X73</f>
        <v>0</v>
      </c>
      <c r="G211" s="314">
        <f t="shared" si="17"/>
        <v>0</v>
      </c>
      <c r="H211" s="315">
        <f t="shared" si="20"/>
        <v>0</v>
      </c>
      <c r="I211" s="316">
        <f t="shared" si="18"/>
        <v>0</v>
      </c>
      <c r="J211" s="362">
        <f t="shared" si="19"/>
        <v>0</v>
      </c>
    </row>
    <row r="212" spans="2:15" ht="15" x14ac:dyDescent="0.25">
      <c r="B212" s="342" t="s">
        <v>431</v>
      </c>
      <c r="C212" s="337">
        <f>Чт!$M$2/1000</f>
        <v>0</v>
      </c>
      <c r="D212" s="312">
        <f>IF(OR(D213&gt;0,D215&gt;0,'Блок ввода'!E168=29),0,'Раскладка продуктов'!Y64)</f>
        <v>100</v>
      </c>
      <c r="E212" s="312">
        <f>IF(AND(AND('Блок ввода'!W180&lt;&gt;17,'Блок ввода'!W185&lt;&gt;18),AND('Блок ввода'!W180&lt;&gt;18,'Блок ввода'!W185&lt;&gt;17)),('Раскладка продуктов'!Y70+'Раскладка продуктов'!Y71)/2,IF(OR(AND('Блок ввода'!W180=17,'Блок ввода'!W185=18),AND('Блок ввода'!W180=18,'Блок ввода'!W185=17),AND('Блок ввода'!W180=17,'Блок ввода'!W185=17),AND('Блок ввода'!W180=18,'Блок ввода'!W185=18),OR('Блок ввода'!W180=19,'Блок ввода'!W185=19)),0,('Раскладка продуктов'!Y70+'Раскладка продуктов'!Y71)/4))</f>
        <v>150</v>
      </c>
      <c r="F212" s="312">
        <f>'Раскладка продуктов'!Y73</f>
        <v>0</v>
      </c>
      <c r="G212" s="314">
        <f t="shared" si="17"/>
        <v>0</v>
      </c>
      <c r="H212" s="315">
        <f t="shared" si="20"/>
        <v>0</v>
      </c>
      <c r="I212" s="316">
        <f t="shared" si="18"/>
        <v>0</v>
      </c>
      <c r="J212" s="362">
        <f t="shared" si="19"/>
        <v>0</v>
      </c>
      <c r="L212" s="297"/>
      <c r="N212" s="297"/>
      <c r="O212" s="297"/>
    </row>
    <row r="213" spans="2:15" ht="15" x14ac:dyDescent="0.25">
      <c r="B213" s="340" t="s">
        <v>139</v>
      </c>
      <c r="C213" s="337">
        <f>Чт!$M$2/1000</f>
        <v>0</v>
      </c>
      <c r="D213" s="312">
        <f>IF(OR('Блок ввода'!$E$168=17,'Блок ввода'!$E$168=18),100,0)</f>
        <v>0</v>
      </c>
      <c r="E213" s="312">
        <f>IF(OR(AND('Блок ввода'!W180=17,'Блок ввода'!W185=18),AND('Блок ввода'!W180=18,'Блок ввода'!W185=17),AND('Блок ввода'!W180=17,'Блок ввода'!W185=17),AND('Блок ввода'!W180=18,'Блок ввода'!W185=18)),('Раскладка продуктов'!Y70+'Раскладка продуктов'!Y71)/2,IF(OR(AND('Блок ввода'!W180=17,'Блок ввода'!W185&lt;&gt;18),AND('Блок ввода'!W180=18,'Блок ввода'!W185&lt;&gt;17),AND('Блок ввода'!W180&lt;&gt;18,'Блок ввода'!W185=17),AND('Блок ввода'!W180&lt;&gt;17,'Блок ввода'!W185=18)),IF(OR('Блок ввода'!W180=19,'Блок ввода'!W185=19),('Раскладка продуктов'!Y70+'Раскладка продуктов'!Y71)/2,('Раскладка продуктов'!Y70+'Раскладка продуктов'!Y71)/4),0))</f>
        <v>0</v>
      </c>
      <c r="F213" s="312"/>
      <c r="G213" s="314">
        <f t="shared" si="17"/>
        <v>0</v>
      </c>
      <c r="H213" s="315">
        <f t="shared" si="20"/>
        <v>0</v>
      </c>
      <c r="I213" s="316">
        <f t="shared" si="18"/>
        <v>0</v>
      </c>
      <c r="J213" s="362">
        <f t="shared" si="19"/>
        <v>0</v>
      </c>
      <c r="L213" s="297"/>
      <c r="N213" s="297"/>
      <c r="O213" s="297"/>
    </row>
    <row r="214" spans="2:15" ht="15" x14ac:dyDescent="0.25">
      <c r="B214" s="341" t="s">
        <v>140</v>
      </c>
      <c r="C214" s="337">
        <f>Чт!$M$2/1000</f>
        <v>0</v>
      </c>
      <c r="D214" s="312"/>
      <c r="E214" s="312"/>
      <c r="F214" s="312"/>
      <c r="G214" s="314">
        <f t="shared" si="17"/>
        <v>0</v>
      </c>
      <c r="H214" s="315">
        <f t="shared" si="20"/>
        <v>0</v>
      </c>
      <c r="I214" s="316">
        <f t="shared" si="18"/>
        <v>0</v>
      </c>
      <c r="J214" s="362">
        <f t="shared" si="19"/>
        <v>0</v>
      </c>
      <c r="L214" s="297"/>
      <c r="N214" s="297"/>
      <c r="O214" s="297"/>
    </row>
    <row r="215" spans="2:15" ht="15" x14ac:dyDescent="0.25">
      <c r="B215" s="349" t="s">
        <v>184</v>
      </c>
      <c r="C215" s="337">
        <f>Чт!$M$2/1000</f>
        <v>0</v>
      </c>
      <c r="D215" s="312">
        <f>'Раскладка продуктов'!Z64</f>
        <v>0</v>
      </c>
      <c r="E215" s="312">
        <f>('Раскладка продуктов'!Z70+'Раскладка продуктов'!Z71)/2</f>
        <v>0</v>
      </c>
      <c r="F215" s="312">
        <f>'Раскладка продуктов'!Z73</f>
        <v>0</v>
      </c>
      <c r="G215" s="314">
        <f>C215*D215</f>
        <v>0</v>
      </c>
      <c r="H215" s="315">
        <f>C215*E215</f>
        <v>0</v>
      </c>
      <c r="I215" s="316">
        <f>F215*C215</f>
        <v>0</v>
      </c>
      <c r="J215" s="362">
        <f>G215+H215+I215</f>
        <v>0</v>
      </c>
      <c r="L215" s="297"/>
      <c r="N215" s="297"/>
      <c r="O215" s="297"/>
    </row>
    <row r="216" spans="2:15" ht="15" x14ac:dyDescent="0.25">
      <c r="B216" s="340" t="str">
        <f>IF(AND('Блок ввода'!$AB$38=1,'Блок ввода'!E173&lt;&gt;26),"РЫБА С ГОЛОВОЙ",IF('Блок ввода'!E173=26,"СЕЛЬДЬ СОЛ. БЕЗ ГОЛОВЫ","РЫБА БЕЗ ГОЛОВЫ/СЕЛЬДЬ С ГОЛ."))</f>
        <v>РЫБА БЕЗ ГОЛОВЫ/СЕЛЬДЬ С ГОЛ.</v>
      </c>
      <c r="C216" s="337">
        <f>Чт!$M$2/1000</f>
        <v>0</v>
      </c>
      <c r="D216" s="312">
        <f>'Раскладка продуктов'!$AB$64</f>
        <v>0</v>
      </c>
      <c r="E216" s="312">
        <f>'Раскладка продуктов'!AB67</f>
        <v>30</v>
      </c>
      <c r="F216" s="312">
        <f>'Раскладка продуктов'!AB73</f>
        <v>90</v>
      </c>
      <c r="G216" s="314">
        <f t="shared" si="17"/>
        <v>0</v>
      </c>
      <c r="H216" s="315">
        <f t="shared" si="20"/>
        <v>0</v>
      </c>
      <c r="I216" s="316">
        <f t="shared" si="18"/>
        <v>0</v>
      </c>
      <c r="J216" s="362">
        <f t="shared" si="19"/>
        <v>0</v>
      </c>
    </row>
    <row r="217" spans="2:15" ht="15" x14ac:dyDescent="0.25">
      <c r="B217" s="310" t="str">
        <f>UPPER('Блок ввода'!$B$157)</f>
        <v xml:space="preserve">КОНС. РЫБНЫЕ - КИЛЬКА В ТОМ. СОУСЕ  </v>
      </c>
      <c r="C217" s="337">
        <f>Чт!$M$2/1000</f>
        <v>0</v>
      </c>
      <c r="D217" s="312">
        <f>'Раскладка продуктов'!$AC$64</f>
        <v>0</v>
      </c>
      <c r="E217" s="312"/>
      <c r="F217" s="312">
        <f>'Раскладка продуктов'!AC73</f>
        <v>0</v>
      </c>
      <c r="G217" s="314">
        <f t="shared" si="17"/>
        <v>0</v>
      </c>
      <c r="H217" s="315">
        <f t="shared" si="20"/>
        <v>0</v>
      </c>
      <c r="I217" s="316">
        <f t="shared" si="18"/>
        <v>0</v>
      </c>
      <c r="J217" s="362">
        <f t="shared" si="19"/>
        <v>0</v>
      </c>
    </row>
    <row r="218" spans="2:15" ht="15" x14ac:dyDescent="0.25">
      <c r="B218" s="341" t="s">
        <v>141</v>
      </c>
      <c r="C218" s="337">
        <f>Чт!$M$2/1000</f>
        <v>0</v>
      </c>
      <c r="D218" s="312">
        <f>'Раскладка продуктов'!AF64</f>
        <v>3</v>
      </c>
      <c r="E218" s="312">
        <f>'Раскладка продуктов'!AF67</f>
        <v>12</v>
      </c>
      <c r="F218" s="312">
        <f>'Раскладка продуктов'!AF73</f>
        <v>15</v>
      </c>
      <c r="G218" s="314">
        <f t="shared" si="17"/>
        <v>0</v>
      </c>
      <c r="H218" s="315">
        <f t="shared" si="20"/>
        <v>0</v>
      </c>
      <c r="I218" s="316">
        <f t="shared" si="18"/>
        <v>0</v>
      </c>
      <c r="J218" s="362">
        <f t="shared" si="19"/>
        <v>0</v>
      </c>
    </row>
    <row r="219" spans="2:15" ht="15" x14ac:dyDescent="0.25">
      <c r="B219" s="340" t="s">
        <v>142</v>
      </c>
      <c r="C219" s="337">
        <f>Чт!$M$2/1000</f>
        <v>0</v>
      </c>
      <c r="D219" s="312">
        <f>'Раскладка продуктов'!AE64</f>
        <v>19</v>
      </c>
      <c r="E219" s="312"/>
      <c r="F219" s="312">
        <f>'Раскладка продуктов'!AE73</f>
        <v>22</v>
      </c>
      <c r="G219" s="314">
        <f t="shared" si="17"/>
        <v>0</v>
      </c>
      <c r="H219" s="315">
        <f t="shared" si="20"/>
        <v>0</v>
      </c>
      <c r="I219" s="316">
        <f t="shared" si="18"/>
        <v>0</v>
      </c>
      <c r="J219" s="362">
        <f t="shared" si="19"/>
        <v>0</v>
      </c>
    </row>
    <row r="220" spans="2:15" ht="15" x14ac:dyDescent="0.25">
      <c r="B220" s="341" t="s">
        <v>143</v>
      </c>
      <c r="C220" s="337">
        <f>Чт!$M$2/1000</f>
        <v>0</v>
      </c>
      <c r="D220" s="312">
        <f>'Раскладка продуктов'!AD64</f>
        <v>0</v>
      </c>
      <c r="E220" s="312">
        <f>('Раскладка продуктов'!AD68+'Раскладка продуктов'!AD69+'Раскладка продуктов'!AD70+'Раскладка продуктов'!AD71)/2</f>
        <v>0</v>
      </c>
      <c r="F220" s="312">
        <f>'Раскладка продуктов'!AD73</f>
        <v>0</v>
      </c>
      <c r="G220" s="314">
        <f t="shared" si="17"/>
        <v>0</v>
      </c>
      <c r="H220" s="315">
        <f t="shared" si="20"/>
        <v>0</v>
      </c>
      <c r="I220" s="316">
        <f t="shared" si="18"/>
        <v>0</v>
      </c>
      <c r="J220" s="362">
        <f t="shared" si="19"/>
        <v>0</v>
      </c>
    </row>
    <row r="221" spans="2:15" ht="15" x14ac:dyDescent="0.25">
      <c r="B221" s="340" t="s">
        <v>362</v>
      </c>
      <c r="C221" s="337">
        <f>Чт!$M$2/1000</f>
        <v>0</v>
      </c>
      <c r="D221" s="312"/>
      <c r="E221" s="312">
        <f>IF('Блок ввода'!A34=2,(('Раскладка продуктов'!$AZ68+'Раскладка продуктов'!AZ69+'Раскладка продуктов'!AZ70+'Раскладка продуктов'!AZ71)/2+'Раскладка продуктов'!AK72),IF('Блок ввода'!A34=3,(('Раскладка продуктов'!$BA68+'Раскладка продуктов'!BA69+'Раскладка продуктов'!BA70+'Раскладка продуктов'!BA71)/2+'Раскладка продуктов'!BA72),0))</f>
        <v>0</v>
      </c>
      <c r="F221" s="312">
        <f>'Раскладка продуктов'!AZ73</f>
        <v>0</v>
      </c>
      <c r="G221" s="314">
        <f t="shared" si="17"/>
        <v>0</v>
      </c>
      <c r="H221" s="315">
        <f>C221*E221</f>
        <v>0</v>
      </c>
      <c r="I221" s="316">
        <f t="shared" si="18"/>
        <v>0</v>
      </c>
      <c r="J221" s="362">
        <f t="shared" si="19"/>
        <v>0</v>
      </c>
    </row>
    <row r="222" spans="2:15" ht="15" x14ac:dyDescent="0.25">
      <c r="B222" s="340" t="s">
        <v>144</v>
      </c>
      <c r="C222" s="337">
        <f>Чт!$M$2/1000</f>
        <v>0</v>
      </c>
      <c r="D222" s="312"/>
      <c r="E222" s="312"/>
      <c r="F222" s="312"/>
      <c r="G222" s="314">
        <f t="shared" si="17"/>
        <v>0</v>
      </c>
      <c r="H222" s="315">
        <f t="shared" ref="H222:H238" si="21">C222*E222</f>
        <v>0</v>
      </c>
      <c r="I222" s="316">
        <f t="shared" si="18"/>
        <v>0</v>
      </c>
      <c r="J222" s="362">
        <f t="shared" si="19"/>
        <v>0</v>
      </c>
    </row>
    <row r="223" spans="2:15" ht="15" x14ac:dyDescent="0.25">
      <c r="B223" s="340" t="s">
        <v>145</v>
      </c>
      <c r="C223" s="337">
        <f>Чт!$M$2/1000</f>
        <v>0</v>
      </c>
      <c r="D223" s="312"/>
      <c r="E223" s="312"/>
      <c r="F223" s="312"/>
      <c r="G223" s="314">
        <f t="shared" si="17"/>
        <v>0</v>
      </c>
      <c r="H223" s="315">
        <f t="shared" si="21"/>
        <v>0</v>
      </c>
      <c r="I223" s="316">
        <f t="shared" si="18"/>
        <v>0</v>
      </c>
      <c r="J223" s="362">
        <f t="shared" si="19"/>
        <v>0</v>
      </c>
    </row>
    <row r="224" spans="2:15" ht="15" x14ac:dyDescent="0.25">
      <c r="B224" s="340" t="str">
        <f>IF('Блок ввода'!$A$34=1,"МОЛОКО СГУЩЕНОЕ С САХАРОМ","МОЛОКО СУХОЕ")</f>
        <v>МОЛОКО СУХОЕ</v>
      </c>
      <c r="C224" s="337">
        <f>Чт!$M$2/1000</f>
        <v>0</v>
      </c>
      <c r="D224" s="312"/>
      <c r="E224" s="312">
        <f>IF('Блок ввода'!$A$34=1,('Раскладка продуктов'!AZ68+'Раскладка продуктов'!AZ69+'Раскладка продуктов'!AZ70+'Раскладка продуктов'!AZ71)/2,0)</f>
        <v>0</v>
      </c>
      <c r="F224" s="312"/>
      <c r="G224" s="314">
        <f t="shared" si="17"/>
        <v>0</v>
      </c>
      <c r="H224" s="315">
        <f t="shared" si="21"/>
        <v>0</v>
      </c>
      <c r="I224" s="316">
        <f t="shared" si="18"/>
        <v>0</v>
      </c>
      <c r="J224" s="362">
        <f t="shared" si="19"/>
        <v>0</v>
      </c>
    </row>
    <row r="225" spans="2:10" ht="15" x14ac:dyDescent="0.25">
      <c r="B225" s="340" t="str">
        <f>IF('Блок ввода'!$Z$26=1,"СЫР СЫЧУЖНЫЙ ТВЕРДЫЙ","СЫР ПЛАВЛЕНЫЙ")</f>
        <v>СЫР ПЛАВЛЕНЫЙ</v>
      </c>
      <c r="C225" s="337">
        <f>Чт!$M$2/1000</f>
        <v>0</v>
      </c>
      <c r="D225" s="312"/>
      <c r="E225" s="312"/>
      <c r="F225" s="312"/>
      <c r="G225" s="314">
        <f t="shared" si="17"/>
        <v>0</v>
      </c>
      <c r="H225" s="315">
        <f t="shared" si="21"/>
        <v>0</v>
      </c>
      <c r="I225" s="316">
        <f t="shared" si="18"/>
        <v>0</v>
      </c>
      <c r="J225" s="362">
        <f t="shared" si="19"/>
        <v>0</v>
      </c>
    </row>
    <row r="226" spans="2:10" ht="15" x14ac:dyDescent="0.25">
      <c r="B226" s="340" t="str">
        <f>IF('Блок ввода'!$G$32=1,"ПОРОШОК ЯИЧНЫЙ","ЯЙЦА КУРИНЫЕ")</f>
        <v>ЯЙЦА КУРИНЫЕ</v>
      </c>
      <c r="C226" s="337">
        <f>Чт!$M$2/1000</f>
        <v>0</v>
      </c>
      <c r="D226" s="320">
        <f>'Раскладка продуктов'!AX64+'Раскладка продуктов'!AX65+'Раскладка продуктов'!AX66</f>
        <v>1</v>
      </c>
      <c r="E226" s="312"/>
      <c r="F226" s="320">
        <f>'Раскладка продуктов'!AX73+'Раскладка продуктов'!AX74+'Раскладка продуктов'!AX75</f>
        <v>0</v>
      </c>
      <c r="G226" s="345">
        <f>D226*Чт!M2</f>
        <v>0</v>
      </c>
      <c r="H226" s="315">
        <f t="shared" si="21"/>
        <v>0</v>
      </c>
      <c r="I226" s="322">
        <f>IF('Блок ввода'!$G$32=1,ROUND(F226*C226,3),ROUND(F226*Чт!M2,0))</f>
        <v>0</v>
      </c>
      <c r="J226" s="367">
        <f t="shared" si="19"/>
        <v>0</v>
      </c>
    </row>
    <row r="227" spans="2:10" ht="15" x14ac:dyDescent="0.25">
      <c r="B227" s="340" t="s">
        <v>146</v>
      </c>
      <c r="C227" s="337">
        <f>Чт!$M$2/1000</f>
        <v>0</v>
      </c>
      <c r="D227" s="312">
        <f>'Раскладка продуктов'!AG66</f>
        <v>30</v>
      </c>
      <c r="E227" s="312">
        <f>'Раскладка продуктов'!AG72</f>
        <v>0</v>
      </c>
      <c r="F227" s="312">
        <f>'Раскладка продуктов'!AG75</f>
        <v>30</v>
      </c>
      <c r="G227" s="314">
        <f t="shared" ref="G227:G258" si="22">C227*D227</f>
        <v>0</v>
      </c>
      <c r="H227" s="315">
        <f t="shared" si="21"/>
        <v>0</v>
      </c>
      <c r="I227" s="316">
        <f t="shared" si="18"/>
        <v>0</v>
      </c>
      <c r="J227" s="362">
        <f t="shared" si="19"/>
        <v>0</v>
      </c>
    </row>
    <row r="228" spans="2:10" ht="15" x14ac:dyDescent="0.25">
      <c r="B228" s="340" t="s">
        <v>147</v>
      </c>
      <c r="C228" s="337">
        <f>Чт!$M$2/1000</f>
        <v>0</v>
      </c>
      <c r="D228" s="312">
        <f>'Раскладка продуктов'!AJ76</f>
        <v>20</v>
      </c>
      <c r="E228" s="312"/>
      <c r="F228" s="312"/>
      <c r="G228" s="314">
        <f t="shared" si="22"/>
        <v>0</v>
      </c>
      <c r="H228" s="315">
        <f t="shared" si="21"/>
        <v>0</v>
      </c>
      <c r="I228" s="316">
        <f t="shared" si="18"/>
        <v>0</v>
      </c>
      <c r="J228" s="362">
        <f t="shared" si="19"/>
        <v>0</v>
      </c>
    </row>
    <row r="229" spans="2:10" ht="15" x14ac:dyDescent="0.25">
      <c r="B229" s="340" t="s">
        <v>148</v>
      </c>
      <c r="C229" s="337">
        <f>Чт!$M$2/1000</f>
        <v>0</v>
      </c>
      <c r="D229" s="312">
        <f>'Раскладка продуктов'!AH66</f>
        <v>0</v>
      </c>
      <c r="E229" s="312"/>
      <c r="F229" s="312">
        <f>'Раскладка продуктов'!AH75</f>
        <v>1</v>
      </c>
      <c r="G229" s="314">
        <f t="shared" si="22"/>
        <v>0</v>
      </c>
      <c r="H229" s="315">
        <f t="shared" si="21"/>
        <v>0</v>
      </c>
      <c r="I229" s="316">
        <f t="shared" si="18"/>
        <v>0</v>
      </c>
      <c r="J229" s="362">
        <f t="shared" si="19"/>
        <v>0</v>
      </c>
    </row>
    <row r="230" spans="2:10" ht="15" x14ac:dyDescent="0.25">
      <c r="B230" s="340" t="s">
        <v>149</v>
      </c>
      <c r="C230" s="337">
        <f>Чт!$M$2/1000</f>
        <v>0</v>
      </c>
      <c r="D230" s="312"/>
      <c r="E230" s="312"/>
      <c r="F230" s="312"/>
      <c r="G230" s="314">
        <f t="shared" si="22"/>
        <v>0</v>
      </c>
      <c r="H230" s="315">
        <f t="shared" si="21"/>
        <v>0</v>
      </c>
      <c r="I230" s="316">
        <f t="shared" si="18"/>
        <v>0</v>
      </c>
      <c r="J230" s="362">
        <f t="shared" si="19"/>
        <v>0</v>
      </c>
    </row>
    <row r="231" spans="2:10" ht="15" x14ac:dyDescent="0.25">
      <c r="B231" s="340" t="s">
        <v>217</v>
      </c>
      <c r="C231" s="337">
        <f>Чт!$M$2/1000</f>
        <v>0</v>
      </c>
      <c r="D231" s="312">
        <f>IF('Блок ввода'!T177=7,'Раскладка продуктов'!BC66,0)</f>
        <v>0</v>
      </c>
      <c r="E231" s="312"/>
      <c r="F231" s="312"/>
      <c r="G231" s="314">
        <f>C231*D231</f>
        <v>0</v>
      </c>
      <c r="H231" s="315">
        <f>C231*E231</f>
        <v>0</v>
      </c>
      <c r="I231" s="316">
        <f>F231*C231</f>
        <v>0</v>
      </c>
      <c r="J231" s="362">
        <f>G231+H231+I231</f>
        <v>0</v>
      </c>
    </row>
    <row r="232" spans="2:10" ht="15" x14ac:dyDescent="0.25">
      <c r="B232" s="340" t="s">
        <v>150</v>
      </c>
      <c r="C232" s="337">
        <f>Чт!$M$2/1000</f>
        <v>0</v>
      </c>
      <c r="D232" s="312">
        <f>'Раскладка продуктов'!AT76</f>
        <v>0.2</v>
      </c>
      <c r="E232" s="312"/>
      <c r="F232" s="312"/>
      <c r="G232" s="314">
        <f t="shared" si="22"/>
        <v>0</v>
      </c>
      <c r="H232" s="315">
        <f t="shared" si="21"/>
        <v>0</v>
      </c>
      <c r="I232" s="316">
        <f t="shared" si="18"/>
        <v>0</v>
      </c>
      <c r="J232" s="362">
        <f t="shared" si="19"/>
        <v>0</v>
      </c>
    </row>
    <row r="233" spans="2:10" ht="15" x14ac:dyDescent="0.25">
      <c r="B233" s="340" t="s">
        <v>151</v>
      </c>
      <c r="C233" s="337">
        <f>Чт!$M$2/1000</f>
        <v>0</v>
      </c>
      <c r="D233" s="312">
        <f>'Раскладка продуктов'!AU76</f>
        <v>0.3</v>
      </c>
      <c r="E233" s="312"/>
      <c r="F233" s="312"/>
      <c r="G233" s="314">
        <f t="shared" si="22"/>
        <v>0</v>
      </c>
      <c r="H233" s="315">
        <f t="shared" si="21"/>
        <v>0</v>
      </c>
      <c r="I233" s="316">
        <f t="shared" si="18"/>
        <v>0</v>
      </c>
      <c r="J233" s="362">
        <f t="shared" si="19"/>
        <v>0</v>
      </c>
    </row>
    <row r="234" spans="2:10" ht="15" x14ac:dyDescent="0.25">
      <c r="B234" s="340" t="s">
        <v>152</v>
      </c>
      <c r="C234" s="337">
        <f>Чт!$M$2/1000</f>
        <v>0</v>
      </c>
      <c r="D234" s="312">
        <f>'Раскладка продуктов'!AW76</f>
        <v>0.5</v>
      </c>
      <c r="E234" s="312"/>
      <c r="F234" s="312"/>
      <c r="G234" s="314">
        <f t="shared" si="22"/>
        <v>0</v>
      </c>
      <c r="H234" s="315">
        <f t="shared" si="21"/>
        <v>0</v>
      </c>
      <c r="I234" s="316">
        <f t="shared" si="18"/>
        <v>0</v>
      </c>
      <c r="J234" s="362">
        <f t="shared" si="19"/>
        <v>0</v>
      </c>
    </row>
    <row r="235" spans="2:10" ht="15" x14ac:dyDescent="0.25">
      <c r="B235" s="310" t="str">
        <f>IF('Блок ввода'!$A$36=1,"УКСУСНАЯ ЭССЕНЦИЯ","УКСУС")</f>
        <v>УКСУС</v>
      </c>
      <c r="C235" s="337">
        <f>Чт!$M$2/1000</f>
        <v>0</v>
      </c>
      <c r="D235" s="312">
        <f>IF('Блок ввода'!$A$36=1,2/20,2)</f>
        <v>2</v>
      </c>
      <c r="E235" s="312"/>
      <c r="F235" s="312"/>
      <c r="G235" s="314">
        <f t="shared" si="22"/>
        <v>0</v>
      </c>
      <c r="H235" s="315">
        <f t="shared" si="21"/>
        <v>0</v>
      </c>
      <c r="I235" s="316">
        <f t="shared" si="18"/>
        <v>0</v>
      </c>
      <c r="J235" s="362">
        <f t="shared" si="19"/>
        <v>0</v>
      </c>
    </row>
    <row r="236" spans="2:10" ht="15" x14ac:dyDescent="0.25">
      <c r="B236" s="340" t="str">
        <f>IF('Блок ввода'!$A$39=1,"ТОМАТНЫЙ СОУС","ТОМАТНАЯ ПАСТА")</f>
        <v>ТОМАТНАЯ ПАСТА</v>
      </c>
      <c r="C236" s="337">
        <f>Чт!$M$2/1000</f>
        <v>0</v>
      </c>
      <c r="D236" s="312">
        <f>'Раскладка продуктов'!AS76</f>
        <v>6</v>
      </c>
      <c r="E236" s="312"/>
      <c r="F236" s="312"/>
      <c r="G236" s="314">
        <f t="shared" si="22"/>
        <v>0</v>
      </c>
      <c r="H236" s="315">
        <f t="shared" si="21"/>
        <v>0</v>
      </c>
      <c r="I236" s="316">
        <f t="shared" si="18"/>
        <v>0</v>
      </c>
      <c r="J236" s="362">
        <f t="shared" si="19"/>
        <v>0</v>
      </c>
    </row>
    <row r="237" spans="2:10" ht="15" x14ac:dyDescent="0.25">
      <c r="B237" s="340" t="s">
        <v>376</v>
      </c>
      <c r="C237" s="337">
        <f>Чт!$M$2/1000</f>
        <v>0</v>
      </c>
      <c r="D237" s="312"/>
      <c r="E237" s="312"/>
      <c r="F237" s="312"/>
      <c r="G237" s="314">
        <f t="shared" si="22"/>
        <v>0</v>
      </c>
      <c r="H237" s="315">
        <f t="shared" si="21"/>
        <v>0</v>
      </c>
      <c r="I237" s="316">
        <f t="shared" si="18"/>
        <v>0</v>
      </c>
      <c r="J237" s="362">
        <f t="shared" si="19"/>
        <v>0</v>
      </c>
    </row>
    <row r="238" spans="2:10" ht="15" x14ac:dyDescent="0.25">
      <c r="B238" s="340" t="s">
        <v>153</v>
      </c>
      <c r="C238" s="337">
        <f>Чт!$M$2/1000</f>
        <v>0</v>
      </c>
      <c r="D238" s="312"/>
      <c r="E238" s="312"/>
      <c r="F238" s="312"/>
      <c r="G238" s="314">
        <f t="shared" si="22"/>
        <v>0</v>
      </c>
      <c r="H238" s="315">
        <f t="shared" si="21"/>
        <v>0</v>
      </c>
      <c r="I238" s="316">
        <f t="shared" si="18"/>
        <v>0</v>
      </c>
      <c r="J238" s="362">
        <f t="shared" si="19"/>
        <v>0</v>
      </c>
    </row>
    <row r="239" spans="2:10" ht="15" x14ac:dyDescent="0.25">
      <c r="B239" s="310" t="str">
        <f>IF('Блок ввода'!$B$223=1,"ДРОЖЖИ СУШЕНЫЕ","ДРОЖЖИ ПРЕСОВАННЫЕ" )</f>
        <v>ДРОЖЖИ ПРЕСОВАННЫЕ</v>
      </c>
      <c r="C239" s="337">
        <f>Чт!$M$2/1000</f>
        <v>0</v>
      </c>
      <c r="D239" s="323">
        <f>'Раскладка продуктов'!BH66</f>
        <v>0</v>
      </c>
      <c r="E239" s="312"/>
      <c r="F239" s="323">
        <f>'Раскладка продуктов'!BH75</f>
        <v>0.5</v>
      </c>
      <c r="G239" s="314">
        <f t="shared" si="22"/>
        <v>0</v>
      </c>
      <c r="H239" s="315">
        <f t="shared" si="20"/>
        <v>0</v>
      </c>
      <c r="I239" s="316">
        <f t="shared" si="18"/>
        <v>0</v>
      </c>
      <c r="J239" s="362">
        <f t="shared" si="19"/>
        <v>0</v>
      </c>
    </row>
    <row r="240" spans="2:10" ht="15" x14ac:dyDescent="0.25">
      <c r="B240" s="340" t="s">
        <v>154</v>
      </c>
      <c r="C240" s="337">
        <f>Чт!$M$2/1000</f>
        <v>0</v>
      </c>
      <c r="D240" s="312">
        <f>'Раскладка продуктов'!AK64</f>
        <v>0</v>
      </c>
      <c r="E240" s="312">
        <f>'Раскладка продуктов'!AK67+('Раскладка продуктов'!AK68+'Раскладка продуктов'!AK69+'Раскладка продуктов'!AK70+'Раскладка продуктов'!AK71)/2</f>
        <v>172.5</v>
      </c>
      <c r="F240" s="312">
        <f>'Раскладка продуктов'!AK73</f>
        <v>0</v>
      </c>
      <c r="G240" s="314">
        <f t="shared" si="22"/>
        <v>0</v>
      </c>
      <c r="H240" s="315">
        <f t="shared" si="20"/>
        <v>0</v>
      </c>
      <c r="I240" s="316">
        <f t="shared" si="18"/>
        <v>0</v>
      </c>
      <c r="J240" s="362">
        <f t="shared" si="19"/>
        <v>0</v>
      </c>
    </row>
    <row r="241" spans="2:10" ht="15" x14ac:dyDescent="0.25">
      <c r="B241" s="340" t="s">
        <v>155</v>
      </c>
      <c r="C241" s="337">
        <f>Чт!$M$2/1000</f>
        <v>0</v>
      </c>
      <c r="D241" s="312">
        <f>'Раскладка продуктов'!AL64</f>
        <v>0</v>
      </c>
      <c r="E241" s="312">
        <f>'Раскладка продуктов'!AL67+('Раскладка продуктов'!AL68+'Раскладка продуктов'!AL69+'Раскладка продуктов'!AL70+'Раскладка продуктов'!AL71)/2</f>
        <v>70</v>
      </c>
      <c r="F241" s="312">
        <f>'Раскладка продуктов'!AL73</f>
        <v>0</v>
      </c>
      <c r="G241" s="314">
        <f t="shared" si="22"/>
        <v>0</v>
      </c>
      <c r="H241" s="315">
        <f t="shared" si="20"/>
        <v>0</v>
      </c>
      <c r="I241" s="316">
        <f t="shared" si="18"/>
        <v>0</v>
      </c>
      <c r="J241" s="362">
        <f t="shared" si="19"/>
        <v>0</v>
      </c>
    </row>
    <row r="242" spans="2:10" ht="15" x14ac:dyDescent="0.25">
      <c r="B242" s="340" t="s">
        <v>156</v>
      </c>
      <c r="C242" s="337">
        <f>Чт!$M$2/1000</f>
        <v>0</v>
      </c>
      <c r="D242" s="312">
        <f>'Раскладка продуктов'!AM64</f>
        <v>0</v>
      </c>
      <c r="E242" s="312">
        <f>IF('Блок ввода'!E49=17,('Раскладка продуктов'!AM68+'Раскладка продуктов'!AM69+'Раскладка продуктов'!AM70+'Раскладка продуктов'!AM71)/2,'Раскладка продуктов'!AM67+('Раскладка продуктов'!AM68+'Раскладка продуктов'!AM69+'Раскладка продуктов'!AM70+'Раскладка продуктов'!AM71)/2)</f>
        <v>40</v>
      </c>
      <c r="F242" s="312">
        <f>'Раскладка продуктов'!AM73</f>
        <v>0</v>
      </c>
      <c r="G242" s="314">
        <f t="shared" si="22"/>
        <v>0</v>
      </c>
      <c r="H242" s="315">
        <f t="shared" si="20"/>
        <v>0</v>
      </c>
      <c r="I242" s="316">
        <f t="shared" si="18"/>
        <v>0</v>
      </c>
      <c r="J242" s="362">
        <f t="shared" si="19"/>
        <v>0</v>
      </c>
    </row>
    <row r="243" spans="2:10" ht="15" x14ac:dyDescent="0.25">
      <c r="B243" s="340" t="s">
        <v>157</v>
      </c>
      <c r="C243" s="337">
        <f>Чт!$M$2/1000</f>
        <v>0</v>
      </c>
      <c r="D243" s="312">
        <f>'Раскладка продуктов'!AN64</f>
        <v>0</v>
      </c>
      <c r="E243" s="312">
        <f>'Раскладка продуктов'!AN67+('Раскладка продуктов'!AN68+'Раскладка продуктов'!AN69+'Раскладка продуктов'!AN70+'Раскладка продуктов'!AN71)/2</f>
        <v>30</v>
      </c>
      <c r="F243" s="312">
        <f>'Раскладка продуктов'!AN73</f>
        <v>15</v>
      </c>
      <c r="G243" s="314">
        <f t="shared" si="22"/>
        <v>0</v>
      </c>
      <c r="H243" s="315">
        <f t="shared" si="20"/>
        <v>0</v>
      </c>
      <c r="I243" s="316">
        <f t="shared" si="18"/>
        <v>0</v>
      </c>
      <c r="J243" s="362">
        <f t="shared" si="19"/>
        <v>0</v>
      </c>
    </row>
    <row r="244" spans="2:10" ht="15" x14ac:dyDescent="0.25">
      <c r="B244" s="340" t="str">
        <f>IF(AND('Блок ввода'!$A$37=TRUE,'Блок ввода'!$AB$35),"ЛУК - ПЕРО",IF(AND('Блок ввода'!$I$37=TRUE,'Блок ввода'!$AB$35),"ЛУК СУШЕНЫЙ","ЛУК РЕПЧАТЫЙ"))</f>
        <v>ЛУК РЕПЧАТЫЙ</v>
      </c>
      <c r="C244" s="337">
        <f>Чт!$M$2/1000</f>
        <v>0</v>
      </c>
      <c r="D244" s="312">
        <f>IF(AND('Блок ввода'!$A$37=TRUE,'Блок ввода'!AB35=TRUE),'Раскладка продуктов'!AO64*2,'Раскладка продуктов'!AO64)</f>
        <v>0</v>
      </c>
      <c r="E244" s="312">
        <f>IF(AND('Блок ввода'!$A$37=TRUE,'Блок ввода'!AB35=TRUE),('Раскладка продуктов'!AO67+'Раскладка продуктов'!AO72+('Раскладка продуктов'!AO68+'Раскладка продуктов'!AO69+'Раскладка продуктов'!AO70+'Раскладка продуктов'!AO71)/2)*2,'Раскладка продуктов'!AO67+('Раскладка продуктов'!AO68+'Раскладка продуктов'!AO69+'Раскладка продуктов'!AO70+'Раскладка продуктов'!AO71)/2+'Раскладка продуктов'!AO72)</f>
        <v>30</v>
      </c>
      <c r="F244" s="312">
        <f>IF(AND('Блок ввода'!$A$37=TRUE,'Блок ввода'!AB35=TRUE),'Раскладка продуктов'!AO73*2,'Раскладка продуктов'!AO73)</f>
        <v>10</v>
      </c>
      <c r="G244" s="314">
        <f t="shared" si="22"/>
        <v>0</v>
      </c>
      <c r="H244" s="315">
        <f t="shared" si="20"/>
        <v>0</v>
      </c>
      <c r="I244" s="316">
        <f t="shared" si="18"/>
        <v>0</v>
      </c>
      <c r="J244" s="362">
        <f t="shared" si="19"/>
        <v>0</v>
      </c>
    </row>
    <row r="245" spans="2:10" ht="15" x14ac:dyDescent="0.25">
      <c r="B245" s="346" t="str">
        <f>IF(OR('Блок ввода'!E49=15,'Блок ввода'!E49=21),"ОГУРЦЫ СВЕЖИЕ","ОГУРЦЫ СОЛЕНЫЕ")</f>
        <v>ОГУРЦЫ СОЛЕНЫЕ</v>
      </c>
      <c r="C245" s="337">
        <f>Чт!$M$2/1000</f>
        <v>0</v>
      </c>
      <c r="D245" s="312">
        <f>'Раскладка продуктов'!AP64</f>
        <v>0</v>
      </c>
      <c r="E245" s="312">
        <f>IF(OR('Блок ввода'!E49=10,'Блок ввода'!E49=13,'Блок ввода'!E49=18,'Блок ввода'!E49=19),('Раскладка продуктов'!AP68+'Раскладка продуктов'!AP69+'Раскладка продуктов'!AP70+'Раскладка продуктов'!AP71)/2,IF('Блок ввода'!E49=21,'Раскладка продуктов'!AP67/2,'Раскладка продуктов'!AP67+('Раскладка продуктов'!AP68+'Раскладка продуктов'!AP69+'Раскладка продуктов'!AP70+'Раскладка продуктов'!AP71)/2))</f>
        <v>27.5</v>
      </c>
      <c r="F245" s="312">
        <f>'Раскладка продуктов'!AP73</f>
        <v>0</v>
      </c>
      <c r="G245" s="314">
        <f t="shared" si="22"/>
        <v>0</v>
      </c>
      <c r="H245" s="315">
        <f t="shared" si="20"/>
        <v>0</v>
      </c>
      <c r="I245" s="316">
        <f t="shared" si="18"/>
        <v>0</v>
      </c>
      <c r="J245" s="362">
        <f t="shared" si="19"/>
        <v>0</v>
      </c>
    </row>
    <row r="246" spans="2:10" ht="15" x14ac:dyDescent="0.25">
      <c r="B246" s="340" t="str">
        <f>IF(OR('Блок ввода'!E49=19,'Блок ввода'!E49=21),"ПОМИДОРЫ СВЕЖИЕ","ПОМИДОРЫ СОЛЁНЫЕ")</f>
        <v>ПОМИДОРЫ СОЛЁНЫЕ</v>
      </c>
      <c r="C246" s="337">
        <f>Чт!$M$2/1000</f>
        <v>0</v>
      </c>
      <c r="D246" s="312"/>
      <c r="E246" s="312">
        <f>IF(OR('Блок ввода'!E49=10,'Блок ввода'!E49=19),'Раскладка продуктов'!AP67,IF('Блок ввода'!E49=21,'Раскладка продуктов'!AP67/2,0))</f>
        <v>0</v>
      </c>
      <c r="F246" s="312"/>
      <c r="G246" s="314">
        <f t="shared" si="22"/>
        <v>0</v>
      </c>
      <c r="H246" s="315">
        <f t="shared" si="20"/>
        <v>0</v>
      </c>
      <c r="I246" s="316">
        <f t="shared" si="18"/>
        <v>0</v>
      </c>
      <c r="J246" s="362">
        <f t="shared" si="19"/>
        <v>0</v>
      </c>
    </row>
    <row r="247" spans="2:10" ht="15" x14ac:dyDescent="0.25">
      <c r="B247" s="340" t="s">
        <v>227</v>
      </c>
      <c r="C247" s="337">
        <f>Чт!$M$2/1000</f>
        <v>0</v>
      </c>
      <c r="D247" s="312"/>
      <c r="E247" s="312">
        <f>IF(OR('Блок ввода'!E49=13,'Блок ввода'!E49=18),'Раскладка продуктов'!AP67,0)</f>
        <v>0</v>
      </c>
      <c r="F247" s="312"/>
      <c r="G247" s="314">
        <f>C247*D247</f>
        <v>0</v>
      </c>
      <c r="H247" s="315">
        <f>C247*E247</f>
        <v>0</v>
      </c>
      <c r="I247" s="316">
        <f>F247*C247</f>
        <v>0</v>
      </c>
      <c r="J247" s="362">
        <f>G247+H247+I247</f>
        <v>0</v>
      </c>
    </row>
    <row r="248" spans="2:10" ht="15" x14ac:dyDescent="0.25">
      <c r="B248" s="340" t="s">
        <v>158</v>
      </c>
      <c r="C248" s="337">
        <f>Чт!$M$2/1000</f>
        <v>0</v>
      </c>
      <c r="D248" s="312"/>
      <c r="E248" s="312">
        <f>IF('Блок ввода'!AA32=TRUE,0,IF('Раскладка продуктов'!AI72=20,20,0))</f>
        <v>0</v>
      </c>
      <c r="F248" s="312"/>
      <c r="G248" s="314">
        <f t="shared" si="22"/>
        <v>0</v>
      </c>
      <c r="H248" s="315">
        <f t="shared" si="20"/>
        <v>0</v>
      </c>
      <c r="I248" s="316">
        <f t="shared" si="18"/>
        <v>0</v>
      </c>
      <c r="J248" s="362">
        <f t="shared" si="19"/>
        <v>0</v>
      </c>
    </row>
    <row r="249" spans="2:10" ht="15" x14ac:dyDescent="0.25">
      <c r="B249" s="340" t="s">
        <v>159</v>
      </c>
      <c r="C249" s="337">
        <f>Чт!$M$2/1000</f>
        <v>0</v>
      </c>
      <c r="D249" s="312"/>
      <c r="E249" s="312">
        <f>IF(OR(E248&gt;0,E250&gt;0),0,30)</f>
        <v>30</v>
      </c>
      <c r="F249" s="312"/>
      <c r="G249" s="314">
        <f t="shared" si="22"/>
        <v>0</v>
      </c>
      <c r="H249" s="315">
        <f t="shared" si="20"/>
        <v>0</v>
      </c>
      <c r="I249" s="316">
        <f t="shared" si="18"/>
        <v>0</v>
      </c>
      <c r="J249" s="362">
        <f t="shared" si="19"/>
        <v>0</v>
      </c>
    </row>
    <row r="250" spans="2:10" ht="15" x14ac:dyDescent="0.25">
      <c r="B250" s="325" t="str">
        <f>IF('Блок ввода'!$Z$28=1,"ЯБЛОКИ СВЕЖИЕ",IF('Блок ввода'!$Z$28=2,"АПЕЛЬСИНЫ",IF('Блок ввода'!$Z$28=3,"МАНДАРИНЫ",IF('Блок ввода'!$Z$28=4,"ЯГОДЫ"))))</f>
        <v>АПЕЛЬСИНЫ</v>
      </c>
      <c r="C250" s="337">
        <f>Чт!$M$2/1000</f>
        <v>0</v>
      </c>
      <c r="D250" s="312"/>
      <c r="E250" s="312">
        <f>IF(AND('Блок ввода'!$AA$32,OR( 'Блок ввода'!R185=1,'Блок ввода'!R185=4)),100,0)</f>
        <v>0</v>
      </c>
      <c r="F250" s="312"/>
      <c r="G250" s="314">
        <f t="shared" si="22"/>
        <v>0</v>
      </c>
      <c r="H250" s="315">
        <f t="shared" si="20"/>
        <v>0</v>
      </c>
      <c r="I250" s="316">
        <f t="shared" si="18"/>
        <v>0</v>
      </c>
      <c r="J250" s="362">
        <f t="shared" si="19"/>
        <v>0</v>
      </c>
    </row>
    <row r="251" spans="2:10" ht="15" x14ac:dyDescent="0.25">
      <c r="B251" s="310" t="str">
        <f>IF('Блок ввода'!$A$35=TRUE,"АРБУЗ","СОК")</f>
        <v>СОК</v>
      </c>
      <c r="C251" s="337">
        <f>Чт!$M$2/1000</f>
        <v>0</v>
      </c>
      <c r="D251" s="312"/>
      <c r="E251" s="312">
        <f>'Раскладка продуктов'!BB72</f>
        <v>0</v>
      </c>
      <c r="F251" s="312"/>
      <c r="G251" s="314">
        <f t="shared" si="22"/>
        <v>0</v>
      </c>
      <c r="H251" s="315">
        <f t="shared" si="20"/>
        <v>0</v>
      </c>
      <c r="I251" s="316">
        <f t="shared" si="18"/>
        <v>0</v>
      </c>
      <c r="J251" s="362">
        <f t="shared" si="19"/>
        <v>0</v>
      </c>
    </row>
    <row r="252" spans="2:10" ht="15" x14ac:dyDescent="0.25">
      <c r="B252" s="340" t="s">
        <v>170</v>
      </c>
      <c r="C252" s="337">
        <f>Чт!$M$2/1000</f>
        <v>0</v>
      </c>
      <c r="D252" s="312">
        <f>IF('Блок ввода'!N168=1,'Раскладка продуктов'!BC66,0)</f>
        <v>0</v>
      </c>
      <c r="E252" s="312"/>
      <c r="F252" s="312">
        <f>'Раскладка продуктов'!BC75</f>
        <v>0</v>
      </c>
      <c r="G252" s="314">
        <f t="shared" si="22"/>
        <v>0</v>
      </c>
      <c r="H252" s="315">
        <f t="shared" si="20"/>
        <v>0</v>
      </c>
      <c r="I252" s="316">
        <f t="shared" si="18"/>
        <v>0</v>
      </c>
      <c r="J252" s="362">
        <f t="shared" si="19"/>
        <v>0</v>
      </c>
    </row>
    <row r="253" spans="2:10" ht="15" x14ac:dyDescent="0.25">
      <c r="B253" s="340" t="s">
        <v>196</v>
      </c>
      <c r="C253" s="337">
        <f>Чт!$M$2/1000</f>
        <v>0</v>
      </c>
      <c r="D253" s="312"/>
      <c r="E253" s="312">
        <f>'Раскладка продуктов'!BE72</f>
        <v>0</v>
      </c>
      <c r="F253" s="312"/>
      <c r="G253" s="351">
        <f t="shared" si="22"/>
        <v>0</v>
      </c>
      <c r="H253" s="352">
        <f t="shared" si="20"/>
        <v>0</v>
      </c>
      <c r="I253" s="316">
        <f t="shared" si="18"/>
        <v>0</v>
      </c>
      <c r="J253" s="362">
        <f t="shared" si="19"/>
        <v>0</v>
      </c>
    </row>
    <row r="254" spans="2:10" ht="15" x14ac:dyDescent="0.25">
      <c r="B254" s="340" t="s">
        <v>238</v>
      </c>
      <c r="C254" s="337">
        <f>Чт!$M$2/1000</f>
        <v>0</v>
      </c>
      <c r="D254" s="312"/>
      <c r="E254" s="312">
        <f>IF('Блок ввода'!E49=17,'Раскладка продуктов'!AM67,0)</f>
        <v>0</v>
      </c>
      <c r="F254" s="312"/>
      <c r="G254" s="351">
        <f t="shared" si="22"/>
        <v>0</v>
      </c>
      <c r="H254" s="352">
        <f t="shared" si="20"/>
        <v>0</v>
      </c>
      <c r="I254" s="316">
        <f t="shared" si="18"/>
        <v>0</v>
      </c>
      <c r="J254" s="362">
        <f t="shared" si="19"/>
        <v>0</v>
      </c>
    </row>
    <row r="255" spans="2:10" ht="15" x14ac:dyDescent="0.25">
      <c r="B255" s="347"/>
      <c r="C255" s="337">
        <f>Чт!$M$2/1000</f>
        <v>0</v>
      </c>
      <c r="D255" s="312"/>
      <c r="E255" s="312"/>
      <c r="F255" s="312"/>
      <c r="G255" s="314">
        <f t="shared" si="22"/>
        <v>0</v>
      </c>
      <c r="H255" s="315">
        <f t="shared" si="20"/>
        <v>0</v>
      </c>
      <c r="I255" s="316">
        <f t="shared" si="18"/>
        <v>0</v>
      </c>
      <c r="J255" s="362">
        <f t="shared" si="19"/>
        <v>0</v>
      </c>
    </row>
    <row r="256" spans="2:10" ht="15" x14ac:dyDescent="0.25">
      <c r="B256" s="347"/>
      <c r="C256" s="337">
        <f>Чт!$M$2/1000</f>
        <v>0</v>
      </c>
      <c r="D256" s="312"/>
      <c r="E256" s="312"/>
      <c r="F256" s="312"/>
      <c r="G256" s="314">
        <f t="shared" si="22"/>
        <v>0</v>
      </c>
      <c r="H256" s="315">
        <f t="shared" si="20"/>
        <v>0</v>
      </c>
      <c r="I256" s="316">
        <f t="shared" si="18"/>
        <v>0</v>
      </c>
      <c r="J256" s="362">
        <f t="shared" si="19"/>
        <v>0</v>
      </c>
    </row>
    <row r="257" spans="2:10" ht="15" x14ac:dyDescent="0.25">
      <c r="B257" s="340" t="s">
        <v>250</v>
      </c>
      <c r="C257" s="337">
        <f>Чт!$M$2/1000</f>
        <v>0</v>
      </c>
      <c r="D257" s="312"/>
      <c r="E257" s="312">
        <f>'Раскладка продуктов'!BD72</f>
        <v>0</v>
      </c>
      <c r="F257" s="312"/>
      <c r="G257" s="314">
        <f t="shared" si="22"/>
        <v>0</v>
      </c>
      <c r="H257" s="315">
        <f t="shared" si="20"/>
        <v>0</v>
      </c>
      <c r="I257" s="316">
        <f t="shared" si="18"/>
        <v>0</v>
      </c>
      <c r="J257" s="362">
        <f t="shared" si="19"/>
        <v>0</v>
      </c>
    </row>
    <row r="258" spans="2:10" ht="15" x14ac:dyDescent="0.25">
      <c r="B258" s="348" t="s">
        <v>258</v>
      </c>
      <c r="C258" s="337">
        <f>Чт!$M$2/1000</f>
        <v>0</v>
      </c>
      <c r="D258" s="312"/>
      <c r="E258" s="323">
        <f>IF('Блок ввода'!$B$38=1,1,0)</f>
        <v>0</v>
      </c>
      <c r="F258" s="312"/>
      <c r="G258" s="314">
        <f t="shared" si="22"/>
        <v>0</v>
      </c>
      <c r="H258" s="315">
        <f t="shared" si="20"/>
        <v>0</v>
      </c>
      <c r="I258" s="316">
        <f t="shared" si="18"/>
        <v>0</v>
      </c>
      <c r="J258" s="362">
        <f t="shared" si="19"/>
        <v>0</v>
      </c>
    </row>
    <row r="259" spans="2:10" ht="15" x14ac:dyDescent="0.25">
      <c r="B259" s="348" t="s">
        <v>263</v>
      </c>
      <c r="C259" s="337">
        <f>Чт!$M$2/1000</f>
        <v>0</v>
      </c>
      <c r="D259" s="312">
        <f>'Раскладка продуктов'!BG64</f>
        <v>0</v>
      </c>
      <c r="E259" s="323">
        <f>IF('Блок ввода'!$B$38=TRUE,1,0)</f>
        <v>0</v>
      </c>
      <c r="F259" s="312"/>
      <c r="G259" s="314">
        <f>C259*D259</f>
        <v>0</v>
      </c>
      <c r="H259" s="315">
        <f>C259*E259</f>
        <v>0</v>
      </c>
      <c r="I259" s="316">
        <f>F259*C259</f>
        <v>0</v>
      </c>
      <c r="J259" s="362">
        <f>G259+H259+I259</f>
        <v>0</v>
      </c>
    </row>
    <row r="260" spans="2:10" ht="15.75" thickBot="1" x14ac:dyDescent="0.3">
      <c r="B260" s="348" t="s">
        <v>266</v>
      </c>
      <c r="C260" s="337">
        <f>Чт!$M$2/1000</f>
        <v>0</v>
      </c>
      <c r="D260" s="312"/>
      <c r="E260" s="323">
        <f>('Раскладка продуктов'!BF68+'Раскладка продуктов'!BF69)/2</f>
        <v>0</v>
      </c>
      <c r="F260" s="312"/>
      <c r="G260" s="314">
        <f>C260*D260</f>
        <v>0</v>
      </c>
      <c r="H260" s="315">
        <f>C260*E260</f>
        <v>0</v>
      </c>
      <c r="I260" s="316">
        <f>F260*C260</f>
        <v>0</v>
      </c>
      <c r="J260" s="362">
        <f>G260+H260+I260</f>
        <v>0</v>
      </c>
    </row>
    <row r="261" spans="2:10" ht="27" thickBot="1" x14ac:dyDescent="0.45">
      <c r="B261" s="1543" t="s">
        <v>98</v>
      </c>
      <c r="C261" s="1543"/>
      <c r="D261" s="1543"/>
      <c r="E261" s="1543"/>
      <c r="F261" s="1543"/>
      <c r="G261" s="1543"/>
      <c r="H261" s="1543"/>
      <c r="I261" s="1543"/>
      <c r="J261" s="1543"/>
    </row>
    <row r="262" spans="2:10" ht="24" thickBot="1" x14ac:dyDescent="0.4">
      <c r="B262" s="298" t="s">
        <v>122</v>
      </c>
      <c r="C262" s="299"/>
      <c r="D262" s="300" t="s">
        <v>123</v>
      </c>
      <c r="E262" s="298" t="s">
        <v>124</v>
      </c>
      <c r="F262" s="298" t="s">
        <v>125</v>
      </c>
      <c r="G262" s="300" t="s">
        <v>126</v>
      </c>
      <c r="H262" s="300" t="s">
        <v>127</v>
      </c>
      <c r="I262" s="300" t="s">
        <v>128</v>
      </c>
      <c r="J262" s="360" t="s">
        <v>129</v>
      </c>
    </row>
    <row r="263" spans="2:10" ht="15" x14ac:dyDescent="0.25">
      <c r="B263" s="303" t="s">
        <v>391</v>
      </c>
      <c r="C263" s="337">
        <f>Пт!$M$2/1000</f>
        <v>0</v>
      </c>
      <c r="D263" s="312">
        <f>'Раскладка продуктов'!K96</f>
        <v>100</v>
      </c>
      <c r="E263" s="312">
        <f>'Раскладка продуктов'!K102</f>
        <v>100</v>
      </c>
      <c r="F263" s="313">
        <f>'Раскладка продуктов'!K105</f>
        <v>100</v>
      </c>
      <c r="G263" s="338">
        <f>D263*C263</f>
        <v>0</v>
      </c>
      <c r="H263" s="339">
        <f t="shared" ref="H263:H271" si="23">C263*E263</f>
        <v>0</v>
      </c>
      <c r="I263" s="316">
        <f>F263*C263</f>
        <v>0</v>
      </c>
      <c r="J263" s="366">
        <f>G263+H263+I263</f>
        <v>0</v>
      </c>
    </row>
    <row r="264" spans="2:10" ht="15" x14ac:dyDescent="0.25">
      <c r="B264" s="340" t="str">
        <f>$B$4</f>
        <v>ХЛЕБ ИЗ МУКИ ПШ. 1 С.</v>
      </c>
      <c r="C264" s="337">
        <f>Пт!$M$2/1000</f>
        <v>0</v>
      </c>
      <c r="D264" s="312">
        <f>'Раскладка продуктов'!L96</f>
        <v>150</v>
      </c>
      <c r="E264" s="312">
        <f>'Раскладка продуктов'!L102</f>
        <v>150</v>
      </c>
      <c r="F264" s="313">
        <f>'Раскладка продуктов'!L105</f>
        <v>50</v>
      </c>
      <c r="G264" s="314">
        <f t="shared" ref="G264:G290" si="24">C264*D264</f>
        <v>0</v>
      </c>
      <c r="H264" s="315">
        <f t="shared" si="23"/>
        <v>0</v>
      </c>
      <c r="I264" s="316">
        <f t="shared" ref="I264:I323" si="25">F264*C264</f>
        <v>0</v>
      </c>
      <c r="J264" s="362">
        <f t="shared" ref="J264:J323" si="26">G264+H264+I264</f>
        <v>0</v>
      </c>
    </row>
    <row r="265" spans="2:10" ht="15" x14ac:dyDescent="0.25">
      <c r="B265" s="310" t="s">
        <v>425</v>
      </c>
      <c r="C265" s="337">
        <f>Пт!$M$2/1000</f>
        <v>0</v>
      </c>
      <c r="D265" s="312"/>
      <c r="E265" s="312">
        <f>'Раскладка продуктов'!M102</f>
        <v>0</v>
      </c>
      <c r="F265" s="313"/>
      <c r="G265" s="314">
        <f t="shared" si="24"/>
        <v>0</v>
      </c>
      <c r="H265" s="315">
        <f t="shared" si="23"/>
        <v>0</v>
      </c>
      <c r="I265" s="316">
        <f t="shared" si="25"/>
        <v>0</v>
      </c>
      <c r="J265" s="362">
        <f t="shared" si="26"/>
        <v>0</v>
      </c>
    </row>
    <row r="266" spans="2:10" ht="15" x14ac:dyDescent="0.25">
      <c r="B266" s="310" t="s">
        <v>404</v>
      </c>
      <c r="C266" s="337">
        <f>Пт!$M$2/1000</f>
        <v>0</v>
      </c>
      <c r="D266" s="312">
        <f>'Раскладка продуктов'!O96</f>
        <v>0</v>
      </c>
      <c r="E266" s="312"/>
      <c r="F266" s="312">
        <f>'Раскладка продуктов'!O105+'Раскладка продуктов'!O104</f>
        <v>0</v>
      </c>
      <c r="G266" s="314">
        <f t="shared" si="24"/>
        <v>0</v>
      </c>
      <c r="H266" s="315">
        <f t="shared" si="23"/>
        <v>0</v>
      </c>
      <c r="I266" s="316">
        <f t="shared" si="25"/>
        <v>0</v>
      </c>
      <c r="J266" s="362">
        <f t="shared" si="26"/>
        <v>0</v>
      </c>
    </row>
    <row r="267" spans="2:10" ht="15" x14ac:dyDescent="0.25">
      <c r="B267" s="317" t="str">
        <f>IF('Блок ввода'!$H$26=1,"МУКА ПШЕНИЧНАЯ 1 С.","МУКА ПШЕНИЧНАЯ 2 С.")</f>
        <v>МУКА ПШЕНИЧНАЯ 1 С.</v>
      </c>
      <c r="C267" s="337">
        <f>Пт!$M$2/1000</f>
        <v>0</v>
      </c>
      <c r="D267" s="312">
        <f>'Раскладка продуктов'!N94</f>
        <v>6.5</v>
      </c>
      <c r="E267" s="312">
        <f>('Раскладка продуктов'!N98+'Раскладка продуктов'!N99+'Раскладка продуктов'!N100+'Раскладка продуктов'!N101)/2</f>
        <v>4</v>
      </c>
      <c r="F267" s="312">
        <f>'Раскладка продуктов'!N103</f>
        <v>2</v>
      </c>
      <c r="G267" s="314">
        <f t="shared" si="24"/>
        <v>0</v>
      </c>
      <c r="H267" s="315">
        <f t="shared" si="23"/>
        <v>0</v>
      </c>
      <c r="I267" s="316">
        <f t="shared" si="25"/>
        <v>0</v>
      </c>
      <c r="J267" s="362">
        <f t="shared" si="26"/>
        <v>0</v>
      </c>
    </row>
    <row r="268" spans="2:10" ht="15" x14ac:dyDescent="0.25">
      <c r="B268" s="340" t="s">
        <v>132</v>
      </c>
      <c r="C268" s="337">
        <f>Пт!$M$2/1000</f>
        <v>0</v>
      </c>
      <c r="D268" s="312">
        <f>'Раскладка продуктов'!P94</f>
        <v>0</v>
      </c>
      <c r="E268" s="312">
        <f>('Раскладка продуктов'!P98+'Раскладка продуктов'!P99+'Раскладка продуктов'!P101+'Раскладка продуктов'!P100)/2</f>
        <v>0</v>
      </c>
      <c r="F268" s="312">
        <f>'Раскладка продуктов'!P103</f>
        <v>0</v>
      </c>
      <c r="G268" s="314">
        <f t="shared" si="24"/>
        <v>0</v>
      </c>
      <c r="H268" s="315">
        <f t="shared" si="23"/>
        <v>0</v>
      </c>
      <c r="I268" s="316">
        <f t="shared" si="25"/>
        <v>0</v>
      </c>
      <c r="J268" s="362">
        <f t="shared" si="26"/>
        <v>0</v>
      </c>
    </row>
    <row r="269" spans="2:10" ht="15" x14ac:dyDescent="0.25">
      <c r="B269" s="341" t="s">
        <v>133</v>
      </c>
      <c r="C269" s="337">
        <f>Пт!$M$2/1000</f>
        <v>0</v>
      </c>
      <c r="D269" s="312">
        <f>'Раскладка продуктов'!Q94</f>
        <v>0</v>
      </c>
      <c r="E269" s="312">
        <f>('Раскладка продуктов'!Q98+'Раскладка продуктов'!Q99+'Раскладка продуктов'!Q100+'Раскладка продуктов'!Q101)/2</f>
        <v>0</v>
      </c>
      <c r="F269" s="312">
        <f>'Раскладка продуктов'!Q103</f>
        <v>0</v>
      </c>
      <c r="G269" s="314">
        <f t="shared" si="24"/>
        <v>0</v>
      </c>
      <c r="H269" s="315">
        <f t="shared" si="23"/>
        <v>0</v>
      </c>
      <c r="I269" s="316">
        <f t="shared" si="25"/>
        <v>0</v>
      </c>
      <c r="J269" s="362">
        <f t="shared" si="26"/>
        <v>0</v>
      </c>
    </row>
    <row r="270" spans="2:10" ht="15" x14ac:dyDescent="0.25">
      <c r="B270" s="340" t="s">
        <v>134</v>
      </c>
      <c r="C270" s="337">
        <f>Пт!$M$2/1000</f>
        <v>0</v>
      </c>
      <c r="D270" s="312">
        <f>'Раскладка продуктов'!R94</f>
        <v>0</v>
      </c>
      <c r="E270" s="312">
        <f>('Раскладка продуктов'!R98+'Раскладка продуктов'!R99+'Раскладка продуктов'!R100+'Раскладка продуктов'!R101)/2</f>
        <v>0</v>
      </c>
      <c r="F270" s="312">
        <f>'Раскладка продуктов'!R103</f>
        <v>0</v>
      </c>
      <c r="G270" s="314">
        <f t="shared" si="24"/>
        <v>0</v>
      </c>
      <c r="H270" s="315">
        <f t="shared" si="23"/>
        <v>0</v>
      </c>
      <c r="I270" s="316">
        <f t="shared" si="25"/>
        <v>0</v>
      </c>
      <c r="J270" s="362">
        <f t="shared" si="26"/>
        <v>0</v>
      </c>
    </row>
    <row r="271" spans="2:10" ht="15" x14ac:dyDescent="0.25">
      <c r="B271" s="341" t="s">
        <v>135</v>
      </c>
      <c r="C271" s="337">
        <f>Пт!$M$2/1000</f>
        <v>0</v>
      </c>
      <c r="D271" s="312">
        <f>'Раскладка продуктов'!V94</f>
        <v>0</v>
      </c>
      <c r="E271" s="312">
        <f>('Раскладка продуктов'!V98+'Раскладка продуктов'!V99+'Раскладка продуктов'!V100+'Раскладка продуктов'!V101)/2</f>
        <v>0</v>
      </c>
      <c r="F271" s="312">
        <f>'Раскладка продуктов'!V103</f>
        <v>0</v>
      </c>
      <c r="G271" s="314">
        <f t="shared" si="24"/>
        <v>0</v>
      </c>
      <c r="H271" s="315">
        <f t="shared" si="23"/>
        <v>0</v>
      </c>
      <c r="I271" s="316">
        <f t="shared" si="25"/>
        <v>0</v>
      </c>
      <c r="J271" s="362">
        <f t="shared" si="26"/>
        <v>0</v>
      </c>
    </row>
    <row r="272" spans="2:10" ht="15" x14ac:dyDescent="0.25">
      <c r="B272" s="340" t="s">
        <v>136</v>
      </c>
      <c r="C272" s="337">
        <f>Пт!$M$2/1000</f>
        <v>0</v>
      </c>
      <c r="D272" s="312">
        <f>'Раскладка продуктов'!U94</f>
        <v>0</v>
      </c>
      <c r="E272" s="312">
        <f>('Раскладка продуктов'!U98+'Раскладка продуктов'!U99+'Раскладка продуктов'!U100+'Раскладка продуктов'!U101)/2</f>
        <v>65.5</v>
      </c>
      <c r="F272" s="312">
        <f>'Раскладка продуктов'!U103</f>
        <v>0</v>
      </c>
      <c r="G272" s="314">
        <f t="shared" si="24"/>
        <v>0</v>
      </c>
      <c r="H272" s="315">
        <f t="shared" ref="H272:H323" si="27">C272*E272</f>
        <v>0</v>
      </c>
      <c r="I272" s="316">
        <f t="shared" si="25"/>
        <v>0</v>
      </c>
      <c r="J272" s="362">
        <f t="shared" si="26"/>
        <v>0</v>
      </c>
    </row>
    <row r="273" spans="2:15" ht="15" x14ac:dyDescent="0.25">
      <c r="B273" s="341" t="s">
        <v>137</v>
      </c>
      <c r="C273" s="337">
        <f>Пт!$M$2/1000</f>
        <v>0</v>
      </c>
      <c r="D273" s="312">
        <f>'Раскладка продуктов'!S94</f>
        <v>81</v>
      </c>
      <c r="E273" s="312">
        <f>('Раскладка продуктов'!S98+'Раскладка продуктов'!S99+'Раскладка продуктов'!S100+'Раскладка продуктов'!S101)/2</f>
        <v>0</v>
      </c>
      <c r="F273" s="312">
        <f>'Раскладка продуктов'!S103</f>
        <v>0</v>
      </c>
      <c r="G273" s="314">
        <f t="shared" si="24"/>
        <v>0</v>
      </c>
      <c r="H273" s="315">
        <f t="shared" si="27"/>
        <v>0</v>
      </c>
      <c r="I273" s="316">
        <f t="shared" si="25"/>
        <v>0</v>
      </c>
      <c r="J273" s="362">
        <f t="shared" si="26"/>
        <v>0</v>
      </c>
    </row>
    <row r="274" spans="2:15" ht="15" x14ac:dyDescent="0.25">
      <c r="B274" s="340" t="str">
        <f>IF('Блок ввода'!$B$213=2,"КОНЦЕНТРАТ КРУПЯНОЙ","КРУПА ОВСЯНАЯ")</f>
        <v>КРУПА ОВСЯНАЯ</v>
      </c>
      <c r="C274" s="337">
        <f>Пт!$M$2/1000</f>
        <v>0</v>
      </c>
      <c r="D274" s="312">
        <f>'Раскладка продуктов'!W94</f>
        <v>0</v>
      </c>
      <c r="E274" s="312">
        <f>('Раскладка продуктов'!W98+'Раскладка продуктов'!W99+'Раскладка продуктов'!W100+'Раскладка продуктов'!W101)/2</f>
        <v>0</v>
      </c>
      <c r="F274" s="312">
        <f>'Раскладка продуктов'!W103</f>
        <v>0</v>
      </c>
      <c r="G274" s="314">
        <f t="shared" si="24"/>
        <v>0</v>
      </c>
      <c r="H274" s="315">
        <f t="shared" si="27"/>
        <v>0</v>
      </c>
      <c r="I274" s="316">
        <f t="shared" si="25"/>
        <v>0</v>
      </c>
      <c r="J274" s="362">
        <f t="shared" si="26"/>
        <v>0</v>
      </c>
    </row>
    <row r="275" spans="2:15" ht="15" x14ac:dyDescent="0.25">
      <c r="B275" s="340" t="s">
        <v>169</v>
      </c>
      <c r="C275" s="337">
        <f>Пт!$M$2/1000</f>
        <v>0</v>
      </c>
      <c r="D275" s="312">
        <f>'Раскладка продуктов'!T94</f>
        <v>0</v>
      </c>
      <c r="E275" s="312">
        <f>('Раскладка продуктов'!T98+'Раскладка продуктов'!T99+'Раскладка продуктов'!T100+'Раскладка продуктов'!T101)/2</f>
        <v>0</v>
      </c>
      <c r="F275" s="312">
        <f>'Раскладка продуктов'!T103</f>
        <v>0</v>
      </c>
      <c r="G275" s="354">
        <f t="shared" si="24"/>
        <v>0</v>
      </c>
      <c r="H275" s="328">
        <f t="shared" si="27"/>
        <v>0</v>
      </c>
      <c r="I275" s="329">
        <f t="shared" si="25"/>
        <v>0</v>
      </c>
      <c r="J275" s="364">
        <f t="shared" si="26"/>
        <v>0</v>
      </c>
    </row>
    <row r="276" spans="2:15" ht="15" x14ac:dyDescent="0.25">
      <c r="B276" s="340" t="s">
        <v>138</v>
      </c>
      <c r="C276" s="337">
        <f>Пт!$M$2/1000</f>
        <v>0</v>
      </c>
      <c r="D276" s="312">
        <f>'Раскладка продуктов'!X94</f>
        <v>0</v>
      </c>
      <c r="E276" s="312">
        <f>('Раскладка продуктов'!X98+'Раскладка продуктов'!X99+'Раскладка продуктов'!X100+'Раскладка продуктов'!X101)/2</f>
        <v>35.5</v>
      </c>
      <c r="F276" s="312">
        <f>'Раскладка продуктов'!X103</f>
        <v>0</v>
      </c>
      <c r="G276" s="314">
        <f t="shared" si="24"/>
        <v>0</v>
      </c>
      <c r="H276" s="315">
        <f t="shared" si="27"/>
        <v>0</v>
      </c>
      <c r="I276" s="316">
        <f t="shared" si="25"/>
        <v>0</v>
      </c>
      <c r="J276" s="362">
        <f t="shared" si="26"/>
        <v>0</v>
      </c>
    </row>
    <row r="277" spans="2:15" ht="15" x14ac:dyDescent="0.25">
      <c r="B277" s="342" t="s">
        <v>431</v>
      </c>
      <c r="C277" s="337">
        <f>Пт!$M$2/1000</f>
        <v>0</v>
      </c>
      <c r="D277" s="312">
        <f>IF(OR(D278&gt;0,D280&gt;0,'Блок ввода'!E178=29),0,'Раскладка продуктов'!Y94)</f>
        <v>100</v>
      </c>
      <c r="E277" s="312">
        <f>IF(AND(AND('Блок ввода'!W210&lt;&gt;17,'Блок ввода'!W215&lt;&gt;18),AND('Блок ввода'!W210&lt;&gt;18,'Блок ввода'!W215&lt;&gt;17)),('Раскладка продуктов'!Y100+'Раскладка продуктов'!Y101)/2,IF(OR(AND('Блок ввода'!W210=17,'Блок ввода'!W215=18),AND('Блок ввода'!W210=18,'Блок ввода'!W215=17),AND('Блок ввода'!W210=17,'Блок ввода'!W215=17),AND('Блок ввода'!W210=18,'Блок ввода'!W215=18),OR('Блок ввода'!W210=19,'Блок ввода'!W215=19)),0,('Раскладка продуктов'!Y100+'Раскладка продуктов'!Y101)/4))</f>
        <v>0</v>
      </c>
      <c r="F277" s="312">
        <f>'Раскладка продуктов'!Y103</f>
        <v>0</v>
      </c>
      <c r="G277" s="314">
        <f t="shared" si="24"/>
        <v>0</v>
      </c>
      <c r="H277" s="315">
        <f t="shared" si="27"/>
        <v>0</v>
      </c>
      <c r="I277" s="316">
        <f t="shared" si="25"/>
        <v>0</v>
      </c>
      <c r="J277" s="362">
        <f t="shared" si="26"/>
        <v>0</v>
      </c>
      <c r="L277" s="297"/>
      <c r="N277" s="297"/>
      <c r="O277" s="297"/>
    </row>
    <row r="278" spans="2:15" ht="15" x14ac:dyDescent="0.25">
      <c r="B278" s="340" t="s">
        <v>139</v>
      </c>
      <c r="C278" s="337">
        <f>Пт!$M$2/1000</f>
        <v>0</v>
      </c>
      <c r="D278" s="312">
        <f>IF(OR('Блок ввода'!$E$178=17,'Блок ввода'!$E$178=18),100,0)</f>
        <v>0</v>
      </c>
      <c r="E278" s="312">
        <f>IF(OR(AND('Блок ввода'!W210=17,'Блок ввода'!W215=18),AND('Блок ввода'!W210=18,'Блок ввода'!W215=17),AND('Блок ввода'!W210=17,'Блок ввода'!W215=17),AND('Блок ввода'!W210=18,'Блок ввода'!W215=18)),('Раскладка продуктов'!Y100+'Раскладка продуктов'!Y101)/2,IF(OR(AND('Блок ввода'!W210=17,'Блок ввода'!W215&lt;&gt;18),AND('Блок ввода'!W210=18,'Блок ввода'!W215&lt;&gt;17),AND('Блок ввода'!W210&lt;&gt;18,'Блок ввода'!W215=17),AND('Блок ввода'!W210&lt;&gt;17,'Блок ввода'!W215=18)),IF(OR('Блок ввода'!W210=19,'Блок ввода'!W215=19),('Раскладка продуктов'!Y100+'Раскладка продуктов'!Y101)/2,('Раскладка продуктов'!Y100+'Раскладка продуктов'!Y101)/4),0))</f>
        <v>0</v>
      </c>
      <c r="F278" s="312"/>
      <c r="G278" s="314">
        <f t="shared" si="24"/>
        <v>0</v>
      </c>
      <c r="H278" s="315">
        <f t="shared" si="27"/>
        <v>0</v>
      </c>
      <c r="I278" s="316">
        <f t="shared" si="25"/>
        <v>0</v>
      </c>
      <c r="J278" s="362">
        <f t="shared" si="26"/>
        <v>0</v>
      </c>
      <c r="L278" s="297"/>
      <c r="N278" s="297"/>
      <c r="O278" s="297"/>
    </row>
    <row r="279" spans="2:15" ht="15" x14ac:dyDescent="0.25">
      <c r="B279" s="341" t="s">
        <v>140</v>
      </c>
      <c r="C279" s="337">
        <f>Пт!$M$2/1000</f>
        <v>0</v>
      </c>
      <c r="D279" s="312"/>
      <c r="E279" s="312"/>
      <c r="F279" s="312"/>
      <c r="G279" s="314">
        <f t="shared" si="24"/>
        <v>0</v>
      </c>
      <c r="H279" s="315">
        <f t="shared" si="27"/>
        <v>0</v>
      </c>
      <c r="I279" s="316">
        <f t="shared" si="25"/>
        <v>0</v>
      </c>
      <c r="J279" s="362">
        <f t="shared" si="26"/>
        <v>0</v>
      </c>
      <c r="L279" s="297"/>
      <c r="N279" s="297"/>
      <c r="O279" s="297"/>
    </row>
    <row r="280" spans="2:15" ht="15" x14ac:dyDescent="0.25">
      <c r="B280" s="349" t="s">
        <v>184</v>
      </c>
      <c r="C280" s="337">
        <f>Пт!$M$2/1000</f>
        <v>0</v>
      </c>
      <c r="D280" s="312">
        <f>'Раскладка продуктов'!Z94</f>
        <v>0</v>
      </c>
      <c r="E280" s="312">
        <f>('Раскладка продуктов'!Z100+'Раскладка продуктов'!Z101)/2</f>
        <v>75</v>
      </c>
      <c r="F280" s="312">
        <f>'Раскладка продуктов'!Z103</f>
        <v>0</v>
      </c>
      <c r="G280" s="314">
        <f>C280*D280</f>
        <v>0</v>
      </c>
      <c r="H280" s="315">
        <f>C280*E280</f>
        <v>0</v>
      </c>
      <c r="I280" s="316">
        <f>F280*C280</f>
        <v>0</v>
      </c>
      <c r="J280" s="362">
        <f>G280+H280+I280</f>
        <v>0</v>
      </c>
      <c r="L280" s="297"/>
      <c r="N280" s="297"/>
      <c r="O280" s="297"/>
    </row>
    <row r="281" spans="2:15" ht="15" x14ac:dyDescent="0.25">
      <c r="B281" s="340" t="str">
        <f>IF(AND('Блок ввода'!$AC$38=1,'Блок ввода'!E183&lt;&gt;26),"РЫБА С ГОЛОВОЙ",IF('Блок ввода'!E183=26,"СЕЛЬДЬ СОЛ. БЕЗ ГОЛОВЫ","РЫБА БЕЗ ГОЛОВЫ/СЕЛЬДЬ С ГОЛ."))</f>
        <v>РЫБА БЕЗ ГОЛОВЫ/СЕЛЬДЬ С ГОЛ.</v>
      </c>
      <c r="C281" s="337">
        <f>Пт!$M$2/1000</f>
        <v>0</v>
      </c>
      <c r="D281" s="312">
        <f>'Раскладка продуктов'!$AB$94</f>
        <v>0</v>
      </c>
      <c r="E281" s="312">
        <f>'Раскладка продуктов'!AB97</f>
        <v>0</v>
      </c>
      <c r="F281" s="312">
        <f>'Раскладка продуктов'!AB103</f>
        <v>120</v>
      </c>
      <c r="G281" s="314">
        <f t="shared" si="24"/>
        <v>0</v>
      </c>
      <c r="H281" s="315">
        <f t="shared" si="27"/>
        <v>0</v>
      </c>
      <c r="I281" s="316">
        <f t="shared" si="25"/>
        <v>0</v>
      </c>
      <c r="J281" s="362">
        <f t="shared" si="26"/>
        <v>0</v>
      </c>
    </row>
    <row r="282" spans="2:15" ht="15" x14ac:dyDescent="0.25">
      <c r="B282" s="310" t="str">
        <f>UPPER('Блок ввода'!$B$157)</f>
        <v xml:space="preserve">КОНС. РЫБНЫЕ - КИЛЬКА В ТОМ. СОУСЕ  </v>
      </c>
      <c r="C282" s="337">
        <f>Пт!$M$2/1000</f>
        <v>0</v>
      </c>
      <c r="D282" s="312">
        <f>'Раскладка продуктов'!$AC$94</f>
        <v>0</v>
      </c>
      <c r="E282" s="312"/>
      <c r="F282" s="312">
        <f>'Раскладка продуктов'!AC103</f>
        <v>0</v>
      </c>
      <c r="G282" s="314">
        <f>C282*D282</f>
        <v>0</v>
      </c>
      <c r="H282" s="315">
        <f>C282*E282</f>
        <v>0</v>
      </c>
      <c r="I282" s="316">
        <f t="shared" si="25"/>
        <v>0</v>
      </c>
      <c r="J282" s="362">
        <f t="shared" si="26"/>
        <v>0</v>
      </c>
    </row>
    <row r="283" spans="2:15" ht="15" x14ac:dyDescent="0.25">
      <c r="B283" s="341" t="s">
        <v>141</v>
      </c>
      <c r="C283" s="337">
        <f>Пт!$M$2/1000</f>
        <v>0</v>
      </c>
      <c r="D283" s="312">
        <f>'Раскладка продуктов'!AF94</f>
        <v>3</v>
      </c>
      <c r="E283" s="312">
        <f>'Раскладка продуктов'!AF97</f>
        <v>12</v>
      </c>
      <c r="F283" s="312">
        <f>'Раскладка продуктов'!AF103</f>
        <v>15</v>
      </c>
      <c r="G283" s="314">
        <f t="shared" si="24"/>
        <v>0</v>
      </c>
      <c r="H283" s="315">
        <f t="shared" si="27"/>
        <v>0</v>
      </c>
      <c r="I283" s="316">
        <f t="shared" si="25"/>
        <v>0</v>
      </c>
      <c r="J283" s="362">
        <f t="shared" si="26"/>
        <v>0</v>
      </c>
    </row>
    <row r="284" spans="2:15" ht="15" x14ac:dyDescent="0.25">
      <c r="B284" s="340" t="s">
        <v>142</v>
      </c>
      <c r="C284" s="337">
        <f>Пт!$M$2/1000</f>
        <v>0</v>
      </c>
      <c r="D284" s="312">
        <f>'Раскладка продуктов'!AE94</f>
        <v>19</v>
      </c>
      <c r="E284" s="312"/>
      <c r="F284" s="312">
        <f>'Раскладка продуктов'!AE103</f>
        <v>22</v>
      </c>
      <c r="G284" s="314">
        <f t="shared" si="24"/>
        <v>0</v>
      </c>
      <c r="H284" s="315">
        <f t="shared" si="27"/>
        <v>0</v>
      </c>
      <c r="I284" s="316">
        <f t="shared" si="25"/>
        <v>0</v>
      </c>
      <c r="J284" s="362">
        <f t="shared" si="26"/>
        <v>0</v>
      </c>
    </row>
    <row r="285" spans="2:15" ht="15" x14ac:dyDescent="0.25">
      <c r="B285" s="341" t="s">
        <v>143</v>
      </c>
      <c r="C285" s="337">
        <f>Пт!$M$2/1000</f>
        <v>0</v>
      </c>
      <c r="D285" s="312">
        <f>'Раскладка продуктов'!AD94</f>
        <v>0</v>
      </c>
      <c r="E285" s="312">
        <f>('Раскладка продуктов'!AD98+'Раскладка продуктов'!AD99+'Раскладка продуктов'!AD100+'Раскладка продуктов'!AD101)/2</f>
        <v>0</v>
      </c>
      <c r="F285" s="312">
        <f>'Раскладка продуктов'!AD103</f>
        <v>0</v>
      </c>
      <c r="G285" s="314">
        <f t="shared" si="24"/>
        <v>0</v>
      </c>
      <c r="H285" s="315">
        <f t="shared" si="27"/>
        <v>0</v>
      </c>
      <c r="I285" s="316">
        <f t="shared" si="25"/>
        <v>0</v>
      </c>
      <c r="J285" s="362">
        <f t="shared" si="26"/>
        <v>0</v>
      </c>
    </row>
    <row r="286" spans="2:15" ht="15" x14ac:dyDescent="0.25">
      <c r="B286" s="340" t="s">
        <v>362</v>
      </c>
      <c r="C286" s="337">
        <f>Пт!$M$2/1000</f>
        <v>0</v>
      </c>
      <c r="D286" s="312"/>
      <c r="E286" s="312">
        <f>IF(OR('Блок ввода'!A34=1,'Блок ввода'!A34=3),0,('Раскладка продуктов'!AZ98+'Раскладка продуктов'!AZ99+'Раскладка продуктов'!AZ100+'Раскладка продуктов'!AZ101)/2+'Раскладка продуктов'!AZ102)</f>
        <v>0</v>
      </c>
      <c r="F286" s="312">
        <f>'Раскладка продуктов'!AZ103</f>
        <v>0</v>
      </c>
      <c r="G286" s="351">
        <f t="shared" si="24"/>
        <v>0</v>
      </c>
      <c r="H286" s="352">
        <f t="shared" si="27"/>
        <v>0</v>
      </c>
      <c r="I286" s="353">
        <f t="shared" si="25"/>
        <v>0</v>
      </c>
      <c r="J286" s="368">
        <f t="shared" si="26"/>
        <v>0</v>
      </c>
    </row>
    <row r="287" spans="2:15" ht="15" x14ac:dyDescent="0.25">
      <c r="B287" s="340" t="s">
        <v>144</v>
      </c>
      <c r="C287" s="337">
        <f>Пт!$M$2/1000</f>
        <v>0</v>
      </c>
      <c r="D287" s="312"/>
      <c r="E287" s="312"/>
      <c r="F287" s="312"/>
      <c r="G287" s="314">
        <f t="shared" si="24"/>
        <v>0</v>
      </c>
      <c r="H287" s="315">
        <f t="shared" si="27"/>
        <v>0</v>
      </c>
      <c r="I287" s="316">
        <f t="shared" si="25"/>
        <v>0</v>
      </c>
      <c r="J287" s="362">
        <f t="shared" si="26"/>
        <v>0</v>
      </c>
    </row>
    <row r="288" spans="2:15" ht="15" x14ac:dyDescent="0.25">
      <c r="B288" s="340" t="s">
        <v>145</v>
      </c>
      <c r="C288" s="337">
        <f>Пт!$M$2/1000</f>
        <v>0</v>
      </c>
      <c r="D288" s="312"/>
      <c r="E288" s="312"/>
      <c r="F288" s="312"/>
      <c r="G288" s="314">
        <f t="shared" si="24"/>
        <v>0</v>
      </c>
      <c r="H288" s="315">
        <f t="shared" si="27"/>
        <v>0</v>
      </c>
      <c r="I288" s="316">
        <f t="shared" si="25"/>
        <v>0</v>
      </c>
      <c r="J288" s="362">
        <f t="shared" si="26"/>
        <v>0</v>
      </c>
    </row>
    <row r="289" spans="2:10" ht="15" x14ac:dyDescent="0.25">
      <c r="B289" s="340" t="str">
        <f>IF('Блок ввода'!$A$34=1,"МОЛОКО СГУЩЕНОЕ С САХАРОМ","МОЛОКО СУХОЕ")</f>
        <v>МОЛОКО СУХОЕ</v>
      </c>
      <c r="C289" s="337">
        <f>Пт!$M$2/1000</f>
        <v>0</v>
      </c>
      <c r="D289" s="312"/>
      <c r="E289" s="312">
        <f>IF('Блок ввода'!$A$34=1,('Раскладка продуктов'!AZ98+'Раскладка продуктов'!AZ99+'Раскладка продуктов'!AZ100+'Раскладка продуктов'!AZ101)/2,0)</f>
        <v>0</v>
      </c>
      <c r="F289" s="312"/>
      <c r="G289" s="314">
        <f t="shared" si="24"/>
        <v>0</v>
      </c>
      <c r="H289" s="315">
        <f t="shared" si="27"/>
        <v>0</v>
      </c>
      <c r="I289" s="316">
        <f t="shared" si="25"/>
        <v>0</v>
      </c>
      <c r="J289" s="362">
        <f t="shared" si="26"/>
        <v>0</v>
      </c>
    </row>
    <row r="290" spans="2:10" ht="15" x14ac:dyDescent="0.25">
      <c r="B290" s="340" t="str">
        <f>IF('Блок ввода'!$Z$26=1,"СЫР СЫЧУЖНЫЙ ТВЕРДЫЙ","СЫР ПЛАВЛЕНЫЙ")</f>
        <v>СЫР ПЛАВЛЕНЫЙ</v>
      </c>
      <c r="C290" s="337">
        <f>Пт!$M$2/1000</f>
        <v>0</v>
      </c>
      <c r="D290" s="312"/>
      <c r="E290" s="312"/>
      <c r="F290" s="312"/>
      <c r="G290" s="314">
        <f t="shared" si="24"/>
        <v>0</v>
      </c>
      <c r="H290" s="315">
        <f t="shared" si="27"/>
        <v>0</v>
      </c>
      <c r="I290" s="316">
        <f t="shared" si="25"/>
        <v>0</v>
      </c>
      <c r="J290" s="362">
        <f t="shared" si="26"/>
        <v>0</v>
      </c>
    </row>
    <row r="291" spans="2:10" ht="15" x14ac:dyDescent="0.25">
      <c r="B291" s="340" t="str">
        <f>IF('Блок ввода'!$G$32=1,"ПОРОШОК ЯИЧНЫЙ","ЯЙЦА КУРИНЫЕ")</f>
        <v>ЯЙЦА КУРИНЫЕ</v>
      </c>
      <c r="C291" s="337">
        <f>Пт!$M$2/1000</f>
        <v>0</v>
      </c>
      <c r="D291" s="320">
        <f>'Раскладка продуктов'!AX94+'Раскладка продуктов'!AX95+'Раскладка продуктов'!AX96</f>
        <v>1</v>
      </c>
      <c r="E291" s="312"/>
      <c r="F291" s="320">
        <f>'Раскладка продуктов'!AX103+'Раскладка продуктов'!AX105</f>
        <v>0</v>
      </c>
      <c r="G291" s="314">
        <f>D291*Пт!M2</f>
        <v>0</v>
      </c>
      <c r="H291" s="315">
        <f>E291*Пт!M2</f>
        <v>0</v>
      </c>
      <c r="I291" s="322">
        <f>IF('Блок ввода'!$G$32=1,ROUND(F291*C291,3),ROUND(F291*Пт!M2,0))</f>
        <v>0</v>
      </c>
      <c r="J291" s="362">
        <f t="shared" si="26"/>
        <v>0</v>
      </c>
    </row>
    <row r="292" spans="2:10" ht="15" x14ac:dyDescent="0.25">
      <c r="B292" s="340" t="s">
        <v>146</v>
      </c>
      <c r="C292" s="337">
        <f>Пт!$M$2/1000</f>
        <v>0</v>
      </c>
      <c r="D292" s="312">
        <f>'Раскладка продуктов'!AG96</f>
        <v>30</v>
      </c>
      <c r="E292" s="312">
        <f>'Раскладка продуктов'!AG102</f>
        <v>0</v>
      </c>
      <c r="F292" s="312">
        <f>'Раскладка продуктов'!AG105</f>
        <v>30</v>
      </c>
      <c r="G292" s="314">
        <f t="shared" ref="G292:G323" si="28">C292*D292</f>
        <v>0</v>
      </c>
      <c r="H292" s="315">
        <f t="shared" si="27"/>
        <v>0</v>
      </c>
      <c r="I292" s="316">
        <f t="shared" si="25"/>
        <v>0</v>
      </c>
      <c r="J292" s="362">
        <f t="shared" si="26"/>
        <v>0</v>
      </c>
    </row>
    <row r="293" spans="2:10" ht="15" x14ac:dyDescent="0.25">
      <c r="B293" s="340" t="s">
        <v>147</v>
      </c>
      <c r="C293" s="337">
        <f>Пт!$M$2/1000</f>
        <v>0</v>
      </c>
      <c r="D293" s="312">
        <f>'Раскладка продуктов'!AJ106</f>
        <v>20</v>
      </c>
      <c r="E293" s="312"/>
      <c r="F293" s="312"/>
      <c r="G293" s="314">
        <f t="shared" si="28"/>
        <v>0</v>
      </c>
      <c r="H293" s="315">
        <f t="shared" si="27"/>
        <v>0</v>
      </c>
      <c r="I293" s="316">
        <f t="shared" si="25"/>
        <v>0</v>
      </c>
      <c r="J293" s="362">
        <f t="shared" si="26"/>
        <v>0</v>
      </c>
    </row>
    <row r="294" spans="2:10" ht="15" x14ac:dyDescent="0.25">
      <c r="B294" s="340" t="s">
        <v>148</v>
      </c>
      <c r="C294" s="337">
        <f>Пт!$M$2/1000</f>
        <v>0</v>
      </c>
      <c r="D294" s="312">
        <f>'Раскладка продуктов'!AH96</f>
        <v>0</v>
      </c>
      <c r="E294" s="312"/>
      <c r="F294" s="312">
        <f>'Раскладка продуктов'!AH105</f>
        <v>1</v>
      </c>
      <c r="G294" s="314">
        <f t="shared" si="28"/>
        <v>0</v>
      </c>
      <c r="H294" s="315">
        <f t="shared" si="27"/>
        <v>0</v>
      </c>
      <c r="I294" s="316">
        <f t="shared" si="25"/>
        <v>0</v>
      </c>
      <c r="J294" s="362">
        <f t="shared" si="26"/>
        <v>0</v>
      </c>
    </row>
    <row r="295" spans="2:10" ht="15" x14ac:dyDescent="0.25">
      <c r="B295" s="340" t="s">
        <v>149</v>
      </c>
      <c r="C295" s="337">
        <f>Пт!$M$2/1000</f>
        <v>0</v>
      </c>
      <c r="D295" s="312"/>
      <c r="E295" s="312"/>
      <c r="F295" s="312"/>
      <c r="G295" s="314">
        <f t="shared" si="28"/>
        <v>0</v>
      </c>
      <c r="H295" s="315">
        <f t="shared" si="27"/>
        <v>0</v>
      </c>
      <c r="I295" s="316">
        <f t="shared" si="25"/>
        <v>0</v>
      </c>
      <c r="J295" s="362">
        <f t="shared" si="26"/>
        <v>0</v>
      </c>
    </row>
    <row r="296" spans="2:10" ht="15" x14ac:dyDescent="0.25">
      <c r="B296" s="340" t="s">
        <v>217</v>
      </c>
      <c r="C296" s="337">
        <f>Пт!$M$2/1000</f>
        <v>0</v>
      </c>
      <c r="D296" s="312">
        <f>IF('Блок ввода'!T207=7,'Раскладка продуктов'!BC96,0)</f>
        <v>0</v>
      </c>
      <c r="E296" s="312"/>
      <c r="F296" s="312"/>
      <c r="G296" s="314">
        <f>C296*D296</f>
        <v>0</v>
      </c>
      <c r="H296" s="315">
        <f>C296*E296</f>
        <v>0</v>
      </c>
      <c r="I296" s="316">
        <f>F296*C296</f>
        <v>0</v>
      </c>
      <c r="J296" s="362">
        <f>G296+H296+I296</f>
        <v>0</v>
      </c>
    </row>
    <row r="297" spans="2:10" ht="15" x14ac:dyDescent="0.25">
      <c r="B297" s="340" t="s">
        <v>150</v>
      </c>
      <c r="C297" s="337">
        <f>Пт!$M$2/1000</f>
        <v>0</v>
      </c>
      <c r="D297" s="312">
        <f>'Раскладка продуктов'!AT106</f>
        <v>0.2</v>
      </c>
      <c r="E297" s="312"/>
      <c r="F297" s="312"/>
      <c r="G297" s="314">
        <f t="shared" si="28"/>
        <v>0</v>
      </c>
      <c r="H297" s="315">
        <f t="shared" si="27"/>
        <v>0</v>
      </c>
      <c r="I297" s="316">
        <f t="shared" si="25"/>
        <v>0</v>
      </c>
      <c r="J297" s="362">
        <f t="shared" si="26"/>
        <v>0</v>
      </c>
    </row>
    <row r="298" spans="2:10" ht="15" x14ac:dyDescent="0.25">
      <c r="B298" s="340" t="s">
        <v>151</v>
      </c>
      <c r="C298" s="337">
        <f>Пт!$M$2/1000</f>
        <v>0</v>
      </c>
      <c r="D298" s="312">
        <f>'Раскладка продуктов'!AU106</f>
        <v>0.3</v>
      </c>
      <c r="E298" s="312"/>
      <c r="F298" s="312"/>
      <c r="G298" s="314">
        <f t="shared" si="28"/>
        <v>0</v>
      </c>
      <c r="H298" s="315">
        <f t="shared" si="27"/>
        <v>0</v>
      </c>
      <c r="I298" s="316">
        <f t="shared" si="25"/>
        <v>0</v>
      </c>
      <c r="J298" s="362">
        <f t="shared" si="26"/>
        <v>0</v>
      </c>
    </row>
    <row r="299" spans="2:10" ht="15" x14ac:dyDescent="0.25">
      <c r="B299" s="340" t="s">
        <v>152</v>
      </c>
      <c r="C299" s="337">
        <f>Пт!$M$2/1000</f>
        <v>0</v>
      </c>
      <c r="D299" s="312">
        <v>0.3</v>
      </c>
      <c r="E299" s="312"/>
      <c r="F299" s="312"/>
      <c r="G299" s="314">
        <f t="shared" si="28"/>
        <v>0</v>
      </c>
      <c r="H299" s="315">
        <f t="shared" si="27"/>
        <v>0</v>
      </c>
      <c r="I299" s="316">
        <f t="shared" si="25"/>
        <v>0</v>
      </c>
      <c r="J299" s="362">
        <f t="shared" si="26"/>
        <v>0</v>
      </c>
    </row>
    <row r="300" spans="2:10" ht="15" x14ac:dyDescent="0.25">
      <c r="B300" s="310" t="str">
        <f>IF('Блок ввода'!$A$36=1,"УКСУСНАЯ ЭССЕНЦИЯ","УКСУС")</f>
        <v>УКСУС</v>
      </c>
      <c r="C300" s="337">
        <f>Пт!$M$2/1000</f>
        <v>0</v>
      </c>
      <c r="D300" s="312">
        <f>IF('Блок ввода'!$A$36=1,2/20,2)</f>
        <v>2</v>
      </c>
      <c r="E300" s="312"/>
      <c r="F300" s="312"/>
      <c r="G300" s="314">
        <f t="shared" si="28"/>
        <v>0</v>
      </c>
      <c r="H300" s="315">
        <f t="shared" si="27"/>
        <v>0</v>
      </c>
      <c r="I300" s="316">
        <f t="shared" si="25"/>
        <v>0</v>
      </c>
      <c r="J300" s="362">
        <f t="shared" si="26"/>
        <v>0</v>
      </c>
    </row>
    <row r="301" spans="2:10" ht="15" x14ac:dyDescent="0.25">
      <c r="B301" s="340" t="str">
        <f>IF('Блок ввода'!$A$39=1,"ТОМАТНЫЙ СОУС","ТОМАТНАЯ ПАСТА")</f>
        <v>ТОМАТНАЯ ПАСТА</v>
      </c>
      <c r="C301" s="337">
        <f>Пт!$M$2/1000</f>
        <v>0</v>
      </c>
      <c r="D301" s="312">
        <v>6</v>
      </c>
      <c r="E301" s="312"/>
      <c r="F301" s="312"/>
      <c r="G301" s="314">
        <f t="shared" si="28"/>
        <v>0</v>
      </c>
      <c r="H301" s="315">
        <f t="shared" si="27"/>
        <v>0</v>
      </c>
      <c r="I301" s="316">
        <f t="shared" si="25"/>
        <v>0</v>
      </c>
      <c r="J301" s="362">
        <f t="shared" si="26"/>
        <v>0</v>
      </c>
    </row>
    <row r="302" spans="2:10" ht="15" x14ac:dyDescent="0.25">
      <c r="B302" s="340" t="s">
        <v>376</v>
      </c>
      <c r="C302" s="337">
        <f>Пт!$M$2/1000</f>
        <v>0</v>
      </c>
      <c r="D302" s="312"/>
      <c r="E302" s="312"/>
      <c r="F302" s="312"/>
      <c r="G302" s="314">
        <f t="shared" si="28"/>
        <v>0</v>
      </c>
      <c r="H302" s="315">
        <f t="shared" si="27"/>
        <v>0</v>
      </c>
      <c r="I302" s="316">
        <f t="shared" si="25"/>
        <v>0</v>
      </c>
      <c r="J302" s="362">
        <f t="shared" si="26"/>
        <v>0</v>
      </c>
    </row>
    <row r="303" spans="2:10" ht="15" x14ac:dyDescent="0.25">
      <c r="B303" s="340" t="s">
        <v>153</v>
      </c>
      <c r="C303" s="337">
        <f>Пт!$M$2/1000</f>
        <v>0</v>
      </c>
      <c r="D303" s="312"/>
      <c r="E303" s="312"/>
      <c r="F303" s="312"/>
      <c r="G303" s="314">
        <f t="shared" si="28"/>
        <v>0</v>
      </c>
      <c r="H303" s="315">
        <f t="shared" si="27"/>
        <v>0</v>
      </c>
      <c r="I303" s="316">
        <f t="shared" si="25"/>
        <v>0</v>
      </c>
      <c r="J303" s="362">
        <f t="shared" si="26"/>
        <v>0</v>
      </c>
    </row>
    <row r="304" spans="2:10" ht="15" x14ac:dyDescent="0.25">
      <c r="B304" s="310" t="str">
        <f>IF('Блок ввода'!$B$223=1,"ДРОЖЖИ СУШЕНЫЕ","ДРОЖЖИ ПРЕСОВАННЫЕ" )</f>
        <v>ДРОЖЖИ ПРЕСОВАННЫЕ</v>
      </c>
      <c r="C304" s="337">
        <f>Пт!$M$2/1000</f>
        <v>0</v>
      </c>
      <c r="D304" s="323">
        <f>'Раскладка продуктов'!BH96</f>
        <v>0</v>
      </c>
      <c r="E304" s="312"/>
      <c r="F304" s="323">
        <f>'Раскладка продуктов'!BH105</f>
        <v>0.5</v>
      </c>
      <c r="G304" s="314">
        <f t="shared" si="28"/>
        <v>0</v>
      </c>
      <c r="H304" s="315">
        <f t="shared" si="27"/>
        <v>0</v>
      </c>
      <c r="I304" s="316">
        <f t="shared" si="25"/>
        <v>0</v>
      </c>
      <c r="J304" s="362">
        <f t="shared" si="26"/>
        <v>0</v>
      </c>
    </row>
    <row r="305" spans="2:10" ht="15" x14ac:dyDescent="0.25">
      <c r="B305" s="340" t="s">
        <v>154</v>
      </c>
      <c r="C305" s="337">
        <f>Пт!$M$2/1000</f>
        <v>0</v>
      </c>
      <c r="D305" s="312">
        <f>'Раскладка продуктов'!AK94</f>
        <v>0</v>
      </c>
      <c r="E305" s="312">
        <f>'Раскладка продуктов'!AK97+('Раскладка продуктов'!AK98+'Раскладка продуктов'!AK99+'Раскладка продуктов'!AK100+'Раскладка продуктов'!AK101)/2</f>
        <v>160</v>
      </c>
      <c r="F305" s="312">
        <f>'Раскладка продуктов'!AK103</f>
        <v>400</v>
      </c>
      <c r="G305" s="314">
        <f t="shared" si="28"/>
        <v>0</v>
      </c>
      <c r="H305" s="315">
        <f t="shared" si="27"/>
        <v>0</v>
      </c>
      <c r="I305" s="316">
        <f t="shared" si="25"/>
        <v>0</v>
      </c>
      <c r="J305" s="362">
        <f t="shared" si="26"/>
        <v>0</v>
      </c>
    </row>
    <row r="306" spans="2:10" ht="15" x14ac:dyDescent="0.25">
      <c r="B306" s="340" t="s">
        <v>155</v>
      </c>
      <c r="C306" s="337">
        <f>Пт!$M$2/1000</f>
        <v>0</v>
      </c>
      <c r="D306" s="312">
        <f>'Раскладка продуктов'!AL94</f>
        <v>0</v>
      </c>
      <c r="E306" s="312">
        <f>'Раскладка продуктов'!AL97+('Раскладка продуктов'!AL98+'Раскладка продуктов'!AL99+'Раскладка продуктов'!AL100+'Раскладка продуктов'!AL101)/2</f>
        <v>0</v>
      </c>
      <c r="F306" s="312">
        <f>'Раскладка продуктов'!AL103</f>
        <v>0</v>
      </c>
      <c r="G306" s="314">
        <f t="shared" si="28"/>
        <v>0</v>
      </c>
      <c r="H306" s="315">
        <f t="shared" si="27"/>
        <v>0</v>
      </c>
      <c r="I306" s="316">
        <f t="shared" si="25"/>
        <v>0</v>
      </c>
      <c r="J306" s="362">
        <f t="shared" si="26"/>
        <v>0</v>
      </c>
    </row>
    <row r="307" spans="2:10" ht="15" x14ac:dyDescent="0.25">
      <c r="B307" s="340" t="s">
        <v>156</v>
      </c>
      <c r="C307" s="337">
        <f>Пт!$M$2/1000</f>
        <v>0</v>
      </c>
      <c r="D307" s="312">
        <f>'Раскладка продуктов'!AM94</f>
        <v>0</v>
      </c>
      <c r="E307" s="312">
        <f>IF('Блок ввода'!E52=17,('Раскладка продуктов'!AM98+'Раскладка продуктов'!AM99+'Раскладка продуктов'!AM100+'Раскладка продуктов'!AM101)/2,'Раскладка продуктов'!AM97+('Раскладка продуктов'!AM98+'Раскладка продуктов'!AM99+'Раскладка продуктов'!AM100+'Раскладка продуктов'!AM101)/2)</f>
        <v>40</v>
      </c>
      <c r="F307" s="312">
        <f>'Раскладка продуктов'!AM103</f>
        <v>0</v>
      </c>
      <c r="G307" s="314">
        <f t="shared" si="28"/>
        <v>0</v>
      </c>
      <c r="H307" s="315">
        <f t="shared" si="27"/>
        <v>0</v>
      </c>
      <c r="I307" s="316">
        <f t="shared" si="25"/>
        <v>0</v>
      </c>
      <c r="J307" s="362">
        <f t="shared" si="26"/>
        <v>0</v>
      </c>
    </row>
    <row r="308" spans="2:10" ht="15" x14ac:dyDescent="0.25">
      <c r="B308" s="340" t="s">
        <v>157</v>
      </c>
      <c r="C308" s="337">
        <f>Пт!$M$2/1000</f>
        <v>0</v>
      </c>
      <c r="D308" s="312">
        <f>'Раскладка продуктов'!AN94</f>
        <v>10</v>
      </c>
      <c r="E308" s="312">
        <f>'Раскладка продуктов'!AN97+('Раскладка продуктов'!AN98+'Раскладка продуктов'!AN99+'Раскладка продуктов'!AN100+'Раскладка продуктов'!AN101)/2</f>
        <v>30</v>
      </c>
      <c r="F308" s="312">
        <f>'Раскладка продуктов'!AN103</f>
        <v>15</v>
      </c>
      <c r="G308" s="314">
        <f t="shared" si="28"/>
        <v>0</v>
      </c>
      <c r="H308" s="315">
        <f t="shared" si="27"/>
        <v>0</v>
      </c>
      <c r="I308" s="316">
        <f t="shared" si="25"/>
        <v>0</v>
      </c>
      <c r="J308" s="362">
        <f t="shared" si="26"/>
        <v>0</v>
      </c>
    </row>
    <row r="309" spans="2:10" ht="15" x14ac:dyDescent="0.25">
      <c r="B309" s="340" t="str">
        <f>IF(AND('Блок ввода'!$A$37=TRUE,'Блок ввода'!$AC$35),"ЛУК - ПЕРО",IF(AND('Блок ввода'!$I$37=TRUE,'Блок ввода'!$AC$35),"ЛУК СУШЕНЫЙ","ЛУК РЕПЧАТЫЙ"))</f>
        <v>ЛУК РЕПЧАТЫЙ</v>
      </c>
      <c r="C309" s="337">
        <f>Пт!$M$2/1000</f>
        <v>0</v>
      </c>
      <c r="D309" s="312">
        <f>IF(AND('Блок ввода'!$A$37=TRUE,'Блок ввода'!AC35=TRUE),'Раскладка продуктов'!AO94*2,'Раскладка продуктов'!AO94)</f>
        <v>10</v>
      </c>
      <c r="E309" s="312">
        <f>IF(AND('Блок ввода'!$A$37=TRUE,'Блок ввода'!AC35=TRUE),('Раскладка продуктов'!AO97+'Раскладка продуктов'!AO102+('Раскладка продуктов'!AO98+'Раскладка продуктов'!AO99+'Раскладка продуктов'!AO100+'Раскладка продуктов'!AO101)/2)*2,'Раскладка продуктов'!AO97+('Раскладка продуктов'!AO98+'Раскладка продуктов'!AO99+'Раскладка продуктов'!AO100+'Раскладка продуктов'!AO101)/2+'Раскладка продуктов'!AO102)</f>
        <v>30</v>
      </c>
      <c r="F309" s="312">
        <f>IF(AND('Блок ввода'!$A$37=TRUE,'Блок ввода'!AC35=TRUE),'Раскладка продуктов'!AO103*2,'Раскладка продуктов'!AO103)</f>
        <v>10</v>
      </c>
      <c r="G309" s="314">
        <f t="shared" si="28"/>
        <v>0</v>
      </c>
      <c r="H309" s="315">
        <f t="shared" si="27"/>
        <v>0</v>
      </c>
      <c r="I309" s="316">
        <f t="shared" si="25"/>
        <v>0</v>
      </c>
      <c r="J309" s="362">
        <f t="shared" si="26"/>
        <v>0</v>
      </c>
    </row>
    <row r="310" spans="2:10" ht="15" x14ac:dyDescent="0.25">
      <c r="B310" s="346" t="str">
        <f>IF(OR('Блок ввода'!E52=15,'Блок ввода'!E52=21),"ОГУРЦЫ СВЕЖИЕ","ОГУРЦЫ СОЛЕНЫЕ")</f>
        <v>ОГУРЦЫ СОЛЕНЫЕ</v>
      </c>
      <c r="C310" s="337">
        <f>Пт!$M$2/1000</f>
        <v>0</v>
      </c>
      <c r="D310" s="312">
        <f>'Раскладка продуктов'!AP94</f>
        <v>0</v>
      </c>
      <c r="E310" s="312">
        <f>IF(OR('Блок ввода'!E52=10,'Блок ввода'!E52=13,'Блок ввода'!E52=18,'Блок ввода'!E52=19),('Раскладка продуктов'!AP98+'Раскладка продуктов'!AP99+'Раскладка продуктов'!AP100+'Раскладка продуктов'!AP101)/2,IF('Блок ввода'!E52=21,'Раскладка продуктов'!AP97/2,'Раскладка продуктов'!AP97+('Раскладка продуктов'!AP98+'Раскладка продуктов'!AP99+'Раскладка продуктов'!AP100+'Раскладка продуктов'!AP101)/2))</f>
        <v>35</v>
      </c>
      <c r="F310" s="312">
        <f>'Раскладка продуктов'!AP103</f>
        <v>0</v>
      </c>
      <c r="G310" s="314">
        <f t="shared" si="28"/>
        <v>0</v>
      </c>
      <c r="H310" s="315">
        <f t="shared" si="27"/>
        <v>0</v>
      </c>
      <c r="I310" s="316">
        <f t="shared" si="25"/>
        <v>0</v>
      </c>
      <c r="J310" s="362">
        <f t="shared" si="26"/>
        <v>0</v>
      </c>
    </row>
    <row r="311" spans="2:10" ht="15" x14ac:dyDescent="0.25">
      <c r="B311" s="340" t="str">
        <f>IF(OR('Блок ввода'!E52=19,'Блок ввода'!E52=21),"ПОМИДОРЫ СВЕЖИЕ","ПОМИДОРЫ СОЛЁНЫЕ")</f>
        <v>ПОМИДОРЫ СОЛЁНЫЕ</v>
      </c>
      <c r="C311" s="337">
        <f>Пт!$M$2/1000</f>
        <v>0</v>
      </c>
      <c r="D311" s="312"/>
      <c r="E311" s="312">
        <f>IF(OR('Блок ввода'!E52=10,'Блок ввода'!E52=19),'Раскладка продуктов'!AP97,IF('Блок ввода'!E52=21,'Раскладка продуктов'!AP97/2,0))</f>
        <v>0</v>
      </c>
      <c r="F311" s="312"/>
      <c r="G311" s="314">
        <f t="shared" si="28"/>
        <v>0</v>
      </c>
      <c r="H311" s="315">
        <f t="shared" si="27"/>
        <v>0</v>
      </c>
      <c r="I311" s="316">
        <f t="shared" si="25"/>
        <v>0</v>
      </c>
      <c r="J311" s="362">
        <f t="shared" si="26"/>
        <v>0</v>
      </c>
    </row>
    <row r="312" spans="2:10" ht="15" x14ac:dyDescent="0.25">
      <c r="B312" s="340" t="s">
        <v>227</v>
      </c>
      <c r="C312" s="337">
        <f>Пт!$M$2/1000</f>
        <v>0</v>
      </c>
      <c r="D312" s="312"/>
      <c r="E312" s="312">
        <f>IF(OR('Блок ввода'!E52=13,'Блок ввода'!E52=18),'Раскладка продуктов'!AP97,0)</f>
        <v>0</v>
      </c>
      <c r="F312" s="312"/>
      <c r="G312" s="314">
        <f>C312*D312</f>
        <v>0</v>
      </c>
      <c r="H312" s="315">
        <f>C312*E312</f>
        <v>0</v>
      </c>
      <c r="I312" s="316">
        <f>F312*C312</f>
        <v>0</v>
      </c>
      <c r="J312" s="362">
        <f>G312+H312+I312</f>
        <v>0</v>
      </c>
    </row>
    <row r="313" spans="2:10" ht="15" x14ac:dyDescent="0.25">
      <c r="B313" s="340" t="s">
        <v>158</v>
      </c>
      <c r="C313" s="337">
        <f>Пт!$M$2/1000</f>
        <v>0</v>
      </c>
      <c r="D313" s="312"/>
      <c r="E313" s="312">
        <f>IF('Блок ввода'!AA32=TRUE,0,IF('Раскладка продуктов'!AI102=20,20,0))</f>
        <v>20</v>
      </c>
      <c r="F313" s="312"/>
      <c r="G313" s="314">
        <f t="shared" si="28"/>
        <v>0</v>
      </c>
      <c r="H313" s="315">
        <f t="shared" si="27"/>
        <v>0</v>
      </c>
      <c r="I313" s="316">
        <f t="shared" si="25"/>
        <v>0</v>
      </c>
      <c r="J313" s="362">
        <f t="shared" si="26"/>
        <v>0</v>
      </c>
    </row>
    <row r="314" spans="2:10" ht="15" x14ac:dyDescent="0.25">
      <c r="B314" s="340" t="s">
        <v>159</v>
      </c>
      <c r="C314" s="337">
        <f>Пт!$M$2/1000</f>
        <v>0</v>
      </c>
      <c r="D314" s="312"/>
      <c r="E314" s="312">
        <f>IF(OR(E313&gt;0,E315&gt;0),0,30)</f>
        <v>0</v>
      </c>
      <c r="F314" s="312"/>
      <c r="G314" s="314">
        <f t="shared" si="28"/>
        <v>0</v>
      </c>
      <c r="H314" s="315">
        <f t="shared" si="27"/>
        <v>0</v>
      </c>
      <c r="I314" s="316">
        <f t="shared" si="25"/>
        <v>0</v>
      </c>
      <c r="J314" s="362">
        <f t="shared" si="26"/>
        <v>0</v>
      </c>
    </row>
    <row r="315" spans="2:10" ht="15" x14ac:dyDescent="0.25">
      <c r="B315" s="325" t="str">
        <f>IF('Блок ввода'!$Z$28=1,"ЯБЛОКИ СВЕЖИЕ",IF('Блок ввода'!$Z$28=2,"АПЕЛЬСИНЫ",IF('Блок ввода'!$Z$28=3,"МАНДАРИНЫ",IF('Блок ввода'!$Z$28=4,"ЯГОДЫ"))))</f>
        <v>АПЕЛЬСИНЫ</v>
      </c>
      <c r="C315" s="337">
        <f>Пт!$M$2/1000</f>
        <v>0</v>
      </c>
      <c r="D315" s="312"/>
      <c r="E315" s="312">
        <f>IF(AND('Блок ввода'!$AA$32,OR( 'Блок ввода'!R215=1,'Блок ввода'!R215=4)),100,0)</f>
        <v>0</v>
      </c>
      <c r="F315" s="312"/>
      <c r="G315" s="314">
        <f t="shared" si="28"/>
        <v>0</v>
      </c>
      <c r="H315" s="315">
        <f t="shared" si="27"/>
        <v>0</v>
      </c>
      <c r="I315" s="316">
        <f t="shared" si="25"/>
        <v>0</v>
      </c>
      <c r="J315" s="362">
        <f t="shared" si="26"/>
        <v>0</v>
      </c>
    </row>
    <row r="316" spans="2:10" ht="15" x14ac:dyDescent="0.25">
      <c r="B316" s="310" t="str">
        <f>IF('Блок ввода'!$A$35=TRUE,"АРБУЗ","СОК")</f>
        <v>СОК</v>
      </c>
      <c r="C316" s="337">
        <f>Пт!$M$2/1000</f>
        <v>0</v>
      </c>
      <c r="D316" s="312"/>
      <c r="E316" s="312">
        <f>'Раскладка продуктов'!BB102</f>
        <v>0</v>
      </c>
      <c r="F316" s="312"/>
      <c r="G316" s="314">
        <f t="shared" si="28"/>
        <v>0</v>
      </c>
      <c r="H316" s="315">
        <f t="shared" si="27"/>
        <v>0</v>
      </c>
      <c r="I316" s="316">
        <f t="shared" si="25"/>
        <v>0</v>
      </c>
      <c r="J316" s="362">
        <f t="shared" si="26"/>
        <v>0</v>
      </c>
    </row>
    <row r="317" spans="2:10" ht="15" x14ac:dyDescent="0.25">
      <c r="B317" s="340" t="s">
        <v>170</v>
      </c>
      <c r="C317" s="337">
        <f>Пт!$M$2/1000</f>
        <v>0</v>
      </c>
      <c r="D317" s="312">
        <f>IF('Блок ввода'!N178=1,'Раскладка продуктов'!BC96,0)</f>
        <v>0</v>
      </c>
      <c r="E317" s="312"/>
      <c r="F317" s="312">
        <f>'Раскладка продуктов'!BC105+'Раскладка продуктов'!BC104</f>
        <v>0</v>
      </c>
      <c r="G317" s="314">
        <f t="shared" si="28"/>
        <v>0</v>
      </c>
      <c r="H317" s="315">
        <f t="shared" si="27"/>
        <v>0</v>
      </c>
      <c r="I317" s="316">
        <f t="shared" si="25"/>
        <v>0</v>
      </c>
      <c r="J317" s="362">
        <f t="shared" si="26"/>
        <v>0</v>
      </c>
    </row>
    <row r="318" spans="2:10" ht="15" x14ac:dyDescent="0.25">
      <c r="B318" s="340" t="s">
        <v>196</v>
      </c>
      <c r="C318" s="337">
        <f>Пт!$M$2/1000</f>
        <v>0</v>
      </c>
      <c r="D318" s="312"/>
      <c r="E318" s="312">
        <f>'Раскладка продуктов'!BE102</f>
        <v>0</v>
      </c>
      <c r="F318" s="312"/>
      <c r="G318" s="314">
        <f t="shared" si="28"/>
        <v>0</v>
      </c>
      <c r="H318" s="315">
        <f t="shared" si="27"/>
        <v>0</v>
      </c>
      <c r="I318" s="316">
        <f t="shared" si="25"/>
        <v>0</v>
      </c>
      <c r="J318" s="362">
        <f t="shared" si="26"/>
        <v>0</v>
      </c>
    </row>
    <row r="319" spans="2:10" ht="15" x14ac:dyDescent="0.25">
      <c r="B319" s="340" t="s">
        <v>238</v>
      </c>
      <c r="C319" s="337">
        <f>Пт!$M$2/1000</f>
        <v>0</v>
      </c>
      <c r="D319" s="312"/>
      <c r="E319" s="312">
        <f>IF('Блок ввода'!E52=17,'Раскладка продуктов'!AM97,0)</f>
        <v>0</v>
      </c>
      <c r="F319" s="312"/>
      <c r="G319" s="314">
        <f t="shared" si="28"/>
        <v>0</v>
      </c>
      <c r="H319" s="315">
        <f t="shared" si="27"/>
        <v>0</v>
      </c>
      <c r="I319" s="316">
        <f t="shared" si="25"/>
        <v>0</v>
      </c>
      <c r="J319" s="362">
        <f t="shared" si="26"/>
        <v>0</v>
      </c>
    </row>
    <row r="320" spans="2:10" ht="15" x14ac:dyDescent="0.25">
      <c r="B320" s="347"/>
      <c r="C320" s="337">
        <f>Пт!$M$2/1000</f>
        <v>0</v>
      </c>
      <c r="D320" s="312"/>
      <c r="E320" s="312"/>
      <c r="F320" s="312"/>
      <c r="G320" s="314">
        <f t="shared" si="28"/>
        <v>0</v>
      </c>
      <c r="H320" s="315">
        <f t="shared" si="27"/>
        <v>0</v>
      </c>
      <c r="I320" s="316">
        <f t="shared" si="25"/>
        <v>0</v>
      </c>
      <c r="J320" s="362">
        <f t="shared" si="26"/>
        <v>0</v>
      </c>
    </row>
    <row r="321" spans="2:10" ht="15" x14ac:dyDescent="0.25">
      <c r="B321" s="347"/>
      <c r="C321" s="337">
        <f>Пт!$M$2/1000</f>
        <v>0</v>
      </c>
      <c r="D321" s="312"/>
      <c r="E321" s="312"/>
      <c r="F321" s="312"/>
      <c r="G321" s="314">
        <f>C321*D321</f>
        <v>0</v>
      </c>
      <c r="H321" s="315">
        <f>C321*E321</f>
        <v>0</v>
      </c>
      <c r="I321" s="316">
        <f>F321*C321</f>
        <v>0</v>
      </c>
      <c r="J321" s="362">
        <f>G321+H321+I321</f>
        <v>0</v>
      </c>
    </row>
    <row r="322" spans="2:10" ht="15" x14ac:dyDescent="0.25">
      <c r="B322" s="340" t="s">
        <v>250</v>
      </c>
      <c r="C322" s="337">
        <f>Пт!$M$2/1000</f>
        <v>0</v>
      </c>
      <c r="D322" s="312"/>
      <c r="E322" s="312">
        <f>'Раскладка продуктов'!BD102</f>
        <v>0</v>
      </c>
      <c r="F322" s="312"/>
      <c r="G322" s="314">
        <f>C322*D322</f>
        <v>0</v>
      </c>
      <c r="H322" s="315">
        <f>C322*E322</f>
        <v>0</v>
      </c>
      <c r="I322" s="316">
        <f>F322*C322</f>
        <v>0</v>
      </c>
      <c r="J322" s="362">
        <f>G322+H322+I322</f>
        <v>0</v>
      </c>
    </row>
    <row r="323" spans="2:10" ht="15" x14ac:dyDescent="0.25">
      <c r="B323" s="348" t="s">
        <v>258</v>
      </c>
      <c r="C323" s="337">
        <f>Пт!$M$2/1000</f>
        <v>0</v>
      </c>
      <c r="D323" s="312"/>
      <c r="E323" s="323">
        <f>IF('Блок ввода'!$B$38=1,1,0)</f>
        <v>0</v>
      </c>
      <c r="F323" s="312"/>
      <c r="G323" s="314">
        <f t="shared" si="28"/>
        <v>0</v>
      </c>
      <c r="H323" s="315">
        <f t="shared" si="27"/>
        <v>0</v>
      </c>
      <c r="I323" s="316">
        <f t="shared" si="25"/>
        <v>0</v>
      </c>
      <c r="J323" s="362">
        <f t="shared" si="26"/>
        <v>0</v>
      </c>
    </row>
    <row r="324" spans="2:10" ht="15" x14ac:dyDescent="0.25">
      <c r="B324" s="348" t="s">
        <v>263</v>
      </c>
      <c r="C324" s="337">
        <f>Пт!$M$2/1000</f>
        <v>0</v>
      </c>
      <c r="D324" s="312">
        <f>'Раскладка продуктов'!BG94</f>
        <v>0</v>
      </c>
      <c r="E324" s="323">
        <f>IF('Блок ввода'!$B$38=TRUE,1,0)</f>
        <v>0</v>
      </c>
      <c r="F324" s="312"/>
      <c r="G324" s="314">
        <f>C324*D324</f>
        <v>0</v>
      </c>
      <c r="H324" s="315">
        <f>C324*E324</f>
        <v>0</v>
      </c>
      <c r="I324" s="316">
        <f>F324*C324</f>
        <v>0</v>
      </c>
      <c r="J324" s="362">
        <f>G324+H324+I324</f>
        <v>0</v>
      </c>
    </row>
    <row r="325" spans="2:10" ht="15.75" thickBot="1" x14ac:dyDescent="0.3">
      <c r="B325" s="348" t="s">
        <v>266</v>
      </c>
      <c r="C325" s="337">
        <f>Пт!$M$2/1000</f>
        <v>0</v>
      </c>
      <c r="D325" s="312"/>
      <c r="E325" s="323">
        <f>('Раскладка продуктов'!BF98+'Раскладка продуктов'!BF99)/2</f>
        <v>0</v>
      </c>
      <c r="F325" s="312"/>
      <c r="G325" s="314">
        <f>C325*D325</f>
        <v>0</v>
      </c>
      <c r="H325" s="315">
        <f>C325*E325</f>
        <v>0</v>
      </c>
      <c r="I325" s="316">
        <f>F325*C325</f>
        <v>0</v>
      </c>
      <c r="J325" s="362">
        <f>G325+H325+I325</f>
        <v>0</v>
      </c>
    </row>
    <row r="326" spans="2:10" ht="27" thickBot="1" x14ac:dyDescent="0.45">
      <c r="B326" s="1543" t="s">
        <v>99</v>
      </c>
      <c r="C326" s="1543"/>
      <c r="D326" s="1543"/>
      <c r="E326" s="1543"/>
      <c r="F326" s="1543"/>
      <c r="G326" s="1543"/>
      <c r="H326" s="1543"/>
      <c r="I326" s="1543"/>
      <c r="J326" s="1543"/>
    </row>
    <row r="327" spans="2:10" ht="24" thickBot="1" x14ac:dyDescent="0.4">
      <c r="B327" s="298" t="s">
        <v>122</v>
      </c>
      <c r="C327" s="299"/>
      <c r="D327" s="300" t="s">
        <v>123</v>
      </c>
      <c r="E327" s="298" t="s">
        <v>124</v>
      </c>
      <c r="F327" s="298" t="s">
        <v>125</v>
      </c>
      <c r="G327" s="300" t="s">
        <v>126</v>
      </c>
      <c r="H327" s="300" t="s">
        <v>127</v>
      </c>
      <c r="I327" s="300" t="s">
        <v>128</v>
      </c>
      <c r="J327" s="360" t="s">
        <v>129</v>
      </c>
    </row>
    <row r="328" spans="2:10" ht="15" x14ac:dyDescent="0.25">
      <c r="B328" s="303" t="s">
        <v>391</v>
      </c>
      <c r="C328" s="337">
        <f>Сб!$M$2/1000</f>
        <v>0</v>
      </c>
      <c r="D328" s="312">
        <f>'Раскладка продуктов'!K109</f>
        <v>100</v>
      </c>
      <c r="E328" s="312">
        <f>'Раскладка продуктов'!K115</f>
        <v>100</v>
      </c>
      <c r="F328" s="313">
        <f>'Раскладка продуктов'!K118</f>
        <v>100</v>
      </c>
      <c r="G328" s="338">
        <f>D328*C328</f>
        <v>0</v>
      </c>
      <c r="H328" s="339">
        <f t="shared" ref="H328:H336" si="29">C328*E328</f>
        <v>0</v>
      </c>
      <c r="I328" s="316">
        <f>F328*C328</f>
        <v>0</v>
      </c>
      <c r="J328" s="366">
        <f>G328+H328+I328</f>
        <v>0</v>
      </c>
    </row>
    <row r="329" spans="2:10" ht="15" x14ac:dyDescent="0.25">
      <c r="B329" s="340" t="str">
        <f>$B$4</f>
        <v>ХЛЕБ ИЗ МУКИ ПШ. 1 С.</v>
      </c>
      <c r="C329" s="337">
        <f>Сб!$M$2/1000</f>
        <v>0</v>
      </c>
      <c r="D329" s="312">
        <f>'Раскладка продуктов'!L109</f>
        <v>150</v>
      </c>
      <c r="E329" s="312">
        <f>'Раскладка продуктов'!L115</f>
        <v>150</v>
      </c>
      <c r="F329" s="313">
        <f>'Раскладка продуктов'!L118</f>
        <v>100</v>
      </c>
      <c r="G329" s="355">
        <f t="shared" ref="G329:G355" si="30">C329*D329</f>
        <v>0</v>
      </c>
      <c r="H329" s="356">
        <f t="shared" si="29"/>
        <v>0</v>
      </c>
      <c r="I329" s="357">
        <f t="shared" ref="I329:I388" si="31">F329*C329</f>
        <v>0</v>
      </c>
      <c r="J329" s="362">
        <f t="shared" ref="J329:J388" si="32">G329+H329+I329</f>
        <v>0</v>
      </c>
    </row>
    <row r="330" spans="2:10" ht="15" x14ac:dyDescent="0.25">
      <c r="B330" s="310" t="s">
        <v>425</v>
      </c>
      <c r="C330" s="337">
        <f>Сб!$M$2/1000</f>
        <v>0</v>
      </c>
      <c r="D330" s="312"/>
      <c r="E330" s="312">
        <f>'Раскладка продуктов'!M115</f>
        <v>0</v>
      </c>
      <c r="F330" s="313"/>
      <c r="G330" s="355">
        <f>C330*D330</f>
        <v>0</v>
      </c>
      <c r="H330" s="356">
        <f>C330*E330</f>
        <v>0</v>
      </c>
      <c r="I330" s="357">
        <f>F330*C330</f>
        <v>0</v>
      </c>
      <c r="J330" s="362">
        <f t="shared" si="32"/>
        <v>0</v>
      </c>
    </row>
    <row r="331" spans="2:10" ht="15" x14ac:dyDescent="0.25">
      <c r="B331" s="310" t="s">
        <v>404</v>
      </c>
      <c r="C331" s="337">
        <f>Сб!$M$2/1000</f>
        <v>0</v>
      </c>
      <c r="D331" s="312">
        <f>'Раскладка продуктов'!O107</f>
        <v>0</v>
      </c>
      <c r="E331" s="312">
        <f>'Раскладка продуктов'!O115</f>
        <v>0</v>
      </c>
      <c r="F331" s="312">
        <f>'Раскладка продуктов'!O118+'Раскладка продуктов'!O117</f>
        <v>0</v>
      </c>
      <c r="G331" s="314">
        <f t="shared" si="30"/>
        <v>0</v>
      </c>
      <c r="H331" s="315">
        <f t="shared" si="29"/>
        <v>0</v>
      </c>
      <c r="I331" s="316">
        <f t="shared" si="31"/>
        <v>0</v>
      </c>
      <c r="J331" s="362">
        <f t="shared" si="32"/>
        <v>0</v>
      </c>
    </row>
    <row r="332" spans="2:10" ht="15" x14ac:dyDescent="0.25">
      <c r="B332" s="317" t="str">
        <f>IF('Блок ввода'!$H$26=1,"МУКА ПШЕНИЧНАЯ 1 С.","МУКА ПШЕНИЧНАЯ 2 С.")</f>
        <v>МУКА ПШЕНИЧНАЯ 1 С.</v>
      </c>
      <c r="C332" s="337">
        <f>Сб!$M$2/1000</f>
        <v>0</v>
      </c>
      <c r="D332" s="312">
        <f>'Раскладка продуктов'!N107</f>
        <v>6.5</v>
      </c>
      <c r="E332" s="312">
        <f>('Раскладка продуктов'!N111+'Раскладка продуктов'!N112+'Раскладка продуктов'!N113+'Раскладка продуктов'!N114)/2</f>
        <v>4</v>
      </c>
      <c r="F332" s="312">
        <f>'Раскладка продуктов'!N116</f>
        <v>2</v>
      </c>
      <c r="G332" s="314">
        <f t="shared" si="30"/>
        <v>0</v>
      </c>
      <c r="H332" s="315">
        <f t="shared" si="29"/>
        <v>0</v>
      </c>
      <c r="I332" s="316">
        <f t="shared" si="31"/>
        <v>0</v>
      </c>
      <c r="J332" s="362">
        <f t="shared" si="32"/>
        <v>0</v>
      </c>
    </row>
    <row r="333" spans="2:10" ht="15" x14ac:dyDescent="0.25">
      <c r="B333" s="340" t="s">
        <v>132</v>
      </c>
      <c r="C333" s="337">
        <f>Сб!$M$2/1000</f>
        <v>0</v>
      </c>
      <c r="D333" s="312">
        <f>'Раскладка продуктов'!P107</f>
        <v>0</v>
      </c>
      <c r="E333" s="312">
        <f>('Раскладка продуктов'!P111+'Раскладка продуктов'!P112+'Раскладка продуктов'!P113+'Раскладка продуктов'!P114)/2</f>
        <v>0</v>
      </c>
      <c r="F333" s="312">
        <f>'Раскладка продуктов'!P116</f>
        <v>0</v>
      </c>
      <c r="G333" s="314">
        <f t="shared" si="30"/>
        <v>0</v>
      </c>
      <c r="H333" s="315">
        <f t="shared" si="29"/>
        <v>0</v>
      </c>
      <c r="I333" s="316">
        <f t="shared" si="31"/>
        <v>0</v>
      </c>
      <c r="J333" s="362">
        <f t="shared" si="32"/>
        <v>0</v>
      </c>
    </row>
    <row r="334" spans="2:10" ht="15" x14ac:dyDescent="0.25">
      <c r="B334" s="341" t="s">
        <v>133</v>
      </c>
      <c r="C334" s="337">
        <f>Сб!$M$2/1000</f>
        <v>0</v>
      </c>
      <c r="D334" s="312">
        <f>'Раскладка продуктов'!Q107</f>
        <v>85</v>
      </c>
      <c r="E334" s="312">
        <f>+('Раскладка продуктов'!Q111+'Раскладка продуктов'!Q112+'Раскладка продуктов'!Q113+'Раскладка продуктов'!Q114)/2</f>
        <v>0</v>
      </c>
      <c r="F334" s="312">
        <f>'Раскладка продуктов'!Q116</f>
        <v>0</v>
      </c>
      <c r="G334" s="314">
        <f t="shared" si="30"/>
        <v>0</v>
      </c>
      <c r="H334" s="315">
        <f t="shared" si="29"/>
        <v>0</v>
      </c>
      <c r="I334" s="316">
        <f t="shared" si="31"/>
        <v>0</v>
      </c>
      <c r="J334" s="362">
        <f t="shared" si="32"/>
        <v>0</v>
      </c>
    </row>
    <row r="335" spans="2:10" ht="15" x14ac:dyDescent="0.25">
      <c r="B335" s="340" t="s">
        <v>134</v>
      </c>
      <c r="C335" s="337">
        <f>Сб!$M$2/1000</f>
        <v>0</v>
      </c>
      <c r="D335" s="312">
        <f>'Раскладка продуктов'!R107</f>
        <v>0</v>
      </c>
      <c r="E335" s="312">
        <f>('Раскладка продуктов'!R111+'Раскладка продуктов'!R112+'Раскладка продуктов'!R113+'Раскладка продуктов'!R114)/2</f>
        <v>0</v>
      </c>
      <c r="F335" s="312">
        <f>'Раскладка продуктов'!R116</f>
        <v>0</v>
      </c>
      <c r="G335" s="314">
        <f t="shared" si="30"/>
        <v>0</v>
      </c>
      <c r="H335" s="315">
        <f t="shared" si="29"/>
        <v>0</v>
      </c>
      <c r="I335" s="316">
        <f t="shared" si="31"/>
        <v>0</v>
      </c>
      <c r="J335" s="362">
        <f t="shared" si="32"/>
        <v>0</v>
      </c>
    </row>
    <row r="336" spans="2:10" ht="15" x14ac:dyDescent="0.25">
      <c r="B336" s="341" t="s">
        <v>135</v>
      </c>
      <c r="C336" s="337">
        <f>Сб!$M$2/1000</f>
        <v>0</v>
      </c>
      <c r="D336" s="312">
        <f>'Раскладка продуктов'!V107</f>
        <v>0</v>
      </c>
      <c r="E336" s="312">
        <f>('Раскладка продуктов'!V111+'Раскладка продуктов'!V112+'Раскладка продуктов'!V113+'Раскладка продуктов'!V114)/2</f>
        <v>20</v>
      </c>
      <c r="F336" s="312">
        <f>'Раскладка продуктов'!V116</f>
        <v>0</v>
      </c>
      <c r="G336" s="314">
        <f t="shared" si="30"/>
        <v>0</v>
      </c>
      <c r="H336" s="315">
        <f t="shared" si="29"/>
        <v>0</v>
      </c>
      <c r="I336" s="316">
        <f t="shared" si="31"/>
        <v>0</v>
      </c>
      <c r="J336" s="362">
        <f t="shared" si="32"/>
        <v>0</v>
      </c>
    </row>
    <row r="337" spans="2:15" ht="15" x14ac:dyDescent="0.25">
      <c r="B337" s="340" t="s">
        <v>136</v>
      </c>
      <c r="C337" s="337">
        <f>Сб!$M$2/1000</f>
        <v>0</v>
      </c>
      <c r="D337" s="312">
        <f>'Раскладка продуктов'!U107</f>
        <v>0</v>
      </c>
      <c r="E337" s="312">
        <f>('Раскладка продуктов'!U111+'Раскладка продуктов'!U112+'Раскладка продуктов'!U113+'Раскладка продуктов'!U114)/2</f>
        <v>23</v>
      </c>
      <c r="F337" s="312">
        <f>'Раскладка продуктов'!U116</f>
        <v>81</v>
      </c>
      <c r="G337" s="314">
        <f t="shared" si="30"/>
        <v>0</v>
      </c>
      <c r="H337" s="315">
        <f t="shared" ref="H337:H388" si="33">C337*E337</f>
        <v>0</v>
      </c>
      <c r="I337" s="316">
        <f t="shared" si="31"/>
        <v>0</v>
      </c>
      <c r="J337" s="362">
        <f t="shared" si="32"/>
        <v>0</v>
      </c>
    </row>
    <row r="338" spans="2:15" ht="15" x14ac:dyDescent="0.25">
      <c r="B338" s="341" t="s">
        <v>137</v>
      </c>
      <c r="C338" s="337">
        <f>Сб!$M$2/1000</f>
        <v>0</v>
      </c>
      <c r="D338" s="312">
        <f>'Раскладка продуктов'!S107</f>
        <v>0</v>
      </c>
      <c r="E338" s="312">
        <f>('Раскладка продуктов'!S111+'Раскладка продуктов'!S112+'Раскладка продуктов'!S113+'Раскладка продуктов'!S114)/2</f>
        <v>0</v>
      </c>
      <c r="F338" s="312">
        <f>'Раскладка продуктов'!S116</f>
        <v>0</v>
      </c>
      <c r="G338" s="314">
        <f t="shared" si="30"/>
        <v>0</v>
      </c>
      <c r="H338" s="315">
        <f t="shared" si="33"/>
        <v>0</v>
      </c>
      <c r="I338" s="316">
        <f t="shared" si="31"/>
        <v>0</v>
      </c>
      <c r="J338" s="362">
        <f t="shared" si="32"/>
        <v>0</v>
      </c>
    </row>
    <row r="339" spans="2:15" ht="15" x14ac:dyDescent="0.25">
      <c r="B339" s="340" t="str">
        <f>IF('Блок ввода'!$B$213=2,"КОНЦЕНТРАТ КРУПЯНОЙ","КРУПА ОВСЯНАЯ")</f>
        <v>КРУПА ОВСЯНАЯ</v>
      </c>
      <c r="C339" s="337">
        <f>Сб!$M$2/1000</f>
        <v>0</v>
      </c>
      <c r="D339" s="312">
        <f>'Раскладка продуктов'!W107</f>
        <v>0</v>
      </c>
      <c r="E339" s="312">
        <f>('Раскладка продуктов'!W111+'Раскладка продуктов'!W112+'Раскладка продуктов'!W113+'Раскладка продуктов'!W114)/2</f>
        <v>0</v>
      </c>
      <c r="F339" s="312">
        <f>'Раскладка продуктов'!W116</f>
        <v>0</v>
      </c>
      <c r="G339" s="314">
        <f t="shared" si="30"/>
        <v>0</v>
      </c>
      <c r="H339" s="315">
        <f t="shared" si="33"/>
        <v>0</v>
      </c>
      <c r="I339" s="316">
        <f t="shared" si="31"/>
        <v>0</v>
      </c>
      <c r="J339" s="362">
        <f t="shared" si="32"/>
        <v>0</v>
      </c>
    </row>
    <row r="340" spans="2:15" ht="15" x14ac:dyDescent="0.25">
      <c r="B340" s="340" t="s">
        <v>169</v>
      </c>
      <c r="C340" s="337">
        <f>Сб!$M$2/1000</f>
        <v>0</v>
      </c>
      <c r="D340" s="312">
        <f>'Раскладка продуктов'!T107</f>
        <v>0</v>
      </c>
      <c r="E340" s="312">
        <f>('Раскладка продуктов'!T111+'Раскладка продуктов'!T112+'Раскладка продуктов'!T113+'Раскладка продуктов'!T114)/2</f>
        <v>35.5</v>
      </c>
      <c r="F340" s="312">
        <f>'Раскладка продуктов'!T116</f>
        <v>0</v>
      </c>
      <c r="G340" s="314">
        <f t="shared" si="30"/>
        <v>0</v>
      </c>
      <c r="H340" s="315">
        <f t="shared" si="33"/>
        <v>0</v>
      </c>
      <c r="I340" s="316">
        <f t="shared" si="31"/>
        <v>0</v>
      </c>
      <c r="J340" s="362">
        <f t="shared" si="32"/>
        <v>0</v>
      </c>
    </row>
    <row r="341" spans="2:15" ht="15" x14ac:dyDescent="0.25">
      <c r="B341" s="340" t="s">
        <v>138</v>
      </c>
      <c r="C341" s="337">
        <f>Сб!$M$2/1000</f>
        <v>0</v>
      </c>
      <c r="D341" s="312">
        <f>'Раскладка продуктов'!X107</f>
        <v>0</v>
      </c>
      <c r="E341" s="312">
        <f>('Раскладка продуктов'!X111+'Раскладка продуктов'!X112+'Раскладка продуктов'!X113+'Раскладка продуктов'!X114)/2</f>
        <v>0</v>
      </c>
      <c r="F341" s="312">
        <f>'Раскладка продуктов'!X116</f>
        <v>0</v>
      </c>
      <c r="G341" s="314">
        <f t="shared" si="30"/>
        <v>0</v>
      </c>
      <c r="H341" s="315">
        <f t="shared" si="33"/>
        <v>0</v>
      </c>
      <c r="I341" s="316">
        <f t="shared" si="31"/>
        <v>0</v>
      </c>
      <c r="J341" s="362">
        <f t="shared" si="32"/>
        <v>0</v>
      </c>
    </row>
    <row r="342" spans="2:15" ht="15" x14ac:dyDescent="0.25">
      <c r="B342" s="342" t="s">
        <v>431</v>
      </c>
      <c r="C342" s="337">
        <f>Сб!$M$2/1000</f>
        <v>0</v>
      </c>
      <c r="D342" s="312">
        <f>IF(OR(D343&gt;0,D345&gt;0,'Блок ввода'!E188=29),0,'Раскладка продуктов'!Y107)</f>
        <v>100</v>
      </c>
      <c r="E342" s="312">
        <f>IF(AND(AND('Блок ввода'!W223&lt;&gt;17,'Блок ввода'!W228&lt;&gt;18),AND('Блок ввода'!W223&lt;&gt;18,'Блок ввода'!W228&lt;&gt;17)),('Раскладка продуктов'!Y113+'Раскладка продуктов'!Y114)/2,IF(OR(AND('Блок ввода'!W223=17,'Блок ввода'!W228=18),AND('Блок ввода'!W223=18,'Блок ввода'!W228=17),AND('Блок ввода'!W223=17,'Блок ввода'!W228=17),AND('Блок ввода'!W223=18,'Блок ввода'!W228=18),OR('Блок ввода'!W223=19,'Блок ввода'!W228=19)),0,('Раскладка продуктов'!Y113+'Раскладка продуктов'!Y114)/4))</f>
        <v>0</v>
      </c>
      <c r="F342" s="312">
        <f>'Раскладка продуктов'!Y116</f>
        <v>0</v>
      </c>
      <c r="G342" s="314">
        <f t="shared" si="30"/>
        <v>0</v>
      </c>
      <c r="H342" s="315">
        <f t="shared" si="33"/>
        <v>0</v>
      </c>
      <c r="I342" s="316">
        <f t="shared" si="31"/>
        <v>0</v>
      </c>
      <c r="J342" s="362">
        <f t="shared" si="32"/>
        <v>0</v>
      </c>
      <c r="L342" s="297"/>
      <c r="N342" s="297"/>
      <c r="O342" s="297"/>
    </row>
    <row r="343" spans="2:15" ht="15" x14ac:dyDescent="0.25">
      <c r="B343" s="340" t="s">
        <v>139</v>
      </c>
      <c r="C343" s="337">
        <f>Сб!$M$2/1000</f>
        <v>0</v>
      </c>
      <c r="D343" s="312">
        <f>IF(OR('Блок ввода'!$E$188=17,'Блок ввода'!$E$188=18),100,0)</f>
        <v>0</v>
      </c>
      <c r="E343" s="312">
        <f>IF(OR(AND('Блок ввода'!W223=17,'Блок ввода'!W228=18),AND('Блок ввода'!W223=18,'Блок ввода'!W228=17),AND('Блок ввода'!W223=17,'Блок ввода'!W228=17),AND('Блок ввода'!W223=18,'Блок ввода'!W228=18)),('Раскладка продуктов'!Y113+'Раскладка продуктов'!Y114)/2,IF(OR(AND('Блок ввода'!W223=17,'Блок ввода'!W228&lt;&gt;18),AND('Блок ввода'!W223=18,'Блок ввода'!W228&lt;&gt;17),AND('Блок ввода'!W223&lt;&gt;18,'Блок ввода'!W228=17),AND('Блок ввода'!W223&lt;&gt;17,'Блок ввода'!W228=18)),IF(OR('Блок ввода'!W223=19,'Блок ввода'!W228=19),('Раскладка продуктов'!Y113+'Раскладка продуктов'!Y114)/2,('Раскладка продуктов'!Y113+'Раскладка продуктов'!Y114)/4),0))</f>
        <v>150</v>
      </c>
      <c r="F343" s="312"/>
      <c r="G343" s="314">
        <f t="shared" si="30"/>
        <v>0</v>
      </c>
      <c r="H343" s="315">
        <f t="shared" si="33"/>
        <v>0</v>
      </c>
      <c r="I343" s="316">
        <f t="shared" si="31"/>
        <v>0</v>
      </c>
      <c r="J343" s="362">
        <f t="shared" si="32"/>
        <v>0</v>
      </c>
      <c r="L343" s="297"/>
      <c r="N343" s="297"/>
      <c r="O343" s="297"/>
    </row>
    <row r="344" spans="2:15" ht="15" x14ac:dyDescent="0.25">
      <c r="B344" s="341" t="s">
        <v>140</v>
      </c>
      <c r="C344" s="337">
        <f>Сб!$M$2/1000</f>
        <v>0</v>
      </c>
      <c r="D344" s="312"/>
      <c r="E344" s="312"/>
      <c r="F344" s="312"/>
      <c r="G344" s="314">
        <f t="shared" si="30"/>
        <v>0</v>
      </c>
      <c r="H344" s="315">
        <f t="shared" si="33"/>
        <v>0</v>
      </c>
      <c r="I344" s="316">
        <f t="shared" si="31"/>
        <v>0</v>
      </c>
      <c r="J344" s="362">
        <f t="shared" si="32"/>
        <v>0</v>
      </c>
      <c r="L344" s="297"/>
      <c r="N344" s="297"/>
      <c r="O344" s="297"/>
    </row>
    <row r="345" spans="2:15" ht="15" x14ac:dyDescent="0.25">
      <c r="B345" s="349" t="s">
        <v>184</v>
      </c>
      <c r="C345" s="337">
        <f>Сб!$M$2/1000</f>
        <v>0</v>
      </c>
      <c r="D345" s="312">
        <f>'Раскладка продуктов'!Z107</f>
        <v>0</v>
      </c>
      <c r="E345" s="312">
        <f>('Раскладка продуктов'!Z113+'Раскладка продуктов'!Z114)/2</f>
        <v>0</v>
      </c>
      <c r="F345" s="312">
        <f>'Раскладка продуктов'!Z116</f>
        <v>0</v>
      </c>
      <c r="G345" s="314">
        <f>C345*D345</f>
        <v>0</v>
      </c>
      <c r="H345" s="315">
        <f>C345*E345</f>
        <v>0</v>
      </c>
      <c r="I345" s="316">
        <f>F345*C345</f>
        <v>0</v>
      </c>
      <c r="J345" s="362">
        <f>G345+H345+I345</f>
        <v>0</v>
      </c>
      <c r="L345" s="297"/>
      <c r="N345" s="297"/>
      <c r="O345" s="297"/>
    </row>
    <row r="346" spans="2:15" ht="15" x14ac:dyDescent="0.25">
      <c r="B346" s="340" t="str">
        <f>IF(AND('Блок ввода'!$AD$38=1,'Блок ввода'!E193&lt;&gt;26),"РЫБА С ГОЛОВОЙ",IF('Блок ввода'!E193=26,"СЕЛЬДЬ СОЛ. БЕЗ ГОЛОВЫ","РЫБА БЕЗ ГОЛОВЫ/СЕЛЬДЬ С ГОЛ."))</f>
        <v>РЫБА БЕЗ ГОЛОВЫ/СЕЛЬДЬ С ГОЛ.</v>
      </c>
      <c r="C346" s="337">
        <f>Сб!$M$2/1000</f>
        <v>0</v>
      </c>
      <c r="D346" s="312">
        <f>'Раскладка продуктов'!$AB$107</f>
        <v>0</v>
      </c>
      <c r="E346" s="312">
        <f>'Раскладка продуктов'!AB110</f>
        <v>0</v>
      </c>
      <c r="F346" s="312">
        <f>'Раскладка продуктов'!AB116</f>
        <v>120</v>
      </c>
      <c r="G346" s="314">
        <f t="shared" si="30"/>
        <v>0</v>
      </c>
      <c r="H346" s="315">
        <f t="shared" si="33"/>
        <v>0</v>
      </c>
      <c r="I346" s="316">
        <f t="shared" si="31"/>
        <v>0</v>
      </c>
      <c r="J346" s="362">
        <f t="shared" si="32"/>
        <v>0</v>
      </c>
    </row>
    <row r="347" spans="2:15" ht="15" x14ac:dyDescent="0.25">
      <c r="B347" s="310" t="str">
        <f>UPPER('Блок ввода'!$B$157)</f>
        <v xml:space="preserve">КОНС. РЫБНЫЕ - КИЛЬКА В ТОМ. СОУСЕ  </v>
      </c>
      <c r="C347" s="337">
        <f>Сб!$M$2/1000</f>
        <v>0</v>
      </c>
      <c r="D347" s="312">
        <f>'Раскладка продуктов'!$AC$107</f>
        <v>0</v>
      </c>
      <c r="E347" s="312"/>
      <c r="F347" s="312">
        <f>'Раскладка продуктов'!AC116</f>
        <v>0</v>
      </c>
      <c r="G347" s="314">
        <f>C347*D347</f>
        <v>0</v>
      </c>
      <c r="H347" s="315">
        <f>C347*E347</f>
        <v>0</v>
      </c>
      <c r="I347" s="316">
        <f>F347*C347</f>
        <v>0</v>
      </c>
      <c r="J347" s="362">
        <f>G347+H347+I347</f>
        <v>0</v>
      </c>
    </row>
    <row r="348" spans="2:15" ht="15" x14ac:dyDescent="0.25">
      <c r="B348" s="341" t="s">
        <v>141</v>
      </c>
      <c r="C348" s="337">
        <f>Сб!$M$2/1000</f>
        <v>0</v>
      </c>
      <c r="D348" s="312">
        <f>'Раскладка продуктов'!AF107</f>
        <v>3</v>
      </c>
      <c r="E348" s="312">
        <f>'Раскладка продуктов'!AF97</f>
        <v>12</v>
      </c>
      <c r="F348" s="312">
        <f>'Раскладка продуктов'!AF116</f>
        <v>15</v>
      </c>
      <c r="G348" s="314">
        <f t="shared" si="30"/>
        <v>0</v>
      </c>
      <c r="H348" s="315">
        <f t="shared" si="33"/>
        <v>0</v>
      </c>
      <c r="I348" s="316">
        <f t="shared" si="31"/>
        <v>0</v>
      </c>
      <c r="J348" s="362">
        <f t="shared" si="32"/>
        <v>0</v>
      </c>
    </row>
    <row r="349" spans="2:15" ht="15" x14ac:dyDescent="0.25">
      <c r="B349" s="340" t="s">
        <v>142</v>
      </c>
      <c r="C349" s="337">
        <f>Сб!$M$2/1000</f>
        <v>0</v>
      </c>
      <c r="D349" s="312">
        <f>'Раскладка продуктов'!AE107</f>
        <v>19</v>
      </c>
      <c r="E349" s="358"/>
      <c r="F349" s="312">
        <f>'Раскладка продуктов'!AE116</f>
        <v>22</v>
      </c>
      <c r="G349" s="314">
        <f t="shared" si="30"/>
        <v>0</v>
      </c>
      <c r="H349" s="315">
        <f>C349*E351</f>
        <v>0</v>
      </c>
      <c r="I349" s="316">
        <f t="shared" si="31"/>
        <v>0</v>
      </c>
      <c r="J349" s="362">
        <f t="shared" si="32"/>
        <v>0</v>
      </c>
    </row>
    <row r="350" spans="2:15" ht="15" x14ac:dyDescent="0.25">
      <c r="B350" s="341" t="s">
        <v>143</v>
      </c>
      <c r="C350" s="337">
        <f>Сб!$M$2/1000</f>
        <v>0</v>
      </c>
      <c r="D350" s="312">
        <f>'Раскладка продуктов'!AD107</f>
        <v>0</v>
      </c>
      <c r="E350" s="312">
        <f>('Раскладка продуктов'!AD111+'Раскладка продуктов'!AD112+'Раскладка продуктов'!AD113+'Раскладка продуктов'!AD114)/2</f>
        <v>0</v>
      </c>
      <c r="F350" s="312">
        <f>'Раскладка продуктов'!AD116</f>
        <v>0</v>
      </c>
      <c r="G350" s="314">
        <f t="shared" si="30"/>
        <v>0</v>
      </c>
      <c r="H350" s="315">
        <f t="shared" si="33"/>
        <v>0</v>
      </c>
      <c r="I350" s="316">
        <f t="shared" si="31"/>
        <v>0</v>
      </c>
      <c r="J350" s="362">
        <f t="shared" si="32"/>
        <v>0</v>
      </c>
    </row>
    <row r="351" spans="2:15" ht="15" x14ac:dyDescent="0.25">
      <c r="B351" s="340" t="s">
        <v>362</v>
      </c>
      <c r="C351" s="337">
        <f>Сб!$M$2/1000</f>
        <v>0</v>
      </c>
      <c r="D351" s="312"/>
      <c r="E351" s="312">
        <f>IF(OR('Блок ввода'!A34=1,'Блок ввода'!A34=3),0,('Раскладка продуктов'!AZ111+'Раскладка продуктов'!AZ112+'Раскладка продуктов'!AZ113+'Раскладка продуктов'!AZ114)/2+'Раскладка продуктов'!AZ110+'Раскладка продуктов'!AZ115)</f>
        <v>0</v>
      </c>
      <c r="F351" s="312">
        <f>'Раскладка продуктов'!AZ116</f>
        <v>0</v>
      </c>
      <c r="G351" s="314">
        <f t="shared" si="30"/>
        <v>0</v>
      </c>
      <c r="H351" s="315">
        <f t="shared" si="33"/>
        <v>0</v>
      </c>
      <c r="I351" s="316">
        <f t="shared" si="31"/>
        <v>0</v>
      </c>
      <c r="J351" s="362">
        <f t="shared" si="32"/>
        <v>0</v>
      </c>
    </row>
    <row r="352" spans="2:15" ht="15" x14ac:dyDescent="0.25">
      <c r="B352" s="340" t="s">
        <v>144</v>
      </c>
      <c r="C352" s="337">
        <f>Сб!$M$2/1000</f>
        <v>0</v>
      </c>
      <c r="D352" s="312"/>
      <c r="E352" s="312"/>
      <c r="F352" s="312"/>
      <c r="G352" s="314">
        <f t="shared" si="30"/>
        <v>0</v>
      </c>
      <c r="H352" s="315">
        <f t="shared" si="33"/>
        <v>0</v>
      </c>
      <c r="I352" s="316">
        <f t="shared" si="31"/>
        <v>0</v>
      </c>
      <c r="J352" s="362">
        <f t="shared" si="32"/>
        <v>0</v>
      </c>
    </row>
    <row r="353" spans="2:10" ht="15" x14ac:dyDescent="0.25">
      <c r="B353" s="340" t="s">
        <v>145</v>
      </c>
      <c r="C353" s="337">
        <f>Сб!$M$2/1000</f>
        <v>0</v>
      </c>
      <c r="D353" s="312"/>
      <c r="E353" s="312"/>
      <c r="F353" s="312"/>
      <c r="G353" s="314">
        <f t="shared" si="30"/>
        <v>0</v>
      </c>
      <c r="H353" s="315">
        <f t="shared" si="33"/>
        <v>0</v>
      </c>
      <c r="I353" s="316">
        <f t="shared" si="31"/>
        <v>0</v>
      </c>
      <c r="J353" s="362">
        <f t="shared" si="32"/>
        <v>0</v>
      </c>
    </row>
    <row r="354" spans="2:10" ht="15" x14ac:dyDescent="0.25">
      <c r="B354" s="340" t="str">
        <f>IF('Блок ввода'!$A$34=1,"МОЛОКО СГУЩЕНОЕ С САХАРОМ","МОЛОКО СУХОЕ")</f>
        <v>МОЛОКО СУХОЕ</v>
      </c>
      <c r="C354" s="337">
        <f>Сб!$M$2/1000</f>
        <v>0</v>
      </c>
      <c r="D354" s="312"/>
      <c r="E354" s="312">
        <f>IF('Блок ввода'!$A$34=1,('Раскладка продуктов'!AZ111+'Раскладка продуктов'!AZ112+'Раскладка продуктов'!AZ113+'Раскладка продуктов'!AZ114)/2+'Раскладка продуктов'!AZ110+'Раскладка продуктов'!AZ115,0)</f>
        <v>0</v>
      </c>
      <c r="F354" s="312"/>
      <c r="G354" s="314">
        <f t="shared" si="30"/>
        <v>0</v>
      </c>
      <c r="H354" s="315">
        <f t="shared" si="33"/>
        <v>0</v>
      </c>
      <c r="I354" s="316">
        <f t="shared" si="31"/>
        <v>0</v>
      </c>
      <c r="J354" s="362">
        <f t="shared" si="32"/>
        <v>0</v>
      </c>
    </row>
    <row r="355" spans="2:10" ht="15" x14ac:dyDescent="0.25">
      <c r="B355" s="340" t="str">
        <f>IF('Блок ввода'!$Z$26=1,"СЫР СЫЧУЖНЫЙ ТВЕРДЫЙ","СЫР ПЛАВЛЕНЫЙ")</f>
        <v>СЫР ПЛАВЛЕНЫЙ</v>
      </c>
      <c r="C355" s="337">
        <f>Сб!$M$2/1000</f>
        <v>0</v>
      </c>
      <c r="D355" s="312"/>
      <c r="E355" s="312"/>
      <c r="F355" s="312"/>
      <c r="G355" s="314">
        <f t="shared" si="30"/>
        <v>0</v>
      </c>
      <c r="H355" s="315">
        <f t="shared" si="33"/>
        <v>0</v>
      </c>
      <c r="I355" s="316">
        <f t="shared" si="31"/>
        <v>0</v>
      </c>
      <c r="J355" s="362">
        <f t="shared" si="32"/>
        <v>0</v>
      </c>
    </row>
    <row r="356" spans="2:10" ht="15" x14ac:dyDescent="0.25">
      <c r="B356" s="340" t="str">
        <f>IF('Блок ввода'!$G$32=1,"ПОРОШОК ЯИЧНЫЙ","ЯЙЦА КУРИНЫЕ")</f>
        <v>ЯЙЦА КУРИНЫЕ</v>
      </c>
      <c r="C356" s="337">
        <f>Сб!$M$2/1000</f>
        <v>0</v>
      </c>
      <c r="D356" s="312">
        <f>'Раскладка продуктов'!AX107</f>
        <v>1</v>
      </c>
      <c r="E356" s="312"/>
      <c r="F356" s="320">
        <f>'Раскладка продуктов'!AX116+'Раскладка продуктов'!AX117+'Раскладка продуктов'!AX118</f>
        <v>0</v>
      </c>
      <c r="G356" s="345">
        <f>Расчёт!D356*Сб!M2</f>
        <v>0</v>
      </c>
      <c r="H356" s="321">
        <f>E356*Сб!M2</f>
        <v>0</v>
      </c>
      <c r="I356" s="322">
        <f>IF('Блок ввода'!$G$32=1,ROUND(F356*C356,3),ROUND(F356*Сб!M2,0))</f>
        <v>0</v>
      </c>
      <c r="J356" s="363">
        <f t="shared" si="32"/>
        <v>0</v>
      </c>
    </row>
    <row r="357" spans="2:10" ht="15" x14ac:dyDescent="0.25">
      <c r="B357" s="340" t="s">
        <v>146</v>
      </c>
      <c r="C357" s="337">
        <f>Сб!$M$2/1000</f>
        <v>0</v>
      </c>
      <c r="D357" s="312">
        <f>'Раскладка продуктов'!AG109</f>
        <v>30</v>
      </c>
      <c r="E357" s="312">
        <f>'Раскладка продуктов'!AG115</f>
        <v>0</v>
      </c>
      <c r="F357" s="312">
        <f>'Раскладка продуктов'!AG118</f>
        <v>30</v>
      </c>
      <c r="G357" s="314">
        <f t="shared" ref="G357:G388" si="34">C357*D357</f>
        <v>0</v>
      </c>
      <c r="H357" s="315">
        <f t="shared" si="33"/>
        <v>0</v>
      </c>
      <c r="I357" s="316">
        <f t="shared" si="31"/>
        <v>0</v>
      </c>
      <c r="J357" s="362">
        <f t="shared" si="32"/>
        <v>0</v>
      </c>
    </row>
    <row r="358" spans="2:10" ht="15" x14ac:dyDescent="0.25">
      <c r="B358" s="340" t="s">
        <v>147</v>
      </c>
      <c r="C358" s="337">
        <f>Сб!$M$2/1000</f>
        <v>0</v>
      </c>
      <c r="D358" s="312">
        <f>'Раскладка продуктов'!AJ119</f>
        <v>20</v>
      </c>
      <c r="E358" s="312"/>
      <c r="F358" s="312"/>
      <c r="G358" s="314">
        <f t="shared" si="34"/>
        <v>0</v>
      </c>
      <c r="H358" s="315">
        <f t="shared" si="33"/>
        <v>0</v>
      </c>
      <c r="I358" s="316">
        <f t="shared" si="31"/>
        <v>0</v>
      </c>
      <c r="J358" s="362">
        <f t="shared" si="32"/>
        <v>0</v>
      </c>
    </row>
    <row r="359" spans="2:10" ht="15" x14ac:dyDescent="0.25">
      <c r="B359" s="340" t="s">
        <v>148</v>
      </c>
      <c r="C359" s="337">
        <f>Сб!$M$2/1000</f>
        <v>0</v>
      </c>
      <c r="D359" s="312">
        <f>'Раскладка продуктов'!AH109</f>
        <v>0</v>
      </c>
      <c r="E359" s="312"/>
      <c r="F359" s="312">
        <f>'Раскладка продуктов'!AH118</f>
        <v>1</v>
      </c>
      <c r="G359" s="314">
        <f t="shared" si="34"/>
        <v>0</v>
      </c>
      <c r="H359" s="315">
        <f t="shared" si="33"/>
        <v>0</v>
      </c>
      <c r="I359" s="316">
        <f t="shared" si="31"/>
        <v>0</v>
      </c>
      <c r="J359" s="362">
        <f t="shared" si="32"/>
        <v>0</v>
      </c>
    </row>
    <row r="360" spans="2:10" ht="15" x14ac:dyDescent="0.25">
      <c r="B360" s="340" t="s">
        <v>149</v>
      </c>
      <c r="C360" s="337">
        <f>Сб!$M$2/1000</f>
        <v>0</v>
      </c>
      <c r="D360" s="312"/>
      <c r="E360" s="312"/>
      <c r="F360" s="312"/>
      <c r="G360" s="314">
        <f t="shared" si="34"/>
        <v>0</v>
      </c>
      <c r="H360" s="315">
        <f t="shared" si="33"/>
        <v>0</v>
      </c>
      <c r="I360" s="316">
        <f t="shared" si="31"/>
        <v>0</v>
      </c>
      <c r="J360" s="362">
        <f t="shared" si="32"/>
        <v>0</v>
      </c>
    </row>
    <row r="361" spans="2:10" ht="15" x14ac:dyDescent="0.25">
      <c r="B361" s="340" t="s">
        <v>217</v>
      </c>
      <c r="C361" s="337">
        <f>Сб!$M$2/1000</f>
        <v>0</v>
      </c>
      <c r="D361" s="312">
        <f>IF('Блок ввода'!T220=7,'Раскладка продуктов'!BC109,0)</f>
        <v>0</v>
      </c>
      <c r="E361" s="312"/>
      <c r="F361" s="312"/>
      <c r="G361" s="314">
        <f>C361*D361</f>
        <v>0</v>
      </c>
      <c r="H361" s="315">
        <f>C361*E361</f>
        <v>0</v>
      </c>
      <c r="I361" s="316">
        <f>F361*C361</f>
        <v>0</v>
      </c>
      <c r="J361" s="362">
        <f>G361+H361+I361</f>
        <v>0</v>
      </c>
    </row>
    <row r="362" spans="2:10" ht="15" x14ac:dyDescent="0.25">
      <c r="B362" s="340" t="s">
        <v>150</v>
      </c>
      <c r="C362" s="337">
        <f>Сб!$M$2/1000</f>
        <v>0</v>
      </c>
      <c r="D362" s="312">
        <v>0.2</v>
      </c>
      <c r="E362" s="312"/>
      <c r="F362" s="312"/>
      <c r="G362" s="314">
        <f t="shared" si="34"/>
        <v>0</v>
      </c>
      <c r="H362" s="315">
        <f t="shared" si="33"/>
        <v>0</v>
      </c>
      <c r="I362" s="316">
        <f t="shared" si="31"/>
        <v>0</v>
      </c>
      <c r="J362" s="362">
        <f t="shared" si="32"/>
        <v>0</v>
      </c>
    </row>
    <row r="363" spans="2:10" ht="15" x14ac:dyDescent="0.25">
      <c r="B363" s="340" t="s">
        <v>151</v>
      </c>
      <c r="C363" s="337">
        <f>Сб!$M$2/1000</f>
        <v>0</v>
      </c>
      <c r="D363" s="312">
        <v>0.3</v>
      </c>
      <c r="E363" s="312"/>
      <c r="F363" s="312"/>
      <c r="G363" s="314">
        <f t="shared" si="34"/>
        <v>0</v>
      </c>
      <c r="H363" s="315">
        <f t="shared" si="33"/>
        <v>0</v>
      </c>
      <c r="I363" s="316">
        <f t="shared" si="31"/>
        <v>0</v>
      </c>
      <c r="J363" s="362">
        <f t="shared" si="32"/>
        <v>0</v>
      </c>
    </row>
    <row r="364" spans="2:10" ht="15" x14ac:dyDescent="0.25">
      <c r="B364" s="340" t="s">
        <v>152</v>
      </c>
      <c r="C364" s="337">
        <f>Сб!$M$2/1000</f>
        <v>0</v>
      </c>
      <c r="D364" s="312">
        <v>0.3</v>
      </c>
      <c r="E364" s="312"/>
      <c r="F364" s="312"/>
      <c r="G364" s="314">
        <f t="shared" si="34"/>
        <v>0</v>
      </c>
      <c r="H364" s="315">
        <f t="shared" si="33"/>
        <v>0</v>
      </c>
      <c r="I364" s="316">
        <f t="shared" si="31"/>
        <v>0</v>
      </c>
      <c r="J364" s="362">
        <f t="shared" si="32"/>
        <v>0</v>
      </c>
    </row>
    <row r="365" spans="2:10" ht="15" x14ac:dyDescent="0.25">
      <c r="B365" s="310" t="str">
        <f>IF('Блок ввода'!$A$36=1,"УКСУСНАЯ ЭССЕНЦИЯ","УКСУС")</f>
        <v>УКСУС</v>
      </c>
      <c r="C365" s="337">
        <f>Сб!$M$2/1000</f>
        <v>0</v>
      </c>
      <c r="D365" s="312">
        <f>IF('Блок ввода'!$A$36=1,2/20,2)</f>
        <v>2</v>
      </c>
      <c r="E365" s="312"/>
      <c r="F365" s="312"/>
      <c r="G365" s="314">
        <f t="shared" si="34"/>
        <v>0</v>
      </c>
      <c r="H365" s="315">
        <f t="shared" si="33"/>
        <v>0</v>
      </c>
      <c r="I365" s="316">
        <f t="shared" si="31"/>
        <v>0</v>
      </c>
      <c r="J365" s="362">
        <f t="shared" si="32"/>
        <v>0</v>
      </c>
    </row>
    <row r="366" spans="2:10" ht="15" x14ac:dyDescent="0.25">
      <c r="B366" s="340" t="str">
        <f>IF('Блок ввода'!$A$39=1,"ТОМАТНЫЙ СОУС","ТОМАТНАЯ ПАСТА")</f>
        <v>ТОМАТНАЯ ПАСТА</v>
      </c>
      <c r="C366" s="337">
        <f>Сб!$M$2/1000</f>
        <v>0</v>
      </c>
      <c r="D366" s="312">
        <v>6</v>
      </c>
      <c r="E366" s="312"/>
      <c r="F366" s="312"/>
      <c r="G366" s="314">
        <f t="shared" si="34"/>
        <v>0</v>
      </c>
      <c r="H366" s="315">
        <f t="shared" si="33"/>
        <v>0</v>
      </c>
      <c r="I366" s="316">
        <f t="shared" si="31"/>
        <v>0</v>
      </c>
      <c r="J366" s="362">
        <f t="shared" si="32"/>
        <v>0</v>
      </c>
    </row>
    <row r="367" spans="2:10" ht="15" x14ac:dyDescent="0.25">
      <c r="B367" s="340" t="s">
        <v>376</v>
      </c>
      <c r="C367" s="337">
        <f>Сб!$M$2/1000</f>
        <v>0</v>
      </c>
      <c r="D367" s="312"/>
      <c r="E367" s="312"/>
      <c r="F367" s="312"/>
      <c r="G367" s="314">
        <f t="shared" si="34"/>
        <v>0</v>
      </c>
      <c r="H367" s="315">
        <f t="shared" si="33"/>
        <v>0</v>
      </c>
      <c r="I367" s="316">
        <f t="shared" si="31"/>
        <v>0</v>
      </c>
      <c r="J367" s="362">
        <f t="shared" si="32"/>
        <v>0</v>
      </c>
    </row>
    <row r="368" spans="2:10" ht="15" x14ac:dyDescent="0.25">
      <c r="B368" s="340" t="s">
        <v>153</v>
      </c>
      <c r="C368" s="337">
        <f>Сб!$M$2/1000</f>
        <v>0</v>
      </c>
      <c r="D368" s="312"/>
      <c r="E368" s="312"/>
      <c r="F368" s="312"/>
      <c r="G368" s="314">
        <f t="shared" si="34"/>
        <v>0</v>
      </c>
      <c r="H368" s="315">
        <f t="shared" si="33"/>
        <v>0</v>
      </c>
      <c r="I368" s="316">
        <f t="shared" si="31"/>
        <v>0</v>
      </c>
      <c r="J368" s="362">
        <f t="shared" si="32"/>
        <v>0</v>
      </c>
    </row>
    <row r="369" spans="2:10" ht="15" x14ac:dyDescent="0.25">
      <c r="B369" s="310" t="str">
        <f>IF('Блок ввода'!$B$223=1,"ДРОЖЖИ СУШЕНЫЕ","ДРОЖЖИ ПРЕСОВАННЫЕ" )</f>
        <v>ДРОЖЖИ ПРЕСОВАННЫЕ</v>
      </c>
      <c r="C369" s="337">
        <f>Сб!$M$2/1000</f>
        <v>0</v>
      </c>
      <c r="D369" s="323">
        <f>'Раскладка продуктов'!BH109</f>
        <v>0</v>
      </c>
      <c r="E369" s="312"/>
      <c r="F369" s="323">
        <f>'Раскладка продуктов'!BH118</f>
        <v>0</v>
      </c>
      <c r="G369" s="314">
        <f t="shared" si="34"/>
        <v>0</v>
      </c>
      <c r="H369" s="315">
        <f t="shared" si="33"/>
        <v>0</v>
      </c>
      <c r="I369" s="316">
        <f t="shared" si="31"/>
        <v>0</v>
      </c>
      <c r="J369" s="362">
        <f t="shared" si="32"/>
        <v>0</v>
      </c>
    </row>
    <row r="370" spans="2:10" ht="15" x14ac:dyDescent="0.25">
      <c r="B370" s="340" t="s">
        <v>154</v>
      </c>
      <c r="C370" s="337">
        <f>Сб!$M$2/1000</f>
        <v>0</v>
      </c>
      <c r="D370" s="312">
        <f>'Раскладка продуктов'!AK107</f>
        <v>0</v>
      </c>
      <c r="E370" s="312">
        <f>('Раскладка продуктов'!AK111+'Раскладка продуктов'!AK112+'Раскладка продуктов'!AK113+'Раскладка продуктов'!AK114)/2+'Раскладка продуктов'!AK110</f>
        <v>90</v>
      </c>
      <c r="F370" s="312">
        <f>'Раскладка продуктов'!AK116</f>
        <v>0</v>
      </c>
      <c r="G370" s="314">
        <f t="shared" si="34"/>
        <v>0</v>
      </c>
      <c r="H370" s="315">
        <f t="shared" si="33"/>
        <v>0</v>
      </c>
      <c r="I370" s="316">
        <f t="shared" si="31"/>
        <v>0</v>
      </c>
      <c r="J370" s="362">
        <f t="shared" si="32"/>
        <v>0</v>
      </c>
    </row>
    <row r="371" spans="2:10" ht="15" x14ac:dyDescent="0.25">
      <c r="B371" s="340" t="s">
        <v>155</v>
      </c>
      <c r="C371" s="337">
        <f>Сб!$M$2/1000</f>
        <v>0</v>
      </c>
      <c r="D371" s="312">
        <f>'Раскладка продуктов'!AL107</f>
        <v>0</v>
      </c>
      <c r="E371" s="312">
        <f>'Раскладка продуктов'!AL110+('Раскладка продуктов'!AL111+'Раскладка продуктов'!AL112+'Раскладка продуктов'!AL113+'Раскладка продуктов'!AL114)/2</f>
        <v>127.5</v>
      </c>
      <c r="F371" s="312">
        <f>'Раскладка продуктов'!AL116</f>
        <v>0</v>
      </c>
      <c r="G371" s="314">
        <f t="shared" si="34"/>
        <v>0</v>
      </c>
      <c r="H371" s="315">
        <f t="shared" si="33"/>
        <v>0</v>
      </c>
      <c r="I371" s="316">
        <f t="shared" si="31"/>
        <v>0</v>
      </c>
      <c r="J371" s="362">
        <f t="shared" si="32"/>
        <v>0</v>
      </c>
    </row>
    <row r="372" spans="2:10" ht="15" x14ac:dyDescent="0.25">
      <c r="B372" s="340" t="s">
        <v>156</v>
      </c>
      <c r="C372" s="337">
        <f>Сб!$M$2/1000</f>
        <v>0</v>
      </c>
      <c r="D372" s="312">
        <f>'Раскладка продуктов'!AM107</f>
        <v>0</v>
      </c>
      <c r="E372" s="312">
        <f>IF('Блок ввода'!E55=17,('Раскладка продуктов'!AM111+'Раскладка продуктов'!AM112+'Раскладка продуктов'!AM113+'Раскладка продуктов'!AM114)/2,'Раскладка продуктов'!AM110+('Раскладка продуктов'!AM111+'Раскладка продуктов'!AM112+'Раскладка продуктов'!AM113+'Раскладка продуктов'!AM114)/2)</f>
        <v>0</v>
      </c>
      <c r="F372" s="312">
        <f>'Раскладка продуктов'!AM116</f>
        <v>0</v>
      </c>
      <c r="G372" s="314">
        <f t="shared" si="34"/>
        <v>0</v>
      </c>
      <c r="H372" s="315">
        <f t="shared" si="33"/>
        <v>0</v>
      </c>
      <c r="I372" s="316">
        <f t="shared" si="31"/>
        <v>0</v>
      </c>
      <c r="J372" s="362">
        <f t="shared" si="32"/>
        <v>0</v>
      </c>
    </row>
    <row r="373" spans="2:10" ht="15" x14ac:dyDescent="0.25">
      <c r="B373" s="340" t="s">
        <v>157</v>
      </c>
      <c r="C373" s="337">
        <f>Сб!$M$2/1000</f>
        <v>0</v>
      </c>
      <c r="D373" s="312">
        <f>'Раскладка продуктов'!AN107</f>
        <v>0</v>
      </c>
      <c r="E373" s="312">
        <f>'Раскладка продуктов'!AN110+('Раскладка продуктов'!AN111+'Раскладка продуктов'!AN112+'Раскладка продуктов'!AN113+'Раскладка продуктов'!AN114)/2</f>
        <v>30</v>
      </c>
      <c r="F373" s="312">
        <f>'Раскладка продуктов'!AN116</f>
        <v>10</v>
      </c>
      <c r="G373" s="314">
        <f t="shared" si="34"/>
        <v>0</v>
      </c>
      <c r="H373" s="315">
        <f t="shared" si="33"/>
        <v>0</v>
      </c>
      <c r="I373" s="316">
        <f t="shared" si="31"/>
        <v>0</v>
      </c>
      <c r="J373" s="362">
        <f t="shared" si="32"/>
        <v>0</v>
      </c>
    </row>
    <row r="374" spans="2:10" ht="15" x14ac:dyDescent="0.25">
      <c r="B374" s="340" t="str">
        <f>IF(AND('Блок ввода'!$A$37=TRUE,'Блок ввода'!$AD$35),"ЛУК - ПЕРО",IF(AND('Блок ввода'!$I$37=TRUE,'Блок ввода'!$AD$35),"ЛУК СУШЕНЫЙ","ЛУК РЕПЧАТЫЙ"))</f>
        <v>ЛУК РЕПЧАТЫЙ</v>
      </c>
      <c r="C374" s="337">
        <f>Сб!$M$2/1000</f>
        <v>0</v>
      </c>
      <c r="D374" s="312">
        <f>IF(AND('Блок ввода'!$A$37=TRUE,'Блок ввода'!AD35=TRUE),'Раскладка продуктов'!AO107*2,'Раскладка продуктов'!AO107)</f>
        <v>0</v>
      </c>
      <c r="E374" s="312">
        <f>IF(AND('Блок ввода'!$A$37=TRUE,'Блок ввода'!AD35=TRUE),('Раскладка продуктов'!AO110+'Раскладка продуктов'!AO115+('Раскладка продуктов'!AO111+'Раскладка продуктов'!AO112+'Раскладка продуктов'!AO113+'Раскладка продуктов'!AO114)/2)*2,'Раскладка продуктов'!AO110+('Раскладка продуктов'!AO111+'Раскладка продуктов'!AO112+'Раскладка продуктов'!AO113+'Раскладка продуктов'!AO114)/2+'Раскладка продуктов'!AO115)</f>
        <v>30</v>
      </c>
      <c r="F374" s="312">
        <f>IF(AND('Блок ввода'!$A$37=TRUE,'Блок ввода'!AD35=TRUE),'Раскладка продуктов'!AO116*2,'Раскладка продуктов'!AO116)</f>
        <v>10</v>
      </c>
      <c r="G374" s="314">
        <f t="shared" si="34"/>
        <v>0</v>
      </c>
      <c r="H374" s="315">
        <f t="shared" si="33"/>
        <v>0</v>
      </c>
      <c r="I374" s="316">
        <f t="shared" si="31"/>
        <v>0</v>
      </c>
      <c r="J374" s="362">
        <f t="shared" si="32"/>
        <v>0</v>
      </c>
    </row>
    <row r="375" spans="2:10" ht="15" x14ac:dyDescent="0.25">
      <c r="B375" s="346" t="str">
        <f>IF(OR('Блок ввода'!E55=15,'Блок ввода'!E55=21),"ОГУРЦЫ СВЕЖИЕ","ОГУРЦЫ СОЛЕНЫЕ")</f>
        <v>ОГУРЦЫ СОЛЕНЫЕ</v>
      </c>
      <c r="C375" s="337">
        <f>Сб!$M$2/1000</f>
        <v>0</v>
      </c>
      <c r="D375" s="312">
        <f>'Раскладка продуктов'!AP107</f>
        <v>0</v>
      </c>
      <c r="E375" s="312">
        <f>IF(OR('Блок ввода'!E55=10,'Блок ввода'!E55=13,'Блок ввода'!E55=18,'Блок ввода'!E55=19),('Раскладка продуктов'!AP111+'Раскладка продуктов'!AP112+'Раскладка продуктов'!AP113+'Раскладка продуктов'!AP114)/2,IF('Блок ввода'!E55=21,'Раскладка продуктов'!AP110/2,'Раскладка продуктов'!AP110+('Раскладка продуктов'!AP111+'Раскладка продуктов'!AP112+'Раскладка продуктов'!AP113+'Раскладка продуктов'!AP114)/2))</f>
        <v>0</v>
      </c>
      <c r="F375" s="312">
        <f>'Раскладка продуктов'!AP116</f>
        <v>0</v>
      </c>
      <c r="G375" s="314">
        <f t="shared" si="34"/>
        <v>0</v>
      </c>
      <c r="H375" s="315">
        <f t="shared" si="33"/>
        <v>0</v>
      </c>
      <c r="I375" s="316">
        <f t="shared" si="31"/>
        <v>0</v>
      </c>
      <c r="J375" s="362">
        <f t="shared" si="32"/>
        <v>0</v>
      </c>
    </row>
    <row r="376" spans="2:10" ht="15" x14ac:dyDescent="0.25">
      <c r="B376" s="340" t="str">
        <f>IF(OR('Блок ввода'!E55=19,'Блок ввода'!E55=21),"ПОМИДОРЫ СВЕЖИЕ","ПОМИДОРЫ СОЛЁНЫЕ")</f>
        <v>ПОМИДОРЫ СВЕЖИЕ</v>
      </c>
      <c r="C376" s="337">
        <f>Сб!$M$2/1000</f>
        <v>0</v>
      </c>
      <c r="D376" s="312"/>
      <c r="E376" s="312">
        <f>IF(OR('Блок ввода'!E55=10,'Блок ввода'!E55=19),'Раскладка продуктов'!AP110,IF('Блок ввода'!E55=21,'Раскладка продуктов'!AP110/2,0))</f>
        <v>130</v>
      </c>
      <c r="F376" s="312"/>
      <c r="G376" s="314">
        <f t="shared" si="34"/>
        <v>0</v>
      </c>
      <c r="H376" s="315">
        <f t="shared" si="33"/>
        <v>0</v>
      </c>
      <c r="I376" s="316">
        <f t="shared" si="31"/>
        <v>0</v>
      </c>
      <c r="J376" s="362">
        <f t="shared" si="32"/>
        <v>0</v>
      </c>
    </row>
    <row r="377" spans="2:10" ht="15" x14ac:dyDescent="0.25">
      <c r="B377" s="340" t="s">
        <v>227</v>
      </c>
      <c r="C377" s="337">
        <f>Сб!$M$2/1000</f>
        <v>0</v>
      </c>
      <c r="D377" s="312"/>
      <c r="E377" s="312">
        <f>IF(OR('Блок ввода'!E55=13,'Блок ввода'!E55=18),'Раскладка продуктов'!AP110,0)</f>
        <v>0</v>
      </c>
      <c r="F377" s="312"/>
      <c r="G377" s="314">
        <f>C377*D377</f>
        <v>0</v>
      </c>
      <c r="H377" s="315">
        <f>C377*E377</f>
        <v>0</v>
      </c>
      <c r="I377" s="316">
        <f>F377*C377</f>
        <v>0</v>
      </c>
      <c r="J377" s="362">
        <f>G377+H377+I377</f>
        <v>0</v>
      </c>
    </row>
    <row r="378" spans="2:10" ht="15" x14ac:dyDescent="0.25">
      <c r="B378" s="340" t="s">
        <v>158</v>
      </c>
      <c r="C378" s="337">
        <f>Сб!$M$2/1000</f>
        <v>0</v>
      </c>
      <c r="D378" s="312"/>
      <c r="E378" s="312">
        <f>IF('Блок ввода'!AA32=TRUE,0,IF('Раскладка продуктов'!AI115=20,20,0))</f>
        <v>0</v>
      </c>
      <c r="F378" s="312"/>
      <c r="G378" s="314">
        <f t="shared" si="34"/>
        <v>0</v>
      </c>
      <c r="H378" s="315">
        <f t="shared" si="33"/>
        <v>0</v>
      </c>
      <c r="I378" s="316">
        <f t="shared" si="31"/>
        <v>0</v>
      </c>
      <c r="J378" s="362">
        <f t="shared" si="32"/>
        <v>0</v>
      </c>
    </row>
    <row r="379" spans="2:10" ht="15" x14ac:dyDescent="0.25">
      <c r="B379" s="340" t="s">
        <v>159</v>
      </c>
      <c r="C379" s="337">
        <f>Сб!$M$2/1000</f>
        <v>0</v>
      </c>
      <c r="D379" s="312"/>
      <c r="E379" s="312">
        <f>IF(OR(E378&gt;0,E380&gt;0),0,30)</f>
        <v>30</v>
      </c>
      <c r="F379" s="312"/>
      <c r="G379" s="314">
        <f t="shared" si="34"/>
        <v>0</v>
      </c>
      <c r="H379" s="315">
        <f t="shared" si="33"/>
        <v>0</v>
      </c>
      <c r="I379" s="316">
        <f t="shared" si="31"/>
        <v>0</v>
      </c>
      <c r="J379" s="362">
        <f t="shared" si="32"/>
        <v>0</v>
      </c>
    </row>
    <row r="380" spans="2:10" ht="15" x14ac:dyDescent="0.25">
      <c r="B380" s="325" t="str">
        <f>IF('Блок ввода'!$Z$28=1,"ЯБЛОКИ СВЕЖИЕ",IF('Блок ввода'!$Z$28=2,"АПЕЛЬСИНЫ",IF('Блок ввода'!$Z$28=3,"МАНДАРИНЫ",IF('Блок ввода'!$Z$28=4,"ЯГОДЫ"))))</f>
        <v>АПЕЛЬСИНЫ</v>
      </c>
      <c r="C380" s="337">
        <f>Сб!$M$2/1000</f>
        <v>0</v>
      </c>
      <c r="D380" s="312"/>
      <c r="E380" s="312">
        <f>IF(AND('Блок ввода'!$AA$32,OR( 'Блок ввода'!R228=1,'Блок ввода'!R228=4)),100,0)</f>
        <v>0</v>
      </c>
      <c r="F380" s="312"/>
      <c r="G380" s="314">
        <f t="shared" si="34"/>
        <v>0</v>
      </c>
      <c r="H380" s="315">
        <f t="shared" si="33"/>
        <v>0</v>
      </c>
      <c r="I380" s="316">
        <f t="shared" si="31"/>
        <v>0</v>
      </c>
      <c r="J380" s="362">
        <f t="shared" si="32"/>
        <v>0</v>
      </c>
    </row>
    <row r="381" spans="2:10" ht="15" x14ac:dyDescent="0.25">
      <c r="B381" s="310" t="str">
        <f>IF('Блок ввода'!$A$35=TRUE,"АРБУЗ","СОК")</f>
        <v>СОК</v>
      </c>
      <c r="C381" s="337">
        <f>Сб!$M$2/1000</f>
        <v>0</v>
      </c>
      <c r="D381" s="312"/>
      <c r="E381" s="312">
        <f>'Раскладка продуктов'!BB115</f>
        <v>0</v>
      </c>
      <c r="F381" s="312"/>
      <c r="G381" s="314">
        <f t="shared" si="34"/>
        <v>0</v>
      </c>
      <c r="H381" s="315">
        <f t="shared" si="33"/>
        <v>0</v>
      </c>
      <c r="I381" s="316">
        <f t="shared" si="31"/>
        <v>0</v>
      </c>
      <c r="J381" s="362">
        <f t="shared" si="32"/>
        <v>0</v>
      </c>
    </row>
    <row r="382" spans="2:10" ht="15" x14ac:dyDescent="0.25">
      <c r="B382" s="340" t="s">
        <v>170</v>
      </c>
      <c r="C382" s="337">
        <f>Сб!$M$2/1000</f>
        <v>0</v>
      </c>
      <c r="D382" s="312">
        <f>IF('Блок ввода'!N188=1,'Раскладка продуктов'!BC109,0)</f>
        <v>0</v>
      </c>
      <c r="E382" s="312"/>
      <c r="F382" s="312">
        <f>'Раскладка продуктов'!BC118+'Раскладка продуктов'!BC117</f>
        <v>0</v>
      </c>
      <c r="G382" s="314">
        <f t="shared" si="34"/>
        <v>0</v>
      </c>
      <c r="H382" s="315">
        <f t="shared" si="33"/>
        <v>0</v>
      </c>
      <c r="I382" s="316">
        <f t="shared" si="31"/>
        <v>0</v>
      </c>
      <c r="J382" s="362">
        <f t="shared" si="32"/>
        <v>0</v>
      </c>
    </row>
    <row r="383" spans="2:10" ht="15" x14ac:dyDescent="0.25">
      <c r="B383" s="340" t="s">
        <v>196</v>
      </c>
      <c r="C383" s="337">
        <f>Сб!$M$2/1000</f>
        <v>0</v>
      </c>
      <c r="D383" s="312"/>
      <c r="E383" s="312">
        <f>'Раскладка продуктов'!BE115</f>
        <v>0</v>
      </c>
      <c r="F383" s="312"/>
      <c r="G383" s="314">
        <f t="shared" si="34"/>
        <v>0</v>
      </c>
      <c r="H383" s="315">
        <f t="shared" si="33"/>
        <v>0</v>
      </c>
      <c r="I383" s="316">
        <f t="shared" si="31"/>
        <v>0</v>
      </c>
      <c r="J383" s="362">
        <f t="shared" si="32"/>
        <v>0</v>
      </c>
    </row>
    <row r="384" spans="2:10" ht="15" x14ac:dyDescent="0.25">
      <c r="B384" s="340" t="s">
        <v>238</v>
      </c>
      <c r="C384" s="337">
        <f>Сб!$M$2/1000</f>
        <v>0</v>
      </c>
      <c r="D384" s="312"/>
      <c r="E384" s="312">
        <f>IF('Блок ввода'!E55=17,'Раскладка продуктов'!AM110,0)</f>
        <v>0</v>
      </c>
      <c r="F384" s="312"/>
      <c r="G384" s="314">
        <f t="shared" si="34"/>
        <v>0</v>
      </c>
      <c r="H384" s="315">
        <f t="shared" si="33"/>
        <v>0</v>
      </c>
      <c r="I384" s="316">
        <f t="shared" si="31"/>
        <v>0</v>
      </c>
      <c r="J384" s="362">
        <f t="shared" si="32"/>
        <v>0</v>
      </c>
    </row>
    <row r="385" spans="2:10" ht="15" x14ac:dyDescent="0.25">
      <c r="B385" s="347"/>
      <c r="C385" s="337">
        <f>Сб!$M$2/1000</f>
        <v>0</v>
      </c>
      <c r="D385" s="312"/>
      <c r="E385" s="312"/>
      <c r="F385" s="312"/>
      <c r="G385" s="314">
        <f t="shared" si="34"/>
        <v>0</v>
      </c>
      <c r="H385" s="315">
        <f t="shared" si="33"/>
        <v>0</v>
      </c>
      <c r="I385" s="316">
        <f t="shared" si="31"/>
        <v>0</v>
      </c>
      <c r="J385" s="362">
        <f t="shared" si="32"/>
        <v>0</v>
      </c>
    </row>
    <row r="386" spans="2:10" ht="15" x14ac:dyDescent="0.25">
      <c r="B386" s="347"/>
      <c r="C386" s="337">
        <f>Сб!$M$2/1000</f>
        <v>0</v>
      </c>
      <c r="D386" s="312"/>
      <c r="E386" s="312"/>
      <c r="F386" s="312"/>
      <c r="G386" s="314">
        <f>C386*D386</f>
        <v>0</v>
      </c>
      <c r="H386" s="315">
        <f>C386*E386</f>
        <v>0</v>
      </c>
      <c r="I386" s="316">
        <f>F386*C386</f>
        <v>0</v>
      </c>
      <c r="J386" s="362">
        <f>G386+H386+I386</f>
        <v>0</v>
      </c>
    </row>
    <row r="387" spans="2:10" ht="15" x14ac:dyDescent="0.25">
      <c r="B387" s="340" t="s">
        <v>250</v>
      </c>
      <c r="C387" s="337">
        <f>Сб!$M$2/1000</f>
        <v>0</v>
      </c>
      <c r="D387" s="312"/>
      <c r="E387" s="312">
        <f>'Раскладка продуктов'!BD115</f>
        <v>0</v>
      </c>
      <c r="F387" s="312"/>
      <c r="G387" s="314">
        <f>C387*D387</f>
        <v>0</v>
      </c>
      <c r="H387" s="315">
        <f>C387*E387</f>
        <v>0</v>
      </c>
      <c r="I387" s="316">
        <f>F387*C387</f>
        <v>0</v>
      </c>
      <c r="J387" s="362">
        <f>G387+H387+I387</f>
        <v>0</v>
      </c>
    </row>
    <row r="388" spans="2:10" ht="15" x14ac:dyDescent="0.25">
      <c r="B388" s="348" t="s">
        <v>258</v>
      </c>
      <c r="C388" s="337">
        <f>Сб!$M$2/1000</f>
        <v>0</v>
      </c>
      <c r="D388" s="312"/>
      <c r="E388" s="323">
        <f>IF('Блок ввода'!$B$38=1,1,0)</f>
        <v>0</v>
      </c>
      <c r="F388" s="312"/>
      <c r="G388" s="314">
        <f t="shared" si="34"/>
        <v>0</v>
      </c>
      <c r="H388" s="315">
        <f t="shared" si="33"/>
        <v>0</v>
      </c>
      <c r="I388" s="316">
        <f t="shared" si="31"/>
        <v>0</v>
      </c>
      <c r="J388" s="362">
        <f t="shared" si="32"/>
        <v>0</v>
      </c>
    </row>
    <row r="389" spans="2:10" ht="15" x14ac:dyDescent="0.25">
      <c r="B389" s="348" t="s">
        <v>263</v>
      </c>
      <c r="C389" s="337">
        <f>Сб!$M$2/1000</f>
        <v>0</v>
      </c>
      <c r="D389" s="312">
        <f>'Раскладка продуктов'!BG107</f>
        <v>0</v>
      </c>
      <c r="E389" s="323">
        <f>IF('Блок ввода'!$B$38=TRUE,1,0)</f>
        <v>0</v>
      </c>
      <c r="F389" s="312"/>
      <c r="G389" s="314">
        <f>C389*D389</f>
        <v>0</v>
      </c>
      <c r="H389" s="315">
        <f>C389*E389</f>
        <v>0</v>
      </c>
      <c r="I389" s="316">
        <f>F389*C389</f>
        <v>0</v>
      </c>
      <c r="J389" s="362">
        <f>G389+H389+I389</f>
        <v>0</v>
      </c>
    </row>
    <row r="390" spans="2:10" ht="15.75" thickBot="1" x14ac:dyDescent="0.3">
      <c r="B390" s="348" t="s">
        <v>266</v>
      </c>
      <c r="C390" s="337">
        <f>Сб!$M$2/1000</f>
        <v>0</v>
      </c>
      <c r="D390" s="312"/>
      <c r="E390" s="323">
        <f>('Раскладка продуктов'!BF111+'Раскладка продуктов'!BF112)/2</f>
        <v>0</v>
      </c>
      <c r="F390" s="312"/>
      <c r="G390" s="314">
        <f>C390*D390</f>
        <v>0</v>
      </c>
      <c r="H390" s="315">
        <f>C390*E390</f>
        <v>0</v>
      </c>
      <c r="I390" s="316">
        <f>F390*C390</f>
        <v>0</v>
      </c>
      <c r="J390" s="362">
        <f>G390+H390+I390</f>
        <v>0</v>
      </c>
    </row>
    <row r="391" spans="2:10" ht="27" thickBot="1" x14ac:dyDescent="0.45">
      <c r="B391" s="1543" t="s">
        <v>100</v>
      </c>
      <c r="C391" s="1543"/>
      <c r="D391" s="1543"/>
      <c r="E391" s="1543"/>
      <c r="F391" s="1543"/>
      <c r="G391" s="1543"/>
      <c r="H391" s="1543"/>
      <c r="I391" s="1543"/>
      <c r="J391" s="1543"/>
    </row>
    <row r="392" spans="2:10" ht="24" thickBot="1" x14ac:dyDescent="0.4">
      <c r="B392" s="298" t="s">
        <v>122</v>
      </c>
      <c r="C392" s="299"/>
      <c r="D392" s="300" t="s">
        <v>123</v>
      </c>
      <c r="E392" s="298" t="s">
        <v>124</v>
      </c>
      <c r="F392" s="298" t="s">
        <v>125</v>
      </c>
      <c r="G392" s="300" t="s">
        <v>126</v>
      </c>
      <c r="H392" s="300" t="s">
        <v>127</v>
      </c>
      <c r="I392" s="300" t="s">
        <v>128</v>
      </c>
      <c r="J392" s="360" t="s">
        <v>129</v>
      </c>
    </row>
    <row r="393" spans="2:10" ht="15" x14ac:dyDescent="0.25">
      <c r="B393" s="303" t="s">
        <v>391</v>
      </c>
      <c r="C393" s="337">
        <f>Вс!$M$2/1000</f>
        <v>0</v>
      </c>
      <c r="D393" s="312">
        <f>'Раскладка продуктов'!K122</f>
        <v>100</v>
      </c>
      <c r="E393" s="312">
        <f>'Раскладка продуктов'!K128</f>
        <v>100</v>
      </c>
      <c r="F393" s="313">
        <f>'Раскладка продуктов'!K131</f>
        <v>100</v>
      </c>
      <c r="G393" s="338">
        <f>D393*C393</f>
        <v>0</v>
      </c>
      <c r="H393" s="339">
        <f t="shared" ref="H393:H401" si="35">C393*E393</f>
        <v>0</v>
      </c>
      <c r="I393" s="316">
        <f>F393*C393</f>
        <v>0</v>
      </c>
      <c r="J393" s="366">
        <f>G393+H393+I393</f>
        <v>0</v>
      </c>
    </row>
    <row r="394" spans="2:10" ht="15" x14ac:dyDescent="0.25">
      <c r="B394" s="340" t="str">
        <f>$B$4</f>
        <v>ХЛЕБ ИЗ МУКИ ПШ. 1 С.</v>
      </c>
      <c r="C394" s="337">
        <f>Вс!$M$2/1000</f>
        <v>0</v>
      </c>
      <c r="D394" s="312">
        <f>'Раскладка продуктов'!L122</f>
        <v>150</v>
      </c>
      <c r="E394" s="312">
        <f>'Раскладка продуктов'!L128</f>
        <v>150</v>
      </c>
      <c r="F394" s="313">
        <f>'Раскладка продуктов'!L131</f>
        <v>50</v>
      </c>
      <c r="G394" s="355">
        <f t="shared" ref="G394:G420" si="36">C394*D394</f>
        <v>0</v>
      </c>
      <c r="H394" s="356">
        <f t="shared" si="35"/>
        <v>0</v>
      </c>
      <c r="I394" s="357">
        <f t="shared" ref="I394:I453" si="37">F394*C394</f>
        <v>0</v>
      </c>
      <c r="J394" s="369">
        <f t="shared" ref="J394:J453" si="38">G394+H394+I394</f>
        <v>0</v>
      </c>
    </row>
    <row r="395" spans="2:10" ht="15" x14ac:dyDescent="0.25">
      <c r="B395" s="310" t="s">
        <v>425</v>
      </c>
      <c r="C395" s="337">
        <f>Вс!$M$2/1000</f>
        <v>0</v>
      </c>
      <c r="D395" s="312"/>
      <c r="E395" s="312">
        <f>'Раскладка продуктов'!M128</f>
        <v>0</v>
      </c>
      <c r="F395" s="313"/>
      <c r="G395" s="355">
        <f t="shared" si="36"/>
        <v>0</v>
      </c>
      <c r="H395" s="356">
        <f t="shared" si="35"/>
        <v>0</v>
      </c>
      <c r="I395" s="357">
        <f t="shared" si="37"/>
        <v>0</v>
      </c>
      <c r="J395" s="369">
        <f t="shared" si="38"/>
        <v>0</v>
      </c>
    </row>
    <row r="396" spans="2:10" ht="15" x14ac:dyDescent="0.25">
      <c r="B396" s="310" t="s">
        <v>404</v>
      </c>
      <c r="C396" s="337">
        <f>Вс!$M$2/1000</f>
        <v>0</v>
      </c>
      <c r="D396" s="312">
        <f>'Раскладка продуктов'!O122</f>
        <v>0</v>
      </c>
      <c r="E396" s="312">
        <f>'Раскладка продуктов'!O128</f>
        <v>0</v>
      </c>
      <c r="F396" s="312">
        <f>'Раскладка продуктов'!O131+'Раскладка продуктов'!O130</f>
        <v>0</v>
      </c>
      <c r="G396" s="314">
        <f t="shared" si="36"/>
        <v>0</v>
      </c>
      <c r="H396" s="315">
        <f t="shared" si="35"/>
        <v>0</v>
      </c>
      <c r="I396" s="316">
        <f t="shared" si="37"/>
        <v>0</v>
      </c>
      <c r="J396" s="362">
        <f t="shared" si="38"/>
        <v>0</v>
      </c>
    </row>
    <row r="397" spans="2:10" ht="15" x14ac:dyDescent="0.25">
      <c r="B397" s="317" t="str">
        <f>IF('Блок ввода'!$H$26=1,"МУКА ПШЕНИЧНАЯ 1 С.","МУКА ПШЕНИЧНАЯ 2 С.")</f>
        <v>МУКА ПШЕНИЧНАЯ 1 С.</v>
      </c>
      <c r="C397" s="337">
        <f>Вс!$M$2/1000</f>
        <v>0</v>
      </c>
      <c r="D397" s="312">
        <f>'Раскладка продуктов'!N120</f>
        <v>6.5</v>
      </c>
      <c r="E397" s="312">
        <f>('Раскладка продуктов'!N124+'Раскладка продуктов'!N125+'Раскладка продуктов'!N126+'Раскладка продуктов'!N127)/2</f>
        <v>4</v>
      </c>
      <c r="F397" s="312">
        <f>'Раскладка продуктов'!N129</f>
        <v>2</v>
      </c>
      <c r="G397" s="314">
        <f t="shared" si="36"/>
        <v>0</v>
      </c>
      <c r="H397" s="315">
        <f t="shared" si="35"/>
        <v>0</v>
      </c>
      <c r="I397" s="316">
        <f t="shared" si="37"/>
        <v>0</v>
      </c>
      <c r="J397" s="362">
        <f t="shared" si="38"/>
        <v>0</v>
      </c>
    </row>
    <row r="398" spans="2:10" ht="15" x14ac:dyDescent="0.25">
      <c r="B398" s="340" t="s">
        <v>132</v>
      </c>
      <c r="C398" s="337">
        <f>Вс!$M$2/1000</f>
        <v>0</v>
      </c>
      <c r="D398" s="312">
        <f>'Раскладка продуктов'!P120</f>
        <v>0</v>
      </c>
      <c r="E398" s="312">
        <f>('Раскладка продуктов'!P124+'Раскладка продуктов'!P125+'Раскладка продуктов'!P126+'Раскладка продуктов'!P127)/2</f>
        <v>35.5</v>
      </c>
      <c r="F398" s="312">
        <f>'Раскладка продуктов'!P129</f>
        <v>0</v>
      </c>
      <c r="G398" s="314">
        <f t="shared" si="36"/>
        <v>0</v>
      </c>
      <c r="H398" s="315">
        <f t="shared" si="35"/>
        <v>0</v>
      </c>
      <c r="I398" s="316">
        <f t="shared" si="37"/>
        <v>0</v>
      </c>
      <c r="J398" s="362">
        <f t="shared" si="38"/>
        <v>0</v>
      </c>
    </row>
    <row r="399" spans="2:10" ht="15" x14ac:dyDescent="0.25">
      <c r="B399" s="341" t="s">
        <v>133</v>
      </c>
      <c r="C399" s="337">
        <f>Вс!$M$2/1000</f>
        <v>0</v>
      </c>
      <c r="D399" s="312">
        <f>'Раскладка продуктов'!Q120</f>
        <v>0</v>
      </c>
      <c r="E399" s="312">
        <f>('Раскладка продуктов'!Q124+'Раскладка продуктов'!Q125+'Раскладка продуктов'!Q126+'Раскладка продуктов'!Q127)/2</f>
        <v>35.5</v>
      </c>
      <c r="F399" s="312">
        <f>'Раскладка продуктов'!Q129</f>
        <v>0</v>
      </c>
      <c r="G399" s="314">
        <f t="shared" si="36"/>
        <v>0</v>
      </c>
      <c r="H399" s="315">
        <f t="shared" si="35"/>
        <v>0</v>
      </c>
      <c r="I399" s="316">
        <f t="shared" si="37"/>
        <v>0</v>
      </c>
      <c r="J399" s="362">
        <f t="shared" si="38"/>
        <v>0</v>
      </c>
    </row>
    <row r="400" spans="2:10" ht="15" x14ac:dyDescent="0.25">
      <c r="B400" s="340" t="s">
        <v>134</v>
      </c>
      <c r="C400" s="337">
        <f>Вс!$M$2/1000</f>
        <v>0</v>
      </c>
      <c r="D400" s="312">
        <f>'Раскладка продуктов'!R120</f>
        <v>85</v>
      </c>
      <c r="E400" s="312">
        <f>('Раскладка продуктов'!R124+'Раскладка продуктов'!R125+'Раскладка продуктов'!R126+'Раскладка продуктов'!R127)/2</f>
        <v>0</v>
      </c>
      <c r="F400" s="312">
        <f>'Раскладка продуктов'!R129</f>
        <v>0</v>
      </c>
      <c r="G400" s="314">
        <f t="shared" si="36"/>
        <v>0</v>
      </c>
      <c r="H400" s="315">
        <f t="shared" si="35"/>
        <v>0</v>
      </c>
      <c r="I400" s="316">
        <f t="shared" si="37"/>
        <v>0</v>
      </c>
      <c r="J400" s="362">
        <f t="shared" si="38"/>
        <v>0</v>
      </c>
    </row>
    <row r="401" spans="2:15" ht="15" x14ac:dyDescent="0.25">
      <c r="B401" s="341" t="s">
        <v>135</v>
      </c>
      <c r="C401" s="337">
        <f>Вс!$M$2/1000</f>
        <v>0</v>
      </c>
      <c r="D401" s="312">
        <f>'Раскладка продуктов'!V120</f>
        <v>0</v>
      </c>
      <c r="E401" s="312">
        <f>('Раскладка продуктов'!V124+'Раскладка продуктов'!V125+'Раскладка продуктов'!V126+'Раскладка продуктов'!V127)/2</f>
        <v>0</v>
      </c>
      <c r="F401" s="312">
        <f>'Раскладка продуктов'!V129</f>
        <v>0</v>
      </c>
      <c r="G401" s="314">
        <f t="shared" si="36"/>
        <v>0</v>
      </c>
      <c r="H401" s="315">
        <f t="shared" si="35"/>
        <v>0</v>
      </c>
      <c r="I401" s="316">
        <f t="shared" si="37"/>
        <v>0</v>
      </c>
      <c r="J401" s="362">
        <f t="shared" si="38"/>
        <v>0</v>
      </c>
    </row>
    <row r="402" spans="2:15" ht="15" x14ac:dyDescent="0.25">
      <c r="B402" s="340" t="s">
        <v>136</v>
      </c>
      <c r="C402" s="337">
        <f>Вс!$M$2/1000</f>
        <v>0</v>
      </c>
      <c r="D402" s="312">
        <f>'Раскладка продуктов'!U120</f>
        <v>0</v>
      </c>
      <c r="E402" s="312">
        <f>('Раскладка продуктов'!U124+'Раскладка продуктов'!U125+'Раскладка продуктов'!U126+'Раскладка продуктов'!U127)/2</f>
        <v>0</v>
      </c>
      <c r="F402" s="312">
        <f>'Раскладка продуктов'!U129</f>
        <v>0</v>
      </c>
      <c r="G402" s="314">
        <f t="shared" si="36"/>
        <v>0</v>
      </c>
      <c r="H402" s="315">
        <f t="shared" ref="H402:H453" si="39">C402*E402</f>
        <v>0</v>
      </c>
      <c r="I402" s="316">
        <f t="shared" si="37"/>
        <v>0</v>
      </c>
      <c r="J402" s="362">
        <f t="shared" si="38"/>
        <v>0</v>
      </c>
    </row>
    <row r="403" spans="2:15" ht="15" x14ac:dyDescent="0.25">
      <c r="B403" s="341" t="s">
        <v>137</v>
      </c>
      <c r="C403" s="337">
        <f>Вс!$M$2/1000</f>
        <v>0</v>
      </c>
      <c r="D403" s="312">
        <f>'Раскладка продуктов'!S120</f>
        <v>0</v>
      </c>
      <c r="E403" s="312">
        <f>('Раскладка продуктов'!S124+'Раскладка продуктов'!S125+'Раскладка продуктов'!S126+'Раскладка продуктов'!S127)/2</f>
        <v>0</v>
      </c>
      <c r="F403" s="312">
        <f>'Раскладка продуктов'!S129</f>
        <v>0</v>
      </c>
      <c r="G403" s="314">
        <f t="shared" si="36"/>
        <v>0</v>
      </c>
      <c r="H403" s="315">
        <f t="shared" si="39"/>
        <v>0</v>
      </c>
      <c r="I403" s="316">
        <f t="shared" si="37"/>
        <v>0</v>
      </c>
      <c r="J403" s="362">
        <f t="shared" si="38"/>
        <v>0</v>
      </c>
    </row>
    <row r="404" spans="2:15" ht="15" x14ac:dyDescent="0.25">
      <c r="B404" s="340" t="str">
        <f>IF('Блок ввода'!$B$213=2,"КОНЦЕНТРАТ КРУПЯНОЙ","КРУПА ОВСЯНАЯ")</f>
        <v>КРУПА ОВСЯНАЯ</v>
      </c>
      <c r="C404" s="337">
        <f>Вс!$M$2/1000</f>
        <v>0</v>
      </c>
      <c r="D404" s="312">
        <f>'Раскладка продуктов'!W120</f>
        <v>0</v>
      </c>
      <c r="E404" s="312">
        <f>('Раскладка продуктов'!W124+'Раскладка продуктов'!W125+'Раскладка продуктов'!W126+'Раскладка продуктов'!W127)/2</f>
        <v>0</v>
      </c>
      <c r="F404" s="312">
        <f>'Раскладка продуктов'!W129</f>
        <v>0</v>
      </c>
      <c r="G404" s="314">
        <f t="shared" si="36"/>
        <v>0</v>
      </c>
      <c r="H404" s="315">
        <f t="shared" si="39"/>
        <v>0</v>
      </c>
      <c r="I404" s="316">
        <f t="shared" si="37"/>
        <v>0</v>
      </c>
      <c r="J404" s="362">
        <f t="shared" si="38"/>
        <v>0</v>
      </c>
    </row>
    <row r="405" spans="2:15" ht="15" x14ac:dyDescent="0.25">
      <c r="B405" s="340" t="s">
        <v>169</v>
      </c>
      <c r="C405" s="337">
        <f>Вс!$M$2/1000</f>
        <v>0</v>
      </c>
      <c r="D405" s="312">
        <f>'Раскладка продуктов'!T120</f>
        <v>0</v>
      </c>
      <c r="E405" s="312">
        <f>('Раскладка продуктов'!T124+'Раскладка продуктов'!T125+'Раскладка продуктов'!T126+'Раскладка продуктов'!T127)/2</f>
        <v>0</v>
      </c>
      <c r="F405" s="312">
        <f>'Раскладка продуктов'!T129</f>
        <v>0</v>
      </c>
      <c r="G405" s="314">
        <f>C405*D405</f>
        <v>0</v>
      </c>
      <c r="H405" s="315">
        <f>C405*E405</f>
        <v>0</v>
      </c>
      <c r="I405" s="316">
        <f t="shared" si="37"/>
        <v>0</v>
      </c>
      <c r="J405" s="362">
        <f t="shared" si="38"/>
        <v>0</v>
      </c>
    </row>
    <row r="406" spans="2:15" ht="15" x14ac:dyDescent="0.25">
      <c r="B406" s="340" t="s">
        <v>138</v>
      </c>
      <c r="C406" s="337">
        <f>Вс!$M$2/1000</f>
        <v>0</v>
      </c>
      <c r="D406" s="312">
        <f>'Раскладка продуктов'!X120</f>
        <v>0</v>
      </c>
      <c r="E406" s="312">
        <f>('Раскладка продуктов'!X124+'Раскладка продуктов'!X125+'Раскладка продуктов'!X126+'Раскладка продуктов'!X127)/2</f>
        <v>0</v>
      </c>
      <c r="F406" s="312">
        <f>'Раскладка продуктов'!X129</f>
        <v>0</v>
      </c>
      <c r="G406" s="314">
        <f t="shared" si="36"/>
        <v>0</v>
      </c>
      <c r="H406" s="315">
        <f t="shared" si="39"/>
        <v>0</v>
      </c>
      <c r="I406" s="316">
        <f t="shared" si="37"/>
        <v>0</v>
      </c>
      <c r="J406" s="362">
        <f t="shared" si="38"/>
        <v>0</v>
      </c>
    </row>
    <row r="407" spans="2:15" ht="15" x14ac:dyDescent="0.25">
      <c r="B407" s="342" t="s">
        <v>431</v>
      </c>
      <c r="C407" s="337">
        <f>Вс!$M$2/1000</f>
        <v>0</v>
      </c>
      <c r="D407" s="312">
        <f>IF(OR(D408&gt;0,D410&gt;0,'Блок ввода'!E198=29),0,'Раскладка продуктов'!Y120)</f>
        <v>100</v>
      </c>
      <c r="E407" s="312">
        <f>IF(AND(AND('Блок ввода'!W236&lt;&gt;17,'Блок ввода'!W241&lt;&gt;18),AND('Блок ввода'!W236&lt;&gt;18,'Блок ввода'!W241&lt;&gt;17)),('Раскладка продуктов'!Y126+'Раскладка продуктов'!Y127)/2,IF(OR(AND('Блок ввода'!W236=17,'Блок ввода'!W241=18),AND('Блок ввода'!W236=18,'Блок ввода'!W241=17),AND('Блок ввода'!W236=17,'Блок ввода'!W241=17),AND('Блок ввода'!W236=18,'Блок ввода'!W241=18),OR('Блок ввода'!W236=19,'Блок ввода'!W241=19)),0,('Раскладка продуктов'!Y126+'Раскладка продуктов'!Y127)/4))</f>
        <v>0</v>
      </c>
      <c r="F407" s="312">
        <f>'Раскладка продуктов'!Y129</f>
        <v>0</v>
      </c>
      <c r="G407" s="314">
        <f t="shared" si="36"/>
        <v>0</v>
      </c>
      <c r="H407" s="315">
        <f t="shared" si="39"/>
        <v>0</v>
      </c>
      <c r="I407" s="316">
        <f t="shared" si="37"/>
        <v>0</v>
      </c>
      <c r="J407" s="362">
        <f t="shared" si="38"/>
        <v>0</v>
      </c>
      <c r="L407" s="297"/>
      <c r="N407" s="297"/>
      <c r="O407" s="297"/>
    </row>
    <row r="408" spans="2:15" ht="15" x14ac:dyDescent="0.25">
      <c r="B408" s="340" t="s">
        <v>139</v>
      </c>
      <c r="C408" s="337">
        <f>Вс!$M$2/1000</f>
        <v>0</v>
      </c>
      <c r="D408" s="312">
        <f>IF(OR('Блок ввода'!$E$198=17,'Блок ввода'!$E$198=18),100,0)</f>
        <v>0</v>
      </c>
      <c r="E408" s="312">
        <f>IF(OR(AND('Блок ввода'!W236=17,'Блок ввода'!W241=18),AND('Блок ввода'!W236=18,'Блок ввода'!W241=17),AND('Блок ввода'!W236=17,'Блок ввода'!W241=17),AND('Блок ввода'!W236=18,'Блок ввода'!W241=18)),('Раскладка продуктов'!Y126+'Раскладка продуктов'!Y127)/2,IF(OR(AND('Блок ввода'!W236=17,'Блок ввода'!W241&lt;&gt;18),AND('Блок ввода'!W236=18,'Блок ввода'!W241&lt;&gt;17),AND('Блок ввода'!W236&lt;&gt;18,'Блок ввода'!W241=17),AND('Блок ввода'!W236&lt;&gt;17,'Блок ввода'!W241=18)),IF(OR('Блок ввода'!W236=19,'Блок ввода'!W241=19),('Раскладка продуктов'!Y126+'Раскладка продуктов'!Y127)/2,('Раскладка продуктов'!Y126+'Раскладка продуктов'!Y127)/4),0))</f>
        <v>150</v>
      </c>
      <c r="F408" s="312"/>
      <c r="G408" s="314">
        <f t="shared" si="36"/>
        <v>0</v>
      </c>
      <c r="H408" s="315">
        <f t="shared" si="39"/>
        <v>0</v>
      </c>
      <c r="I408" s="316">
        <f t="shared" si="37"/>
        <v>0</v>
      </c>
      <c r="J408" s="362">
        <f t="shared" si="38"/>
        <v>0</v>
      </c>
      <c r="L408" s="297"/>
      <c r="N408" s="297"/>
      <c r="O408" s="297"/>
    </row>
    <row r="409" spans="2:15" ht="15" x14ac:dyDescent="0.25">
      <c r="B409" s="341" t="s">
        <v>140</v>
      </c>
      <c r="C409" s="337">
        <f>Вс!$M$2/1000</f>
        <v>0</v>
      </c>
      <c r="D409" s="312"/>
      <c r="E409" s="312"/>
      <c r="F409" s="312"/>
      <c r="G409" s="314">
        <f t="shared" si="36"/>
        <v>0</v>
      </c>
      <c r="H409" s="315">
        <f t="shared" si="39"/>
        <v>0</v>
      </c>
      <c r="I409" s="316">
        <f t="shared" si="37"/>
        <v>0</v>
      </c>
      <c r="J409" s="362">
        <f t="shared" si="38"/>
        <v>0</v>
      </c>
      <c r="L409" s="297"/>
      <c r="N409" s="297"/>
      <c r="O409" s="297"/>
    </row>
    <row r="410" spans="2:15" ht="15" x14ac:dyDescent="0.25">
      <c r="B410" s="349" t="s">
        <v>184</v>
      </c>
      <c r="C410" s="337">
        <f>Вс!$M$2/1000</f>
        <v>0</v>
      </c>
      <c r="D410" s="312">
        <f>'Раскладка продуктов'!Z120</f>
        <v>0</v>
      </c>
      <c r="E410" s="312">
        <f>('Раскладка продуктов'!Z126+'Раскладка продуктов'!Z127)/2</f>
        <v>0</v>
      </c>
      <c r="F410" s="312">
        <f>'Раскладка продуктов'!Z129</f>
        <v>0</v>
      </c>
      <c r="G410" s="314">
        <f>C410*D410</f>
        <v>0</v>
      </c>
      <c r="H410" s="315">
        <f>C410*E410</f>
        <v>0</v>
      </c>
      <c r="I410" s="316">
        <f>F410*C410</f>
        <v>0</v>
      </c>
      <c r="J410" s="362">
        <f>G410+H410+I410</f>
        <v>0</v>
      </c>
      <c r="L410" s="297"/>
      <c r="N410" s="297"/>
      <c r="O410" s="297"/>
    </row>
    <row r="411" spans="2:15" ht="15" x14ac:dyDescent="0.25">
      <c r="B411" s="340" t="str">
        <f>IF(AND('Блок ввода'!$AE$38=1,'Блок ввода'!E203&lt;&gt;26),"РЫБА С ГОЛОВОЙ",IF('Блок ввода'!E203=26,"СЕЛЬДЬ СОЛ. БЕЗ ГОЛОВЫ","РЫБА БЕЗ ГОЛОВЫ/СЕЛЬДЬ С ГОЛ."))</f>
        <v>РЫБА БЕЗ ГОЛОВЫ/СЕЛЬДЬ С ГОЛ.</v>
      </c>
      <c r="C411" s="337">
        <f>Вс!$M$2/1000</f>
        <v>0</v>
      </c>
      <c r="D411" s="312">
        <f>'Раскладка продуктов'!$AB$120</f>
        <v>0</v>
      </c>
      <c r="E411" s="312"/>
      <c r="F411" s="312">
        <f>'Раскладка продуктов'!AB129</f>
        <v>120</v>
      </c>
      <c r="G411" s="314">
        <f t="shared" si="36"/>
        <v>0</v>
      </c>
      <c r="H411" s="315">
        <f t="shared" si="39"/>
        <v>0</v>
      </c>
      <c r="I411" s="316">
        <f t="shared" si="37"/>
        <v>0</v>
      </c>
      <c r="J411" s="362">
        <f t="shared" si="38"/>
        <v>0</v>
      </c>
    </row>
    <row r="412" spans="2:15" ht="15" x14ac:dyDescent="0.25">
      <c r="B412" s="310" t="str">
        <f>UPPER('Блок ввода'!$B$157)</f>
        <v xml:space="preserve">КОНС. РЫБНЫЕ - КИЛЬКА В ТОМ. СОУСЕ  </v>
      </c>
      <c r="C412" s="337">
        <f>Вс!$M$2/1000</f>
        <v>0</v>
      </c>
      <c r="D412" s="312">
        <f>'Раскладка продуктов'!$AC$120</f>
        <v>0</v>
      </c>
      <c r="E412" s="312"/>
      <c r="F412" s="312"/>
      <c r="G412" s="314">
        <f>C412*D412</f>
        <v>0</v>
      </c>
      <c r="H412" s="315">
        <f>C412*E412</f>
        <v>0</v>
      </c>
      <c r="I412" s="316">
        <f>F412*C412</f>
        <v>0</v>
      </c>
      <c r="J412" s="362">
        <f t="shared" si="38"/>
        <v>0</v>
      </c>
    </row>
    <row r="413" spans="2:15" ht="15" x14ac:dyDescent="0.25">
      <c r="B413" s="341" t="s">
        <v>141</v>
      </c>
      <c r="C413" s="337">
        <f>Вс!$M$2/1000</f>
        <v>0</v>
      </c>
      <c r="D413" s="312">
        <f>'Раскладка продуктов'!AF120</f>
        <v>3</v>
      </c>
      <c r="E413" s="312">
        <f>'Раскладка продуктов'!AF123</f>
        <v>12</v>
      </c>
      <c r="F413" s="312">
        <f>'Раскладка продуктов'!AF129</f>
        <v>15</v>
      </c>
      <c r="G413" s="314">
        <f t="shared" si="36"/>
        <v>0</v>
      </c>
      <c r="H413" s="315">
        <f t="shared" si="39"/>
        <v>0</v>
      </c>
      <c r="I413" s="316">
        <f t="shared" si="37"/>
        <v>0</v>
      </c>
      <c r="J413" s="362">
        <f t="shared" si="38"/>
        <v>0</v>
      </c>
    </row>
    <row r="414" spans="2:15" ht="15" x14ac:dyDescent="0.25">
      <c r="B414" s="340" t="s">
        <v>142</v>
      </c>
      <c r="C414" s="337">
        <f>Вс!$M$2/1000</f>
        <v>0</v>
      </c>
      <c r="D414" s="312">
        <f>'Раскладка продуктов'!AE120</f>
        <v>19</v>
      </c>
      <c r="E414" s="312"/>
      <c r="F414" s="312">
        <f>'Раскладка продуктов'!AE129</f>
        <v>22</v>
      </c>
      <c r="G414" s="314">
        <f t="shared" si="36"/>
        <v>0</v>
      </c>
      <c r="H414" s="315">
        <f t="shared" si="39"/>
        <v>0</v>
      </c>
      <c r="I414" s="316">
        <f t="shared" si="37"/>
        <v>0</v>
      </c>
      <c r="J414" s="362">
        <f t="shared" si="38"/>
        <v>0</v>
      </c>
    </row>
    <row r="415" spans="2:15" ht="15" x14ac:dyDescent="0.25">
      <c r="B415" s="341" t="s">
        <v>143</v>
      </c>
      <c r="C415" s="337">
        <f>Вс!$M$2/1000</f>
        <v>0</v>
      </c>
      <c r="D415" s="312">
        <f>'Раскладка продуктов'!AD120</f>
        <v>0</v>
      </c>
      <c r="E415" s="312">
        <f>('Раскладка продуктов'!AD124+'Раскладка продуктов'!AD125+'Раскладка продуктов'!AD126+'Раскладка продуктов'!AD127)/2</f>
        <v>0</v>
      </c>
      <c r="F415" s="312">
        <f>'Раскладка продуктов'!AD129</f>
        <v>0</v>
      </c>
      <c r="G415" s="314">
        <f t="shared" si="36"/>
        <v>0</v>
      </c>
      <c r="H415" s="315">
        <f t="shared" si="39"/>
        <v>0</v>
      </c>
      <c r="I415" s="316">
        <f t="shared" si="37"/>
        <v>0</v>
      </c>
      <c r="J415" s="362">
        <f t="shared" si="38"/>
        <v>0</v>
      </c>
    </row>
    <row r="416" spans="2:15" ht="15" x14ac:dyDescent="0.25">
      <c r="B416" s="340" t="s">
        <v>362</v>
      </c>
      <c r="C416" s="337">
        <f>Вс!$M$2/1000</f>
        <v>0</v>
      </c>
      <c r="D416" s="312"/>
      <c r="E416" s="312">
        <f>IF(OR('Блок ввода'!A34=1,'Блок ввода'!A34=3),0,('Раскладка продуктов'!AZ124+'Раскладка продуктов'!AZ125+'Раскладка продуктов'!AZ126+'Раскладка продуктов'!AZ127)/2)</f>
        <v>0</v>
      </c>
      <c r="F416" s="312">
        <f>'Раскладка продуктов'!AZ129</f>
        <v>0</v>
      </c>
      <c r="G416" s="314">
        <f t="shared" si="36"/>
        <v>0</v>
      </c>
      <c r="H416" s="315">
        <f t="shared" si="39"/>
        <v>0</v>
      </c>
      <c r="I416" s="316">
        <f t="shared" si="37"/>
        <v>0</v>
      </c>
      <c r="J416" s="362">
        <f t="shared" si="38"/>
        <v>0</v>
      </c>
    </row>
    <row r="417" spans="2:10" ht="15" x14ac:dyDescent="0.25">
      <c r="B417" s="340" t="s">
        <v>144</v>
      </c>
      <c r="C417" s="337">
        <f>Вс!$M$2/1000</f>
        <v>0</v>
      </c>
      <c r="D417" s="312"/>
      <c r="E417" s="312"/>
      <c r="F417" s="312"/>
      <c r="G417" s="314">
        <f t="shared" si="36"/>
        <v>0</v>
      </c>
      <c r="H417" s="315">
        <f t="shared" si="39"/>
        <v>0</v>
      </c>
      <c r="I417" s="316">
        <f t="shared" si="37"/>
        <v>0</v>
      </c>
      <c r="J417" s="362">
        <f t="shared" si="38"/>
        <v>0</v>
      </c>
    </row>
    <row r="418" spans="2:10" ht="15" x14ac:dyDescent="0.25">
      <c r="B418" s="340" t="s">
        <v>145</v>
      </c>
      <c r="C418" s="337">
        <f>Вс!$M$2/1000</f>
        <v>0</v>
      </c>
      <c r="D418" s="312"/>
      <c r="E418" s="312"/>
      <c r="F418" s="312"/>
      <c r="G418" s="314">
        <f t="shared" si="36"/>
        <v>0</v>
      </c>
      <c r="H418" s="315">
        <f t="shared" si="39"/>
        <v>0</v>
      </c>
      <c r="I418" s="316">
        <f t="shared" si="37"/>
        <v>0</v>
      </c>
      <c r="J418" s="362">
        <f t="shared" si="38"/>
        <v>0</v>
      </c>
    </row>
    <row r="419" spans="2:10" ht="15" x14ac:dyDescent="0.25">
      <c r="B419" s="340" t="str">
        <f>IF('Блок ввода'!$A$34=1,"МОЛОКО СГУЩЕНОЕ С САХАРОМ","МОЛОКО СУХОЕ")</f>
        <v>МОЛОКО СУХОЕ</v>
      </c>
      <c r="C419" s="337">
        <f>Вс!$M$2/1000</f>
        <v>0</v>
      </c>
      <c r="D419" s="312"/>
      <c r="E419" s="312">
        <f>IF('Блок ввода'!$A$34=1,('Раскладка продуктов'!AZ124+'Раскладка продуктов'!AZ125+'Раскладка продуктов'!AZ126+'Раскладка продуктов'!AZ127)/2+'Раскладка продуктов'!AZ373,0)</f>
        <v>0</v>
      </c>
      <c r="F419" s="312"/>
      <c r="G419" s="314">
        <f t="shared" si="36"/>
        <v>0</v>
      </c>
      <c r="H419" s="315">
        <f t="shared" si="39"/>
        <v>0</v>
      </c>
      <c r="I419" s="316">
        <f t="shared" si="37"/>
        <v>0</v>
      </c>
      <c r="J419" s="362">
        <f t="shared" si="38"/>
        <v>0</v>
      </c>
    </row>
    <row r="420" spans="2:10" ht="15" x14ac:dyDescent="0.25">
      <c r="B420" s="340" t="str">
        <f>IF('Блок ввода'!$Z$26=1,"СЫР СЫЧУЖНЫЙ ТВЕРДЫЙ","СЫР ПЛАВЛЕНЫЙ")</f>
        <v>СЫР ПЛАВЛЕНЫЙ</v>
      </c>
      <c r="C420" s="337">
        <f>Вс!$M$2/1000</f>
        <v>0</v>
      </c>
      <c r="D420" s="312"/>
      <c r="E420" s="312"/>
      <c r="F420" s="312"/>
      <c r="G420" s="314">
        <f t="shared" si="36"/>
        <v>0</v>
      </c>
      <c r="H420" s="315">
        <f t="shared" si="39"/>
        <v>0</v>
      </c>
      <c r="I420" s="316">
        <f t="shared" si="37"/>
        <v>0</v>
      </c>
      <c r="J420" s="362">
        <f t="shared" si="38"/>
        <v>0</v>
      </c>
    </row>
    <row r="421" spans="2:10" ht="15" x14ac:dyDescent="0.25">
      <c r="B421" s="340" t="str">
        <f>IF('Блок ввода'!$G$32=1,"ПОРОШОК ЯИЧНЫЙ","ЯЙЦА КУРИНЫЕ")</f>
        <v>ЯЙЦА КУРИНЫЕ</v>
      </c>
      <c r="C421" s="337">
        <f>Вс!$M$2/1000</f>
        <v>0</v>
      </c>
      <c r="D421" s="320">
        <f>'Раскладка продуктов'!AX120+'Раскладка продуктов'!AX121+'Раскладка продуктов'!AX122</f>
        <v>1</v>
      </c>
      <c r="E421" s="312">
        <f>'Раскладка продуктов'!AX128</f>
        <v>0</v>
      </c>
      <c r="F421" s="320">
        <f>'Раскладка продуктов'!AX129+'Раскладка продуктов'!AX130+'Раскладка продуктов'!AX131</f>
        <v>0</v>
      </c>
      <c r="G421" s="314">
        <f>D421*Вс!M2</f>
        <v>0</v>
      </c>
      <c r="H421" s="315">
        <f>E421*Вс!M2</f>
        <v>0</v>
      </c>
      <c r="I421" s="322">
        <f>IF('Блок ввода'!$G$32=1,ROUND(F421*C421,3),ROUND(F421*Вс!M2,0))</f>
        <v>0</v>
      </c>
      <c r="J421" s="362">
        <f t="shared" si="38"/>
        <v>0</v>
      </c>
    </row>
    <row r="422" spans="2:10" ht="15" x14ac:dyDescent="0.25">
      <c r="B422" s="340" t="s">
        <v>146</v>
      </c>
      <c r="C422" s="337">
        <f>Вс!$M$2/1000</f>
        <v>0</v>
      </c>
      <c r="D422" s="312">
        <f>'Раскладка продуктов'!AG122</f>
        <v>30</v>
      </c>
      <c r="E422" s="312">
        <f>'Раскладка продуктов'!AG128</f>
        <v>0</v>
      </c>
      <c r="F422" s="312">
        <f>'Раскладка продуктов'!AG131</f>
        <v>30</v>
      </c>
      <c r="G422" s="314">
        <f t="shared" ref="G422:G453" si="40">C422*D422</f>
        <v>0</v>
      </c>
      <c r="H422" s="315">
        <f t="shared" si="39"/>
        <v>0</v>
      </c>
      <c r="I422" s="316">
        <f t="shared" si="37"/>
        <v>0</v>
      </c>
      <c r="J422" s="362">
        <f t="shared" si="38"/>
        <v>0</v>
      </c>
    </row>
    <row r="423" spans="2:10" ht="15" x14ac:dyDescent="0.25">
      <c r="B423" s="340" t="s">
        <v>147</v>
      </c>
      <c r="C423" s="337">
        <f>Вс!$M$2/1000</f>
        <v>0</v>
      </c>
      <c r="D423" s="312">
        <v>20</v>
      </c>
      <c r="E423" s="312"/>
      <c r="F423" s="312"/>
      <c r="G423" s="314">
        <f t="shared" si="40"/>
        <v>0</v>
      </c>
      <c r="H423" s="315">
        <f t="shared" si="39"/>
        <v>0</v>
      </c>
      <c r="I423" s="316">
        <f t="shared" si="37"/>
        <v>0</v>
      </c>
      <c r="J423" s="362">
        <f t="shared" si="38"/>
        <v>0</v>
      </c>
    </row>
    <row r="424" spans="2:10" ht="15" x14ac:dyDescent="0.25">
      <c r="B424" s="340" t="s">
        <v>148</v>
      </c>
      <c r="C424" s="337">
        <f>Вс!$M$2/1000</f>
        <v>0</v>
      </c>
      <c r="D424" s="312">
        <f>'Раскладка продуктов'!AH122</f>
        <v>0</v>
      </c>
      <c r="E424" s="312"/>
      <c r="F424" s="312">
        <f>'Раскладка продуктов'!AH131</f>
        <v>1</v>
      </c>
      <c r="G424" s="314">
        <f t="shared" si="40"/>
        <v>0</v>
      </c>
      <c r="H424" s="315">
        <f t="shared" si="39"/>
        <v>0</v>
      </c>
      <c r="I424" s="316">
        <f t="shared" si="37"/>
        <v>0</v>
      </c>
      <c r="J424" s="362">
        <f t="shared" si="38"/>
        <v>0</v>
      </c>
    </row>
    <row r="425" spans="2:10" ht="15" x14ac:dyDescent="0.25">
      <c r="B425" s="340" t="s">
        <v>149</v>
      </c>
      <c r="C425" s="337">
        <f>Вс!$M$2/1000</f>
        <v>0</v>
      </c>
      <c r="D425" s="312"/>
      <c r="E425" s="312"/>
      <c r="F425" s="312"/>
      <c r="G425" s="314">
        <f t="shared" si="40"/>
        <v>0</v>
      </c>
      <c r="H425" s="315">
        <f t="shared" si="39"/>
        <v>0</v>
      </c>
      <c r="I425" s="316">
        <f t="shared" si="37"/>
        <v>0</v>
      </c>
      <c r="J425" s="362">
        <f t="shared" si="38"/>
        <v>0</v>
      </c>
    </row>
    <row r="426" spans="2:10" ht="15" x14ac:dyDescent="0.25">
      <c r="B426" s="340" t="s">
        <v>217</v>
      </c>
      <c r="C426" s="337">
        <f>Вс!$M$2/1000</f>
        <v>0</v>
      </c>
      <c r="D426" s="312">
        <f>IF('Блок ввода'!T233=7,'Раскладка продуктов'!BC122,0)</f>
        <v>0</v>
      </c>
      <c r="E426" s="312"/>
      <c r="F426" s="312"/>
      <c r="G426" s="314">
        <f t="shared" si="40"/>
        <v>0</v>
      </c>
      <c r="H426" s="315">
        <f>C426*E426</f>
        <v>0</v>
      </c>
      <c r="I426" s="316">
        <f>F426*C426</f>
        <v>0</v>
      </c>
      <c r="J426" s="362">
        <f>G426+H426+I426</f>
        <v>0</v>
      </c>
    </row>
    <row r="427" spans="2:10" ht="15" x14ac:dyDescent="0.25">
      <c r="B427" s="340" t="s">
        <v>150</v>
      </c>
      <c r="C427" s="337">
        <f>Вс!$M$2/1000</f>
        <v>0</v>
      </c>
      <c r="D427" s="312">
        <v>0.2</v>
      </c>
      <c r="E427" s="312"/>
      <c r="F427" s="312"/>
      <c r="G427" s="314">
        <f t="shared" si="40"/>
        <v>0</v>
      </c>
      <c r="H427" s="315">
        <f t="shared" si="39"/>
        <v>0</v>
      </c>
      <c r="I427" s="316">
        <f t="shared" si="37"/>
        <v>0</v>
      </c>
      <c r="J427" s="362">
        <f t="shared" si="38"/>
        <v>0</v>
      </c>
    </row>
    <row r="428" spans="2:10" ht="15" x14ac:dyDescent="0.25">
      <c r="B428" s="340" t="s">
        <v>151</v>
      </c>
      <c r="C428" s="337">
        <f>Вс!$M$2/1000</f>
        <v>0</v>
      </c>
      <c r="D428" s="312">
        <v>0.3</v>
      </c>
      <c r="E428" s="312"/>
      <c r="F428" s="312"/>
      <c r="G428" s="314">
        <f t="shared" si="40"/>
        <v>0</v>
      </c>
      <c r="H428" s="315">
        <f t="shared" si="39"/>
        <v>0</v>
      </c>
      <c r="I428" s="316">
        <f t="shared" si="37"/>
        <v>0</v>
      </c>
      <c r="J428" s="362">
        <f t="shared" si="38"/>
        <v>0</v>
      </c>
    </row>
    <row r="429" spans="2:10" ht="15" x14ac:dyDescent="0.25">
      <c r="B429" s="340" t="s">
        <v>152</v>
      </c>
      <c r="C429" s="337">
        <f>Вс!$M$2/1000</f>
        <v>0</v>
      </c>
      <c r="D429" s="312">
        <v>0.3</v>
      </c>
      <c r="E429" s="312"/>
      <c r="F429" s="312"/>
      <c r="G429" s="314">
        <f t="shared" si="40"/>
        <v>0</v>
      </c>
      <c r="H429" s="315">
        <f t="shared" si="39"/>
        <v>0</v>
      </c>
      <c r="I429" s="316">
        <f t="shared" si="37"/>
        <v>0</v>
      </c>
      <c r="J429" s="362">
        <f t="shared" si="38"/>
        <v>0</v>
      </c>
    </row>
    <row r="430" spans="2:10" ht="15" x14ac:dyDescent="0.25">
      <c r="B430" s="310" t="str">
        <f>IF('Блок ввода'!$A$36=1,"УКСУСНАЯ ЭССЕНЦИЯ","УКСУС")</f>
        <v>УКСУС</v>
      </c>
      <c r="C430" s="337">
        <f>Вс!$M$2/1000</f>
        <v>0</v>
      </c>
      <c r="D430" s="312">
        <f>IF('Блок ввода'!$A$36=1,2/20,2)</f>
        <v>2</v>
      </c>
      <c r="E430" s="312"/>
      <c r="F430" s="312"/>
      <c r="G430" s="314">
        <f t="shared" si="40"/>
        <v>0</v>
      </c>
      <c r="H430" s="315">
        <f t="shared" si="39"/>
        <v>0</v>
      </c>
      <c r="I430" s="316">
        <f t="shared" si="37"/>
        <v>0</v>
      </c>
      <c r="J430" s="362">
        <f t="shared" si="38"/>
        <v>0</v>
      </c>
    </row>
    <row r="431" spans="2:10" ht="15" x14ac:dyDescent="0.25">
      <c r="B431" s="340" t="str">
        <f>IF('Блок ввода'!$A$39=1,"ТОМАТНЫЙ СОУС","ТОМАТНАЯ ПАСТА")</f>
        <v>ТОМАТНАЯ ПАСТА</v>
      </c>
      <c r="C431" s="337">
        <f>Вс!$M$2/1000</f>
        <v>0</v>
      </c>
      <c r="D431" s="312">
        <v>6</v>
      </c>
      <c r="E431" s="312"/>
      <c r="F431" s="312"/>
      <c r="G431" s="314">
        <f t="shared" si="40"/>
        <v>0</v>
      </c>
      <c r="H431" s="315">
        <f t="shared" si="39"/>
        <v>0</v>
      </c>
      <c r="I431" s="316">
        <f t="shared" si="37"/>
        <v>0</v>
      </c>
      <c r="J431" s="362">
        <f t="shared" si="38"/>
        <v>0</v>
      </c>
    </row>
    <row r="432" spans="2:10" ht="15" x14ac:dyDescent="0.25">
      <c r="B432" s="340" t="s">
        <v>376</v>
      </c>
      <c r="C432" s="337">
        <f>Вс!$M$2/1000</f>
        <v>0</v>
      </c>
      <c r="D432" s="312"/>
      <c r="E432" s="312"/>
      <c r="F432" s="312"/>
      <c r="G432" s="314">
        <f t="shared" si="40"/>
        <v>0</v>
      </c>
      <c r="H432" s="315">
        <f t="shared" si="39"/>
        <v>0</v>
      </c>
      <c r="I432" s="316">
        <f t="shared" si="37"/>
        <v>0</v>
      </c>
      <c r="J432" s="362">
        <f t="shared" si="38"/>
        <v>0</v>
      </c>
    </row>
    <row r="433" spans="2:10" ht="15" x14ac:dyDescent="0.25">
      <c r="B433" s="340" t="s">
        <v>153</v>
      </c>
      <c r="C433" s="337">
        <f>Вс!$M$2/1000</f>
        <v>0</v>
      </c>
      <c r="D433" s="312"/>
      <c r="E433" s="312"/>
      <c r="F433" s="312"/>
      <c r="G433" s="314">
        <f t="shared" si="40"/>
        <v>0</v>
      </c>
      <c r="H433" s="315">
        <f t="shared" si="39"/>
        <v>0</v>
      </c>
      <c r="I433" s="316">
        <f t="shared" si="37"/>
        <v>0</v>
      </c>
      <c r="J433" s="362">
        <f t="shared" si="38"/>
        <v>0</v>
      </c>
    </row>
    <row r="434" spans="2:10" ht="15" x14ac:dyDescent="0.25">
      <c r="B434" s="310" t="str">
        <f>IF('Блок ввода'!$B$223=1,"ДРОЖЖИ СУШЕНЫЕ","ДРОЖЖИ ПРЕСОВАННЫЕ" )</f>
        <v>ДРОЖЖИ ПРЕСОВАННЫЕ</v>
      </c>
      <c r="C434" s="337">
        <f>Вс!$M$2/1000</f>
        <v>0</v>
      </c>
      <c r="D434" s="323">
        <f>'Раскладка продуктов'!BH122</f>
        <v>0</v>
      </c>
      <c r="E434" s="312"/>
      <c r="F434" s="323">
        <f>'Раскладка продуктов'!BH131</f>
        <v>0.5</v>
      </c>
      <c r="G434" s="314">
        <f t="shared" si="40"/>
        <v>0</v>
      </c>
      <c r="H434" s="315">
        <f t="shared" si="39"/>
        <v>0</v>
      </c>
      <c r="I434" s="329">
        <f t="shared" si="37"/>
        <v>0</v>
      </c>
      <c r="J434" s="364">
        <f t="shared" si="38"/>
        <v>0</v>
      </c>
    </row>
    <row r="435" spans="2:10" ht="15" x14ac:dyDescent="0.25">
      <c r="B435" s="340" t="s">
        <v>154</v>
      </c>
      <c r="C435" s="337">
        <f>Вс!$M$2/1000</f>
        <v>0</v>
      </c>
      <c r="D435" s="312">
        <f>'Раскладка продуктов'!AK120</f>
        <v>0</v>
      </c>
      <c r="E435" s="312">
        <f>'Раскладка продуктов'!AK123+('Раскладка продуктов'!AK124+'Раскладка продуктов'!AK125+'Раскладка продуктов'!AK126+'Раскладка продуктов'!AK127)/2</f>
        <v>115</v>
      </c>
      <c r="F435" s="312">
        <f>'Раскладка продуктов'!AK129</f>
        <v>405</v>
      </c>
      <c r="G435" s="314">
        <f t="shared" si="40"/>
        <v>0</v>
      </c>
      <c r="H435" s="315">
        <f t="shared" si="39"/>
        <v>0</v>
      </c>
      <c r="I435" s="316">
        <f t="shared" si="37"/>
        <v>0</v>
      </c>
      <c r="J435" s="362">
        <f t="shared" si="38"/>
        <v>0</v>
      </c>
    </row>
    <row r="436" spans="2:10" ht="15" x14ac:dyDescent="0.25">
      <c r="B436" s="340" t="s">
        <v>155</v>
      </c>
      <c r="C436" s="337">
        <f>Вс!$M$2/1000</f>
        <v>0</v>
      </c>
      <c r="D436" s="312">
        <f>'Раскладка продуктов'!AL120</f>
        <v>0</v>
      </c>
      <c r="E436" s="312">
        <f>'Раскладка продуктов'!AL123+('Раскладка продуктов'!AL124+'Раскладка продуктов'!AL125+'Раскладка продуктов'!AL126+'Раскладка продуктов'!AL127)/2</f>
        <v>140</v>
      </c>
      <c r="F436" s="312">
        <f>'Раскладка продуктов'!AL129</f>
        <v>0</v>
      </c>
      <c r="G436" s="314">
        <f t="shared" si="40"/>
        <v>0</v>
      </c>
      <c r="H436" s="315">
        <f t="shared" si="39"/>
        <v>0</v>
      </c>
      <c r="I436" s="316">
        <f t="shared" si="37"/>
        <v>0</v>
      </c>
      <c r="J436" s="362">
        <f t="shared" si="38"/>
        <v>0</v>
      </c>
    </row>
    <row r="437" spans="2:10" ht="15" x14ac:dyDescent="0.25">
      <c r="B437" s="340" t="s">
        <v>156</v>
      </c>
      <c r="C437" s="337">
        <f>Вс!$M$2/1000</f>
        <v>0</v>
      </c>
      <c r="D437" s="312">
        <f>'Раскладка продуктов'!AM120</f>
        <v>0</v>
      </c>
      <c r="E437" s="312">
        <f>IF('Блок ввода'!E58=17,('Раскладка продуктов'!AM124+'Раскладка продуктов'!AM125+'Раскладка продуктов'!AM126+'Раскладка продуктов'!AM127)/2,'Раскладка продуктов'!AM123+('Раскладка продуктов'!AM124+'Раскладка продуктов'!AM125+'Раскладка продуктов'!AM126+'Раскладка продуктов'!AM127)/2)</f>
        <v>0</v>
      </c>
      <c r="F437" s="312">
        <f>'Раскладка продуктов'!AM129</f>
        <v>0</v>
      </c>
      <c r="G437" s="314">
        <f t="shared" si="40"/>
        <v>0</v>
      </c>
      <c r="H437" s="315">
        <f t="shared" si="39"/>
        <v>0</v>
      </c>
      <c r="I437" s="316">
        <f t="shared" si="37"/>
        <v>0</v>
      </c>
      <c r="J437" s="362">
        <f t="shared" si="38"/>
        <v>0</v>
      </c>
    </row>
    <row r="438" spans="2:10" ht="15" x14ac:dyDescent="0.25">
      <c r="B438" s="340" t="s">
        <v>157</v>
      </c>
      <c r="C438" s="337">
        <f>Вс!$M$2/1000</f>
        <v>0</v>
      </c>
      <c r="D438" s="312">
        <f>'Раскладка продуктов'!AN120</f>
        <v>0</v>
      </c>
      <c r="E438" s="312">
        <f>'Раскладка продуктов'!AN123+('Раскладка продуктов'!AN124+'Раскладка продуктов'!AN125+'Раскладка продуктов'!AN126+'Раскладка продуктов'!AN127)/2</f>
        <v>30</v>
      </c>
      <c r="F438" s="312">
        <f>'Раскладка продуктов'!AN129</f>
        <v>10</v>
      </c>
      <c r="G438" s="314">
        <f t="shared" si="40"/>
        <v>0</v>
      </c>
      <c r="H438" s="315">
        <f t="shared" si="39"/>
        <v>0</v>
      </c>
      <c r="I438" s="316">
        <f t="shared" si="37"/>
        <v>0</v>
      </c>
      <c r="J438" s="362">
        <f t="shared" si="38"/>
        <v>0</v>
      </c>
    </row>
    <row r="439" spans="2:10" ht="15" x14ac:dyDescent="0.25">
      <c r="B439" s="340" t="str">
        <f>IF(AND('Блок ввода'!$A$37=TRUE,'Блок ввода'!$AE$35),"ЛУК - ПЕРО",IF(AND('Блок ввода'!$I$37=TRUE,'Блок ввода'!$AE$35),"ЛУК СУШЕНЫЙ","ЛУК РЕПЧАТЫЙ"))</f>
        <v>ЛУК РЕПЧАТЫЙ</v>
      </c>
      <c r="C439" s="337">
        <f>Вс!$M$2/1000</f>
        <v>0</v>
      </c>
      <c r="D439" s="312">
        <f>IF(AND('Блок ввода'!$A$37=TRUE,'Блок ввода'!AE35=TRUE),'Раскладка продуктов'!AO120*2,'Раскладка продуктов'!AO120)</f>
        <v>0</v>
      </c>
      <c r="E439" s="312">
        <f>IF(AND('Блок ввода'!$A$37=TRUE,'Блок ввода'!AE35=TRUE),('Раскладка продуктов'!AO123+'Раскладка продуктов'!AO128+('Раскладка продуктов'!AO124+'Раскладка продуктов'!AO125+'Раскладка продуктов'!AO126+'Раскладка продуктов'!AO127)/2)*2,'Раскладка продуктов'!AO123+('Раскладка продуктов'!AO124+'Раскладка продуктов'!AO125+'Раскладка продуктов'!AO126+'Раскладка продуктов'!AO127)/2+'Раскладка продуктов'!AO128)</f>
        <v>30</v>
      </c>
      <c r="F439" s="312">
        <f>IF(AND('Блок ввода'!$A$37=TRUE,'Блок ввода'!AE35=TRUE),'Раскладка продуктов'!AO129*2,'Раскладка продуктов'!AO129)</f>
        <v>10</v>
      </c>
      <c r="G439" s="314">
        <f t="shared" si="40"/>
        <v>0</v>
      </c>
      <c r="H439" s="315">
        <f t="shared" si="39"/>
        <v>0</v>
      </c>
      <c r="I439" s="316">
        <f t="shared" si="37"/>
        <v>0</v>
      </c>
      <c r="J439" s="362">
        <f t="shared" si="38"/>
        <v>0</v>
      </c>
    </row>
    <row r="440" spans="2:10" ht="15" x14ac:dyDescent="0.25">
      <c r="B440" s="346" t="str">
        <f>IF(OR('Блок ввода'!E58=15,'Блок ввода'!E58=21),"ОГУРЦЫ СВЕЖИЕ","ОГУРЦЫ СОЛЕНЫЕ")</f>
        <v>ОГУРЦЫ СОЛЕНЫЕ</v>
      </c>
      <c r="C440" s="337">
        <f>Вс!$M$2/1000</f>
        <v>0</v>
      </c>
      <c r="D440" s="312"/>
      <c r="E440" s="312">
        <f>IF(OR('Блок ввода'!E58=10,'Блок ввода'!E58=13,'Блок ввода'!E58=18,'Блок ввода'!E58=19),('Раскладка продуктов'!AP124+'Раскладка продуктов'!AP125+'Раскладка продуктов'!AP126+'Раскладка продуктов'!AP127)/2,IF('Блок ввода'!E58=21,'Раскладка продуктов'!AP123/2,'Раскладка продуктов'!AP123+('Раскладка продуктов'!AP124+'Раскладка продуктов'!AP125+'Раскладка продуктов'!AP126+'Раскладка продуктов'!AP127)/2))</f>
        <v>130</v>
      </c>
      <c r="F440" s="312">
        <f>'Раскладка продуктов'!AP129</f>
        <v>0</v>
      </c>
      <c r="G440" s="314">
        <f t="shared" si="40"/>
        <v>0</v>
      </c>
      <c r="H440" s="315">
        <f t="shared" si="39"/>
        <v>0</v>
      </c>
      <c r="I440" s="316">
        <f t="shared" si="37"/>
        <v>0</v>
      </c>
      <c r="J440" s="362">
        <f t="shared" si="38"/>
        <v>0</v>
      </c>
    </row>
    <row r="441" spans="2:10" ht="15" x14ac:dyDescent="0.25">
      <c r="B441" s="340" t="str">
        <f>IF(OR('Блок ввода'!E58=19,'Блок ввода'!E58=21),"ПОМИДОРЫ СВЕЖИЕ","ПОМИДОРЫ СОЛЁНЫЕ")</f>
        <v>ПОМИДОРЫ СОЛЁНЫЕ</v>
      </c>
      <c r="C441" s="337">
        <f>Вс!$M$2/1000</f>
        <v>0</v>
      </c>
      <c r="D441" s="312"/>
      <c r="E441" s="312">
        <f>IF(OR('Блок ввода'!E58=10,'Блок ввода'!E58=19),'Раскладка продуктов'!AP123,IF('Блок ввода'!E58=21,'Раскладка продуктов'!AP123/2,0))</f>
        <v>0</v>
      </c>
      <c r="F441" s="312"/>
      <c r="G441" s="314">
        <f t="shared" si="40"/>
        <v>0</v>
      </c>
      <c r="H441" s="315">
        <f t="shared" si="39"/>
        <v>0</v>
      </c>
      <c r="I441" s="316">
        <f t="shared" si="37"/>
        <v>0</v>
      </c>
      <c r="J441" s="362">
        <f t="shared" si="38"/>
        <v>0</v>
      </c>
    </row>
    <row r="442" spans="2:10" ht="15" x14ac:dyDescent="0.25">
      <c r="B442" s="340" t="s">
        <v>227</v>
      </c>
      <c r="C442" s="337">
        <f>Вс!$M$2/1000</f>
        <v>0</v>
      </c>
      <c r="D442" s="312"/>
      <c r="E442" s="312">
        <f>IF(OR('Блок ввода'!E58=13,'Блок ввода'!E58=18),'Раскладка продуктов'!AP123,0)</f>
        <v>0</v>
      </c>
      <c r="F442" s="312"/>
      <c r="G442" s="314">
        <f>C442*D442</f>
        <v>0</v>
      </c>
      <c r="H442" s="315">
        <f>C442*E442</f>
        <v>0</v>
      </c>
      <c r="I442" s="316">
        <f>F442*C442</f>
        <v>0</v>
      </c>
      <c r="J442" s="362">
        <f>G442+H442+I442</f>
        <v>0</v>
      </c>
    </row>
    <row r="443" spans="2:10" ht="15" x14ac:dyDescent="0.25">
      <c r="B443" s="340" t="s">
        <v>158</v>
      </c>
      <c r="C443" s="337">
        <f>Вс!$M$2/1000</f>
        <v>0</v>
      </c>
      <c r="D443" s="312"/>
      <c r="E443" s="312">
        <f>IF('Блок ввода'!AA32=TRUE,0,IF('Раскладка продуктов'!AI128=20,20,0))</f>
        <v>20</v>
      </c>
      <c r="F443" s="312"/>
      <c r="G443" s="314">
        <f t="shared" si="40"/>
        <v>0</v>
      </c>
      <c r="H443" s="315">
        <f t="shared" si="39"/>
        <v>0</v>
      </c>
      <c r="I443" s="316">
        <f t="shared" si="37"/>
        <v>0</v>
      </c>
      <c r="J443" s="362">
        <f t="shared" si="38"/>
        <v>0</v>
      </c>
    </row>
    <row r="444" spans="2:10" ht="15" x14ac:dyDescent="0.25">
      <c r="B444" s="340" t="s">
        <v>159</v>
      </c>
      <c r="C444" s="337">
        <f>Вс!$M$2/1000</f>
        <v>0</v>
      </c>
      <c r="D444" s="312"/>
      <c r="E444" s="312">
        <f>IF(OR(E443&gt;0,E445&gt;0),0,30)</f>
        <v>0</v>
      </c>
      <c r="F444" s="312"/>
      <c r="G444" s="314">
        <f t="shared" si="40"/>
        <v>0</v>
      </c>
      <c r="H444" s="315">
        <f t="shared" si="39"/>
        <v>0</v>
      </c>
      <c r="I444" s="316">
        <f t="shared" si="37"/>
        <v>0</v>
      </c>
      <c r="J444" s="362">
        <f t="shared" si="38"/>
        <v>0</v>
      </c>
    </row>
    <row r="445" spans="2:10" ht="15" x14ac:dyDescent="0.25">
      <c r="B445" s="325" t="str">
        <f>IF('Блок ввода'!$Z$28=1,"ЯБЛОКИ СВЕЖИЕ",IF('Блок ввода'!$Z$28=2,"АПЕЛЬСИНЫ",IF('Блок ввода'!$Z$28=3,"МАНДАРИНЫ",IF('Блок ввода'!$Z$28=4,"ЯГОДЫ"))))</f>
        <v>АПЕЛЬСИНЫ</v>
      </c>
      <c r="C445" s="337">
        <f>Вс!$M$2/1000</f>
        <v>0</v>
      </c>
      <c r="D445" s="312"/>
      <c r="E445" s="312">
        <f>IF(AND('Блок ввода'!$AA$32,OR( 'Блок ввода'!R241=1,'Блок ввода'!R241=4)),100,0)</f>
        <v>0</v>
      </c>
      <c r="F445" s="312"/>
      <c r="G445" s="314">
        <f t="shared" si="40"/>
        <v>0</v>
      </c>
      <c r="H445" s="315">
        <f t="shared" si="39"/>
        <v>0</v>
      </c>
      <c r="I445" s="316">
        <f t="shared" si="37"/>
        <v>0</v>
      </c>
      <c r="J445" s="362">
        <f t="shared" si="38"/>
        <v>0</v>
      </c>
    </row>
    <row r="446" spans="2:10" ht="15" x14ac:dyDescent="0.25">
      <c r="B446" s="310" t="str">
        <f>IF('Блок ввода'!$A$35=TRUE,"АРБУЗ","СОК")</f>
        <v>СОК</v>
      </c>
      <c r="C446" s="337">
        <f>Вс!$M$2/1000</f>
        <v>0</v>
      </c>
      <c r="D446" s="312"/>
      <c r="E446" s="312">
        <f>'Раскладка продуктов'!BB128</f>
        <v>0</v>
      </c>
      <c r="F446" s="312"/>
      <c r="G446" s="314">
        <f t="shared" si="40"/>
        <v>0</v>
      </c>
      <c r="H446" s="315">
        <f t="shared" si="39"/>
        <v>0</v>
      </c>
      <c r="I446" s="316">
        <f t="shared" si="37"/>
        <v>0</v>
      </c>
      <c r="J446" s="362">
        <f t="shared" si="38"/>
        <v>0</v>
      </c>
    </row>
    <row r="447" spans="2:10" ht="15" x14ac:dyDescent="0.25">
      <c r="B447" s="340" t="s">
        <v>170</v>
      </c>
      <c r="C447" s="337">
        <f>Вс!$M$2/1000</f>
        <v>0</v>
      </c>
      <c r="D447" s="312">
        <f>IF('Блок ввода'!N198=1,'Раскладка продуктов'!BC122,0)</f>
        <v>0</v>
      </c>
      <c r="E447" s="312"/>
      <c r="F447" s="312">
        <f>'Раскладка продуктов'!BC131+'Раскладка продуктов'!BC130</f>
        <v>14</v>
      </c>
      <c r="G447" s="314">
        <f t="shared" si="40"/>
        <v>0</v>
      </c>
      <c r="H447" s="315">
        <f t="shared" si="39"/>
        <v>0</v>
      </c>
      <c r="I447" s="316">
        <f t="shared" si="37"/>
        <v>0</v>
      </c>
      <c r="J447" s="362">
        <f t="shared" si="38"/>
        <v>0</v>
      </c>
    </row>
    <row r="448" spans="2:10" ht="15" x14ac:dyDescent="0.25">
      <c r="B448" s="340" t="s">
        <v>196</v>
      </c>
      <c r="C448" s="337">
        <f>Вс!$M$2/1000</f>
        <v>0</v>
      </c>
      <c r="D448" s="312"/>
      <c r="E448" s="312">
        <f>'Раскладка продуктов'!BE128</f>
        <v>0</v>
      </c>
      <c r="F448" s="312"/>
      <c r="G448" s="314">
        <f t="shared" si="40"/>
        <v>0</v>
      </c>
      <c r="H448" s="315">
        <f t="shared" si="39"/>
        <v>0</v>
      </c>
      <c r="I448" s="316">
        <f t="shared" si="37"/>
        <v>0</v>
      </c>
      <c r="J448" s="362">
        <f t="shared" si="38"/>
        <v>0</v>
      </c>
    </row>
    <row r="449" spans="2:14" ht="15" x14ac:dyDescent="0.25">
      <c r="B449" s="340" t="s">
        <v>238</v>
      </c>
      <c r="C449" s="337">
        <f>Вс!$M$2/1000</f>
        <v>0</v>
      </c>
      <c r="D449" s="312"/>
      <c r="E449" s="312">
        <f>IF('Блок ввода'!E58=17,'Раскладка продуктов'!AM123,0)</f>
        <v>0</v>
      </c>
      <c r="F449" s="312"/>
      <c r="G449" s="314">
        <f t="shared" si="40"/>
        <v>0</v>
      </c>
      <c r="H449" s="315">
        <f t="shared" si="39"/>
        <v>0</v>
      </c>
      <c r="I449" s="316">
        <f t="shared" si="37"/>
        <v>0</v>
      </c>
      <c r="J449" s="362">
        <f t="shared" si="38"/>
        <v>0</v>
      </c>
    </row>
    <row r="450" spans="2:14" ht="15" x14ac:dyDescent="0.25">
      <c r="B450" s="347"/>
      <c r="C450" s="337">
        <f>Вс!$M$2/1000</f>
        <v>0</v>
      </c>
      <c r="D450" s="312"/>
      <c r="E450" s="312"/>
      <c r="F450" s="312"/>
      <c r="G450" s="314">
        <f t="shared" si="40"/>
        <v>0</v>
      </c>
      <c r="H450" s="315">
        <f t="shared" si="39"/>
        <v>0</v>
      </c>
      <c r="I450" s="316">
        <f t="shared" si="37"/>
        <v>0</v>
      </c>
      <c r="J450" s="362">
        <f t="shared" si="38"/>
        <v>0</v>
      </c>
    </row>
    <row r="451" spans="2:14" ht="15" x14ac:dyDescent="0.25">
      <c r="B451" s="347"/>
      <c r="C451" s="337">
        <f>Вс!$M$2/1000</f>
        <v>0</v>
      </c>
      <c r="D451" s="312"/>
      <c r="E451" s="312"/>
      <c r="F451" s="312"/>
      <c r="G451" s="314">
        <f>C451*D451</f>
        <v>0</v>
      </c>
      <c r="H451" s="315">
        <f>C451*E451</f>
        <v>0</v>
      </c>
      <c r="I451" s="316">
        <f>F451*C451</f>
        <v>0</v>
      </c>
      <c r="J451" s="362">
        <f>G451+H451+I451</f>
        <v>0</v>
      </c>
    </row>
    <row r="452" spans="2:14" ht="15" x14ac:dyDescent="0.25">
      <c r="B452" s="340" t="s">
        <v>250</v>
      </c>
      <c r="C452" s="337">
        <f>Вс!$M$2/1000</f>
        <v>0</v>
      </c>
      <c r="D452" s="312"/>
      <c r="E452" s="312">
        <f>'Раскладка продуктов'!BD128</f>
        <v>0</v>
      </c>
      <c r="F452" s="312"/>
      <c r="G452" s="314">
        <f>C452*D452</f>
        <v>0</v>
      </c>
      <c r="H452" s="315">
        <f>C452*E452</f>
        <v>0</v>
      </c>
      <c r="I452" s="316">
        <f>F452*C452</f>
        <v>0</v>
      </c>
      <c r="J452" s="362">
        <f>G452+H452+I452</f>
        <v>0</v>
      </c>
    </row>
    <row r="453" spans="2:14" ht="15" x14ac:dyDescent="0.25">
      <c r="B453" s="348" t="s">
        <v>258</v>
      </c>
      <c r="C453" s="337">
        <f>Вс!$M$2/1000</f>
        <v>0</v>
      </c>
      <c r="D453" s="312"/>
      <c r="E453" s="323">
        <f>IF('Блок ввода'!$B$38=1,1,0)</f>
        <v>0</v>
      </c>
      <c r="F453" s="312"/>
      <c r="G453" s="314">
        <f t="shared" si="40"/>
        <v>0</v>
      </c>
      <c r="H453" s="315">
        <f t="shared" si="39"/>
        <v>0</v>
      </c>
      <c r="I453" s="316">
        <f t="shared" si="37"/>
        <v>0</v>
      </c>
      <c r="J453" s="362">
        <f t="shared" si="38"/>
        <v>0</v>
      </c>
    </row>
    <row r="454" spans="2:14" ht="15" x14ac:dyDescent="0.25">
      <c r="B454" s="348" t="s">
        <v>263</v>
      </c>
      <c r="C454" s="337">
        <f>Вс!$M$2/1000</f>
        <v>0</v>
      </c>
      <c r="D454" s="312">
        <f>'Раскладка продуктов'!BG120</f>
        <v>0</v>
      </c>
      <c r="E454" s="323"/>
      <c r="F454" s="312"/>
      <c r="G454" s="314">
        <f>C454*D454</f>
        <v>0</v>
      </c>
      <c r="H454" s="315">
        <f>C454*E454</f>
        <v>0</v>
      </c>
      <c r="I454" s="316">
        <f>F454*C454</f>
        <v>0</v>
      </c>
      <c r="J454" s="362">
        <f>G454+H454+I454</f>
        <v>0</v>
      </c>
    </row>
    <row r="455" spans="2:14" ht="15" x14ac:dyDescent="0.25">
      <c r="B455" s="348" t="s">
        <v>266</v>
      </c>
      <c r="C455" s="337">
        <f>Вс!$M$2/1000</f>
        <v>0</v>
      </c>
      <c r="D455" s="312"/>
      <c r="E455" s="323">
        <f>('Раскладка продуктов'!BF124+'Раскладка продуктов'!BF125)/2</f>
        <v>0</v>
      </c>
      <c r="F455" s="312"/>
      <c r="G455" s="314">
        <f>C455*D455</f>
        <v>0</v>
      </c>
      <c r="H455" s="315">
        <f>C455*E455</f>
        <v>0</v>
      </c>
      <c r="I455" s="316">
        <f>F455*C455</f>
        <v>0</v>
      </c>
      <c r="J455" s="362">
        <f>G455+H455+I455</f>
        <v>0</v>
      </c>
    </row>
    <row r="458" spans="2:14" x14ac:dyDescent="0.2">
      <c r="L458" s="297"/>
      <c r="M458" s="297"/>
      <c r="N458" s="297"/>
    </row>
    <row r="459" spans="2:14" x14ac:dyDescent="0.2">
      <c r="L459" s="297"/>
      <c r="M459" s="297"/>
      <c r="N459" s="297"/>
    </row>
    <row r="460" spans="2:14" x14ac:dyDescent="0.2">
      <c r="L460" s="297"/>
      <c r="M460" s="297"/>
      <c r="N460" s="297"/>
    </row>
    <row r="461" spans="2:14" x14ac:dyDescent="0.2">
      <c r="L461" s="297"/>
      <c r="M461" s="297"/>
      <c r="N461" s="297"/>
    </row>
    <row r="462" spans="2:14" x14ac:dyDescent="0.2">
      <c r="L462" s="297"/>
      <c r="M462" s="297"/>
      <c r="N462" s="297"/>
    </row>
    <row r="463" spans="2:14" x14ac:dyDescent="0.2">
      <c r="L463" s="297"/>
      <c r="M463" s="297"/>
      <c r="N463" s="297"/>
    </row>
    <row r="464" spans="2:14" x14ac:dyDescent="0.2">
      <c r="L464" s="297"/>
      <c r="M464" s="297"/>
      <c r="N464" s="297"/>
    </row>
    <row r="465" spans="12:14" x14ac:dyDescent="0.2">
      <c r="L465" s="297"/>
      <c r="M465" s="297"/>
      <c r="N465" s="297"/>
    </row>
    <row r="466" spans="12:14" x14ac:dyDescent="0.2">
      <c r="L466" s="297"/>
      <c r="M466" s="297"/>
      <c r="N466" s="297"/>
    </row>
    <row r="467" spans="12:14" x14ac:dyDescent="0.2">
      <c r="L467" s="297"/>
      <c r="M467" s="297"/>
      <c r="N467" s="297"/>
    </row>
    <row r="468" spans="12:14" x14ac:dyDescent="0.2">
      <c r="L468" s="297"/>
      <c r="M468" s="297"/>
      <c r="N468" s="297"/>
    </row>
    <row r="469" spans="12:14" x14ac:dyDescent="0.2">
      <c r="L469" s="297"/>
      <c r="M469" s="297"/>
      <c r="N469" s="297"/>
    </row>
    <row r="470" spans="12:14" x14ac:dyDescent="0.2">
      <c r="L470" s="297"/>
      <c r="M470" s="297"/>
      <c r="N470" s="297"/>
    </row>
    <row r="471" spans="12:14" x14ac:dyDescent="0.2">
      <c r="L471" s="297"/>
      <c r="M471" s="297"/>
      <c r="N471" s="297"/>
    </row>
    <row r="472" spans="12:14" x14ac:dyDescent="0.2">
      <c r="L472" s="297"/>
      <c r="M472" s="297"/>
      <c r="N472" s="297"/>
    </row>
    <row r="473" spans="12:14" x14ac:dyDescent="0.2">
      <c r="L473" s="297"/>
      <c r="M473" s="297"/>
      <c r="N473" s="297"/>
    </row>
    <row r="474" spans="12:14" x14ac:dyDescent="0.2">
      <c r="L474" s="297"/>
      <c r="M474" s="297"/>
      <c r="N474" s="297"/>
    </row>
    <row r="475" spans="12:14" x14ac:dyDescent="0.2">
      <c r="L475" s="297"/>
      <c r="M475" s="297"/>
      <c r="N475" s="297"/>
    </row>
    <row r="476" spans="12:14" x14ac:dyDescent="0.2">
      <c r="L476" s="297"/>
      <c r="M476" s="297"/>
      <c r="N476" s="297"/>
    </row>
    <row r="477" spans="12:14" x14ac:dyDescent="0.2">
      <c r="L477" s="297"/>
      <c r="M477" s="297"/>
      <c r="N477" s="297"/>
    </row>
    <row r="478" spans="12:14" x14ac:dyDescent="0.2">
      <c r="L478" s="297"/>
      <c r="M478" s="297"/>
      <c r="N478" s="297"/>
    </row>
    <row r="479" spans="12:14" x14ac:dyDescent="0.2">
      <c r="L479" s="297"/>
      <c r="M479" s="297"/>
      <c r="N479" s="297"/>
    </row>
    <row r="480" spans="12:14" x14ac:dyDescent="0.2">
      <c r="L480" s="297"/>
      <c r="M480" s="297"/>
      <c r="N480" s="297"/>
    </row>
    <row r="481" spans="12:14" x14ac:dyDescent="0.2">
      <c r="L481" s="297"/>
      <c r="M481" s="297"/>
      <c r="N481" s="297"/>
    </row>
    <row r="482" spans="12:14" x14ac:dyDescent="0.2">
      <c r="L482" s="297"/>
      <c r="M482" s="297"/>
      <c r="N482" s="297"/>
    </row>
    <row r="483" spans="12:14" x14ac:dyDescent="0.2">
      <c r="L483" s="297"/>
      <c r="M483" s="297"/>
      <c r="N483" s="297"/>
    </row>
    <row r="484" spans="12:14" x14ac:dyDescent="0.2">
      <c r="L484" s="297"/>
      <c r="M484" s="297"/>
      <c r="N484" s="297"/>
    </row>
    <row r="485" spans="12:14" x14ac:dyDescent="0.2">
      <c r="L485" s="297"/>
      <c r="M485" s="297"/>
      <c r="N485" s="297"/>
    </row>
    <row r="486" spans="12:14" x14ac:dyDescent="0.2">
      <c r="L486" s="297"/>
      <c r="M486" s="297"/>
      <c r="N486" s="297"/>
    </row>
    <row r="487" spans="12:14" x14ac:dyDescent="0.2">
      <c r="L487" s="297"/>
      <c r="M487" s="297"/>
      <c r="N487" s="297"/>
    </row>
    <row r="488" spans="12:14" x14ac:dyDescent="0.2">
      <c r="L488" s="297"/>
      <c r="M488" s="297"/>
      <c r="N488" s="297"/>
    </row>
    <row r="489" spans="12:14" x14ac:dyDescent="0.2">
      <c r="L489" s="297"/>
      <c r="M489" s="297"/>
      <c r="N489" s="297"/>
    </row>
    <row r="490" spans="12:14" x14ac:dyDescent="0.2">
      <c r="L490" s="297"/>
      <c r="M490" s="297"/>
      <c r="N490" s="297"/>
    </row>
    <row r="491" spans="12:14" x14ac:dyDescent="0.2">
      <c r="L491" s="297"/>
      <c r="M491" s="297"/>
      <c r="N491" s="297"/>
    </row>
    <row r="492" spans="12:14" x14ac:dyDescent="0.2">
      <c r="L492" s="297"/>
      <c r="M492" s="297"/>
      <c r="N492" s="297"/>
    </row>
    <row r="493" spans="12:14" x14ac:dyDescent="0.2">
      <c r="L493" s="297"/>
      <c r="M493" s="297"/>
      <c r="N493" s="297"/>
    </row>
    <row r="494" spans="12:14" x14ac:dyDescent="0.2">
      <c r="L494" s="297"/>
      <c r="M494" s="297"/>
      <c r="N494" s="297"/>
    </row>
    <row r="495" spans="12:14" x14ac:dyDescent="0.2">
      <c r="L495" s="297"/>
      <c r="M495" s="297"/>
      <c r="N495" s="297"/>
    </row>
    <row r="496" spans="12:14" x14ac:dyDescent="0.2">
      <c r="L496" s="297"/>
      <c r="M496" s="297"/>
      <c r="N496" s="297"/>
    </row>
    <row r="497" spans="12:14" x14ac:dyDescent="0.2">
      <c r="L497" s="297"/>
      <c r="M497" s="297"/>
      <c r="N497" s="297"/>
    </row>
    <row r="498" spans="12:14" x14ac:dyDescent="0.2">
      <c r="L498" s="297"/>
      <c r="M498" s="297"/>
      <c r="N498" s="297"/>
    </row>
    <row r="499" spans="12:14" x14ac:dyDescent="0.2">
      <c r="L499" s="297"/>
      <c r="M499" s="297"/>
      <c r="N499" s="297"/>
    </row>
    <row r="500" spans="12:14" x14ac:dyDescent="0.2">
      <c r="L500" s="297"/>
      <c r="M500" s="297"/>
      <c r="N500" s="297"/>
    </row>
    <row r="501" spans="12:14" x14ac:dyDescent="0.2">
      <c r="L501" s="297"/>
      <c r="M501" s="297"/>
      <c r="N501" s="297"/>
    </row>
    <row r="502" spans="12:14" x14ac:dyDescent="0.2">
      <c r="L502" s="297"/>
      <c r="M502" s="297"/>
      <c r="N502" s="297"/>
    </row>
    <row r="503" spans="12:14" x14ac:dyDescent="0.2">
      <c r="L503" s="297"/>
      <c r="M503" s="297"/>
      <c r="N503" s="297"/>
    </row>
    <row r="504" spans="12:14" x14ac:dyDescent="0.2">
      <c r="L504" s="297"/>
      <c r="M504" s="297"/>
      <c r="N504" s="297"/>
    </row>
    <row r="505" spans="12:14" x14ac:dyDescent="0.2">
      <c r="L505" s="297"/>
      <c r="M505" s="297"/>
      <c r="N505" s="297"/>
    </row>
    <row r="506" spans="12:14" x14ac:dyDescent="0.2">
      <c r="L506" s="297"/>
      <c r="M506" s="297"/>
      <c r="N506" s="297"/>
    </row>
    <row r="507" spans="12:14" x14ac:dyDescent="0.2">
      <c r="L507" s="297"/>
      <c r="M507" s="297"/>
      <c r="N507" s="297"/>
    </row>
    <row r="508" spans="12:14" x14ac:dyDescent="0.2">
      <c r="L508" s="297"/>
      <c r="M508" s="297"/>
      <c r="N508" s="297"/>
    </row>
    <row r="509" spans="12:14" x14ac:dyDescent="0.2">
      <c r="L509" s="297"/>
      <c r="M509" s="297"/>
      <c r="N509" s="297"/>
    </row>
    <row r="510" spans="12:14" x14ac:dyDescent="0.2">
      <c r="L510" s="297"/>
      <c r="M510" s="297"/>
      <c r="N510" s="297"/>
    </row>
    <row r="511" spans="12:14" x14ac:dyDescent="0.2">
      <c r="L511" s="297"/>
      <c r="M511" s="297"/>
      <c r="N511" s="297"/>
    </row>
    <row r="512" spans="12:14" x14ac:dyDescent="0.2">
      <c r="L512" s="297"/>
      <c r="M512" s="297"/>
      <c r="N512" s="297"/>
    </row>
    <row r="513" spans="12:14" x14ac:dyDescent="0.2">
      <c r="L513" s="297"/>
      <c r="M513" s="297"/>
      <c r="N513" s="297"/>
    </row>
    <row r="514" spans="12:14" x14ac:dyDescent="0.2">
      <c r="L514" s="297"/>
      <c r="M514" s="297"/>
      <c r="N514" s="297"/>
    </row>
    <row r="515" spans="12:14" x14ac:dyDescent="0.2">
      <c r="L515" s="297"/>
      <c r="M515" s="297"/>
      <c r="N515" s="297"/>
    </row>
    <row r="516" spans="12:14" x14ac:dyDescent="0.2">
      <c r="L516" s="297"/>
      <c r="M516" s="297"/>
      <c r="N516" s="297"/>
    </row>
    <row r="517" spans="12:14" x14ac:dyDescent="0.2">
      <c r="L517" s="297"/>
      <c r="M517" s="297"/>
      <c r="N517" s="297"/>
    </row>
    <row r="518" spans="12:14" x14ac:dyDescent="0.2">
      <c r="L518" s="297"/>
      <c r="M518" s="297"/>
      <c r="N518" s="297"/>
    </row>
    <row r="519" spans="12:14" x14ac:dyDescent="0.2">
      <c r="L519" s="297"/>
      <c r="M519" s="297"/>
      <c r="N519" s="297"/>
    </row>
    <row r="520" spans="12:14" x14ac:dyDescent="0.2">
      <c r="L520" s="297"/>
      <c r="M520" s="297"/>
      <c r="N520" s="297"/>
    </row>
    <row r="521" spans="12:14" x14ac:dyDescent="0.2">
      <c r="L521" s="297"/>
      <c r="M521" s="297"/>
      <c r="N521" s="297"/>
    </row>
    <row r="522" spans="12:14" x14ac:dyDescent="0.2">
      <c r="L522" s="297"/>
      <c r="M522" s="297"/>
      <c r="N522" s="297"/>
    </row>
    <row r="523" spans="12:14" x14ac:dyDescent="0.2">
      <c r="L523" s="297"/>
      <c r="M523" s="297"/>
      <c r="N523" s="297"/>
    </row>
    <row r="524" spans="12:14" x14ac:dyDescent="0.2">
      <c r="L524" s="297"/>
      <c r="M524" s="297"/>
      <c r="N524" s="297"/>
    </row>
    <row r="525" spans="12:14" x14ac:dyDescent="0.2">
      <c r="L525" s="297"/>
      <c r="M525" s="297"/>
      <c r="N525" s="297"/>
    </row>
    <row r="526" spans="12:14" x14ac:dyDescent="0.2">
      <c r="L526" s="297"/>
      <c r="M526" s="297"/>
      <c r="N526" s="297"/>
    </row>
    <row r="527" spans="12:14" x14ac:dyDescent="0.2">
      <c r="L527" s="297"/>
      <c r="M527" s="297"/>
      <c r="N527" s="297"/>
    </row>
    <row r="528" spans="12:14" x14ac:dyDescent="0.2">
      <c r="L528" s="297"/>
      <c r="M528" s="297"/>
      <c r="N528" s="297"/>
    </row>
    <row r="529" spans="12:14" x14ac:dyDescent="0.2">
      <c r="L529" s="297"/>
      <c r="M529" s="297"/>
      <c r="N529" s="297"/>
    </row>
    <row r="530" spans="12:14" x14ac:dyDescent="0.2">
      <c r="L530" s="297"/>
      <c r="M530" s="297"/>
      <c r="N530" s="297"/>
    </row>
    <row r="531" spans="12:14" x14ac:dyDescent="0.2">
      <c r="L531" s="297"/>
      <c r="M531" s="297"/>
      <c r="N531" s="297"/>
    </row>
    <row r="532" spans="12:14" x14ac:dyDescent="0.2">
      <c r="L532" s="297"/>
      <c r="M532" s="297"/>
      <c r="N532" s="297"/>
    </row>
    <row r="533" spans="12:14" x14ac:dyDescent="0.2">
      <c r="L533" s="297"/>
      <c r="M533" s="297"/>
      <c r="N533" s="297"/>
    </row>
    <row r="534" spans="12:14" x14ac:dyDescent="0.2">
      <c r="L534" s="297"/>
      <c r="M534" s="297"/>
      <c r="N534" s="297"/>
    </row>
    <row r="535" spans="12:14" x14ac:dyDescent="0.2">
      <c r="L535" s="297"/>
      <c r="M535" s="297"/>
      <c r="N535" s="297"/>
    </row>
    <row r="536" spans="12:14" x14ac:dyDescent="0.2">
      <c r="L536" s="297"/>
      <c r="M536" s="297"/>
      <c r="N536" s="297"/>
    </row>
    <row r="537" spans="12:14" x14ac:dyDescent="0.2">
      <c r="L537" s="297"/>
      <c r="M537" s="297"/>
      <c r="N537" s="297"/>
    </row>
    <row r="538" spans="12:14" x14ac:dyDescent="0.2">
      <c r="L538" s="297"/>
      <c r="M538" s="297"/>
      <c r="N538" s="297"/>
    </row>
    <row r="539" spans="12:14" x14ac:dyDescent="0.2">
      <c r="L539" s="297"/>
      <c r="M539" s="297"/>
      <c r="N539" s="297"/>
    </row>
    <row r="540" spans="12:14" x14ac:dyDescent="0.2">
      <c r="L540" s="297"/>
      <c r="M540" s="297"/>
      <c r="N540" s="297"/>
    </row>
    <row r="541" spans="12:14" x14ac:dyDescent="0.2">
      <c r="L541" s="297"/>
      <c r="M541" s="297"/>
      <c r="N541" s="297"/>
    </row>
    <row r="542" spans="12:14" x14ac:dyDescent="0.2">
      <c r="L542" s="297"/>
      <c r="M542" s="297"/>
      <c r="N542" s="297"/>
    </row>
    <row r="543" spans="12:14" x14ac:dyDescent="0.2">
      <c r="L543" s="297"/>
      <c r="M543" s="297"/>
      <c r="N543" s="297"/>
    </row>
    <row r="544" spans="12:14" x14ac:dyDescent="0.2">
      <c r="L544" s="297"/>
      <c r="M544" s="297"/>
      <c r="N544" s="297"/>
    </row>
    <row r="545" spans="12:14" x14ac:dyDescent="0.2">
      <c r="L545" s="297"/>
      <c r="M545" s="297"/>
      <c r="N545" s="297"/>
    </row>
    <row r="546" spans="12:14" x14ac:dyDescent="0.2">
      <c r="L546" s="297"/>
      <c r="M546" s="297"/>
      <c r="N546" s="297"/>
    </row>
    <row r="547" spans="12:14" x14ac:dyDescent="0.2">
      <c r="L547" s="297"/>
      <c r="M547" s="297"/>
      <c r="N547" s="297"/>
    </row>
    <row r="548" spans="12:14" x14ac:dyDescent="0.2">
      <c r="L548" s="297"/>
      <c r="M548" s="297"/>
      <c r="N548" s="297"/>
    </row>
    <row r="549" spans="12:14" x14ac:dyDescent="0.2">
      <c r="L549" s="297"/>
      <c r="M549" s="297"/>
      <c r="N549" s="297"/>
    </row>
    <row r="550" spans="12:14" x14ac:dyDescent="0.2">
      <c r="L550" s="297"/>
      <c r="M550" s="297"/>
      <c r="N550" s="297"/>
    </row>
    <row r="551" spans="12:14" x14ac:dyDescent="0.2">
      <c r="L551" s="297"/>
      <c r="M551" s="297"/>
      <c r="N551" s="297"/>
    </row>
    <row r="552" spans="12:14" x14ac:dyDescent="0.2">
      <c r="L552" s="297"/>
      <c r="M552" s="297"/>
      <c r="N552" s="297"/>
    </row>
    <row r="553" spans="12:14" x14ac:dyDescent="0.2">
      <c r="L553" s="297"/>
      <c r="M553" s="297"/>
      <c r="N553" s="297"/>
    </row>
    <row r="554" spans="12:14" x14ac:dyDescent="0.2">
      <c r="L554" s="297"/>
      <c r="M554" s="297"/>
      <c r="N554" s="297"/>
    </row>
    <row r="555" spans="12:14" x14ac:dyDescent="0.2">
      <c r="L555" s="297"/>
      <c r="M555" s="297"/>
      <c r="N555" s="297"/>
    </row>
    <row r="556" spans="12:14" x14ac:dyDescent="0.2">
      <c r="L556" s="297"/>
      <c r="M556" s="297"/>
      <c r="N556" s="297"/>
    </row>
    <row r="557" spans="12:14" x14ac:dyDescent="0.2">
      <c r="L557" s="297"/>
      <c r="M557" s="297"/>
      <c r="N557" s="297"/>
    </row>
    <row r="558" spans="12:14" x14ac:dyDescent="0.2">
      <c r="L558" s="297"/>
      <c r="M558" s="297"/>
      <c r="N558" s="297"/>
    </row>
    <row r="559" spans="12:14" x14ac:dyDescent="0.2">
      <c r="L559" s="297"/>
      <c r="M559" s="297"/>
      <c r="N559" s="297"/>
    </row>
    <row r="560" spans="12:14" x14ac:dyDescent="0.2">
      <c r="L560" s="297"/>
      <c r="M560" s="297"/>
      <c r="N560" s="297"/>
    </row>
    <row r="561" spans="12:14" x14ac:dyDescent="0.2">
      <c r="L561" s="297"/>
      <c r="M561" s="297"/>
      <c r="N561" s="297"/>
    </row>
    <row r="562" spans="12:14" x14ac:dyDescent="0.2">
      <c r="L562" s="297"/>
      <c r="M562" s="297"/>
      <c r="N562" s="297"/>
    </row>
    <row r="563" spans="12:14" x14ac:dyDescent="0.2">
      <c r="L563" s="297"/>
      <c r="M563" s="297"/>
      <c r="N563" s="297"/>
    </row>
    <row r="564" spans="12:14" x14ac:dyDescent="0.2">
      <c r="L564" s="297"/>
      <c r="M564" s="297"/>
      <c r="N564" s="297"/>
    </row>
    <row r="565" spans="12:14" x14ac:dyDescent="0.2">
      <c r="L565" s="297"/>
      <c r="M565" s="297"/>
      <c r="N565" s="297"/>
    </row>
    <row r="566" spans="12:14" x14ac:dyDescent="0.2">
      <c r="L566" s="297"/>
      <c r="M566" s="297"/>
      <c r="N566" s="297"/>
    </row>
    <row r="567" spans="12:14" x14ac:dyDescent="0.2">
      <c r="L567" s="297"/>
      <c r="M567" s="297"/>
      <c r="N567" s="297"/>
    </row>
    <row r="568" spans="12:14" x14ac:dyDescent="0.2">
      <c r="L568" s="297"/>
      <c r="M568" s="297"/>
      <c r="N568" s="297"/>
    </row>
    <row r="569" spans="12:14" x14ac:dyDescent="0.2">
      <c r="L569" s="297"/>
      <c r="M569" s="297"/>
      <c r="N569" s="297"/>
    </row>
    <row r="570" spans="12:14" x14ac:dyDescent="0.2">
      <c r="L570" s="297"/>
      <c r="M570" s="297"/>
      <c r="N570" s="297"/>
    </row>
    <row r="571" spans="12:14" x14ac:dyDescent="0.2">
      <c r="L571" s="297"/>
      <c r="M571" s="297"/>
      <c r="N571" s="297"/>
    </row>
    <row r="572" spans="12:14" x14ac:dyDescent="0.2">
      <c r="L572" s="297"/>
      <c r="M572" s="297"/>
      <c r="N572" s="297"/>
    </row>
    <row r="573" spans="12:14" x14ac:dyDescent="0.2">
      <c r="L573" s="297"/>
      <c r="M573" s="297"/>
      <c r="N573" s="297"/>
    </row>
    <row r="574" spans="12:14" x14ac:dyDescent="0.2">
      <c r="L574" s="297"/>
      <c r="M574" s="297"/>
      <c r="N574" s="297"/>
    </row>
    <row r="575" spans="12:14" x14ac:dyDescent="0.2">
      <c r="L575" s="297"/>
      <c r="M575" s="297"/>
      <c r="N575" s="297"/>
    </row>
    <row r="576" spans="12:14" x14ac:dyDescent="0.2">
      <c r="L576" s="297"/>
      <c r="M576" s="297"/>
      <c r="N576" s="297"/>
    </row>
    <row r="577" spans="12:14" x14ac:dyDescent="0.2">
      <c r="L577" s="297"/>
      <c r="M577" s="297"/>
      <c r="N577" s="297"/>
    </row>
    <row r="578" spans="12:14" x14ac:dyDescent="0.2">
      <c r="L578" s="297"/>
      <c r="M578" s="297"/>
      <c r="N578" s="297"/>
    </row>
    <row r="579" spans="12:14" x14ac:dyDescent="0.2">
      <c r="L579" s="297"/>
      <c r="M579" s="297"/>
      <c r="N579" s="297"/>
    </row>
    <row r="580" spans="12:14" x14ac:dyDescent="0.2">
      <c r="L580" s="297"/>
      <c r="M580" s="297"/>
      <c r="N580" s="297"/>
    </row>
    <row r="581" spans="12:14" x14ac:dyDescent="0.2">
      <c r="L581" s="297"/>
      <c r="M581" s="297"/>
      <c r="N581" s="297"/>
    </row>
    <row r="582" spans="12:14" x14ac:dyDescent="0.2">
      <c r="L582" s="297"/>
      <c r="M582" s="297"/>
      <c r="N582" s="297"/>
    </row>
    <row r="583" spans="12:14" x14ac:dyDescent="0.2">
      <c r="L583" s="297"/>
      <c r="M583" s="297"/>
      <c r="N583" s="297"/>
    </row>
    <row r="584" spans="12:14" x14ac:dyDescent="0.2">
      <c r="L584" s="297"/>
      <c r="M584" s="297"/>
      <c r="N584" s="297"/>
    </row>
    <row r="585" spans="12:14" x14ac:dyDescent="0.2">
      <c r="L585" s="297"/>
      <c r="M585" s="297"/>
      <c r="N585" s="297"/>
    </row>
    <row r="586" spans="12:14" x14ac:dyDescent="0.2">
      <c r="L586" s="297"/>
      <c r="M586" s="297"/>
      <c r="N586" s="297"/>
    </row>
    <row r="587" spans="12:14" x14ac:dyDescent="0.2">
      <c r="L587" s="297"/>
      <c r="M587" s="297"/>
      <c r="N587" s="297"/>
    </row>
    <row r="588" spans="12:14" x14ac:dyDescent="0.2">
      <c r="L588" s="297"/>
      <c r="M588" s="297"/>
      <c r="N588" s="297"/>
    </row>
    <row r="589" spans="12:14" x14ac:dyDescent="0.2">
      <c r="L589" s="297"/>
      <c r="M589" s="297"/>
      <c r="N589" s="297"/>
    </row>
    <row r="590" spans="12:14" x14ac:dyDescent="0.2">
      <c r="L590" s="297"/>
      <c r="M590" s="297"/>
      <c r="N590" s="297"/>
    </row>
    <row r="591" spans="12:14" x14ac:dyDescent="0.2">
      <c r="L591" s="297"/>
      <c r="M591" s="297"/>
      <c r="N591" s="297"/>
    </row>
    <row r="592" spans="12:14" x14ac:dyDescent="0.2">
      <c r="L592" s="297"/>
      <c r="M592" s="297"/>
      <c r="N592" s="297"/>
    </row>
    <row r="593" spans="12:14" x14ac:dyDescent="0.2">
      <c r="L593" s="297"/>
      <c r="M593" s="297"/>
      <c r="N593" s="297"/>
    </row>
    <row r="594" spans="12:14" x14ac:dyDescent="0.2">
      <c r="L594" s="297"/>
      <c r="M594" s="297"/>
      <c r="N594" s="297"/>
    </row>
    <row r="595" spans="12:14" x14ac:dyDescent="0.2">
      <c r="L595" s="297"/>
      <c r="M595" s="297"/>
      <c r="N595" s="297"/>
    </row>
    <row r="596" spans="12:14" x14ac:dyDescent="0.2">
      <c r="L596" s="297"/>
      <c r="M596" s="297"/>
      <c r="N596" s="297"/>
    </row>
    <row r="597" spans="12:14" x14ac:dyDescent="0.2">
      <c r="L597" s="297"/>
      <c r="M597" s="297"/>
      <c r="N597" s="297"/>
    </row>
    <row r="598" spans="12:14" x14ac:dyDescent="0.2">
      <c r="L598" s="297"/>
      <c r="M598" s="297"/>
      <c r="N598" s="297"/>
    </row>
    <row r="599" spans="12:14" x14ac:dyDescent="0.2">
      <c r="L599" s="297"/>
      <c r="M599" s="297"/>
      <c r="N599" s="297"/>
    </row>
    <row r="600" spans="12:14" x14ac:dyDescent="0.2">
      <c r="L600" s="297"/>
      <c r="M600" s="297"/>
      <c r="N600" s="297"/>
    </row>
    <row r="601" spans="12:14" x14ac:dyDescent="0.2">
      <c r="L601" s="297"/>
      <c r="M601" s="297"/>
      <c r="N601" s="297"/>
    </row>
    <row r="602" spans="12:14" x14ac:dyDescent="0.2">
      <c r="L602" s="297"/>
      <c r="M602" s="297"/>
      <c r="N602" s="297"/>
    </row>
    <row r="603" spans="12:14" x14ac:dyDescent="0.2">
      <c r="L603" s="297"/>
      <c r="M603" s="297"/>
      <c r="N603" s="297"/>
    </row>
    <row r="604" spans="12:14" x14ac:dyDescent="0.2">
      <c r="L604" s="297"/>
      <c r="M604" s="297"/>
      <c r="N604" s="297"/>
    </row>
    <row r="605" spans="12:14" x14ac:dyDescent="0.2">
      <c r="L605" s="297"/>
      <c r="M605" s="297"/>
      <c r="N605" s="297"/>
    </row>
    <row r="606" spans="12:14" x14ac:dyDescent="0.2">
      <c r="L606" s="297"/>
      <c r="M606" s="297"/>
      <c r="N606" s="297"/>
    </row>
    <row r="607" spans="12:14" x14ac:dyDescent="0.2">
      <c r="L607" s="297"/>
      <c r="M607" s="297"/>
      <c r="N607" s="297"/>
    </row>
    <row r="608" spans="12:14" x14ac:dyDescent="0.2">
      <c r="L608" s="297"/>
      <c r="M608" s="297"/>
      <c r="N608" s="297"/>
    </row>
    <row r="609" spans="12:14" x14ac:dyDescent="0.2">
      <c r="L609" s="297"/>
      <c r="M609" s="297"/>
      <c r="N609" s="297"/>
    </row>
    <row r="610" spans="12:14" x14ac:dyDescent="0.2">
      <c r="L610" s="297"/>
      <c r="M610" s="297"/>
      <c r="N610" s="297"/>
    </row>
    <row r="611" spans="12:14" x14ac:dyDescent="0.2">
      <c r="L611" s="297"/>
      <c r="M611" s="297"/>
      <c r="N611" s="297"/>
    </row>
    <row r="612" spans="12:14" x14ac:dyDescent="0.2">
      <c r="L612" s="297"/>
      <c r="M612" s="297"/>
      <c r="N612" s="297"/>
    </row>
    <row r="613" spans="12:14" x14ac:dyDescent="0.2">
      <c r="L613" s="297"/>
      <c r="M613" s="297"/>
      <c r="N613" s="297"/>
    </row>
    <row r="614" spans="12:14" x14ac:dyDescent="0.2">
      <c r="L614" s="297"/>
      <c r="M614" s="297"/>
      <c r="N614" s="297"/>
    </row>
    <row r="615" spans="12:14" x14ac:dyDescent="0.2">
      <c r="L615" s="297"/>
      <c r="M615" s="297"/>
      <c r="N615" s="297"/>
    </row>
    <row r="616" spans="12:14" x14ac:dyDescent="0.2">
      <c r="L616" s="297"/>
      <c r="M616" s="297"/>
      <c r="N616" s="297"/>
    </row>
    <row r="617" spans="12:14" x14ac:dyDescent="0.2">
      <c r="L617" s="297"/>
      <c r="M617" s="297"/>
      <c r="N617" s="297"/>
    </row>
    <row r="618" spans="12:14" x14ac:dyDescent="0.2">
      <c r="L618" s="297"/>
      <c r="M618" s="297"/>
      <c r="N618" s="297"/>
    </row>
    <row r="619" spans="12:14" x14ac:dyDescent="0.2">
      <c r="L619" s="297"/>
      <c r="M619" s="297"/>
      <c r="N619" s="297"/>
    </row>
    <row r="620" spans="12:14" x14ac:dyDescent="0.2">
      <c r="L620" s="297"/>
      <c r="M620" s="297"/>
      <c r="N620" s="297"/>
    </row>
    <row r="621" spans="12:14" x14ac:dyDescent="0.2">
      <c r="L621" s="297"/>
      <c r="M621" s="297"/>
      <c r="N621" s="297"/>
    </row>
    <row r="622" spans="12:14" x14ac:dyDescent="0.2">
      <c r="L622" s="297"/>
      <c r="M622" s="297"/>
      <c r="N622" s="297"/>
    </row>
    <row r="623" spans="12:14" x14ac:dyDescent="0.2">
      <c r="L623" s="297"/>
      <c r="M623" s="297"/>
      <c r="N623" s="297"/>
    </row>
    <row r="624" spans="12:14" x14ac:dyDescent="0.2">
      <c r="L624" s="297"/>
      <c r="M624" s="297"/>
      <c r="N624" s="297"/>
    </row>
    <row r="625" spans="12:14" x14ac:dyDescent="0.2">
      <c r="L625" s="297"/>
      <c r="M625" s="297"/>
      <c r="N625" s="297"/>
    </row>
    <row r="626" spans="12:14" x14ac:dyDescent="0.2">
      <c r="L626" s="297"/>
      <c r="M626" s="297"/>
      <c r="N626" s="297"/>
    </row>
    <row r="627" spans="12:14" x14ac:dyDescent="0.2">
      <c r="L627" s="297"/>
      <c r="M627" s="297"/>
      <c r="N627" s="297"/>
    </row>
    <row r="628" spans="12:14" x14ac:dyDescent="0.2">
      <c r="L628" s="297"/>
      <c r="M628" s="297"/>
      <c r="N628" s="297"/>
    </row>
    <row r="629" spans="12:14" x14ac:dyDescent="0.2">
      <c r="L629" s="297"/>
      <c r="M629" s="297"/>
      <c r="N629" s="297"/>
    </row>
    <row r="630" spans="12:14" x14ac:dyDescent="0.2">
      <c r="L630" s="297"/>
      <c r="M630" s="297"/>
      <c r="N630" s="297"/>
    </row>
    <row r="631" spans="12:14" x14ac:dyDescent="0.2">
      <c r="L631" s="297"/>
      <c r="M631" s="297"/>
      <c r="N631" s="297"/>
    </row>
    <row r="632" spans="12:14" x14ac:dyDescent="0.2">
      <c r="L632" s="297"/>
      <c r="M632" s="297"/>
      <c r="N632" s="297"/>
    </row>
    <row r="633" spans="12:14" x14ac:dyDescent="0.2">
      <c r="L633" s="297"/>
      <c r="M633" s="297"/>
      <c r="N633" s="297"/>
    </row>
    <row r="634" spans="12:14" x14ac:dyDescent="0.2">
      <c r="L634" s="297"/>
      <c r="M634" s="297"/>
      <c r="N634" s="297"/>
    </row>
    <row r="635" spans="12:14" x14ac:dyDescent="0.2">
      <c r="L635" s="297"/>
      <c r="M635" s="297"/>
      <c r="N635" s="297"/>
    </row>
    <row r="636" spans="12:14" x14ac:dyDescent="0.2">
      <c r="L636" s="297"/>
      <c r="M636" s="297"/>
      <c r="N636" s="297"/>
    </row>
    <row r="637" spans="12:14" x14ac:dyDescent="0.2">
      <c r="L637" s="297"/>
      <c r="M637" s="297"/>
      <c r="N637" s="297"/>
    </row>
    <row r="638" spans="12:14" x14ac:dyDescent="0.2">
      <c r="L638" s="297"/>
      <c r="M638" s="297"/>
      <c r="N638" s="297"/>
    </row>
    <row r="639" spans="12:14" x14ac:dyDescent="0.2">
      <c r="L639" s="297"/>
      <c r="M639" s="297"/>
      <c r="N639" s="297"/>
    </row>
    <row r="640" spans="12:14" x14ac:dyDescent="0.2">
      <c r="L640" s="297"/>
      <c r="M640" s="297"/>
      <c r="N640" s="297"/>
    </row>
    <row r="641" spans="12:14" x14ac:dyDescent="0.2">
      <c r="L641" s="297"/>
      <c r="M641" s="297"/>
      <c r="N641" s="297"/>
    </row>
    <row r="642" spans="12:14" x14ac:dyDescent="0.2">
      <c r="L642" s="297"/>
      <c r="M642" s="297"/>
      <c r="N642" s="297"/>
    </row>
    <row r="643" spans="12:14" x14ac:dyDescent="0.2">
      <c r="L643" s="297"/>
      <c r="M643" s="297"/>
      <c r="N643" s="297"/>
    </row>
    <row r="644" spans="12:14" x14ac:dyDescent="0.2">
      <c r="L644" s="297"/>
      <c r="M644" s="297"/>
      <c r="N644" s="297"/>
    </row>
    <row r="645" spans="12:14" x14ac:dyDescent="0.2">
      <c r="L645" s="297"/>
      <c r="M645" s="297"/>
      <c r="N645" s="297"/>
    </row>
    <row r="646" spans="12:14" x14ac:dyDescent="0.2">
      <c r="L646" s="297"/>
      <c r="M646" s="297"/>
      <c r="N646" s="297"/>
    </row>
    <row r="647" spans="12:14" x14ac:dyDescent="0.2">
      <c r="L647" s="297"/>
      <c r="M647" s="297"/>
      <c r="N647" s="297"/>
    </row>
    <row r="648" spans="12:14" x14ac:dyDescent="0.2">
      <c r="L648" s="297"/>
      <c r="M648" s="297"/>
      <c r="N648" s="297"/>
    </row>
    <row r="649" spans="12:14" x14ac:dyDescent="0.2">
      <c r="L649" s="297"/>
      <c r="M649" s="297"/>
      <c r="N649" s="297"/>
    </row>
    <row r="650" spans="12:14" x14ac:dyDescent="0.2">
      <c r="L650" s="297"/>
      <c r="M650" s="297"/>
      <c r="N650" s="297"/>
    </row>
    <row r="651" spans="12:14" x14ac:dyDescent="0.2">
      <c r="L651" s="297"/>
      <c r="M651" s="297"/>
      <c r="N651" s="297"/>
    </row>
    <row r="652" spans="12:14" x14ac:dyDescent="0.2">
      <c r="L652" s="297"/>
      <c r="M652" s="297"/>
      <c r="N652" s="297"/>
    </row>
    <row r="653" spans="12:14" x14ac:dyDescent="0.2">
      <c r="L653" s="297"/>
      <c r="M653" s="297"/>
      <c r="N653" s="297"/>
    </row>
    <row r="654" spans="12:14" x14ac:dyDescent="0.2">
      <c r="L654" s="297"/>
      <c r="M654" s="297"/>
      <c r="N654" s="297"/>
    </row>
    <row r="655" spans="12:14" x14ac:dyDescent="0.2">
      <c r="L655" s="297"/>
      <c r="M655" s="297"/>
      <c r="N655" s="297"/>
    </row>
    <row r="656" spans="12:14" x14ac:dyDescent="0.2">
      <c r="L656" s="297"/>
      <c r="M656" s="297"/>
      <c r="N656" s="297"/>
    </row>
    <row r="657" spans="12:14" x14ac:dyDescent="0.2">
      <c r="L657" s="297"/>
      <c r="M657" s="297"/>
      <c r="N657" s="297"/>
    </row>
    <row r="658" spans="12:14" x14ac:dyDescent="0.2">
      <c r="L658" s="297"/>
      <c r="M658" s="297"/>
      <c r="N658" s="297"/>
    </row>
    <row r="659" spans="12:14" x14ac:dyDescent="0.2">
      <c r="L659" s="297"/>
      <c r="M659" s="297"/>
      <c r="N659" s="297"/>
    </row>
    <row r="660" spans="12:14" x14ac:dyDescent="0.2">
      <c r="L660" s="297"/>
      <c r="M660" s="297"/>
      <c r="N660" s="297"/>
    </row>
    <row r="661" spans="12:14" x14ac:dyDescent="0.2">
      <c r="L661" s="297"/>
      <c r="M661" s="297"/>
      <c r="N661" s="297"/>
    </row>
    <row r="662" spans="12:14" x14ac:dyDescent="0.2">
      <c r="L662" s="297"/>
      <c r="M662" s="297"/>
      <c r="N662" s="297"/>
    </row>
    <row r="663" spans="12:14" x14ac:dyDescent="0.2">
      <c r="L663" s="297"/>
      <c r="M663" s="297"/>
      <c r="N663" s="297"/>
    </row>
    <row r="664" spans="12:14" x14ac:dyDescent="0.2">
      <c r="L664" s="297"/>
      <c r="M664" s="297"/>
      <c r="N664" s="297"/>
    </row>
    <row r="665" spans="12:14" x14ac:dyDescent="0.2">
      <c r="L665" s="297"/>
      <c r="M665" s="297"/>
      <c r="N665" s="297"/>
    </row>
    <row r="666" spans="12:14" x14ac:dyDescent="0.2">
      <c r="L666" s="297"/>
      <c r="M666" s="297"/>
      <c r="N666" s="297"/>
    </row>
    <row r="667" spans="12:14" x14ac:dyDescent="0.2">
      <c r="L667" s="297"/>
      <c r="M667" s="297"/>
      <c r="N667" s="297"/>
    </row>
    <row r="668" spans="12:14" x14ac:dyDescent="0.2">
      <c r="L668" s="297"/>
      <c r="M668" s="297"/>
      <c r="N668" s="297"/>
    </row>
    <row r="669" spans="12:14" x14ac:dyDescent="0.2">
      <c r="L669" s="297"/>
      <c r="M669" s="297"/>
      <c r="N669" s="297"/>
    </row>
    <row r="670" spans="12:14" x14ac:dyDescent="0.2">
      <c r="L670" s="297"/>
      <c r="M670" s="297"/>
      <c r="N670" s="297"/>
    </row>
    <row r="671" spans="12:14" x14ac:dyDescent="0.2">
      <c r="L671" s="297"/>
      <c r="M671" s="297"/>
      <c r="N671" s="297"/>
    </row>
    <row r="672" spans="12:14" x14ac:dyDescent="0.2">
      <c r="L672" s="297"/>
      <c r="M672" s="297"/>
      <c r="N672" s="297"/>
    </row>
    <row r="673" spans="12:14" x14ac:dyDescent="0.2">
      <c r="L673" s="297"/>
      <c r="M673" s="297"/>
      <c r="N673" s="297"/>
    </row>
    <row r="674" spans="12:14" x14ac:dyDescent="0.2">
      <c r="L674" s="297"/>
      <c r="M674" s="297"/>
      <c r="N674" s="297"/>
    </row>
    <row r="675" spans="12:14" x14ac:dyDescent="0.2">
      <c r="L675" s="297"/>
      <c r="M675" s="297"/>
      <c r="N675" s="297"/>
    </row>
    <row r="676" spans="12:14" x14ac:dyDescent="0.2">
      <c r="L676" s="297"/>
      <c r="M676" s="297"/>
      <c r="N676" s="297"/>
    </row>
    <row r="677" spans="12:14" x14ac:dyDescent="0.2">
      <c r="L677" s="297"/>
      <c r="M677" s="297"/>
      <c r="N677" s="297"/>
    </row>
    <row r="678" spans="12:14" x14ac:dyDescent="0.2">
      <c r="L678" s="297"/>
      <c r="M678" s="297"/>
      <c r="N678" s="297"/>
    </row>
    <row r="679" spans="12:14" x14ac:dyDescent="0.2">
      <c r="L679" s="297"/>
      <c r="M679" s="297"/>
      <c r="N679" s="297"/>
    </row>
    <row r="680" spans="12:14" x14ac:dyDescent="0.2">
      <c r="L680" s="297"/>
      <c r="M680" s="297"/>
      <c r="N680" s="297"/>
    </row>
    <row r="681" spans="12:14" x14ac:dyDescent="0.2">
      <c r="L681" s="297"/>
      <c r="M681" s="297"/>
      <c r="N681" s="297"/>
    </row>
    <row r="682" spans="12:14" x14ac:dyDescent="0.2">
      <c r="L682" s="297"/>
      <c r="M682" s="297"/>
      <c r="N682" s="297"/>
    </row>
    <row r="683" spans="12:14" x14ac:dyDescent="0.2">
      <c r="L683" s="297"/>
      <c r="M683" s="297"/>
      <c r="N683" s="297"/>
    </row>
    <row r="684" spans="12:14" x14ac:dyDescent="0.2">
      <c r="L684" s="297"/>
      <c r="M684" s="297"/>
      <c r="N684" s="297"/>
    </row>
    <row r="685" spans="12:14" x14ac:dyDescent="0.2">
      <c r="L685" s="297"/>
      <c r="M685" s="297"/>
      <c r="N685" s="297"/>
    </row>
    <row r="686" spans="12:14" x14ac:dyDescent="0.2">
      <c r="L686" s="297"/>
      <c r="M686" s="297"/>
      <c r="N686" s="297"/>
    </row>
    <row r="687" spans="12:14" x14ac:dyDescent="0.2">
      <c r="L687" s="297"/>
      <c r="M687" s="297"/>
      <c r="N687" s="297"/>
    </row>
    <row r="688" spans="12:14" x14ac:dyDescent="0.2">
      <c r="L688" s="297"/>
      <c r="M688" s="297"/>
      <c r="N688" s="297"/>
    </row>
    <row r="689" spans="12:14" x14ac:dyDescent="0.2">
      <c r="L689" s="297"/>
      <c r="M689" s="297"/>
      <c r="N689" s="297"/>
    </row>
    <row r="690" spans="12:14" x14ac:dyDescent="0.2">
      <c r="L690" s="297"/>
      <c r="M690" s="297"/>
      <c r="N690" s="297"/>
    </row>
    <row r="691" spans="12:14" x14ac:dyDescent="0.2">
      <c r="L691" s="297"/>
      <c r="M691" s="297"/>
      <c r="N691" s="297"/>
    </row>
    <row r="692" spans="12:14" x14ac:dyDescent="0.2">
      <c r="L692" s="297"/>
      <c r="M692" s="297"/>
      <c r="N692" s="297"/>
    </row>
    <row r="693" spans="12:14" x14ac:dyDescent="0.2">
      <c r="L693" s="297"/>
      <c r="M693" s="297"/>
      <c r="N693" s="297"/>
    </row>
    <row r="694" spans="12:14" x14ac:dyDescent="0.2">
      <c r="L694" s="297"/>
      <c r="M694" s="297"/>
      <c r="N694" s="297"/>
    </row>
    <row r="695" spans="12:14" x14ac:dyDescent="0.2">
      <c r="L695" s="297"/>
      <c r="M695" s="297"/>
      <c r="N695" s="297"/>
    </row>
    <row r="696" spans="12:14" x14ac:dyDescent="0.2">
      <c r="L696" s="297"/>
      <c r="M696" s="297"/>
      <c r="N696" s="297"/>
    </row>
    <row r="697" spans="12:14" x14ac:dyDescent="0.2">
      <c r="L697" s="297"/>
      <c r="M697" s="297"/>
      <c r="N697" s="297"/>
    </row>
    <row r="698" spans="12:14" x14ac:dyDescent="0.2">
      <c r="L698" s="297"/>
      <c r="M698" s="297"/>
      <c r="N698" s="297"/>
    </row>
    <row r="699" spans="12:14" x14ac:dyDescent="0.2">
      <c r="L699" s="297"/>
      <c r="M699" s="297"/>
      <c r="N699" s="297"/>
    </row>
    <row r="700" spans="12:14" x14ac:dyDescent="0.2">
      <c r="L700" s="297"/>
      <c r="M700" s="297"/>
      <c r="N700" s="297"/>
    </row>
    <row r="701" spans="12:14" x14ac:dyDescent="0.2">
      <c r="L701" s="297"/>
      <c r="M701" s="297"/>
      <c r="N701" s="297"/>
    </row>
    <row r="702" spans="12:14" x14ac:dyDescent="0.2">
      <c r="L702" s="297"/>
      <c r="M702" s="297"/>
      <c r="N702" s="297"/>
    </row>
    <row r="703" spans="12:14" x14ac:dyDescent="0.2">
      <c r="L703" s="297"/>
      <c r="M703" s="297"/>
      <c r="N703" s="297"/>
    </row>
    <row r="704" spans="12:14" x14ac:dyDescent="0.2">
      <c r="L704" s="297"/>
      <c r="M704" s="297"/>
      <c r="N704" s="297"/>
    </row>
    <row r="705" spans="12:14" x14ac:dyDescent="0.2">
      <c r="L705" s="297"/>
      <c r="M705" s="297"/>
      <c r="N705" s="297"/>
    </row>
    <row r="706" spans="12:14" x14ac:dyDescent="0.2">
      <c r="L706" s="297"/>
      <c r="M706" s="297"/>
      <c r="N706" s="297"/>
    </row>
    <row r="707" spans="12:14" x14ac:dyDescent="0.2">
      <c r="L707" s="297"/>
      <c r="M707" s="297"/>
      <c r="N707" s="297"/>
    </row>
    <row r="708" spans="12:14" x14ac:dyDescent="0.2">
      <c r="L708" s="297"/>
      <c r="M708" s="297"/>
      <c r="N708" s="297"/>
    </row>
    <row r="709" spans="12:14" x14ac:dyDescent="0.2">
      <c r="L709" s="297"/>
      <c r="M709" s="297"/>
      <c r="N709" s="297"/>
    </row>
    <row r="710" spans="12:14" x14ac:dyDescent="0.2">
      <c r="L710" s="297"/>
      <c r="M710" s="297"/>
      <c r="N710" s="297"/>
    </row>
    <row r="711" spans="12:14" x14ac:dyDescent="0.2">
      <c r="L711" s="297"/>
      <c r="M711" s="297"/>
      <c r="N711" s="297"/>
    </row>
    <row r="712" spans="12:14" x14ac:dyDescent="0.2">
      <c r="L712" s="297"/>
      <c r="M712" s="297"/>
      <c r="N712" s="297"/>
    </row>
    <row r="713" spans="12:14" x14ac:dyDescent="0.2">
      <c r="L713" s="297"/>
      <c r="M713" s="297"/>
      <c r="N713" s="297"/>
    </row>
    <row r="714" spans="12:14" x14ac:dyDescent="0.2">
      <c r="L714" s="297"/>
      <c r="M714" s="297"/>
      <c r="N714" s="297"/>
    </row>
    <row r="715" spans="12:14" x14ac:dyDescent="0.2">
      <c r="L715" s="297"/>
      <c r="M715" s="297"/>
      <c r="N715" s="297"/>
    </row>
    <row r="716" spans="12:14" x14ac:dyDescent="0.2">
      <c r="L716" s="297"/>
      <c r="M716" s="297"/>
      <c r="N716" s="297"/>
    </row>
    <row r="717" spans="12:14" x14ac:dyDescent="0.2">
      <c r="L717" s="297"/>
      <c r="M717" s="297"/>
      <c r="N717" s="297"/>
    </row>
    <row r="718" spans="12:14" x14ac:dyDescent="0.2">
      <c r="L718" s="297"/>
      <c r="M718" s="297"/>
      <c r="N718" s="297"/>
    </row>
    <row r="719" spans="12:14" x14ac:dyDescent="0.2">
      <c r="L719" s="297"/>
      <c r="M719" s="297"/>
      <c r="N719" s="297"/>
    </row>
    <row r="720" spans="12:14" x14ac:dyDescent="0.2">
      <c r="L720" s="297"/>
      <c r="M720" s="297"/>
      <c r="N720" s="297"/>
    </row>
    <row r="721" spans="12:14" x14ac:dyDescent="0.2">
      <c r="L721" s="297"/>
      <c r="M721" s="297"/>
      <c r="N721" s="297"/>
    </row>
    <row r="722" spans="12:14" x14ac:dyDescent="0.2">
      <c r="L722" s="297"/>
      <c r="M722" s="297"/>
      <c r="N722" s="297"/>
    </row>
    <row r="723" spans="12:14" x14ac:dyDescent="0.2">
      <c r="L723" s="297"/>
      <c r="M723" s="297"/>
      <c r="N723" s="297"/>
    </row>
    <row r="724" spans="12:14" x14ac:dyDescent="0.2">
      <c r="L724" s="297"/>
      <c r="M724" s="297"/>
      <c r="N724" s="297"/>
    </row>
    <row r="725" spans="12:14" x14ac:dyDescent="0.2">
      <c r="L725" s="297"/>
      <c r="M725" s="297"/>
      <c r="N725" s="297"/>
    </row>
    <row r="726" spans="12:14" x14ac:dyDescent="0.2">
      <c r="L726" s="297"/>
      <c r="M726" s="297"/>
      <c r="N726" s="297"/>
    </row>
    <row r="727" spans="12:14" x14ac:dyDescent="0.2">
      <c r="L727" s="297"/>
      <c r="M727" s="297"/>
      <c r="N727" s="297"/>
    </row>
    <row r="728" spans="12:14" x14ac:dyDescent="0.2">
      <c r="L728" s="297"/>
      <c r="M728" s="297"/>
      <c r="N728" s="297"/>
    </row>
    <row r="729" spans="12:14" x14ac:dyDescent="0.2">
      <c r="L729" s="297"/>
      <c r="M729" s="297"/>
      <c r="N729" s="297"/>
    </row>
    <row r="730" spans="12:14" x14ac:dyDescent="0.2">
      <c r="L730" s="297"/>
      <c r="M730" s="297"/>
      <c r="N730" s="297"/>
    </row>
    <row r="731" spans="12:14" x14ac:dyDescent="0.2">
      <c r="L731" s="297"/>
      <c r="M731" s="297"/>
      <c r="N731" s="297"/>
    </row>
    <row r="732" spans="12:14" x14ac:dyDescent="0.2">
      <c r="L732" s="297"/>
      <c r="M732" s="297"/>
      <c r="N732" s="297"/>
    </row>
    <row r="733" spans="12:14" x14ac:dyDescent="0.2">
      <c r="L733" s="297"/>
      <c r="M733" s="297"/>
      <c r="N733" s="297"/>
    </row>
    <row r="734" spans="12:14" x14ac:dyDescent="0.2">
      <c r="L734" s="297"/>
      <c r="M734" s="297"/>
      <c r="N734" s="297"/>
    </row>
    <row r="735" spans="12:14" x14ac:dyDescent="0.2">
      <c r="L735" s="297"/>
      <c r="M735" s="297"/>
      <c r="N735" s="297"/>
    </row>
    <row r="736" spans="12:14" x14ac:dyDescent="0.2">
      <c r="L736" s="297"/>
      <c r="M736" s="297"/>
      <c r="N736" s="297"/>
    </row>
    <row r="737" spans="12:14" x14ac:dyDescent="0.2">
      <c r="L737" s="297"/>
      <c r="M737" s="297"/>
      <c r="N737" s="297"/>
    </row>
    <row r="738" spans="12:14" x14ac:dyDescent="0.2">
      <c r="L738" s="297"/>
      <c r="M738" s="297"/>
      <c r="N738" s="297"/>
    </row>
    <row r="739" spans="12:14" x14ac:dyDescent="0.2">
      <c r="L739" s="297"/>
      <c r="M739" s="297"/>
      <c r="N739" s="297"/>
    </row>
    <row r="740" spans="12:14" x14ac:dyDescent="0.2">
      <c r="L740" s="297"/>
      <c r="M740" s="297"/>
      <c r="N740" s="297"/>
    </row>
    <row r="741" spans="12:14" x14ac:dyDescent="0.2">
      <c r="L741" s="297"/>
      <c r="M741" s="297"/>
      <c r="N741" s="297"/>
    </row>
    <row r="742" spans="12:14" x14ac:dyDescent="0.2">
      <c r="L742" s="297"/>
      <c r="M742" s="297"/>
      <c r="N742" s="297"/>
    </row>
    <row r="743" spans="12:14" x14ac:dyDescent="0.2">
      <c r="L743" s="297"/>
      <c r="M743" s="297"/>
      <c r="N743" s="297"/>
    </row>
    <row r="744" spans="12:14" x14ac:dyDescent="0.2">
      <c r="L744" s="297"/>
      <c r="M744" s="297"/>
      <c r="N744" s="297"/>
    </row>
    <row r="745" spans="12:14" x14ac:dyDescent="0.2">
      <c r="L745" s="297"/>
      <c r="M745" s="297"/>
      <c r="N745" s="297"/>
    </row>
    <row r="746" spans="12:14" x14ac:dyDescent="0.2">
      <c r="L746" s="297"/>
      <c r="M746" s="297"/>
      <c r="N746" s="297"/>
    </row>
    <row r="747" spans="12:14" x14ac:dyDescent="0.2">
      <c r="L747" s="297"/>
      <c r="M747" s="297"/>
      <c r="N747" s="297"/>
    </row>
    <row r="748" spans="12:14" x14ac:dyDescent="0.2">
      <c r="L748" s="297"/>
      <c r="M748" s="297"/>
      <c r="N748" s="297"/>
    </row>
    <row r="749" spans="12:14" x14ac:dyDescent="0.2">
      <c r="L749" s="297"/>
      <c r="M749" s="297"/>
      <c r="N749" s="297"/>
    </row>
    <row r="750" spans="12:14" x14ac:dyDescent="0.2">
      <c r="L750" s="297"/>
      <c r="M750" s="297"/>
      <c r="N750" s="297"/>
    </row>
    <row r="751" spans="12:14" x14ac:dyDescent="0.2">
      <c r="L751" s="297"/>
      <c r="M751" s="297"/>
      <c r="N751" s="297"/>
    </row>
    <row r="752" spans="12:14" x14ac:dyDescent="0.2">
      <c r="L752" s="297"/>
      <c r="M752" s="297"/>
      <c r="N752" s="297"/>
    </row>
    <row r="753" spans="12:14" x14ac:dyDescent="0.2">
      <c r="L753" s="297"/>
      <c r="M753" s="297"/>
      <c r="N753" s="297"/>
    </row>
    <row r="754" spans="12:14" x14ac:dyDescent="0.2">
      <c r="L754" s="297"/>
      <c r="M754" s="297"/>
      <c r="N754" s="297"/>
    </row>
    <row r="755" spans="12:14" x14ac:dyDescent="0.2">
      <c r="L755" s="297"/>
      <c r="M755" s="297"/>
      <c r="N755" s="297"/>
    </row>
    <row r="756" spans="12:14" x14ac:dyDescent="0.2">
      <c r="L756" s="297"/>
      <c r="M756" s="297"/>
      <c r="N756" s="297"/>
    </row>
    <row r="757" spans="12:14" x14ac:dyDescent="0.2">
      <c r="L757" s="297"/>
      <c r="M757" s="297"/>
      <c r="N757" s="297"/>
    </row>
    <row r="758" spans="12:14" x14ac:dyDescent="0.2">
      <c r="L758" s="297"/>
      <c r="M758" s="297"/>
      <c r="N758" s="297"/>
    </row>
    <row r="759" spans="12:14" x14ac:dyDescent="0.2">
      <c r="L759" s="297"/>
      <c r="M759" s="297"/>
      <c r="N759" s="297"/>
    </row>
    <row r="760" spans="12:14" x14ac:dyDescent="0.2">
      <c r="L760" s="297"/>
      <c r="M760" s="297"/>
      <c r="N760" s="297"/>
    </row>
    <row r="761" spans="12:14" x14ac:dyDescent="0.2">
      <c r="L761" s="297"/>
      <c r="M761" s="297"/>
      <c r="N761" s="297"/>
    </row>
    <row r="762" spans="12:14" x14ac:dyDescent="0.2">
      <c r="L762" s="297"/>
      <c r="M762" s="297"/>
      <c r="N762" s="297"/>
    </row>
    <row r="763" spans="12:14" x14ac:dyDescent="0.2">
      <c r="L763" s="297"/>
      <c r="M763" s="297"/>
      <c r="N763" s="297"/>
    </row>
    <row r="764" spans="12:14" x14ac:dyDescent="0.2">
      <c r="L764" s="297"/>
      <c r="M764" s="297"/>
      <c r="N764" s="297"/>
    </row>
    <row r="765" spans="12:14" x14ac:dyDescent="0.2">
      <c r="L765" s="297"/>
      <c r="M765" s="297"/>
      <c r="N765" s="297"/>
    </row>
    <row r="766" spans="12:14" x14ac:dyDescent="0.2">
      <c r="L766" s="297"/>
      <c r="M766" s="297"/>
      <c r="N766" s="297"/>
    </row>
    <row r="767" spans="12:14" x14ac:dyDescent="0.2">
      <c r="L767" s="297"/>
      <c r="M767" s="297"/>
      <c r="N767" s="297"/>
    </row>
    <row r="768" spans="12:14" x14ac:dyDescent="0.2">
      <c r="L768" s="297"/>
      <c r="M768" s="297"/>
      <c r="N768" s="297"/>
    </row>
    <row r="769" spans="12:14" x14ac:dyDescent="0.2">
      <c r="L769" s="297"/>
      <c r="M769" s="297"/>
      <c r="N769" s="297"/>
    </row>
    <row r="770" spans="12:14" x14ac:dyDescent="0.2">
      <c r="L770" s="297"/>
      <c r="M770" s="297"/>
      <c r="N770" s="297"/>
    </row>
    <row r="771" spans="12:14" x14ac:dyDescent="0.2">
      <c r="L771" s="297"/>
      <c r="M771" s="297"/>
      <c r="N771" s="297"/>
    </row>
    <row r="772" spans="12:14" x14ac:dyDescent="0.2">
      <c r="L772" s="297"/>
      <c r="M772" s="297"/>
      <c r="N772" s="297"/>
    </row>
    <row r="773" spans="12:14" x14ac:dyDescent="0.2">
      <c r="L773" s="297"/>
      <c r="M773" s="297"/>
      <c r="N773" s="297"/>
    </row>
    <row r="774" spans="12:14" x14ac:dyDescent="0.2">
      <c r="L774" s="297"/>
      <c r="M774" s="297"/>
      <c r="N774" s="297"/>
    </row>
    <row r="775" spans="12:14" x14ac:dyDescent="0.2">
      <c r="L775" s="297"/>
      <c r="M775" s="297"/>
      <c r="N775" s="297"/>
    </row>
    <row r="776" spans="12:14" x14ac:dyDescent="0.2">
      <c r="L776" s="297"/>
      <c r="M776" s="297"/>
      <c r="N776" s="297"/>
    </row>
    <row r="777" spans="12:14" x14ac:dyDescent="0.2">
      <c r="L777" s="297"/>
      <c r="M777" s="297"/>
      <c r="N777" s="297"/>
    </row>
    <row r="778" spans="12:14" x14ac:dyDescent="0.2">
      <c r="L778" s="297"/>
      <c r="M778" s="297"/>
      <c r="N778" s="297"/>
    </row>
    <row r="779" spans="12:14" x14ac:dyDescent="0.2">
      <c r="L779" s="297"/>
      <c r="M779" s="297"/>
      <c r="N779" s="297"/>
    </row>
    <row r="780" spans="12:14" x14ac:dyDescent="0.2">
      <c r="L780" s="297"/>
      <c r="M780" s="297"/>
      <c r="N780" s="297"/>
    </row>
    <row r="781" spans="12:14" x14ac:dyDescent="0.2">
      <c r="L781" s="297"/>
      <c r="M781" s="297"/>
      <c r="N781" s="297"/>
    </row>
    <row r="782" spans="12:14" x14ac:dyDescent="0.2">
      <c r="L782" s="297"/>
      <c r="M782" s="297"/>
      <c r="N782" s="297"/>
    </row>
    <row r="783" spans="12:14" x14ac:dyDescent="0.2">
      <c r="L783" s="297"/>
      <c r="M783" s="297"/>
      <c r="N783" s="297"/>
    </row>
    <row r="784" spans="12:14" x14ac:dyDescent="0.2">
      <c r="L784" s="297"/>
      <c r="M784" s="297"/>
      <c r="N784" s="297"/>
    </row>
    <row r="785" spans="12:14" x14ac:dyDescent="0.2">
      <c r="L785" s="297"/>
      <c r="M785" s="297"/>
      <c r="N785" s="297"/>
    </row>
    <row r="786" spans="12:14" x14ac:dyDescent="0.2">
      <c r="L786" s="297"/>
      <c r="M786" s="297"/>
      <c r="N786" s="297"/>
    </row>
    <row r="787" spans="12:14" x14ac:dyDescent="0.2">
      <c r="L787" s="297"/>
      <c r="M787" s="297"/>
      <c r="N787" s="297"/>
    </row>
    <row r="788" spans="12:14" x14ac:dyDescent="0.2">
      <c r="L788" s="297"/>
      <c r="M788" s="297"/>
      <c r="N788" s="297"/>
    </row>
    <row r="789" spans="12:14" x14ac:dyDescent="0.2">
      <c r="L789" s="297"/>
      <c r="M789" s="297"/>
      <c r="N789" s="297"/>
    </row>
    <row r="790" spans="12:14" x14ac:dyDescent="0.2">
      <c r="L790" s="297"/>
      <c r="M790" s="297"/>
      <c r="N790" s="297"/>
    </row>
    <row r="791" spans="12:14" x14ac:dyDescent="0.2">
      <c r="L791" s="297"/>
      <c r="M791" s="297"/>
      <c r="N791" s="297"/>
    </row>
    <row r="792" spans="12:14" x14ac:dyDescent="0.2">
      <c r="L792" s="297"/>
      <c r="M792" s="297"/>
      <c r="N792" s="297"/>
    </row>
    <row r="793" spans="12:14" x14ac:dyDescent="0.2">
      <c r="L793" s="297"/>
      <c r="M793" s="297"/>
      <c r="N793" s="297"/>
    </row>
    <row r="794" spans="12:14" x14ac:dyDescent="0.2">
      <c r="L794" s="297"/>
      <c r="M794" s="297"/>
      <c r="N794" s="297"/>
    </row>
    <row r="795" spans="12:14" x14ac:dyDescent="0.2">
      <c r="L795" s="297"/>
      <c r="M795" s="297"/>
      <c r="N795" s="297"/>
    </row>
    <row r="796" spans="12:14" x14ac:dyDescent="0.2">
      <c r="L796" s="297"/>
      <c r="M796" s="297"/>
      <c r="N796" s="297"/>
    </row>
    <row r="797" spans="12:14" x14ac:dyDescent="0.2">
      <c r="L797" s="297"/>
      <c r="M797" s="297"/>
      <c r="N797" s="297"/>
    </row>
    <row r="798" spans="12:14" x14ac:dyDescent="0.2">
      <c r="L798" s="297"/>
      <c r="M798" s="297"/>
      <c r="N798" s="297"/>
    </row>
    <row r="799" spans="12:14" x14ac:dyDescent="0.2">
      <c r="L799" s="297"/>
      <c r="M799" s="297"/>
      <c r="N799" s="297"/>
    </row>
    <row r="800" spans="12:14" x14ac:dyDescent="0.2">
      <c r="L800" s="297"/>
      <c r="M800" s="297"/>
      <c r="N800" s="297"/>
    </row>
    <row r="801" spans="12:14" x14ac:dyDescent="0.2">
      <c r="L801" s="297"/>
      <c r="M801" s="297"/>
      <c r="N801" s="297"/>
    </row>
    <row r="802" spans="12:14" x14ac:dyDescent="0.2">
      <c r="L802" s="297"/>
      <c r="M802" s="297"/>
      <c r="N802" s="297"/>
    </row>
    <row r="803" spans="12:14" x14ac:dyDescent="0.2">
      <c r="L803" s="297"/>
      <c r="M803" s="297"/>
      <c r="N803" s="297"/>
    </row>
    <row r="804" spans="12:14" x14ac:dyDescent="0.2">
      <c r="L804" s="297"/>
      <c r="M804" s="297"/>
      <c r="N804" s="297"/>
    </row>
    <row r="805" spans="12:14" x14ac:dyDescent="0.2">
      <c r="L805" s="297"/>
      <c r="M805" s="297"/>
      <c r="N805" s="297"/>
    </row>
    <row r="806" spans="12:14" x14ac:dyDescent="0.2">
      <c r="L806" s="297"/>
      <c r="M806" s="297"/>
      <c r="N806" s="297"/>
    </row>
    <row r="807" spans="12:14" x14ac:dyDescent="0.2">
      <c r="L807" s="297"/>
      <c r="M807" s="297"/>
      <c r="N807" s="297"/>
    </row>
    <row r="808" spans="12:14" x14ac:dyDescent="0.2">
      <c r="L808" s="297"/>
      <c r="M808" s="297"/>
      <c r="N808" s="297"/>
    </row>
    <row r="809" spans="12:14" x14ac:dyDescent="0.2">
      <c r="L809" s="297"/>
      <c r="M809" s="297"/>
      <c r="N809" s="297"/>
    </row>
    <row r="810" spans="12:14" x14ac:dyDescent="0.2">
      <c r="L810" s="297"/>
      <c r="M810" s="297"/>
      <c r="N810" s="297"/>
    </row>
    <row r="811" spans="12:14" x14ac:dyDescent="0.2">
      <c r="L811" s="297"/>
      <c r="M811" s="297"/>
      <c r="N811" s="297"/>
    </row>
    <row r="812" spans="12:14" x14ac:dyDescent="0.2">
      <c r="L812" s="297"/>
      <c r="M812" s="297"/>
      <c r="N812" s="297"/>
    </row>
    <row r="813" spans="12:14" x14ac:dyDescent="0.2">
      <c r="L813" s="297"/>
      <c r="M813" s="297"/>
      <c r="N813" s="297"/>
    </row>
    <row r="814" spans="12:14" x14ac:dyDescent="0.2">
      <c r="L814" s="297"/>
      <c r="M814" s="297"/>
      <c r="N814" s="297"/>
    </row>
    <row r="815" spans="12:14" x14ac:dyDescent="0.2">
      <c r="L815" s="297"/>
      <c r="M815" s="297"/>
      <c r="N815" s="297"/>
    </row>
    <row r="816" spans="12:14" x14ac:dyDescent="0.2">
      <c r="L816" s="297"/>
      <c r="M816" s="297"/>
      <c r="N816" s="297"/>
    </row>
    <row r="817" spans="12:14" x14ac:dyDescent="0.2">
      <c r="L817" s="297"/>
      <c r="M817" s="297"/>
      <c r="N817" s="297"/>
    </row>
    <row r="818" spans="12:14" x14ac:dyDescent="0.2">
      <c r="L818" s="297"/>
      <c r="M818" s="297"/>
      <c r="N818" s="297"/>
    </row>
    <row r="819" spans="12:14" x14ac:dyDescent="0.2">
      <c r="L819" s="297"/>
      <c r="M819" s="297"/>
      <c r="N819" s="297"/>
    </row>
    <row r="820" spans="12:14" x14ac:dyDescent="0.2">
      <c r="L820" s="297"/>
      <c r="M820" s="297"/>
      <c r="N820" s="297"/>
    </row>
    <row r="821" spans="12:14" x14ac:dyDescent="0.2">
      <c r="L821" s="297"/>
      <c r="M821" s="297"/>
      <c r="N821" s="297"/>
    </row>
    <row r="822" spans="12:14" x14ac:dyDescent="0.2">
      <c r="L822" s="297"/>
      <c r="M822" s="297"/>
      <c r="N822" s="297"/>
    </row>
    <row r="823" spans="12:14" x14ac:dyDescent="0.2">
      <c r="L823" s="297"/>
      <c r="M823" s="297"/>
      <c r="N823" s="297"/>
    </row>
    <row r="824" spans="12:14" x14ac:dyDescent="0.2">
      <c r="L824" s="297"/>
      <c r="M824" s="297"/>
      <c r="N824" s="297"/>
    </row>
    <row r="825" spans="12:14" x14ac:dyDescent="0.2">
      <c r="L825" s="297"/>
      <c r="M825" s="297"/>
      <c r="N825" s="297"/>
    </row>
    <row r="826" spans="12:14" x14ac:dyDescent="0.2">
      <c r="L826" s="297"/>
      <c r="M826" s="297"/>
      <c r="N826" s="297"/>
    </row>
    <row r="827" spans="12:14" x14ac:dyDescent="0.2">
      <c r="L827" s="297"/>
      <c r="M827" s="297"/>
      <c r="N827" s="297"/>
    </row>
    <row r="828" spans="12:14" x14ac:dyDescent="0.2">
      <c r="L828" s="297"/>
      <c r="M828" s="297"/>
      <c r="N828" s="297"/>
    </row>
    <row r="829" spans="12:14" x14ac:dyDescent="0.2">
      <c r="L829" s="297"/>
      <c r="M829" s="297"/>
      <c r="N829" s="297"/>
    </row>
    <row r="830" spans="12:14" x14ac:dyDescent="0.2">
      <c r="L830" s="297"/>
      <c r="M830" s="297"/>
      <c r="N830" s="297"/>
    </row>
    <row r="831" spans="12:14" x14ac:dyDescent="0.2">
      <c r="L831" s="297"/>
      <c r="M831" s="297"/>
      <c r="N831" s="297"/>
    </row>
    <row r="832" spans="12:14" x14ac:dyDescent="0.2">
      <c r="L832" s="297"/>
      <c r="M832" s="297"/>
      <c r="N832" s="297"/>
    </row>
    <row r="833" spans="12:14" x14ac:dyDescent="0.2">
      <c r="L833" s="297"/>
      <c r="M833" s="297"/>
      <c r="N833" s="297"/>
    </row>
    <row r="834" spans="12:14" x14ac:dyDescent="0.2">
      <c r="L834" s="297"/>
      <c r="M834" s="297"/>
      <c r="N834" s="297"/>
    </row>
    <row r="835" spans="12:14" x14ac:dyDescent="0.2">
      <c r="L835" s="297"/>
      <c r="M835" s="297"/>
      <c r="N835" s="297"/>
    </row>
    <row r="836" spans="12:14" x14ac:dyDescent="0.2">
      <c r="L836" s="297"/>
      <c r="M836" s="297"/>
      <c r="N836" s="297"/>
    </row>
    <row r="837" spans="12:14" x14ac:dyDescent="0.2">
      <c r="L837" s="297"/>
      <c r="M837" s="297"/>
      <c r="N837" s="297"/>
    </row>
    <row r="838" spans="12:14" x14ac:dyDescent="0.2">
      <c r="L838" s="297"/>
      <c r="M838" s="297"/>
      <c r="N838" s="297"/>
    </row>
    <row r="839" spans="12:14" x14ac:dyDescent="0.2">
      <c r="L839" s="297"/>
      <c r="M839" s="297"/>
      <c r="N839" s="297"/>
    </row>
    <row r="840" spans="12:14" x14ac:dyDescent="0.2">
      <c r="L840" s="297"/>
      <c r="M840" s="297"/>
      <c r="N840" s="297"/>
    </row>
    <row r="841" spans="12:14" x14ac:dyDescent="0.2">
      <c r="L841" s="297"/>
      <c r="M841" s="297"/>
      <c r="N841" s="297"/>
    </row>
    <row r="842" spans="12:14" x14ac:dyDescent="0.2">
      <c r="L842" s="297"/>
      <c r="M842" s="297"/>
      <c r="N842" s="297"/>
    </row>
    <row r="843" spans="12:14" x14ac:dyDescent="0.2">
      <c r="L843" s="297"/>
      <c r="M843" s="297"/>
      <c r="N843" s="297"/>
    </row>
    <row r="844" spans="12:14" x14ac:dyDescent="0.2">
      <c r="L844" s="297"/>
      <c r="M844" s="297"/>
      <c r="N844" s="297"/>
    </row>
    <row r="845" spans="12:14" x14ac:dyDescent="0.2">
      <c r="L845" s="297"/>
      <c r="M845" s="297"/>
      <c r="N845" s="297"/>
    </row>
    <row r="846" spans="12:14" x14ac:dyDescent="0.2">
      <c r="L846" s="297"/>
      <c r="M846" s="297"/>
      <c r="N846" s="297"/>
    </row>
    <row r="847" spans="12:14" x14ac:dyDescent="0.2">
      <c r="L847" s="297"/>
      <c r="M847" s="297"/>
      <c r="N847" s="297"/>
    </row>
    <row r="848" spans="12:14" x14ac:dyDescent="0.2">
      <c r="L848" s="297"/>
      <c r="M848" s="297"/>
      <c r="N848" s="297"/>
    </row>
    <row r="849" spans="12:14" x14ac:dyDescent="0.2">
      <c r="L849" s="297"/>
      <c r="M849" s="297"/>
      <c r="N849" s="297"/>
    </row>
    <row r="850" spans="12:14" x14ac:dyDescent="0.2">
      <c r="L850" s="297"/>
      <c r="M850" s="297"/>
      <c r="N850" s="297"/>
    </row>
    <row r="851" spans="12:14" x14ac:dyDescent="0.2">
      <c r="L851" s="297"/>
      <c r="M851" s="297"/>
      <c r="N851" s="297"/>
    </row>
    <row r="852" spans="12:14" x14ac:dyDescent="0.2">
      <c r="L852" s="297"/>
      <c r="M852" s="297"/>
      <c r="N852" s="297"/>
    </row>
    <row r="853" spans="12:14" x14ac:dyDescent="0.2">
      <c r="L853" s="297"/>
      <c r="M853" s="297"/>
      <c r="N853" s="297"/>
    </row>
    <row r="854" spans="12:14" x14ac:dyDescent="0.2">
      <c r="L854" s="297"/>
      <c r="M854" s="297"/>
      <c r="N854" s="297"/>
    </row>
    <row r="855" spans="12:14" x14ac:dyDescent="0.2">
      <c r="L855" s="297"/>
      <c r="M855" s="297"/>
      <c r="N855" s="297"/>
    </row>
    <row r="856" spans="12:14" x14ac:dyDescent="0.2">
      <c r="L856" s="297"/>
      <c r="M856" s="297"/>
      <c r="N856" s="297"/>
    </row>
    <row r="857" spans="12:14" x14ac:dyDescent="0.2">
      <c r="L857" s="297"/>
      <c r="M857" s="297"/>
      <c r="N857" s="297"/>
    </row>
    <row r="858" spans="12:14" x14ac:dyDescent="0.2">
      <c r="L858" s="297"/>
      <c r="M858" s="297"/>
      <c r="N858" s="297"/>
    </row>
    <row r="859" spans="12:14" x14ac:dyDescent="0.2">
      <c r="L859" s="297"/>
      <c r="M859" s="297"/>
      <c r="N859" s="297"/>
    </row>
    <row r="860" spans="12:14" x14ac:dyDescent="0.2">
      <c r="L860" s="297"/>
      <c r="M860" s="297"/>
      <c r="N860" s="297"/>
    </row>
    <row r="861" spans="12:14" x14ac:dyDescent="0.2">
      <c r="L861" s="297"/>
      <c r="M861" s="297"/>
      <c r="N861" s="297"/>
    </row>
    <row r="862" spans="12:14" x14ac:dyDescent="0.2">
      <c r="L862" s="297"/>
      <c r="M862" s="297"/>
      <c r="N862" s="297"/>
    </row>
    <row r="863" spans="12:14" x14ac:dyDescent="0.2">
      <c r="L863" s="297"/>
      <c r="M863" s="297"/>
      <c r="N863" s="297"/>
    </row>
    <row r="864" spans="12:14" x14ac:dyDescent="0.2">
      <c r="L864" s="297"/>
      <c r="M864" s="297"/>
      <c r="N864" s="297"/>
    </row>
    <row r="865" spans="12:14" x14ac:dyDescent="0.2">
      <c r="L865" s="297"/>
      <c r="M865" s="297"/>
      <c r="N865" s="297"/>
    </row>
    <row r="866" spans="12:14" x14ac:dyDescent="0.2">
      <c r="L866" s="297"/>
      <c r="M866" s="297"/>
      <c r="N866" s="297"/>
    </row>
    <row r="867" spans="12:14" x14ac:dyDescent="0.2">
      <c r="L867" s="297"/>
      <c r="M867" s="297"/>
      <c r="N867" s="297"/>
    </row>
    <row r="868" spans="12:14" x14ac:dyDescent="0.2">
      <c r="L868" s="297"/>
      <c r="M868" s="297"/>
      <c r="N868" s="297"/>
    </row>
    <row r="869" spans="12:14" x14ac:dyDescent="0.2">
      <c r="L869" s="297"/>
      <c r="M869" s="297"/>
      <c r="N869" s="297"/>
    </row>
    <row r="870" spans="12:14" x14ac:dyDescent="0.2">
      <c r="L870" s="297"/>
      <c r="M870" s="297"/>
      <c r="N870" s="297"/>
    </row>
    <row r="871" spans="12:14" x14ac:dyDescent="0.2">
      <c r="L871" s="297"/>
      <c r="M871" s="297"/>
      <c r="N871" s="297"/>
    </row>
    <row r="872" spans="12:14" x14ac:dyDescent="0.2">
      <c r="L872" s="297"/>
      <c r="M872" s="297"/>
      <c r="N872" s="297"/>
    </row>
    <row r="873" spans="12:14" x14ac:dyDescent="0.2">
      <c r="L873" s="297"/>
      <c r="M873" s="297"/>
      <c r="N873" s="297"/>
    </row>
    <row r="874" spans="12:14" x14ac:dyDescent="0.2">
      <c r="L874" s="297"/>
      <c r="M874" s="297"/>
      <c r="N874" s="297"/>
    </row>
    <row r="875" spans="12:14" x14ac:dyDescent="0.2">
      <c r="L875" s="297"/>
      <c r="M875" s="297"/>
      <c r="N875" s="297"/>
    </row>
    <row r="876" spans="12:14" x14ac:dyDescent="0.2">
      <c r="L876" s="297"/>
      <c r="M876" s="297"/>
      <c r="N876" s="297"/>
    </row>
    <row r="877" spans="12:14" x14ac:dyDescent="0.2">
      <c r="L877" s="297"/>
      <c r="M877" s="297"/>
      <c r="N877" s="297"/>
    </row>
    <row r="878" spans="12:14" x14ac:dyDescent="0.2">
      <c r="L878" s="297"/>
      <c r="M878" s="297"/>
      <c r="N878" s="297"/>
    </row>
    <row r="879" spans="12:14" x14ac:dyDescent="0.2">
      <c r="L879" s="297"/>
      <c r="M879" s="297"/>
      <c r="N879" s="297"/>
    </row>
    <row r="880" spans="12:14" x14ac:dyDescent="0.2">
      <c r="L880" s="297"/>
      <c r="M880" s="297"/>
      <c r="N880" s="297"/>
    </row>
    <row r="881" spans="12:14" x14ac:dyDescent="0.2">
      <c r="L881" s="297"/>
      <c r="M881" s="297"/>
      <c r="N881" s="297"/>
    </row>
    <row r="882" spans="12:14" x14ac:dyDescent="0.2">
      <c r="L882" s="297"/>
      <c r="M882" s="297"/>
      <c r="N882" s="297"/>
    </row>
    <row r="883" spans="12:14" x14ac:dyDescent="0.2">
      <c r="L883" s="297"/>
      <c r="M883" s="297"/>
      <c r="N883" s="297"/>
    </row>
    <row r="884" spans="12:14" x14ac:dyDescent="0.2">
      <c r="L884" s="297"/>
      <c r="M884" s="297"/>
      <c r="N884" s="297"/>
    </row>
    <row r="885" spans="12:14" x14ac:dyDescent="0.2">
      <c r="L885" s="297"/>
      <c r="M885" s="297"/>
      <c r="N885" s="297"/>
    </row>
    <row r="886" spans="12:14" x14ac:dyDescent="0.2">
      <c r="L886" s="297"/>
      <c r="M886" s="297"/>
      <c r="N886" s="297"/>
    </row>
    <row r="887" spans="12:14" x14ac:dyDescent="0.2">
      <c r="L887" s="297"/>
      <c r="M887" s="297"/>
      <c r="N887" s="297"/>
    </row>
    <row r="888" spans="12:14" x14ac:dyDescent="0.2">
      <c r="L888" s="297"/>
      <c r="M888" s="297"/>
      <c r="N888" s="297"/>
    </row>
    <row r="889" spans="12:14" x14ac:dyDescent="0.2">
      <c r="L889" s="297"/>
      <c r="M889" s="297"/>
      <c r="N889" s="297"/>
    </row>
    <row r="890" spans="12:14" x14ac:dyDescent="0.2">
      <c r="L890" s="297"/>
      <c r="M890" s="297"/>
      <c r="N890" s="297"/>
    </row>
    <row r="891" spans="12:14" x14ac:dyDescent="0.2">
      <c r="L891" s="297"/>
      <c r="M891" s="297"/>
      <c r="N891" s="297"/>
    </row>
    <row r="892" spans="12:14" x14ac:dyDescent="0.2">
      <c r="L892" s="297"/>
      <c r="M892" s="297"/>
      <c r="N892" s="297"/>
    </row>
    <row r="893" spans="12:14" x14ac:dyDescent="0.2">
      <c r="L893" s="297"/>
      <c r="M893" s="297"/>
      <c r="N893" s="297"/>
    </row>
    <row r="894" spans="12:14" x14ac:dyDescent="0.2">
      <c r="L894" s="297"/>
      <c r="M894" s="297"/>
      <c r="N894" s="297"/>
    </row>
    <row r="895" spans="12:14" x14ac:dyDescent="0.2">
      <c r="L895" s="297"/>
      <c r="M895" s="297"/>
      <c r="N895" s="297"/>
    </row>
    <row r="896" spans="12:14" x14ac:dyDescent="0.2">
      <c r="L896" s="297"/>
      <c r="M896" s="297"/>
      <c r="N896" s="297"/>
    </row>
    <row r="897" spans="12:14" x14ac:dyDescent="0.2">
      <c r="L897" s="297"/>
      <c r="M897" s="297"/>
      <c r="N897" s="297"/>
    </row>
    <row r="898" spans="12:14" x14ac:dyDescent="0.2">
      <c r="L898" s="297"/>
      <c r="M898" s="297"/>
      <c r="N898" s="297"/>
    </row>
    <row r="899" spans="12:14" x14ac:dyDescent="0.2">
      <c r="L899" s="297"/>
      <c r="M899" s="297"/>
      <c r="N899" s="297"/>
    </row>
    <row r="900" spans="12:14" x14ac:dyDescent="0.2">
      <c r="L900" s="297"/>
      <c r="M900" s="297"/>
      <c r="N900" s="297"/>
    </row>
    <row r="901" spans="12:14" x14ac:dyDescent="0.2">
      <c r="L901" s="297"/>
      <c r="M901" s="297"/>
      <c r="N901" s="297"/>
    </row>
    <row r="902" spans="12:14" x14ac:dyDescent="0.2">
      <c r="L902" s="297"/>
      <c r="M902" s="297"/>
      <c r="N902" s="297"/>
    </row>
    <row r="903" spans="12:14" x14ac:dyDescent="0.2">
      <c r="L903" s="297"/>
      <c r="M903" s="297"/>
      <c r="N903" s="297"/>
    </row>
    <row r="904" spans="12:14" x14ac:dyDescent="0.2">
      <c r="L904" s="297"/>
      <c r="M904" s="297"/>
      <c r="N904" s="297"/>
    </row>
    <row r="905" spans="12:14" x14ac:dyDescent="0.2">
      <c r="L905" s="297"/>
      <c r="M905" s="297"/>
      <c r="N905" s="297"/>
    </row>
    <row r="906" spans="12:14" x14ac:dyDescent="0.2">
      <c r="L906" s="297"/>
      <c r="M906" s="297"/>
      <c r="N906" s="297"/>
    </row>
    <row r="907" spans="12:14" x14ac:dyDescent="0.2">
      <c r="L907" s="297"/>
      <c r="M907" s="297"/>
      <c r="N907" s="297"/>
    </row>
    <row r="908" spans="12:14" x14ac:dyDescent="0.2">
      <c r="L908" s="297"/>
      <c r="M908" s="297"/>
      <c r="N908" s="297"/>
    </row>
    <row r="909" spans="12:14" x14ac:dyDescent="0.2">
      <c r="L909" s="297"/>
      <c r="M909" s="297"/>
      <c r="N909" s="297"/>
    </row>
    <row r="910" spans="12:14" x14ac:dyDescent="0.2">
      <c r="L910" s="297"/>
      <c r="M910" s="297"/>
      <c r="N910" s="297"/>
    </row>
    <row r="911" spans="12:14" x14ac:dyDescent="0.2">
      <c r="L911" s="297"/>
      <c r="M911" s="297"/>
      <c r="N911" s="297"/>
    </row>
    <row r="912" spans="12:14" x14ac:dyDescent="0.2">
      <c r="L912" s="297"/>
      <c r="M912" s="297"/>
      <c r="N912" s="297"/>
    </row>
    <row r="913" spans="12:14" x14ac:dyDescent="0.2">
      <c r="L913" s="297"/>
      <c r="M913" s="297"/>
      <c r="N913" s="297"/>
    </row>
    <row r="914" spans="12:14" x14ac:dyDescent="0.2">
      <c r="L914" s="297"/>
      <c r="M914" s="297"/>
      <c r="N914" s="297"/>
    </row>
    <row r="915" spans="12:14" x14ac:dyDescent="0.2">
      <c r="L915" s="297"/>
      <c r="M915" s="297"/>
      <c r="N915" s="297"/>
    </row>
    <row r="916" spans="12:14" x14ac:dyDescent="0.2">
      <c r="L916" s="297"/>
      <c r="M916" s="297"/>
      <c r="N916" s="297"/>
    </row>
    <row r="917" spans="12:14" x14ac:dyDescent="0.2">
      <c r="L917" s="297"/>
      <c r="M917" s="297"/>
      <c r="N917" s="297"/>
    </row>
    <row r="918" spans="12:14" x14ac:dyDescent="0.2">
      <c r="L918" s="297"/>
      <c r="M918" s="297"/>
      <c r="N918" s="297"/>
    </row>
    <row r="919" spans="12:14" x14ac:dyDescent="0.2">
      <c r="L919" s="297"/>
      <c r="M919" s="297"/>
      <c r="N919" s="297"/>
    </row>
  </sheetData>
  <sheetProtection formatCells="0" formatColumns="0" formatRows="0" insertColumns="0" insertRows="0" insertHyperlinks="0" deleteColumns="0" deleteRows="0" sort="0" autoFilter="0" pivotTables="0"/>
  <customSheetViews>
    <customSheetView guid="{4DE99834-7080-40E5-9A2F-2BF27F7EDEBF}" showGridLines="0" zeroValues="0" showRuler="0" topLeftCell="B242">
      <selection activeCell="E289" sqref="E289"/>
      <pageMargins left="0.75" right="0.75" top="1" bottom="1" header="0.5" footer="0.5"/>
      <pageSetup paperSize="9" orientation="portrait" horizontalDpi="120" verticalDpi="144" copies="0" r:id="rId1"/>
      <headerFooter alignWithMargins="0"/>
    </customSheetView>
  </customSheetViews>
  <mergeCells count="7">
    <mergeCell ref="B261:J261"/>
    <mergeCell ref="B326:J326"/>
    <mergeCell ref="B391:J391"/>
    <mergeCell ref="B1:J1"/>
    <mergeCell ref="B66:J66"/>
    <mergeCell ref="B131:J131"/>
    <mergeCell ref="B196:J196"/>
  </mergeCells>
  <phoneticPr fontId="38" type="noConversion"/>
  <pageMargins left="0.75" right="0.75" top="1" bottom="1" header="0.5" footer="0.5"/>
  <pageSetup paperSize="9" scale="61" orientation="portrait" horizontalDpi="120" verticalDpi="72" r:id="rId2"/>
  <headerFooter alignWithMargins="0"/>
  <ignoredErrors>
    <ignoredError sqref="G96:H96 G226 G31:H31 G356:H356 G161:H161 H349 G421:H421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Пн">
    <tabColor indexed="31"/>
  </sheetPr>
  <dimension ref="A1:CR119"/>
  <sheetViews>
    <sheetView showGridLines="0" showZeros="0" showOutlineSymbols="0" view="pageBreakPreview" topLeftCell="A3" zoomScale="65" zoomScaleNormal="75" zoomScaleSheetLayoutView="75" workbookViewId="0">
      <selection activeCell="K66" sqref="K66"/>
    </sheetView>
  </sheetViews>
  <sheetFormatPr defaultRowHeight="12.75" x14ac:dyDescent="0.2"/>
  <cols>
    <col min="1" max="1" width="5.7109375" style="2" customWidth="1"/>
    <col min="2" max="2" width="51.42578125" style="80" customWidth="1"/>
    <col min="3" max="3" width="4.7109375" style="80" customWidth="1"/>
    <col min="4" max="4" width="9.5703125" style="80" customWidth="1"/>
    <col min="5" max="7" width="9.5703125" style="80" hidden="1" customWidth="1"/>
    <col min="8" max="11" width="17.5703125" style="80" customWidth="1"/>
    <col min="12" max="12" width="9.140625" style="2"/>
    <col min="13" max="13" width="8.7109375" style="2" customWidth="1"/>
    <col min="14" max="14" width="9.140625" style="2"/>
    <col min="15" max="16" width="10.7109375" style="2" customWidth="1"/>
    <col min="17" max="17" width="10" style="2" hidden="1" customWidth="1"/>
    <col min="18" max="19" width="8.85546875" style="2" hidden="1" customWidth="1"/>
    <col min="20" max="20" width="5.85546875" style="2" hidden="1" customWidth="1"/>
    <col min="21" max="21" width="8.5703125" style="80" hidden="1" customWidth="1"/>
    <col min="22" max="22" width="7.5703125" style="80" hidden="1" customWidth="1"/>
    <col min="23" max="23" width="8.28515625" style="80" hidden="1" customWidth="1"/>
    <col min="24" max="24" width="5.7109375" style="80" hidden="1" customWidth="1"/>
    <col min="25" max="25" width="5.85546875" style="80" hidden="1" customWidth="1"/>
    <col min="26" max="26" width="10.5703125" style="80" hidden="1" customWidth="1"/>
    <col min="27" max="16384" width="9.140625" style="80"/>
  </cols>
  <sheetData>
    <row r="1" spans="1:26" ht="13.9" customHeight="1" thickBot="1" x14ac:dyDescent="0.25">
      <c r="B1" s="142"/>
      <c r="C1" s="142"/>
      <c r="D1" s="142"/>
      <c r="E1" s="142"/>
      <c r="F1" s="142"/>
      <c r="G1" s="142"/>
      <c r="H1" s="142"/>
      <c r="I1" s="142"/>
      <c r="J1" s="142"/>
      <c r="K1" s="237" t="s">
        <v>160</v>
      </c>
      <c r="L1" s="136"/>
      <c r="M1" s="136"/>
      <c r="N1" s="136"/>
      <c r="O1" s="136"/>
      <c r="P1" s="137"/>
      <c r="V1" s="80">
        <v>1</v>
      </c>
      <c r="W1" s="80">
        <v>1</v>
      </c>
      <c r="X1" s="302">
        <v>8</v>
      </c>
      <c r="Y1" s="290">
        <f>'Блок ввода'!G4</f>
        <v>0</v>
      </c>
    </row>
    <row r="2" spans="1:26" ht="21" customHeight="1" thickTop="1" thickBot="1" x14ac:dyDescent="0.25">
      <c r="A2" s="485" t="s">
        <v>520</v>
      </c>
      <c r="B2" s="1597" t="s">
        <v>511</v>
      </c>
      <c r="C2" s="1597"/>
      <c r="D2" s="1597"/>
      <c r="E2" s="1597"/>
      <c r="F2" s="1597"/>
      <c r="G2" s="1597"/>
      <c r="H2" s="1597"/>
      <c r="I2" s="1597"/>
      <c r="J2" s="1597"/>
      <c r="K2" s="1597"/>
      <c r="L2" s="140"/>
      <c r="M2" s="139">
        <v>0</v>
      </c>
      <c r="N2" s="140"/>
      <c r="O2" s="140"/>
      <c r="P2" s="140"/>
      <c r="Q2" s="141"/>
      <c r="T2" s="1570"/>
      <c r="U2" s="1570"/>
      <c r="V2" s="1570"/>
      <c r="X2" s="372">
        <v>0</v>
      </c>
    </row>
    <row r="3" spans="1:26" ht="18.95" customHeight="1" thickTop="1" x14ac:dyDescent="0.25">
      <c r="B3" s="1598" t="str">
        <f>CONCATENATE(" на выдачу продовольствия в столовую ",'Блок ввода'!G8," ",'Блок ввода'!I2)</f>
        <v xml:space="preserve"> на выдачу продовольствия в столовую войсковой части 00000</v>
      </c>
      <c r="C3" s="1598"/>
      <c r="D3" s="1598"/>
      <c r="E3" s="1598"/>
      <c r="F3" s="1598"/>
      <c r="G3" s="1598"/>
      <c r="H3" s="1598"/>
      <c r="I3" s="1598"/>
      <c r="J3" s="1598"/>
      <c r="K3" s="1598"/>
      <c r="L3" s="137"/>
      <c r="M3" s="137"/>
      <c r="N3" s="137"/>
      <c r="O3" s="137"/>
      <c r="P3" s="137"/>
      <c r="T3" s="1570"/>
      <c r="U3" s="1570"/>
      <c r="V3" s="1570"/>
      <c r="X3" s="302">
        <v>0</v>
      </c>
    </row>
    <row r="4" spans="1:26" ht="21" customHeight="1" x14ac:dyDescent="0.25">
      <c r="B4" s="469" t="s">
        <v>214</v>
      </c>
      <c r="C4" s="1596">
        <f>'Блок ввода'!$I$4</f>
        <v>40091</v>
      </c>
      <c r="D4" s="1596"/>
      <c r="E4" s="1596"/>
      <c r="F4" s="1596"/>
      <c r="G4" s="1596"/>
      <c r="H4" s="1596"/>
      <c r="I4" s="470"/>
      <c r="J4" s="470"/>
      <c r="K4" s="470"/>
      <c r="L4" s="140"/>
      <c r="M4" s="1232">
        <v>0</v>
      </c>
      <c r="N4" s="140"/>
      <c r="O4" s="140"/>
      <c r="P4" s="140"/>
      <c r="Q4" s="141"/>
      <c r="T4" s="1570"/>
      <c r="U4" s="1570"/>
      <c r="V4" s="1570"/>
    </row>
    <row r="5" spans="1:26" ht="17.100000000000001" customHeight="1" x14ac:dyDescent="0.25">
      <c r="A5" s="144"/>
      <c r="B5" s="1582" t="s">
        <v>375</v>
      </c>
      <c r="C5" s="1582"/>
      <c r="D5" s="1582"/>
      <c r="E5" s="1582"/>
      <c r="F5" s="1582"/>
      <c r="G5" s="1582"/>
      <c r="H5" s="1582"/>
      <c r="I5" s="1582"/>
      <c r="J5" s="1582"/>
      <c r="K5" s="1583"/>
      <c r="L5" s="137"/>
      <c r="M5" s="137"/>
      <c r="N5" s="137"/>
      <c r="O5" s="137"/>
      <c r="P5" s="137"/>
      <c r="T5" s="1570"/>
      <c r="U5" s="1570"/>
      <c r="V5" s="1570"/>
    </row>
    <row r="6" spans="1:26" ht="19.899999999999999" customHeight="1" thickBot="1" x14ac:dyDescent="0.3">
      <c r="A6" s="144"/>
      <c r="B6" s="145" t="s">
        <v>363</v>
      </c>
      <c r="C6" s="1580" t="s">
        <v>449</v>
      </c>
      <c r="D6" s="1581"/>
      <c r="E6" s="1581"/>
      <c r="F6" s="1581"/>
      <c r="G6" s="1581"/>
      <c r="H6" s="1581"/>
      <c r="I6" s="1581"/>
      <c r="J6" s="1581"/>
      <c r="K6" s="1581"/>
      <c r="L6" s="146"/>
      <c r="M6" s="146"/>
      <c r="N6" s="146"/>
      <c r="O6" s="146"/>
      <c r="P6" s="146"/>
      <c r="Q6" s="141"/>
      <c r="T6" s="142"/>
      <c r="U6" s="142" t="b">
        <f>IF(OR('Раскладка продуктов'!A37=1750,'Раскладка продуктов'!A37=1745),0,FALSE)</f>
        <v>0</v>
      </c>
      <c r="V6" s="142"/>
    </row>
    <row r="7" spans="1:26" ht="13.5" customHeight="1" thickBot="1" x14ac:dyDescent="0.25">
      <c r="B7" s="1574" t="s">
        <v>429</v>
      </c>
      <c r="C7" s="1576" t="s">
        <v>167</v>
      </c>
      <c r="D7" s="1578" t="s">
        <v>284</v>
      </c>
      <c r="E7" s="1571" t="s">
        <v>261</v>
      </c>
      <c r="F7" s="1572"/>
      <c r="G7" s="1573"/>
      <c r="H7" s="1571" t="s">
        <v>262</v>
      </c>
      <c r="I7" s="1572"/>
      <c r="J7" s="1573"/>
      <c r="K7" s="147"/>
      <c r="L7" s="138"/>
      <c r="M7" s="140"/>
      <c r="N7" s="140"/>
      <c r="O7" s="140"/>
      <c r="P7" s="140"/>
      <c r="Q7" s="141"/>
      <c r="T7" s="137"/>
      <c r="U7" s="142"/>
      <c r="V7" s="142"/>
    </row>
    <row r="8" spans="1:26" ht="58.15" customHeight="1" thickBot="1" x14ac:dyDescent="0.25">
      <c r="B8" s="1575"/>
      <c r="C8" s="1577"/>
      <c r="D8" s="1579"/>
      <c r="E8" s="149" t="s">
        <v>123</v>
      </c>
      <c r="F8" s="149" t="s">
        <v>124</v>
      </c>
      <c r="G8" s="149" t="s">
        <v>125</v>
      </c>
      <c r="H8" s="150" t="s">
        <v>123</v>
      </c>
      <c r="I8" s="150" t="s">
        <v>124</v>
      </c>
      <c r="J8" s="150" t="s">
        <v>125</v>
      </c>
      <c r="K8" s="148" t="s">
        <v>161</v>
      </c>
      <c r="L8" s="151"/>
      <c r="M8" s="140"/>
      <c r="N8" s="140"/>
      <c r="O8" s="140"/>
      <c r="P8" s="140"/>
      <c r="Q8" s="141"/>
    </row>
    <row r="9" spans="1:26" ht="15" customHeight="1" x14ac:dyDescent="0.25">
      <c r="B9" s="720" t="str">
        <f xml:space="preserve"> CONCATENATE(Расчёт!B3)</f>
        <v>ХЛЕБ ИЗ СМЕСИ МУКИ РЖАНОЙ</v>
      </c>
      <c r="C9" s="1235" t="s">
        <v>163</v>
      </c>
      <c r="D9" s="165">
        <f>Цены!D9</f>
        <v>0</v>
      </c>
      <c r="E9" s="604">
        <v>0</v>
      </c>
      <c r="F9" s="675">
        <v>0</v>
      </c>
      <c r="G9" s="721">
        <v>0</v>
      </c>
      <c r="H9" s="489">
        <f>Расчёт!G3</f>
        <v>0</v>
      </c>
      <c r="I9" s="490">
        <f>Расчёт!H3</f>
        <v>0</v>
      </c>
      <c r="J9" s="491">
        <f>Расчёт!I3</f>
        <v>0</v>
      </c>
      <c r="K9" s="585">
        <f>SUM(E9:J9)</f>
        <v>0</v>
      </c>
      <c r="L9" s="137"/>
      <c r="M9" s="152"/>
      <c r="N9" s="153"/>
      <c r="O9" s="137"/>
      <c r="P9" s="137"/>
      <c r="U9" s="80" t="b">
        <v>1</v>
      </c>
      <c r="V9" s="154">
        <f t="shared" ref="V9:V70" si="0">IF(K9&gt;0,1,0)</f>
        <v>0</v>
      </c>
      <c r="Z9" s="155">
        <f>D9*K9</f>
        <v>0</v>
      </c>
    </row>
    <row r="10" spans="1:26" ht="15" customHeight="1" x14ac:dyDescent="0.2">
      <c r="B10" s="722" t="str">
        <f xml:space="preserve"> CONCATENATE(Расчёт!B4)</f>
        <v>ХЛЕБ ИЗ МУКИ ПШ. 1 С.</v>
      </c>
      <c r="C10" s="1240" t="s">
        <v>163</v>
      </c>
      <c r="D10" s="1241">
        <f>Цены!D10</f>
        <v>0</v>
      </c>
      <c r="E10" s="158">
        <v>0</v>
      </c>
      <c r="F10" s="158">
        <v>0</v>
      </c>
      <c r="G10" s="159">
        <v>0</v>
      </c>
      <c r="H10" s="160">
        <f>Расчёт!G4</f>
        <v>0</v>
      </c>
      <c r="I10" s="495">
        <f>Расчёт!H4</f>
        <v>0</v>
      </c>
      <c r="J10" s="496">
        <f>Расчёт!I4</f>
        <v>0</v>
      </c>
      <c r="K10" s="238">
        <f>SUM(E10:J10)-K67</f>
        <v>0</v>
      </c>
      <c r="L10" s="140"/>
      <c r="M10" s="161"/>
      <c r="N10" s="162"/>
      <c r="O10" s="140"/>
      <c r="P10" s="140"/>
      <c r="Q10" s="141"/>
      <c r="U10" s="80" t="b">
        <v>1</v>
      </c>
      <c r="V10" s="154">
        <f t="shared" si="0"/>
        <v>0</v>
      </c>
      <c r="Z10" s="155">
        <f t="shared" ref="Z10:Z71" si="1">D10*K10</f>
        <v>0</v>
      </c>
    </row>
    <row r="11" spans="1:26" ht="15" customHeight="1" thickBot="1" x14ac:dyDescent="0.3">
      <c r="B11" s="723" t="str">
        <f>Расчёт!B5</f>
        <v>СУХАРИ (ХЛЕБЦЫ) ИЗ ПШ. МУКИ 1 С.</v>
      </c>
      <c r="C11" s="704" t="s">
        <v>163</v>
      </c>
      <c r="D11" s="1245">
        <f>Цены!D11</f>
        <v>0</v>
      </c>
      <c r="E11" s="702">
        <v>0</v>
      </c>
      <c r="F11" s="702">
        <v>0</v>
      </c>
      <c r="G11" s="725">
        <v>0</v>
      </c>
      <c r="H11" s="480">
        <f>Расчёт!G5</f>
        <v>0</v>
      </c>
      <c r="I11" s="502">
        <f>Расчёт!H5</f>
        <v>0</v>
      </c>
      <c r="J11" s="503">
        <f>Расчёт!I5</f>
        <v>0</v>
      </c>
      <c r="K11" s="504">
        <f t="shared" ref="K11:K64" si="2">SUM(E11:J11)</f>
        <v>0</v>
      </c>
      <c r="L11" s="137"/>
      <c r="M11" s="152"/>
      <c r="N11" s="153"/>
      <c r="O11" s="137"/>
      <c r="P11" s="137"/>
      <c r="V11" s="154"/>
      <c r="Z11" s="155">
        <f t="shared" si="1"/>
        <v>0</v>
      </c>
    </row>
    <row r="12" spans="1:26" ht="15" customHeight="1" x14ac:dyDescent="0.2">
      <c r="B12" s="163" t="str">
        <f xml:space="preserve"> CONCATENATE(Расчёт!B6)</f>
        <v>МУКА ПШЕНИЧНАЯ 1 С. (ЗА ХЛЕБ)</v>
      </c>
      <c r="C12" s="1243" t="s">
        <v>163</v>
      </c>
      <c r="D12" s="165">
        <f>Цены!D12</f>
        <v>0</v>
      </c>
      <c r="E12" s="166">
        <v>0</v>
      </c>
      <c r="F12" s="166">
        <v>0</v>
      </c>
      <c r="G12" s="167">
        <v>0</v>
      </c>
      <c r="H12" s="168">
        <f>Расчёт!G6</f>
        <v>0</v>
      </c>
      <c r="I12" s="169">
        <f>Расчёт!H6</f>
        <v>0</v>
      </c>
      <c r="J12" s="170">
        <f>Расчёт!I6</f>
        <v>0</v>
      </c>
      <c r="K12" s="171">
        <f t="shared" si="2"/>
        <v>0</v>
      </c>
      <c r="L12" s="140"/>
      <c r="M12" s="140"/>
      <c r="N12" s="140"/>
      <c r="O12" s="140"/>
      <c r="P12" s="140"/>
      <c r="Q12" s="141"/>
      <c r="V12" s="154">
        <f t="shared" si="0"/>
        <v>0</v>
      </c>
      <c r="Z12" s="155">
        <f t="shared" si="1"/>
        <v>0</v>
      </c>
    </row>
    <row r="13" spans="1:26" ht="15" customHeight="1" thickBot="1" x14ac:dyDescent="0.25">
      <c r="B13" s="726" t="str">
        <f xml:space="preserve"> CONCATENATE(Расчёт!B7)</f>
        <v>МУКА ПШЕНИЧНАЯ 1 С.</v>
      </c>
      <c r="C13" s="620" t="s">
        <v>163</v>
      </c>
      <c r="D13" s="1245">
        <f>Цены!D13</f>
        <v>0</v>
      </c>
      <c r="E13" s="663">
        <v>0</v>
      </c>
      <c r="F13" s="663">
        <v>0</v>
      </c>
      <c r="G13" s="728">
        <v>0</v>
      </c>
      <c r="H13" s="515">
        <f>Расчёт!G7</f>
        <v>0</v>
      </c>
      <c r="I13" s="518">
        <f>Расчёт!H7</f>
        <v>0</v>
      </c>
      <c r="J13" s="519">
        <f>Расчёт!I7</f>
        <v>0</v>
      </c>
      <c r="K13" s="520">
        <f t="shared" si="2"/>
        <v>0</v>
      </c>
      <c r="L13" s="137"/>
      <c r="M13" s="172"/>
      <c r="N13" s="137"/>
      <c r="O13" s="137"/>
      <c r="P13" s="137"/>
      <c r="V13" s="154">
        <f t="shared" si="0"/>
        <v>0</v>
      </c>
      <c r="Z13" s="155">
        <f t="shared" si="1"/>
        <v>0</v>
      </c>
    </row>
    <row r="14" spans="1:26" ht="15" customHeight="1" x14ac:dyDescent="0.2">
      <c r="B14" s="173" t="str">
        <f xml:space="preserve"> CONCATENATE(Расчёт!B8)</f>
        <v>РИС</v>
      </c>
      <c r="C14" s="1243" t="s">
        <v>163</v>
      </c>
      <c r="D14" s="165">
        <f>Цены!D14</f>
        <v>0</v>
      </c>
      <c r="E14" s="174">
        <v>0</v>
      </c>
      <c r="F14" s="174">
        <v>0</v>
      </c>
      <c r="G14" s="175">
        <v>0</v>
      </c>
      <c r="H14" s="176">
        <f>Расчёт!G8</f>
        <v>0</v>
      </c>
      <c r="I14" s="177">
        <f>Расчёт!H8</f>
        <v>0</v>
      </c>
      <c r="J14" s="178">
        <f>Расчёт!I8</f>
        <v>0</v>
      </c>
      <c r="K14" s="179">
        <f t="shared" si="2"/>
        <v>0</v>
      </c>
      <c r="L14" s="140"/>
      <c r="M14" s="140"/>
      <c r="N14" s="140"/>
      <c r="O14" s="140"/>
      <c r="P14" s="140"/>
      <c r="Q14" s="141"/>
      <c r="T14" s="2" t="str">
        <f>'Блок ввода'!O15</f>
        <v>Ю.АРТЕМОВ</v>
      </c>
      <c r="V14" s="154">
        <f t="shared" si="0"/>
        <v>0</v>
      </c>
      <c r="Z14" s="155">
        <f t="shared" si="1"/>
        <v>0</v>
      </c>
    </row>
    <row r="15" spans="1:26" ht="15" customHeight="1" x14ac:dyDescent="0.2">
      <c r="A15" s="180"/>
      <c r="B15" s="182" t="str">
        <f xml:space="preserve"> CONCATENATE(Расчёт!B9)</f>
        <v>КРУПА ГРЕЧНЕВАЯ</v>
      </c>
      <c r="C15" s="613" t="s">
        <v>163</v>
      </c>
      <c r="D15" s="1241">
        <f>Цены!D15</f>
        <v>0</v>
      </c>
      <c r="E15" s="662">
        <v>0</v>
      </c>
      <c r="F15" s="662">
        <v>0</v>
      </c>
      <c r="G15" s="729">
        <v>0</v>
      </c>
      <c r="H15" s="509">
        <f>Расчёт!G9</f>
        <v>0</v>
      </c>
      <c r="I15" s="510">
        <f>Расчёт!H9</f>
        <v>0</v>
      </c>
      <c r="J15" s="511">
        <f>Расчёт!I9</f>
        <v>0</v>
      </c>
      <c r="K15" s="512">
        <f t="shared" si="2"/>
        <v>0</v>
      </c>
      <c r="L15" s="137"/>
      <c r="M15" s="137"/>
      <c r="N15" s="137"/>
      <c r="O15" s="137"/>
      <c r="P15" s="137"/>
      <c r="Q15" s="2">
        <f>'Раскладка продуктов'!A37</f>
        <v>2075</v>
      </c>
      <c r="T15" s="2" t="str">
        <f>'Блок ввода'!O16</f>
        <v>Е.КАЛУГИН</v>
      </c>
      <c r="V15" s="154">
        <f t="shared" si="0"/>
        <v>0</v>
      </c>
      <c r="Z15" s="155">
        <f t="shared" si="1"/>
        <v>0</v>
      </c>
    </row>
    <row r="16" spans="1:26" ht="15" customHeight="1" x14ac:dyDescent="0.2">
      <c r="A16" s="181"/>
      <c r="B16" s="182" t="str">
        <f xml:space="preserve"> CONCATENATE(Расчёт!B10)</f>
        <v>КРУПА ПЕРЛОВАЯ</v>
      </c>
      <c r="C16" s="1246" t="s">
        <v>163</v>
      </c>
      <c r="D16" s="1241">
        <f>Цены!D16</f>
        <v>0</v>
      </c>
      <c r="E16" s="158">
        <v>0</v>
      </c>
      <c r="F16" s="158">
        <v>0</v>
      </c>
      <c r="G16" s="159">
        <v>0</v>
      </c>
      <c r="H16" s="168">
        <f>Расчёт!G10</f>
        <v>0</v>
      </c>
      <c r="I16" s="169">
        <f>Расчёт!H10</f>
        <v>0</v>
      </c>
      <c r="J16" s="170">
        <f>Расчёт!I10</f>
        <v>0</v>
      </c>
      <c r="K16" s="171">
        <f t="shared" si="2"/>
        <v>0</v>
      </c>
      <c r="L16" s="140"/>
      <c r="M16" s="140"/>
      <c r="N16" s="140"/>
      <c r="O16" s="140"/>
      <c r="P16" s="140"/>
      <c r="Q16" s="239" t="str">
        <f>MID(B2,13,6)</f>
        <v/>
      </c>
      <c r="V16" s="154">
        <f t="shared" si="0"/>
        <v>0</v>
      </c>
      <c r="Z16" s="155">
        <f t="shared" si="1"/>
        <v>0</v>
      </c>
    </row>
    <row r="17" spans="1:96" ht="15" customHeight="1" x14ac:dyDescent="0.2">
      <c r="A17" s="181"/>
      <c r="B17" s="182" t="str">
        <f xml:space="preserve"> CONCATENATE(Расчёт!B11)</f>
        <v>КРУПА ГОРОХ</v>
      </c>
      <c r="C17" s="613" t="s">
        <v>163</v>
      </c>
      <c r="D17" s="1241">
        <f>Цены!D17</f>
        <v>0</v>
      </c>
      <c r="E17" s="662">
        <v>0</v>
      </c>
      <c r="F17" s="662">
        <v>0</v>
      </c>
      <c r="G17" s="729">
        <v>0</v>
      </c>
      <c r="H17" s="509">
        <f>Расчёт!G11</f>
        <v>0</v>
      </c>
      <c r="I17" s="510">
        <f>Расчёт!H11</f>
        <v>0</v>
      </c>
      <c r="J17" s="511">
        <f>Расчёт!I11</f>
        <v>0</v>
      </c>
      <c r="K17" s="512">
        <f t="shared" si="2"/>
        <v>0</v>
      </c>
      <c r="L17" s="137"/>
      <c r="M17" s="137"/>
      <c r="N17" s="137"/>
      <c r="O17" s="137"/>
      <c r="P17" s="137"/>
      <c r="Q17" s="376" t="b">
        <v>1</v>
      </c>
      <c r="V17" s="154">
        <f t="shared" si="0"/>
        <v>0</v>
      </c>
      <c r="Z17" s="155">
        <f t="shared" si="1"/>
        <v>0</v>
      </c>
    </row>
    <row r="18" spans="1:96" ht="15" customHeight="1" x14ac:dyDescent="0.2">
      <c r="A18" s="3"/>
      <c r="B18" s="182" t="str">
        <f xml:space="preserve"> CONCATENATE(Расчёт!B12)</f>
        <v>КРУПА ПШЕНО</v>
      </c>
      <c r="C18" s="613" t="s">
        <v>163</v>
      </c>
      <c r="D18" s="1241">
        <f>Цены!D18</f>
        <v>0</v>
      </c>
      <c r="E18" s="662">
        <v>0</v>
      </c>
      <c r="F18" s="662">
        <v>0</v>
      </c>
      <c r="G18" s="729">
        <v>0</v>
      </c>
      <c r="H18" s="509">
        <f>Расчёт!G12</f>
        <v>0</v>
      </c>
      <c r="I18" s="510">
        <f>Расчёт!H12</f>
        <v>0</v>
      </c>
      <c r="J18" s="511">
        <f>Расчёт!I12</f>
        <v>0</v>
      </c>
      <c r="K18" s="512">
        <f t="shared" si="2"/>
        <v>0</v>
      </c>
      <c r="L18" s="137"/>
      <c r="M18" s="137"/>
      <c r="N18" s="137"/>
      <c r="O18" s="137"/>
      <c r="P18" s="137"/>
      <c r="V18" s="154">
        <f t="shared" si="0"/>
        <v>0</v>
      </c>
      <c r="Z18" s="155">
        <f t="shared" si="1"/>
        <v>0</v>
      </c>
    </row>
    <row r="19" spans="1:96" ht="15" customHeight="1" x14ac:dyDescent="0.2">
      <c r="A19" s="3"/>
      <c r="B19" s="182" t="str">
        <f xml:space="preserve"> CONCATENATE(Расчёт!B13)</f>
        <v>КРУПА ПШЕНИЧНАЯ</v>
      </c>
      <c r="C19" s="613" t="s">
        <v>163</v>
      </c>
      <c r="D19" s="1241">
        <f>Цены!D19</f>
        <v>0</v>
      </c>
      <c r="E19" s="662">
        <v>0</v>
      </c>
      <c r="F19" s="662">
        <v>0</v>
      </c>
      <c r="G19" s="729">
        <v>0</v>
      </c>
      <c r="H19" s="509">
        <f>Расчёт!G13</f>
        <v>0</v>
      </c>
      <c r="I19" s="510">
        <f>Расчёт!H13</f>
        <v>0</v>
      </c>
      <c r="J19" s="511">
        <f>Расчёт!I13</f>
        <v>0</v>
      </c>
      <c r="K19" s="512">
        <f t="shared" si="2"/>
        <v>0</v>
      </c>
      <c r="L19" s="137"/>
      <c r="M19" s="137"/>
      <c r="N19" s="137"/>
      <c r="O19" s="137"/>
      <c r="P19" s="137"/>
      <c r="V19" s="154">
        <f t="shared" si="0"/>
        <v>0</v>
      </c>
      <c r="Z19" s="155">
        <f t="shared" si="1"/>
        <v>0</v>
      </c>
    </row>
    <row r="20" spans="1:96" ht="15" customHeight="1" x14ac:dyDescent="0.2">
      <c r="A20" s="3"/>
      <c r="B20" s="730" t="str">
        <f xml:space="preserve"> CONCATENATE(Расчёт!B14)</f>
        <v>КРУПА ОВСЯНАЯ</v>
      </c>
      <c r="C20" s="613" t="s">
        <v>163</v>
      </c>
      <c r="D20" s="1241">
        <f>Цены!D20</f>
        <v>0</v>
      </c>
      <c r="E20" s="662">
        <v>0</v>
      </c>
      <c r="F20" s="662">
        <v>0</v>
      </c>
      <c r="G20" s="729">
        <v>0</v>
      </c>
      <c r="H20" s="509">
        <f>Расчёт!G14</f>
        <v>0</v>
      </c>
      <c r="I20" s="510">
        <f>Расчёт!H14</f>
        <v>0</v>
      </c>
      <c r="J20" s="511">
        <f>Расчёт!I14</f>
        <v>0</v>
      </c>
      <c r="K20" s="512">
        <f t="shared" si="2"/>
        <v>0</v>
      </c>
      <c r="L20" s="137"/>
      <c r="M20" s="137"/>
      <c r="N20" s="137"/>
      <c r="O20" s="137"/>
      <c r="P20" s="137"/>
      <c r="V20" s="154">
        <f t="shared" si="0"/>
        <v>0</v>
      </c>
      <c r="Z20" s="155">
        <f t="shared" si="1"/>
        <v>0</v>
      </c>
      <c r="CR20" s="80">
        <v>7</v>
      </c>
    </row>
    <row r="21" spans="1:96" ht="15" customHeight="1" x14ac:dyDescent="0.2">
      <c r="A21" s="3"/>
      <c r="B21" s="730" t="str">
        <f xml:space="preserve"> CONCATENATE(Расчёт!B15)</f>
        <v>КРУПА ЯЧНЕВАЯ</v>
      </c>
      <c r="C21" s="613" t="s">
        <v>163</v>
      </c>
      <c r="D21" s="1241">
        <f>Цены!D21</f>
        <v>0</v>
      </c>
      <c r="E21" s="662">
        <v>0</v>
      </c>
      <c r="F21" s="662">
        <v>0</v>
      </c>
      <c r="G21" s="729">
        <v>0</v>
      </c>
      <c r="H21" s="509">
        <f>Расчёт!G15</f>
        <v>0</v>
      </c>
      <c r="I21" s="510">
        <f>Расчёт!H15</f>
        <v>0</v>
      </c>
      <c r="J21" s="511">
        <f>Расчёт!I15</f>
        <v>0</v>
      </c>
      <c r="K21" s="512">
        <f t="shared" si="2"/>
        <v>0</v>
      </c>
      <c r="L21" s="137"/>
      <c r="M21" s="137"/>
      <c r="N21" s="137"/>
      <c r="O21" s="137"/>
      <c r="P21" s="137"/>
      <c r="V21" s="154">
        <f t="shared" si="0"/>
        <v>0</v>
      </c>
      <c r="Z21" s="155">
        <f t="shared" si="1"/>
        <v>0</v>
      </c>
    </row>
    <row r="22" spans="1:96" ht="15" customHeight="1" thickBot="1" x14ac:dyDescent="0.25">
      <c r="A22" s="1584"/>
      <c r="B22" s="731" t="str">
        <f xml:space="preserve"> CONCATENATE(Расчёт!B16)</f>
        <v>МАКАРОННЫЕ ИЗДЕЛИЯ</v>
      </c>
      <c r="C22" s="620" t="s">
        <v>163</v>
      </c>
      <c r="D22" s="1245">
        <f>Цены!D22</f>
        <v>0</v>
      </c>
      <c r="E22" s="702">
        <v>0</v>
      </c>
      <c r="F22" s="702">
        <v>0</v>
      </c>
      <c r="G22" s="725">
        <v>0</v>
      </c>
      <c r="H22" s="515">
        <f>Расчёт!G16</f>
        <v>0</v>
      </c>
      <c r="I22" s="518">
        <f>Расчёт!H16</f>
        <v>0</v>
      </c>
      <c r="J22" s="519">
        <f>Расчёт!I16</f>
        <v>0</v>
      </c>
      <c r="K22" s="520">
        <f t="shared" si="2"/>
        <v>0</v>
      </c>
      <c r="L22" s="137"/>
      <c r="M22" s="137"/>
      <c r="N22" s="137"/>
      <c r="O22" s="137"/>
      <c r="P22" s="137"/>
      <c r="V22" s="154">
        <f t="shared" si="0"/>
        <v>0</v>
      </c>
      <c r="Z22" s="155">
        <f t="shared" si="1"/>
        <v>0</v>
      </c>
    </row>
    <row r="23" spans="1:96" ht="15" customHeight="1" x14ac:dyDescent="0.2">
      <c r="A23" s="1585"/>
      <c r="B23" s="732" t="str">
        <f xml:space="preserve"> CONCATENATE(Расчёт!B17)</f>
        <v>МЯСО  СВИНИНА</v>
      </c>
      <c r="C23" s="613" t="s">
        <v>163</v>
      </c>
      <c r="D23" s="165">
        <f>Цены!D23</f>
        <v>0</v>
      </c>
      <c r="E23" s="604">
        <v>0</v>
      </c>
      <c r="F23" s="604">
        <v>0</v>
      </c>
      <c r="G23" s="605">
        <v>0</v>
      </c>
      <c r="H23" s="509">
        <f>Расчёт!G17</f>
        <v>0</v>
      </c>
      <c r="I23" s="510">
        <f>Расчёт!H17</f>
        <v>0</v>
      </c>
      <c r="J23" s="511">
        <f>Расчёт!I17</f>
        <v>0</v>
      </c>
      <c r="K23" s="512">
        <f t="shared" si="2"/>
        <v>0</v>
      </c>
      <c r="L23" s="137"/>
      <c r="M23" s="137"/>
      <c r="N23" s="137" t="s">
        <v>248</v>
      </c>
      <c r="O23" s="137"/>
      <c r="P23" s="137"/>
      <c r="V23" s="154">
        <f t="shared" si="0"/>
        <v>0</v>
      </c>
      <c r="Z23" s="155">
        <f t="shared" si="1"/>
        <v>0</v>
      </c>
    </row>
    <row r="24" spans="1:96" ht="15" customHeight="1" x14ac:dyDescent="0.2">
      <c r="A24" s="1558"/>
      <c r="B24" s="733" t="str">
        <f xml:space="preserve"> CONCATENATE(Расчёт!B18)</f>
        <v>МЯСО ПТИЦЫ</v>
      </c>
      <c r="C24" s="613" t="s">
        <v>163</v>
      </c>
      <c r="D24" s="1241">
        <f>Цены!D24</f>
        <v>0</v>
      </c>
      <c r="E24" s="662">
        <v>0</v>
      </c>
      <c r="F24" s="662">
        <v>0</v>
      </c>
      <c r="G24" s="734">
        <v>0</v>
      </c>
      <c r="H24" s="509">
        <f>Расчёт!G18</f>
        <v>0</v>
      </c>
      <c r="I24" s="510">
        <f>Расчёт!H18</f>
        <v>0</v>
      </c>
      <c r="J24" s="511">
        <f>Расчёт!I18</f>
        <v>0</v>
      </c>
      <c r="K24" s="512">
        <f t="shared" si="2"/>
        <v>0</v>
      </c>
      <c r="L24" s="137"/>
      <c r="M24" s="137"/>
      <c r="N24" s="137"/>
      <c r="O24" s="137"/>
      <c r="P24" s="137"/>
      <c r="V24" s="154">
        <f t="shared" si="0"/>
        <v>0</v>
      </c>
      <c r="Z24" s="155">
        <f t="shared" si="1"/>
        <v>0</v>
      </c>
    </row>
    <row r="25" spans="1:96" ht="15" customHeight="1" x14ac:dyDescent="0.2">
      <c r="A25" s="1558"/>
      <c r="B25" s="733" t="str">
        <f xml:space="preserve"> CONCATENATE(Расчёт!B19)</f>
        <v>КОЛБАСА</v>
      </c>
      <c r="C25" s="613" t="s">
        <v>163</v>
      </c>
      <c r="D25" s="1241">
        <f>Цены!D25</f>
        <v>0</v>
      </c>
      <c r="E25" s="662">
        <v>0</v>
      </c>
      <c r="F25" s="662">
        <v>0</v>
      </c>
      <c r="G25" s="734">
        <v>0</v>
      </c>
      <c r="H25" s="509">
        <f>Расчёт!G19</f>
        <v>0</v>
      </c>
      <c r="I25" s="510">
        <f>Расчёт!H19</f>
        <v>0</v>
      </c>
      <c r="J25" s="511">
        <f>Расчёт!I19</f>
        <v>0</v>
      </c>
      <c r="K25" s="512">
        <f t="shared" si="2"/>
        <v>0</v>
      </c>
      <c r="L25" s="137"/>
      <c r="M25" s="137"/>
      <c r="N25" s="137"/>
      <c r="O25" s="137"/>
      <c r="P25" s="137"/>
      <c r="V25" s="154">
        <f t="shared" si="0"/>
        <v>0</v>
      </c>
      <c r="Z25" s="155">
        <f t="shared" si="1"/>
        <v>0</v>
      </c>
    </row>
    <row r="26" spans="1:96" ht="15" customHeight="1" x14ac:dyDescent="0.2">
      <c r="A26" s="184"/>
      <c r="B26" s="733" t="str">
        <f xml:space="preserve"> CONCATENATE(Расчёт!B20)</f>
        <v>КОНСЕРВЫ МЯСНЫЕ</v>
      </c>
      <c r="C26" s="613" t="s">
        <v>163</v>
      </c>
      <c r="D26" s="1241">
        <f>Цены!D26</f>
        <v>0</v>
      </c>
      <c r="E26" s="662">
        <v>0</v>
      </c>
      <c r="F26" s="662">
        <v>0</v>
      </c>
      <c r="G26" s="734">
        <v>0</v>
      </c>
      <c r="H26" s="509">
        <f>Расчёт!G20</f>
        <v>0</v>
      </c>
      <c r="I26" s="510">
        <f>Расчёт!H20</f>
        <v>0</v>
      </c>
      <c r="J26" s="511">
        <f>Расчёт!I20</f>
        <v>0</v>
      </c>
      <c r="K26" s="512">
        <f t="shared" si="2"/>
        <v>0</v>
      </c>
      <c r="L26" s="137"/>
      <c r="M26" s="137"/>
      <c r="N26" s="137"/>
      <c r="O26" s="137"/>
      <c r="P26" s="137"/>
      <c r="V26" s="154">
        <f t="shared" si="0"/>
        <v>0</v>
      </c>
      <c r="Z26" s="155">
        <f t="shared" si="1"/>
        <v>0</v>
      </c>
    </row>
    <row r="27" spans="1:96" ht="15" customHeight="1" x14ac:dyDescent="0.2">
      <c r="A27" s="184"/>
      <c r="B27" s="733" t="str">
        <f xml:space="preserve"> CONCATENATE(Расчёт!B21)</f>
        <v>РЫБА БЕЗ ГОЛОВЫ/СЕЛЬДЬ С ГОЛ.</v>
      </c>
      <c r="C27" s="613" t="s">
        <v>163</v>
      </c>
      <c r="D27" s="1241">
        <f>Цены!D27</f>
        <v>0</v>
      </c>
      <c r="E27" s="662">
        <v>0</v>
      </c>
      <c r="F27" s="662">
        <v>0</v>
      </c>
      <c r="G27" s="734">
        <v>0</v>
      </c>
      <c r="H27" s="509">
        <f>Расчёт!G21</f>
        <v>0</v>
      </c>
      <c r="I27" s="510">
        <f>Расчёт!H21</f>
        <v>0</v>
      </c>
      <c r="J27" s="511">
        <f>Расчёт!I21</f>
        <v>0</v>
      </c>
      <c r="K27" s="512">
        <f t="shared" si="2"/>
        <v>0</v>
      </c>
      <c r="L27" s="137"/>
      <c r="M27" s="137"/>
      <c r="N27" s="137"/>
      <c r="O27" s="137"/>
      <c r="P27" s="137"/>
      <c r="V27" s="154">
        <f t="shared" si="0"/>
        <v>0</v>
      </c>
      <c r="Z27" s="155">
        <f t="shared" si="1"/>
        <v>0</v>
      </c>
    </row>
    <row r="28" spans="1:96" ht="15" customHeight="1" x14ac:dyDescent="0.2">
      <c r="A28" s="1558"/>
      <c r="B28" s="732" t="str">
        <f xml:space="preserve"> CONCATENATE(Расчёт!B22)</f>
        <v xml:space="preserve">КОНС. РЫБНЫЕ - КИЛЬКА В ТОМ. СОУСЕ  </v>
      </c>
      <c r="C28" s="613" t="s">
        <v>163</v>
      </c>
      <c r="D28" s="1241">
        <f>Цены!D28</f>
        <v>0</v>
      </c>
      <c r="E28" s="662">
        <v>0</v>
      </c>
      <c r="F28" s="662">
        <v>0</v>
      </c>
      <c r="G28" s="734">
        <v>0</v>
      </c>
      <c r="H28" s="509">
        <f>Расчёт!G22</f>
        <v>0</v>
      </c>
      <c r="I28" s="510">
        <f>Расчёт!H22</f>
        <v>0</v>
      </c>
      <c r="J28" s="511">
        <f>Расчёт!I22</f>
        <v>0</v>
      </c>
      <c r="K28" s="512">
        <f t="shared" si="2"/>
        <v>0</v>
      </c>
      <c r="L28" s="137"/>
      <c r="M28" s="137"/>
      <c r="N28" s="137"/>
      <c r="O28" s="137"/>
      <c r="P28" s="137"/>
      <c r="V28" s="154">
        <f t="shared" si="0"/>
        <v>0</v>
      </c>
      <c r="Z28" s="155">
        <f t="shared" si="1"/>
        <v>0</v>
      </c>
    </row>
    <row r="29" spans="1:96" ht="15" customHeight="1" x14ac:dyDescent="0.2">
      <c r="A29" s="1558"/>
      <c r="B29" s="733" t="str">
        <f xml:space="preserve"> CONCATENATE(Расчёт!B23)</f>
        <v>МАСЛО РАСТИТЕЛЬНОЕ</v>
      </c>
      <c r="C29" s="613" t="s">
        <v>163</v>
      </c>
      <c r="D29" s="1241">
        <f>Цены!D29</f>
        <v>0</v>
      </c>
      <c r="E29" s="662">
        <v>0</v>
      </c>
      <c r="F29" s="662">
        <v>0</v>
      </c>
      <c r="G29" s="734">
        <v>0</v>
      </c>
      <c r="H29" s="509">
        <f>Расчёт!G23</f>
        <v>0</v>
      </c>
      <c r="I29" s="510">
        <f>Расчёт!H23</f>
        <v>0</v>
      </c>
      <c r="J29" s="511">
        <f>Расчёт!I23</f>
        <v>0</v>
      </c>
      <c r="K29" s="512">
        <f t="shared" si="2"/>
        <v>0</v>
      </c>
      <c r="L29" s="137"/>
      <c r="M29" s="137"/>
      <c r="N29" s="137"/>
      <c r="O29" s="137"/>
      <c r="P29" s="137"/>
      <c r="V29" s="154">
        <f t="shared" si="0"/>
        <v>0</v>
      </c>
      <c r="Z29" s="155">
        <f t="shared" si="1"/>
        <v>0</v>
      </c>
    </row>
    <row r="30" spans="1:96" ht="15" customHeight="1" x14ac:dyDescent="0.2">
      <c r="A30" s="1558"/>
      <c r="B30" s="733" t="str">
        <f xml:space="preserve"> CONCATENATE(Расчёт!B24)</f>
        <v>МАСЛО КОРОВЬЕ</v>
      </c>
      <c r="C30" s="613" t="s">
        <v>163</v>
      </c>
      <c r="D30" s="1241">
        <f>Цены!D30</f>
        <v>0</v>
      </c>
      <c r="E30" s="662">
        <v>0</v>
      </c>
      <c r="F30" s="662">
        <v>0</v>
      </c>
      <c r="G30" s="734">
        <v>0</v>
      </c>
      <c r="H30" s="509">
        <f>Расчёт!G24</f>
        <v>0</v>
      </c>
      <c r="I30" s="510">
        <f>Расчёт!H24</f>
        <v>0</v>
      </c>
      <c r="J30" s="511">
        <f>Расчёт!I24</f>
        <v>0</v>
      </c>
      <c r="K30" s="512">
        <f t="shared" si="2"/>
        <v>0</v>
      </c>
      <c r="L30" s="137"/>
      <c r="M30" s="137"/>
      <c r="N30" s="137"/>
      <c r="O30" s="137"/>
      <c r="P30" s="137"/>
      <c r="V30" s="154">
        <f t="shared" si="0"/>
        <v>0</v>
      </c>
      <c r="Z30" s="155">
        <f t="shared" si="1"/>
        <v>0</v>
      </c>
    </row>
    <row r="31" spans="1:96" ht="15" customHeight="1" x14ac:dyDescent="0.2">
      <c r="B31" s="733" t="str">
        <f xml:space="preserve"> CONCATENATE(Расчёт!B25)</f>
        <v>ЖИРЫ ЖИВОТНЫЕ</v>
      </c>
      <c r="C31" s="613" t="s">
        <v>163</v>
      </c>
      <c r="D31" s="1241">
        <f>Цены!D31</f>
        <v>0</v>
      </c>
      <c r="E31" s="662">
        <v>0</v>
      </c>
      <c r="F31" s="662">
        <v>0</v>
      </c>
      <c r="G31" s="734">
        <v>0</v>
      </c>
      <c r="H31" s="509">
        <f>Расчёт!G25</f>
        <v>0</v>
      </c>
      <c r="I31" s="510">
        <f>Расчёт!H25</f>
        <v>0</v>
      </c>
      <c r="J31" s="511">
        <f>Расчёт!I25</f>
        <v>0</v>
      </c>
      <c r="K31" s="512">
        <f t="shared" si="2"/>
        <v>0</v>
      </c>
      <c r="L31" s="137"/>
      <c r="M31" s="137"/>
      <c r="N31" s="137"/>
      <c r="O31" s="137"/>
      <c r="P31" s="137"/>
      <c r="V31" s="154">
        <f t="shared" si="0"/>
        <v>0</v>
      </c>
      <c r="Z31" s="155">
        <f t="shared" si="1"/>
        <v>0</v>
      </c>
    </row>
    <row r="32" spans="1:96" ht="15" customHeight="1" x14ac:dyDescent="0.2">
      <c r="B32" s="733" t="str">
        <f xml:space="preserve"> CONCATENATE(Расчёт!B26)</f>
        <v>МОЛОКО СВЕЖЕЕ</v>
      </c>
      <c r="C32" s="613" t="s">
        <v>163</v>
      </c>
      <c r="D32" s="1241">
        <f>Цены!D32</f>
        <v>0</v>
      </c>
      <c r="E32" s="662">
        <v>0</v>
      </c>
      <c r="F32" s="662">
        <v>0</v>
      </c>
      <c r="G32" s="734">
        <v>0</v>
      </c>
      <c r="H32" s="509">
        <f>Расчёт!G26</f>
        <v>0</v>
      </c>
      <c r="I32" s="510">
        <f>Расчёт!H26</f>
        <v>0</v>
      </c>
      <c r="J32" s="511">
        <f>Расчёт!I26</f>
        <v>0</v>
      </c>
      <c r="K32" s="512">
        <f t="shared" si="2"/>
        <v>0</v>
      </c>
      <c r="L32" s="137"/>
      <c r="M32" s="137"/>
      <c r="N32" s="137"/>
      <c r="O32" s="137"/>
      <c r="P32" s="137"/>
      <c r="V32" s="154">
        <f t="shared" si="0"/>
        <v>0</v>
      </c>
      <c r="Z32" s="155">
        <f t="shared" si="1"/>
        <v>0</v>
      </c>
    </row>
    <row r="33" spans="1:26" ht="15" customHeight="1" x14ac:dyDescent="0.2">
      <c r="B33" s="733" t="str">
        <f xml:space="preserve"> CONCATENATE(Расчёт!B27)</f>
        <v>СМЕТАНА</v>
      </c>
      <c r="C33" s="613" t="s">
        <v>163</v>
      </c>
      <c r="D33" s="1241">
        <f>Цены!D33</f>
        <v>0</v>
      </c>
      <c r="E33" s="662">
        <v>0</v>
      </c>
      <c r="F33" s="662">
        <v>0</v>
      </c>
      <c r="G33" s="734">
        <v>0</v>
      </c>
      <c r="H33" s="509">
        <f>Расчёт!G27</f>
        <v>0</v>
      </c>
      <c r="I33" s="510">
        <f>Расчёт!H27</f>
        <v>0</v>
      </c>
      <c r="J33" s="511">
        <f>Расчёт!I27</f>
        <v>0</v>
      </c>
      <c r="K33" s="512">
        <f t="shared" si="2"/>
        <v>0</v>
      </c>
      <c r="L33" s="137"/>
      <c r="M33" s="137"/>
      <c r="N33" s="137"/>
      <c r="O33" s="137"/>
      <c r="P33" s="137"/>
      <c r="V33" s="154">
        <f t="shared" si="0"/>
        <v>0</v>
      </c>
      <c r="Z33" s="155">
        <f t="shared" si="1"/>
        <v>0</v>
      </c>
    </row>
    <row r="34" spans="1:26" ht="15" customHeight="1" x14ac:dyDescent="0.2">
      <c r="B34" s="733" t="str">
        <f xml:space="preserve"> CONCATENATE(Расчёт!B28)</f>
        <v>ТВОРОГ</v>
      </c>
      <c r="C34" s="613" t="s">
        <v>163</v>
      </c>
      <c r="D34" s="1241">
        <f>Цены!D34</f>
        <v>0</v>
      </c>
      <c r="E34" s="662">
        <v>0</v>
      </c>
      <c r="F34" s="662">
        <v>0</v>
      </c>
      <c r="G34" s="734">
        <v>0</v>
      </c>
      <c r="H34" s="509">
        <f>Расчёт!G28</f>
        <v>0</v>
      </c>
      <c r="I34" s="510">
        <f>Расчёт!H28</f>
        <v>0</v>
      </c>
      <c r="J34" s="511">
        <f>Расчёт!I28</f>
        <v>0</v>
      </c>
      <c r="K34" s="512">
        <f t="shared" si="2"/>
        <v>0</v>
      </c>
      <c r="L34" s="137"/>
      <c r="M34" s="137"/>
      <c r="N34" s="137"/>
      <c r="O34" s="137"/>
      <c r="P34" s="137"/>
      <c r="V34" s="154">
        <f t="shared" si="0"/>
        <v>0</v>
      </c>
      <c r="Z34" s="155">
        <f t="shared" si="1"/>
        <v>0</v>
      </c>
    </row>
    <row r="35" spans="1:26" ht="15" customHeight="1" x14ac:dyDescent="0.2">
      <c r="B35" s="733" t="str">
        <f xml:space="preserve"> CONCATENATE(Расчёт!B29)</f>
        <v>МОЛОКО СУХОЕ</v>
      </c>
      <c r="C35" s="613" t="s">
        <v>163</v>
      </c>
      <c r="D35" s="1241">
        <f>Цены!D35</f>
        <v>0</v>
      </c>
      <c r="E35" s="662">
        <v>0</v>
      </c>
      <c r="F35" s="662">
        <v>0</v>
      </c>
      <c r="G35" s="734">
        <v>0</v>
      </c>
      <c r="H35" s="509">
        <f>Расчёт!G29</f>
        <v>0</v>
      </c>
      <c r="I35" s="510">
        <f>Расчёт!H29</f>
        <v>0</v>
      </c>
      <c r="J35" s="511">
        <f>Расчёт!I29</f>
        <v>0</v>
      </c>
      <c r="K35" s="512">
        <f t="shared" si="2"/>
        <v>0</v>
      </c>
      <c r="L35" s="137"/>
      <c r="M35" s="137"/>
      <c r="N35" s="137"/>
      <c r="O35" s="137"/>
      <c r="P35" s="137"/>
      <c r="V35" s="154">
        <f t="shared" si="0"/>
        <v>0</v>
      </c>
      <c r="Z35" s="155">
        <f t="shared" si="1"/>
        <v>0</v>
      </c>
    </row>
    <row r="36" spans="1:26" ht="15" customHeight="1" x14ac:dyDescent="0.2">
      <c r="B36" s="733" t="str">
        <f xml:space="preserve"> CONCATENATE(Расчёт!B30)</f>
        <v>СЫР ПЛАВЛЕНЫЙ</v>
      </c>
      <c r="C36" s="613" t="s">
        <v>163</v>
      </c>
      <c r="D36" s="1241">
        <f>Цены!D36</f>
        <v>0</v>
      </c>
      <c r="E36" s="662">
        <v>0</v>
      </c>
      <c r="F36" s="662">
        <v>0</v>
      </c>
      <c r="G36" s="734">
        <v>0</v>
      </c>
      <c r="H36" s="568">
        <f>Расчёт!G30</f>
        <v>0</v>
      </c>
      <c r="I36" s="533">
        <f>Расчёт!H30</f>
        <v>0</v>
      </c>
      <c r="J36" s="569">
        <f>Расчёт!I30</f>
        <v>0</v>
      </c>
      <c r="K36" s="512">
        <f t="shared" si="2"/>
        <v>0</v>
      </c>
      <c r="L36" s="137"/>
      <c r="M36" s="137"/>
      <c r="N36" s="137"/>
      <c r="O36" s="137"/>
      <c r="P36" s="137"/>
      <c r="V36" s="154">
        <f t="shared" si="0"/>
        <v>0</v>
      </c>
      <c r="Z36" s="155">
        <f t="shared" si="1"/>
        <v>0</v>
      </c>
    </row>
    <row r="37" spans="1:26" ht="15" customHeight="1" x14ac:dyDescent="0.2">
      <c r="A37" s="239"/>
      <c r="B37" s="733" t="str">
        <f xml:space="preserve"> CONCATENATE(Расчёт!B31)</f>
        <v>ЯЙЦА КУРИНЫЕ</v>
      </c>
      <c r="C37" s="613" t="str">
        <f>IF('Блок ввода'!G32=TRUE,"кг.","шт.")</f>
        <v>шт.</v>
      </c>
      <c r="D37" s="1241">
        <f>Цены!D37</f>
        <v>0</v>
      </c>
      <c r="E37" s="662">
        <v>0</v>
      </c>
      <c r="F37" s="662">
        <v>0</v>
      </c>
      <c r="G37" s="734">
        <v>0</v>
      </c>
      <c r="H37" s="735">
        <f>Расчёт!G31</f>
        <v>0</v>
      </c>
      <c r="I37" s="559">
        <f>Расчёт!H31</f>
        <v>0</v>
      </c>
      <c r="J37" s="616">
        <f>Расчёт!I31</f>
        <v>0</v>
      </c>
      <c r="K37" s="642">
        <f>SUM(E37:J37)</f>
        <v>0</v>
      </c>
      <c r="L37" s="137"/>
      <c r="M37" s="137"/>
      <c r="N37" s="137"/>
      <c r="O37" s="137"/>
      <c r="P37" s="137"/>
      <c r="V37" s="154">
        <f t="shared" si="0"/>
        <v>0</v>
      </c>
      <c r="Z37" s="155">
        <f t="shared" si="1"/>
        <v>0</v>
      </c>
    </row>
    <row r="38" spans="1:26" ht="15" customHeight="1" x14ac:dyDescent="0.2">
      <c r="B38" s="736" t="str">
        <f xml:space="preserve"> CONCATENATE(Расчёт!B32)</f>
        <v>САХАР</v>
      </c>
      <c r="C38" s="618" t="s">
        <v>163</v>
      </c>
      <c r="D38" s="1241">
        <f>Цены!D38</f>
        <v>0</v>
      </c>
      <c r="E38" s="662">
        <v>0</v>
      </c>
      <c r="F38" s="662">
        <v>0</v>
      </c>
      <c r="G38" s="734">
        <v>0</v>
      </c>
      <c r="H38" s="494">
        <f>Расчёт!G32</f>
        <v>0</v>
      </c>
      <c r="I38" s="495">
        <f>Расчёт!H32</f>
        <v>0</v>
      </c>
      <c r="J38" s="496">
        <f>Расчёт!I32</f>
        <v>0</v>
      </c>
      <c r="K38" s="692">
        <f t="shared" si="2"/>
        <v>0</v>
      </c>
      <c r="L38" s="137"/>
      <c r="M38" s="137"/>
      <c r="N38" s="137"/>
      <c r="O38" s="137"/>
      <c r="P38" s="137"/>
      <c r="V38" s="154">
        <f t="shared" si="0"/>
        <v>0</v>
      </c>
      <c r="Z38" s="155">
        <f t="shared" si="1"/>
        <v>0</v>
      </c>
    </row>
    <row r="39" spans="1:26" ht="15" customHeight="1" x14ac:dyDescent="0.2">
      <c r="B39" s="736" t="str">
        <f xml:space="preserve"> CONCATENATE(Расчёт!B33)</f>
        <v>СОЛЬ ПИЩЕВАЯ</v>
      </c>
      <c r="C39" s="618" t="s">
        <v>163</v>
      </c>
      <c r="D39" s="1241">
        <f>Цены!D39</f>
        <v>0</v>
      </c>
      <c r="E39" s="662">
        <v>0</v>
      </c>
      <c r="F39" s="662">
        <v>0</v>
      </c>
      <c r="G39" s="734">
        <v>0</v>
      </c>
      <c r="H39" s="494">
        <f>Расчёт!G33</f>
        <v>0</v>
      </c>
      <c r="I39" s="495">
        <f>Расчёт!H33</f>
        <v>0</v>
      </c>
      <c r="J39" s="496">
        <f>Расчёт!I33</f>
        <v>0</v>
      </c>
      <c r="K39" s="692">
        <f t="shared" si="2"/>
        <v>0</v>
      </c>
      <c r="L39" s="137"/>
      <c r="M39" s="137"/>
      <c r="N39" s="137"/>
      <c r="O39" s="137"/>
      <c r="P39" s="137"/>
      <c r="V39" s="154">
        <f t="shared" si="0"/>
        <v>0</v>
      </c>
      <c r="Z39" s="155">
        <f t="shared" si="1"/>
        <v>0</v>
      </c>
    </row>
    <row r="40" spans="1:26" ht="15" customHeight="1" x14ac:dyDescent="0.2">
      <c r="B40" s="736" t="str">
        <f xml:space="preserve"> CONCATENATE(Расчёт!B34)</f>
        <v>ЧАЙ</v>
      </c>
      <c r="C40" s="618" t="s">
        <v>163</v>
      </c>
      <c r="D40" s="1241">
        <f>Цены!D40</f>
        <v>0</v>
      </c>
      <c r="E40" s="662">
        <v>0</v>
      </c>
      <c r="F40" s="662">
        <v>0</v>
      </c>
      <c r="G40" s="734">
        <v>0</v>
      </c>
      <c r="H40" s="645">
        <f>Расчёт!G34</f>
        <v>0</v>
      </c>
      <c r="I40" s="545">
        <f>Расчёт!H34</f>
        <v>0</v>
      </c>
      <c r="J40" s="619">
        <f>Расчёт!I34</f>
        <v>0</v>
      </c>
      <c r="K40" s="547">
        <f t="shared" si="2"/>
        <v>0</v>
      </c>
      <c r="L40" s="137"/>
      <c r="M40" s="137"/>
      <c r="N40" s="137"/>
      <c r="O40" s="137"/>
      <c r="P40" s="137"/>
      <c r="V40" s="154">
        <f t="shared" si="0"/>
        <v>0</v>
      </c>
      <c r="Z40" s="155">
        <f t="shared" si="1"/>
        <v>0</v>
      </c>
    </row>
    <row r="41" spans="1:26" ht="15" customHeight="1" x14ac:dyDescent="0.2">
      <c r="B41" s="736" t="str">
        <f xml:space="preserve"> CONCATENATE(Расчёт!B35)</f>
        <v>КОФЕ НАТУРАЛЬНЫЙ</v>
      </c>
      <c r="C41" s="618" t="s">
        <v>163</v>
      </c>
      <c r="D41" s="1241">
        <f>Цены!D41</f>
        <v>0</v>
      </c>
      <c r="E41" s="662">
        <v>0</v>
      </c>
      <c r="F41" s="662">
        <v>0</v>
      </c>
      <c r="G41" s="734">
        <v>0</v>
      </c>
      <c r="H41" s="645">
        <f>Расчёт!G35</f>
        <v>0</v>
      </c>
      <c r="I41" s="545">
        <f>Расчёт!H35</f>
        <v>0</v>
      </c>
      <c r="J41" s="619">
        <f>Расчёт!I35</f>
        <v>0</v>
      </c>
      <c r="K41" s="646">
        <f t="shared" si="2"/>
        <v>0</v>
      </c>
      <c r="L41" s="137"/>
      <c r="M41" s="137"/>
      <c r="N41" s="137"/>
      <c r="O41" s="137"/>
      <c r="P41" s="137"/>
      <c r="V41" s="154">
        <f t="shared" si="0"/>
        <v>0</v>
      </c>
      <c r="Z41" s="155">
        <f t="shared" si="1"/>
        <v>0</v>
      </c>
    </row>
    <row r="42" spans="1:26" ht="15" customHeight="1" x14ac:dyDescent="0.2">
      <c r="B42" s="736" t="str">
        <f xml:space="preserve"> CONCATENATE(Расчёт!B36)</f>
        <v>КОФЕЙНЫЙ НАПИТОК</v>
      </c>
      <c r="C42" s="618" t="s">
        <v>163</v>
      </c>
      <c r="D42" s="1241">
        <f>Цены!D42</f>
        <v>0</v>
      </c>
      <c r="E42" s="662">
        <v>0</v>
      </c>
      <c r="F42" s="662">
        <v>0</v>
      </c>
      <c r="G42" s="734">
        <v>0</v>
      </c>
      <c r="H42" s="645">
        <f>Расчёт!G36</f>
        <v>0</v>
      </c>
      <c r="I42" s="545">
        <f>Расчёт!H36</f>
        <v>0</v>
      </c>
      <c r="J42" s="619">
        <f>Расчёт!I36</f>
        <v>0</v>
      </c>
      <c r="K42" s="646">
        <f t="shared" si="2"/>
        <v>0</v>
      </c>
      <c r="L42" s="137"/>
      <c r="M42" s="137"/>
      <c r="N42" s="137"/>
      <c r="O42" s="137"/>
      <c r="P42" s="137"/>
      <c r="V42" s="154"/>
      <c r="Z42" s="155">
        <f t="shared" si="1"/>
        <v>0</v>
      </c>
    </row>
    <row r="43" spans="1:26" ht="15" customHeight="1" x14ac:dyDescent="0.2">
      <c r="B43" s="736" t="str">
        <f xml:space="preserve"> CONCATENATE(Расчёт!B37)</f>
        <v>ЛАВРОВЫЙ ЛИСТ</v>
      </c>
      <c r="C43" s="618" t="s">
        <v>163</v>
      </c>
      <c r="D43" s="1241">
        <f>Цены!D43</f>
        <v>0</v>
      </c>
      <c r="E43" s="662">
        <v>0</v>
      </c>
      <c r="F43" s="662">
        <v>0</v>
      </c>
      <c r="G43" s="734">
        <v>0</v>
      </c>
      <c r="H43" s="645">
        <f>Расчёт!G37</f>
        <v>0</v>
      </c>
      <c r="I43" s="545">
        <f>Расчёт!H37</f>
        <v>0</v>
      </c>
      <c r="J43" s="619">
        <f>Расчёт!I37</f>
        <v>0</v>
      </c>
      <c r="K43" s="646">
        <f t="shared" si="2"/>
        <v>0</v>
      </c>
      <c r="L43" s="137"/>
      <c r="M43" s="137"/>
      <c r="N43" s="137"/>
      <c r="O43" s="137"/>
      <c r="P43" s="137"/>
      <c r="V43" s="154">
        <f t="shared" si="0"/>
        <v>0</v>
      </c>
      <c r="Z43" s="155">
        <f t="shared" si="1"/>
        <v>0</v>
      </c>
    </row>
    <row r="44" spans="1:26" ht="15" customHeight="1" x14ac:dyDescent="0.2">
      <c r="B44" s="736" t="str">
        <f xml:space="preserve"> CONCATENATE(Расчёт!B38)</f>
        <v>ПЕРЕЦ</v>
      </c>
      <c r="C44" s="618" t="s">
        <v>163</v>
      </c>
      <c r="D44" s="1241">
        <f>Цены!D44</f>
        <v>0</v>
      </c>
      <c r="E44" s="662">
        <v>0</v>
      </c>
      <c r="F44" s="662">
        <v>0</v>
      </c>
      <c r="G44" s="734">
        <v>0</v>
      </c>
      <c r="H44" s="645">
        <f>Расчёт!G38</f>
        <v>0</v>
      </c>
      <c r="I44" s="545">
        <f>Расчёт!H38</f>
        <v>0</v>
      </c>
      <c r="J44" s="619">
        <f>Расчёт!I38</f>
        <v>0</v>
      </c>
      <c r="K44" s="646">
        <f t="shared" si="2"/>
        <v>0</v>
      </c>
      <c r="L44" s="137"/>
      <c r="M44" s="137"/>
      <c r="N44" s="137"/>
      <c r="O44" s="137"/>
      <c r="P44" s="137"/>
      <c r="V44" s="154">
        <f t="shared" si="0"/>
        <v>0</v>
      </c>
      <c r="Z44" s="155">
        <f t="shared" si="1"/>
        <v>0</v>
      </c>
    </row>
    <row r="45" spans="1:26" ht="15" customHeight="1" x14ac:dyDescent="0.2">
      <c r="B45" s="736" t="str">
        <f xml:space="preserve"> CONCATENATE(Расчёт!B39)</f>
        <v>ГОРЧИЧНЫЙ ПОРОШОК</v>
      </c>
      <c r="C45" s="618" t="s">
        <v>163</v>
      </c>
      <c r="D45" s="1241">
        <f>Цены!D45</f>
        <v>0</v>
      </c>
      <c r="E45" s="662">
        <v>0</v>
      </c>
      <c r="F45" s="662">
        <v>0</v>
      </c>
      <c r="G45" s="734">
        <v>0</v>
      </c>
      <c r="H45" s="645">
        <f>Расчёт!G39</f>
        <v>0</v>
      </c>
      <c r="I45" s="545">
        <f>Расчёт!H39</f>
        <v>0</v>
      </c>
      <c r="J45" s="619">
        <f>Расчёт!I39</f>
        <v>0</v>
      </c>
      <c r="K45" s="646">
        <f t="shared" si="2"/>
        <v>0</v>
      </c>
      <c r="L45" s="137"/>
      <c r="M45" s="137"/>
      <c r="N45" s="137"/>
      <c r="O45" s="137"/>
      <c r="P45" s="137"/>
      <c r="V45" s="154">
        <f t="shared" si="0"/>
        <v>0</v>
      </c>
      <c r="Z45" s="155">
        <f t="shared" si="1"/>
        <v>0</v>
      </c>
    </row>
    <row r="46" spans="1:26" ht="15" customHeight="1" x14ac:dyDescent="0.2">
      <c r="B46" s="736" t="str">
        <f xml:space="preserve"> CONCATENATE(Расчёт!B40)</f>
        <v>УКСУС</v>
      </c>
      <c r="C46" s="618" t="s">
        <v>163</v>
      </c>
      <c r="D46" s="1241">
        <f>Цены!D46</f>
        <v>0</v>
      </c>
      <c r="E46" s="662">
        <v>0</v>
      </c>
      <c r="F46" s="662">
        <v>0</v>
      </c>
      <c r="G46" s="734">
        <v>0</v>
      </c>
      <c r="H46" s="645">
        <f>Расчёт!G40</f>
        <v>0</v>
      </c>
      <c r="I46" s="545">
        <f>Расчёт!H40</f>
        <v>0</v>
      </c>
      <c r="J46" s="619">
        <f>Расчёт!I40</f>
        <v>0</v>
      </c>
      <c r="K46" s="646">
        <f t="shared" si="2"/>
        <v>0</v>
      </c>
      <c r="L46" s="137"/>
      <c r="M46" s="137"/>
      <c r="N46" s="137"/>
      <c r="O46" s="137"/>
      <c r="P46" s="137"/>
      <c r="V46" s="154">
        <f t="shared" si="0"/>
        <v>0</v>
      </c>
      <c r="Z46" s="155">
        <f t="shared" si="1"/>
        <v>0</v>
      </c>
    </row>
    <row r="47" spans="1:26" ht="15" customHeight="1" x14ac:dyDescent="0.2">
      <c r="B47" s="736" t="str">
        <f xml:space="preserve"> CONCATENATE(Расчёт!B41)</f>
        <v>ТОМАТНАЯ ПАСТА</v>
      </c>
      <c r="C47" s="618" t="s">
        <v>163</v>
      </c>
      <c r="D47" s="1241">
        <f>Цены!D47</f>
        <v>0</v>
      </c>
      <c r="E47" s="662">
        <v>0</v>
      </c>
      <c r="F47" s="662">
        <v>0</v>
      </c>
      <c r="G47" s="734">
        <v>0</v>
      </c>
      <c r="H47" s="645">
        <f>Расчёт!G41</f>
        <v>0</v>
      </c>
      <c r="I47" s="545">
        <f>Расчёт!H41</f>
        <v>0</v>
      </c>
      <c r="J47" s="619">
        <f>Расчёт!I41</f>
        <v>0</v>
      </c>
      <c r="K47" s="646">
        <f t="shared" si="2"/>
        <v>0</v>
      </c>
      <c r="L47" s="137"/>
      <c r="M47" s="137"/>
      <c r="N47" s="137"/>
      <c r="O47" s="137"/>
      <c r="P47" s="137"/>
      <c r="V47" s="154">
        <f t="shared" si="0"/>
        <v>0</v>
      </c>
      <c r="Z47" s="155">
        <f t="shared" si="1"/>
        <v>0</v>
      </c>
    </row>
    <row r="48" spans="1:26" ht="15" customHeight="1" x14ac:dyDescent="0.2">
      <c r="B48" s="736" t="str">
        <f xml:space="preserve"> CONCATENATE(Расчёт!B42)</f>
        <v>КАРАМЕЛЬ</v>
      </c>
      <c r="C48" s="618" t="s">
        <v>163</v>
      </c>
      <c r="D48" s="1241">
        <f>Цены!D48</f>
        <v>0</v>
      </c>
      <c r="E48" s="662">
        <v>0</v>
      </c>
      <c r="F48" s="662">
        <v>0</v>
      </c>
      <c r="G48" s="734">
        <v>0</v>
      </c>
      <c r="H48" s="645">
        <f>Расчёт!G42+IF(AND(X1=7,'Блок ввода'!Z26=1),X2,0)</f>
        <v>0</v>
      </c>
      <c r="I48" s="545">
        <f>Расчёт!H42</f>
        <v>0</v>
      </c>
      <c r="J48" s="619">
        <f>Расчёт!I42+IF(AND(X1=8,'Блок ввода'!Z26=1),X2,0)</f>
        <v>0</v>
      </c>
      <c r="K48" s="646">
        <f t="shared" si="2"/>
        <v>0</v>
      </c>
      <c r="L48" s="137"/>
      <c r="M48" s="137"/>
      <c r="N48" s="137"/>
      <c r="O48" s="137"/>
      <c r="P48" s="137"/>
      <c r="V48" s="154">
        <f t="shared" si="0"/>
        <v>0</v>
      </c>
      <c r="Z48" s="155">
        <f t="shared" si="1"/>
        <v>0</v>
      </c>
    </row>
    <row r="49" spans="1:26" ht="15" customHeight="1" x14ac:dyDescent="0.2">
      <c r="B49" s="736" t="str">
        <f xml:space="preserve"> CONCATENATE(Расчёт!B43)</f>
        <v>ЖЕЛАТИН</v>
      </c>
      <c r="C49" s="618" t="s">
        <v>163</v>
      </c>
      <c r="D49" s="1241">
        <f>Цены!D49</f>
        <v>0</v>
      </c>
      <c r="E49" s="662">
        <v>0</v>
      </c>
      <c r="F49" s="662">
        <v>0</v>
      </c>
      <c r="G49" s="734">
        <v>0</v>
      </c>
      <c r="H49" s="645">
        <f>Расчёт!G43</f>
        <v>0</v>
      </c>
      <c r="I49" s="545">
        <f>Расчёт!H43</f>
        <v>0</v>
      </c>
      <c r="J49" s="619">
        <f>Расчёт!I43</f>
        <v>0</v>
      </c>
      <c r="K49" s="646">
        <f t="shared" si="2"/>
        <v>0</v>
      </c>
      <c r="L49" s="137"/>
      <c r="M49" s="137"/>
      <c r="N49" s="137"/>
      <c r="O49" s="137"/>
      <c r="P49" s="137"/>
      <c r="V49" s="154">
        <f t="shared" si="0"/>
        <v>0</v>
      </c>
      <c r="Z49" s="155">
        <f t="shared" si="1"/>
        <v>0</v>
      </c>
    </row>
    <row r="50" spans="1:26" ht="15" customHeight="1" thickBot="1" x14ac:dyDescent="0.25">
      <c r="A50" s="239"/>
      <c r="B50" s="737" t="str">
        <f xml:space="preserve"> CONCATENATE(Расчёт!B44)</f>
        <v>ДРОЖЖИ ПРЕСОВАННЫЕ</v>
      </c>
      <c r="C50" s="647" t="s">
        <v>163</v>
      </c>
      <c r="D50" s="1245">
        <f>Цены!D50</f>
        <v>0</v>
      </c>
      <c r="E50" s="663">
        <v>0</v>
      </c>
      <c r="F50" s="663">
        <v>0</v>
      </c>
      <c r="G50" s="728">
        <v>0</v>
      </c>
      <c r="H50" s="649">
        <f>Расчёт!G44</f>
        <v>0</v>
      </c>
      <c r="I50" s="551">
        <f>Расчёт!H44</f>
        <v>0</v>
      </c>
      <c r="J50" s="738">
        <f>Расчёт!I44</f>
        <v>0</v>
      </c>
      <c r="K50" s="739">
        <f t="shared" si="2"/>
        <v>0</v>
      </c>
      <c r="L50" s="137"/>
      <c r="M50" s="137"/>
      <c r="N50" s="137"/>
      <c r="O50" s="137"/>
      <c r="P50" s="137"/>
      <c r="V50" s="154">
        <f t="shared" si="0"/>
        <v>0</v>
      </c>
      <c r="Z50" s="155">
        <f t="shared" si="1"/>
        <v>0</v>
      </c>
    </row>
    <row r="51" spans="1:26" ht="15" customHeight="1" x14ac:dyDescent="0.2">
      <c r="B51" s="740" t="str">
        <f xml:space="preserve"> CONCATENATE(Расчёт!B45)</f>
        <v>КАРТОФЕЛЬ</v>
      </c>
      <c r="C51" s="1248" t="s">
        <v>163</v>
      </c>
      <c r="D51" s="165">
        <f>Цены!D51</f>
        <v>0</v>
      </c>
      <c r="E51" s="604">
        <v>0</v>
      </c>
      <c r="F51" s="604">
        <v>0</v>
      </c>
      <c r="G51" s="1228">
        <v>0</v>
      </c>
      <c r="H51" s="742">
        <f>Расчёт!G45</f>
        <v>0</v>
      </c>
      <c r="I51" s="743">
        <f>Расчёт!H45</f>
        <v>0</v>
      </c>
      <c r="J51" s="744">
        <f>Расчёт!I45</f>
        <v>0</v>
      </c>
      <c r="K51" s="652">
        <f t="shared" si="2"/>
        <v>0</v>
      </c>
      <c r="L51" s="137"/>
      <c r="M51" s="137"/>
      <c r="N51" s="137"/>
      <c r="O51" s="137"/>
      <c r="P51" s="137"/>
      <c r="V51" s="154">
        <f t="shared" si="0"/>
        <v>0</v>
      </c>
      <c r="Z51" s="155">
        <f t="shared" si="1"/>
        <v>0</v>
      </c>
    </row>
    <row r="52" spans="1:26" ht="15" customHeight="1" x14ac:dyDescent="0.2">
      <c r="B52" s="730" t="str">
        <f xml:space="preserve"> CONCATENATE(Расчёт!B46)</f>
        <v xml:space="preserve">КАПУСТА  </v>
      </c>
      <c r="C52" s="1249" t="s">
        <v>163</v>
      </c>
      <c r="D52" s="1241">
        <f>Цены!D52</f>
        <v>0</v>
      </c>
      <c r="E52" s="662">
        <v>0</v>
      </c>
      <c r="F52" s="662">
        <v>0</v>
      </c>
      <c r="G52" s="729">
        <v>0</v>
      </c>
      <c r="H52" s="746">
        <f>Расчёт!G46</f>
        <v>0</v>
      </c>
      <c r="I52" s="747">
        <f>Расчёт!H46</f>
        <v>0</v>
      </c>
      <c r="J52" s="748">
        <f>Расчёт!I46</f>
        <v>0</v>
      </c>
      <c r="K52" s="653">
        <f t="shared" si="2"/>
        <v>0</v>
      </c>
      <c r="L52" s="137"/>
      <c r="M52" s="137"/>
      <c r="N52" s="137"/>
      <c r="O52" s="137"/>
      <c r="P52" s="137"/>
      <c r="V52" s="154">
        <f t="shared" si="0"/>
        <v>0</v>
      </c>
      <c r="Z52" s="155">
        <f t="shared" si="1"/>
        <v>0</v>
      </c>
    </row>
    <row r="53" spans="1:26" ht="15" customHeight="1" x14ac:dyDescent="0.2">
      <c r="B53" s="730" t="str">
        <f xml:space="preserve"> CONCATENATE(Расчёт!B47)</f>
        <v>СВЕКЛА СВЕЖАЯ</v>
      </c>
      <c r="C53" s="1249" t="s">
        <v>163</v>
      </c>
      <c r="D53" s="1241">
        <f>Цены!D53</f>
        <v>0</v>
      </c>
      <c r="E53" s="662">
        <v>0</v>
      </c>
      <c r="F53" s="662">
        <v>0</v>
      </c>
      <c r="G53" s="729">
        <v>0</v>
      </c>
      <c r="H53" s="746">
        <f>Расчёт!G47</f>
        <v>0</v>
      </c>
      <c r="I53" s="747">
        <f>Расчёт!H47</f>
        <v>0</v>
      </c>
      <c r="J53" s="748">
        <f>Расчёт!I47</f>
        <v>0</v>
      </c>
      <c r="K53" s="653">
        <f t="shared" si="2"/>
        <v>0</v>
      </c>
      <c r="L53" s="137"/>
      <c r="M53" s="137"/>
      <c r="N53" s="137"/>
      <c r="O53" s="137"/>
      <c r="P53" s="137"/>
      <c r="V53" s="154">
        <f t="shared" si="0"/>
        <v>0</v>
      </c>
      <c r="Z53" s="155">
        <f t="shared" si="1"/>
        <v>0</v>
      </c>
    </row>
    <row r="54" spans="1:26" ht="15" customHeight="1" x14ac:dyDescent="0.2">
      <c r="B54" s="730" t="str">
        <f xml:space="preserve"> CONCATENATE(Расчёт!B48)</f>
        <v>МОРКОВЬ</v>
      </c>
      <c r="C54" s="1249" t="s">
        <v>163</v>
      </c>
      <c r="D54" s="1241">
        <f>Цены!D54</f>
        <v>0</v>
      </c>
      <c r="E54" s="662">
        <v>0</v>
      </c>
      <c r="F54" s="662">
        <v>0</v>
      </c>
      <c r="G54" s="729">
        <v>0</v>
      </c>
      <c r="H54" s="746">
        <f>Расчёт!G48</f>
        <v>0</v>
      </c>
      <c r="I54" s="747">
        <f>Расчёт!H48</f>
        <v>0</v>
      </c>
      <c r="J54" s="748">
        <f>Расчёт!I48</f>
        <v>0</v>
      </c>
      <c r="K54" s="653">
        <f>SUM(E54:J54)</f>
        <v>0</v>
      </c>
      <c r="L54" s="137"/>
      <c r="M54" s="137"/>
      <c r="N54" s="137"/>
      <c r="O54" s="137"/>
      <c r="P54" s="137"/>
      <c r="V54" s="154">
        <f t="shared" si="0"/>
        <v>0</v>
      </c>
      <c r="Z54" s="155">
        <f t="shared" si="1"/>
        <v>0</v>
      </c>
    </row>
    <row r="55" spans="1:26" ht="15" customHeight="1" x14ac:dyDescent="0.2">
      <c r="B55" s="730" t="str">
        <f xml:space="preserve"> CONCATENATE(Расчёт!B49)</f>
        <v>ЛУК РЕПЧАТЫЙ</v>
      </c>
      <c r="C55" s="1249" t="s">
        <v>163</v>
      </c>
      <c r="D55" s="1241">
        <f>Цены!D55</f>
        <v>0</v>
      </c>
      <c r="E55" s="662">
        <v>0</v>
      </c>
      <c r="F55" s="662">
        <v>0</v>
      </c>
      <c r="G55" s="729">
        <v>0</v>
      </c>
      <c r="H55" s="746">
        <f>Расчёт!G49</f>
        <v>0</v>
      </c>
      <c r="I55" s="747">
        <f>Расчёт!H49</f>
        <v>0</v>
      </c>
      <c r="J55" s="748">
        <f>Расчёт!I49</f>
        <v>0</v>
      </c>
      <c r="K55" s="653">
        <f t="shared" si="2"/>
        <v>0</v>
      </c>
      <c r="L55" s="137"/>
      <c r="M55" s="137"/>
      <c r="N55" s="137"/>
      <c r="O55" s="137"/>
      <c r="P55" s="137"/>
      <c r="V55" s="154">
        <f t="shared" si="0"/>
        <v>0</v>
      </c>
      <c r="Z55" s="155">
        <f t="shared" si="1"/>
        <v>0</v>
      </c>
    </row>
    <row r="56" spans="1:26" ht="15" customHeight="1" x14ac:dyDescent="0.2">
      <c r="B56" s="730" t="str">
        <f xml:space="preserve"> CONCATENATE(Расчёт!B50)</f>
        <v>ОГУРЦЫ СОЛЕНЫЕ</v>
      </c>
      <c r="C56" s="1249" t="s">
        <v>163</v>
      </c>
      <c r="D56" s="1241">
        <f>Цены!D56</f>
        <v>0</v>
      </c>
      <c r="E56" s="662">
        <v>0</v>
      </c>
      <c r="F56" s="662">
        <v>0</v>
      </c>
      <c r="G56" s="729">
        <v>0</v>
      </c>
      <c r="H56" s="746">
        <f>Расчёт!G50</f>
        <v>0</v>
      </c>
      <c r="I56" s="749">
        <f>Расчёт!H50</f>
        <v>0</v>
      </c>
      <c r="J56" s="748">
        <f>Расчёт!I50</f>
        <v>0</v>
      </c>
      <c r="K56" s="512">
        <f t="shared" si="2"/>
        <v>0</v>
      </c>
      <c r="L56" s="137"/>
      <c r="M56" s="137"/>
      <c r="N56" s="137"/>
      <c r="O56" s="137"/>
      <c r="P56" s="137"/>
      <c r="V56" s="154">
        <f t="shared" si="0"/>
        <v>0</v>
      </c>
      <c r="Z56" s="155">
        <f t="shared" si="1"/>
        <v>0</v>
      </c>
    </row>
    <row r="57" spans="1:26" ht="15" customHeight="1" x14ac:dyDescent="0.2">
      <c r="B57" s="730" t="str">
        <f xml:space="preserve"> CONCATENATE(Расчёт!B51)</f>
        <v>ПОМИДОРЫ СОЛЁНЫЕ</v>
      </c>
      <c r="C57" s="1249" t="s">
        <v>163</v>
      </c>
      <c r="D57" s="1241">
        <f>Цены!D57</f>
        <v>0</v>
      </c>
      <c r="E57" s="662">
        <v>0</v>
      </c>
      <c r="F57" s="662">
        <v>0</v>
      </c>
      <c r="G57" s="729">
        <v>0</v>
      </c>
      <c r="H57" s="750">
        <f>Расчёт!G51</f>
        <v>0</v>
      </c>
      <c r="I57" s="749">
        <f>Расчёт!H51</f>
        <v>0</v>
      </c>
      <c r="J57" s="751">
        <f>Расчёт!I51</f>
        <v>0</v>
      </c>
      <c r="K57" s="512">
        <f t="shared" si="2"/>
        <v>0</v>
      </c>
      <c r="L57" s="137"/>
      <c r="M57" s="137"/>
      <c r="N57" s="137"/>
      <c r="O57" s="137"/>
      <c r="P57" s="137"/>
      <c r="V57" s="154">
        <f t="shared" si="0"/>
        <v>0</v>
      </c>
      <c r="Z57" s="155">
        <f t="shared" si="1"/>
        <v>0</v>
      </c>
    </row>
    <row r="58" spans="1:26" ht="15" customHeight="1" thickBot="1" x14ac:dyDescent="0.25">
      <c r="B58" s="731" t="str">
        <f xml:space="preserve"> CONCATENATE(Расчёт!B52)</f>
        <v>КАБАЧКИ</v>
      </c>
      <c r="C58" s="1250" t="s">
        <v>163</v>
      </c>
      <c r="D58" s="1245">
        <f>Цены!D58</f>
        <v>0</v>
      </c>
      <c r="E58" s="663">
        <v>0</v>
      </c>
      <c r="F58" s="663">
        <v>0</v>
      </c>
      <c r="G58" s="1229">
        <v>0</v>
      </c>
      <c r="H58" s="753">
        <f>Расчёт!G52</f>
        <v>0</v>
      </c>
      <c r="I58" s="754">
        <f>Расчёт!H52</f>
        <v>0</v>
      </c>
      <c r="J58" s="755">
        <f>Расчёт!I52</f>
        <v>0</v>
      </c>
      <c r="K58" s="520">
        <f>SUM(E58:J58)</f>
        <v>0</v>
      </c>
      <c r="L58" s="137"/>
      <c r="M58" s="137"/>
      <c r="N58" s="137"/>
      <c r="O58" s="137"/>
      <c r="P58" s="137"/>
      <c r="V58" s="154"/>
      <c r="Z58" s="155">
        <f t="shared" si="1"/>
        <v>0</v>
      </c>
    </row>
    <row r="59" spans="1:26" ht="15" customHeight="1" x14ac:dyDescent="0.2">
      <c r="B59" s="598" t="str">
        <f xml:space="preserve"> CONCATENATE(Расчёт!B53)</f>
        <v>ФРУКТЫ СУШЁНЫЕ</v>
      </c>
      <c r="C59" s="610" t="s">
        <v>163</v>
      </c>
      <c r="D59" s="165">
        <f>Цены!D59</f>
        <v>0</v>
      </c>
      <c r="E59" s="604">
        <v>0</v>
      </c>
      <c r="F59" s="604">
        <v>0</v>
      </c>
      <c r="G59" s="605">
        <v>0</v>
      </c>
      <c r="H59" s="489">
        <f>Расчёт!G53</f>
        <v>0</v>
      </c>
      <c r="I59" s="490">
        <f>Расчёт!H53</f>
        <v>0</v>
      </c>
      <c r="J59" s="491">
        <f>Расчёт!I53</f>
        <v>0</v>
      </c>
      <c r="K59" s="522">
        <f t="shared" si="2"/>
        <v>0</v>
      </c>
      <c r="L59" s="137"/>
      <c r="M59" s="137"/>
      <c r="N59" s="137"/>
      <c r="O59" s="137"/>
      <c r="P59" s="137"/>
      <c r="V59" s="154">
        <f t="shared" si="0"/>
        <v>0</v>
      </c>
      <c r="Z59" s="155">
        <f t="shared" si="1"/>
        <v>0</v>
      </c>
    </row>
    <row r="60" spans="1:26" ht="15" customHeight="1" x14ac:dyDescent="0.2">
      <c r="B60" s="733" t="str">
        <f xml:space="preserve"> CONCATENATE(Расчёт!B54)</f>
        <v>КИСЕЛЬ ПЛОДОВЫЙ ИЛИ ЯГОДНЫЙ</v>
      </c>
      <c r="C60" s="613" t="s">
        <v>163</v>
      </c>
      <c r="D60" s="1241">
        <f>Цены!D60</f>
        <v>0</v>
      </c>
      <c r="E60" s="662">
        <v>0</v>
      </c>
      <c r="F60" s="662">
        <v>0</v>
      </c>
      <c r="G60" s="734">
        <v>0</v>
      </c>
      <c r="H60" s="509">
        <f>Расчёт!G54</f>
        <v>0</v>
      </c>
      <c r="I60" s="510">
        <f>Расчёт!H54</f>
        <v>0</v>
      </c>
      <c r="J60" s="511">
        <f>Расчёт!I54</f>
        <v>0</v>
      </c>
      <c r="K60" s="512">
        <f t="shared" si="2"/>
        <v>0</v>
      </c>
      <c r="L60" s="137"/>
      <c r="M60" s="137"/>
      <c r="N60" s="137"/>
      <c r="O60" s="137"/>
      <c r="P60" s="137"/>
      <c r="V60" s="154">
        <f t="shared" si="0"/>
        <v>0</v>
      </c>
      <c r="Z60" s="155">
        <f t="shared" si="1"/>
        <v>0</v>
      </c>
    </row>
    <row r="61" spans="1:26" ht="15" customHeight="1" x14ac:dyDescent="0.2">
      <c r="B61" s="733" t="str">
        <f xml:space="preserve"> CONCATENATE(Расчёт!B55)</f>
        <v>АПЕЛЬСИНЫ</v>
      </c>
      <c r="C61" s="613" t="s">
        <v>163</v>
      </c>
      <c r="D61" s="1241">
        <f>Цены!D61</f>
        <v>0</v>
      </c>
      <c r="E61" s="662">
        <v>0</v>
      </c>
      <c r="F61" s="662">
        <v>0</v>
      </c>
      <c r="G61" s="734">
        <v>0</v>
      </c>
      <c r="H61" s="509">
        <f>Расчёт!G55</f>
        <v>0</v>
      </c>
      <c r="I61" s="510">
        <f>Расчёт!H55</f>
        <v>0</v>
      </c>
      <c r="J61" s="511">
        <f>Расчёт!I55</f>
        <v>0</v>
      </c>
      <c r="K61" s="512">
        <f t="shared" si="2"/>
        <v>0</v>
      </c>
      <c r="L61" s="137"/>
      <c r="M61" s="137"/>
      <c r="N61" s="137"/>
      <c r="O61" s="137"/>
      <c r="P61" s="137"/>
      <c r="V61" s="154">
        <f t="shared" si="0"/>
        <v>0</v>
      </c>
      <c r="Z61" s="155">
        <f t="shared" si="1"/>
        <v>0</v>
      </c>
    </row>
    <row r="62" spans="1:26" ht="15" customHeight="1" x14ac:dyDescent="0.2">
      <c r="B62" s="733" t="str">
        <f xml:space="preserve"> CONCATENATE(Расчёт!B56)</f>
        <v>СОК</v>
      </c>
      <c r="C62" s="613" t="s">
        <v>163</v>
      </c>
      <c r="D62" s="1241">
        <f>Цены!D62</f>
        <v>0</v>
      </c>
      <c r="E62" s="662">
        <v>0</v>
      </c>
      <c r="F62" s="662">
        <v>0</v>
      </c>
      <c r="G62" s="734">
        <v>0</v>
      </c>
      <c r="H62" s="509">
        <f>Расчёт!G56</f>
        <v>0</v>
      </c>
      <c r="I62" s="510">
        <f>Расчёт!H56</f>
        <v>0</v>
      </c>
      <c r="J62" s="511">
        <f>Расчёт!I56</f>
        <v>0</v>
      </c>
      <c r="K62" s="512">
        <f t="shared" si="2"/>
        <v>0</v>
      </c>
      <c r="L62" s="137"/>
      <c r="M62" s="137"/>
      <c r="N62" s="137"/>
      <c r="O62" s="137"/>
      <c r="P62" s="137"/>
      <c r="V62" s="154">
        <f t="shared" si="0"/>
        <v>0</v>
      </c>
      <c r="Z62" s="155">
        <f t="shared" si="1"/>
        <v>0</v>
      </c>
    </row>
    <row r="63" spans="1:26" ht="15" customHeight="1" x14ac:dyDescent="0.2">
      <c r="B63" s="733" t="str">
        <f xml:space="preserve"> CONCATENATE(Расчёт!B57)</f>
        <v>ПОВИДЛО, ВАРЕНЬЕ</v>
      </c>
      <c r="C63" s="613" t="s">
        <v>163</v>
      </c>
      <c r="D63" s="1241">
        <f>Цены!D63</f>
        <v>0</v>
      </c>
      <c r="E63" s="662">
        <v>0</v>
      </c>
      <c r="F63" s="662">
        <v>0</v>
      </c>
      <c r="G63" s="734">
        <v>0</v>
      </c>
      <c r="H63" s="509">
        <f>Расчёт!G57</f>
        <v>0</v>
      </c>
      <c r="I63" s="510">
        <f>Расчёт!H57</f>
        <v>0</v>
      </c>
      <c r="J63" s="511">
        <f>Расчёт!I57</f>
        <v>0</v>
      </c>
      <c r="K63" s="512">
        <f t="shared" si="2"/>
        <v>0</v>
      </c>
      <c r="L63" s="137"/>
      <c r="M63" s="137"/>
      <c r="N63" s="137"/>
      <c r="O63" s="137"/>
      <c r="P63" s="137"/>
      <c r="V63" s="154">
        <f t="shared" si="0"/>
        <v>0</v>
      </c>
      <c r="Z63" s="155">
        <f t="shared" si="1"/>
        <v>0</v>
      </c>
    </row>
    <row r="64" spans="1:26" ht="15" customHeight="1" x14ac:dyDescent="0.2">
      <c r="B64" s="736" t="str">
        <f xml:space="preserve"> CONCATENATE(Расчёт!B58)</f>
        <v>КОМПОТ КОНС.</v>
      </c>
      <c r="C64" s="618" t="s">
        <v>163</v>
      </c>
      <c r="D64" s="1241">
        <f>Цены!D64</f>
        <v>0</v>
      </c>
      <c r="E64" s="662">
        <v>0</v>
      </c>
      <c r="F64" s="662">
        <v>0</v>
      </c>
      <c r="G64" s="734">
        <v>0</v>
      </c>
      <c r="H64" s="494">
        <f>Расчёт!G58</f>
        <v>0</v>
      </c>
      <c r="I64" s="495">
        <f>Расчёт!H58</f>
        <v>0</v>
      </c>
      <c r="J64" s="496">
        <f>Расчёт!I58</f>
        <v>0</v>
      </c>
      <c r="K64" s="692">
        <f t="shared" si="2"/>
        <v>0</v>
      </c>
      <c r="L64" s="137"/>
      <c r="M64" s="137"/>
      <c r="N64" s="137"/>
      <c r="O64" s="137"/>
      <c r="P64" s="137"/>
      <c r="V64" s="154">
        <f t="shared" si="0"/>
        <v>0</v>
      </c>
      <c r="Z64" s="155">
        <f t="shared" si="1"/>
        <v>0</v>
      </c>
    </row>
    <row r="65" spans="2:26" ht="15" customHeight="1" thickBot="1" x14ac:dyDescent="0.25">
      <c r="B65" s="756" t="str">
        <f xml:space="preserve"> CONCATENATE(Расчёт!B59)</f>
        <v>КОНС. ОВ. ЗАКУС.</v>
      </c>
      <c r="C65" s="620" t="s">
        <v>163</v>
      </c>
      <c r="D65" s="1245">
        <f>Цены!D65</f>
        <v>0</v>
      </c>
      <c r="E65" s="663">
        <v>0</v>
      </c>
      <c r="F65" s="663">
        <v>0</v>
      </c>
      <c r="G65" s="728">
        <v>0</v>
      </c>
      <c r="H65" s="515">
        <f>Расчёт!G59</f>
        <v>0</v>
      </c>
      <c r="I65" s="518">
        <f>Расчёт!H59</f>
        <v>0</v>
      </c>
      <c r="J65" s="519">
        <f>Расчёт!I59</f>
        <v>0</v>
      </c>
      <c r="K65" s="520">
        <f>SUM(E65:J65)</f>
        <v>0</v>
      </c>
      <c r="L65" s="137"/>
      <c r="M65" s="137"/>
      <c r="N65" s="137"/>
      <c r="O65" s="137"/>
      <c r="P65" s="137"/>
      <c r="V65" s="154">
        <f t="shared" si="0"/>
        <v>0</v>
      </c>
      <c r="Z65" s="155">
        <f t="shared" si="1"/>
        <v>0</v>
      </c>
    </row>
    <row r="66" spans="2:26" ht="15" customHeight="1" x14ac:dyDescent="0.2">
      <c r="B66" s="757" t="str">
        <f>IF(K66&gt;0,B9,"")</f>
        <v/>
      </c>
      <c r="C66" s="610" t="s">
        <v>163</v>
      </c>
      <c r="D66" s="165">
        <f>Цены!D66</f>
        <v>0</v>
      </c>
      <c r="E66" s="1561" t="str">
        <f>IF(K66&gt;0,"ЭКОНОМИЯ","")</f>
        <v/>
      </c>
      <c r="F66" s="1562"/>
      <c r="G66" s="1562"/>
      <c r="H66" s="1562"/>
      <c r="I66" s="1562"/>
      <c r="J66" s="1563"/>
      <c r="K66" s="655">
        <v>0</v>
      </c>
      <c r="L66" s="143"/>
      <c r="M66" s="137"/>
      <c r="N66" s="137"/>
      <c r="O66" s="137"/>
      <c r="P66" s="137"/>
      <c r="V66" s="154">
        <f t="shared" si="0"/>
        <v>0</v>
      </c>
      <c r="Z66" s="155">
        <f t="shared" si="1"/>
        <v>0</v>
      </c>
    </row>
    <row r="67" spans="2:26" ht="15" customHeight="1" thickBot="1" x14ac:dyDescent="0.25">
      <c r="B67" s="758" t="str">
        <f>IF(K67&gt;0,B10,"")</f>
        <v/>
      </c>
      <c r="C67" s="647" t="s">
        <v>163</v>
      </c>
      <c r="D67" s="1245">
        <f>Цены!D67</f>
        <v>0</v>
      </c>
      <c r="E67" s="1564" t="str">
        <f>IF(K67&gt;0,"ЭКОНОМИЯ","")</f>
        <v/>
      </c>
      <c r="F67" s="1564"/>
      <c r="G67" s="1564"/>
      <c r="H67" s="1565"/>
      <c r="I67" s="1565"/>
      <c r="J67" s="1566"/>
      <c r="K67" s="656">
        <v>0</v>
      </c>
      <c r="L67" s="143"/>
      <c r="M67" s="137"/>
      <c r="N67" s="137"/>
      <c r="O67" s="137"/>
      <c r="P67" s="137"/>
      <c r="V67" s="154">
        <f t="shared" si="0"/>
        <v>0</v>
      </c>
      <c r="Z67" s="155">
        <f t="shared" si="1"/>
        <v>0</v>
      </c>
    </row>
    <row r="68" spans="2:26" ht="15" customHeight="1" x14ac:dyDescent="0.2">
      <c r="B68" s="658" t="str">
        <f xml:space="preserve"> CONCATENATE(Расчёт!B62)</f>
        <v>ЧЕСНОК</v>
      </c>
      <c r="C68" s="610" t="s">
        <v>163</v>
      </c>
      <c r="D68" s="165">
        <f>Цены!D68</f>
        <v>0</v>
      </c>
      <c r="E68" s="635">
        <v>0</v>
      </c>
      <c r="F68" s="636">
        <v>0</v>
      </c>
      <c r="G68" s="637">
        <v>0</v>
      </c>
      <c r="H68" s="582">
        <f>Расчёт!G59</f>
        <v>0</v>
      </c>
      <c r="I68" s="490">
        <f>Расчёт!H62</f>
        <v>0</v>
      </c>
      <c r="J68" s="584">
        <f>Расчёт!I59</f>
        <v>0</v>
      </c>
      <c r="K68" s="492">
        <f>SUM(E68:J68)</f>
        <v>0</v>
      </c>
      <c r="L68" s="137"/>
      <c r="M68" s="137"/>
      <c r="N68" s="137"/>
      <c r="O68" s="137"/>
      <c r="P68" s="137"/>
      <c r="V68" s="154">
        <f t="shared" si="0"/>
        <v>0</v>
      </c>
      <c r="Z68" s="155">
        <f t="shared" si="1"/>
        <v>0</v>
      </c>
    </row>
    <row r="69" spans="2:26" ht="15" customHeight="1" x14ac:dyDescent="0.2">
      <c r="B69" s="759" t="str">
        <f xml:space="preserve"> CONCATENATE(Расчёт!B63)</f>
        <v>ДРАЖЕ "ГЕКСАВИТ"</v>
      </c>
      <c r="C69" s="618" t="s">
        <v>163</v>
      </c>
      <c r="D69" s="1241">
        <f>Цены!D69</f>
        <v>0</v>
      </c>
      <c r="E69" s="586"/>
      <c r="F69" s="639">
        <v>0</v>
      </c>
      <c r="G69" s="588"/>
      <c r="H69" s="589">
        <f>Расчёт!G60</f>
        <v>0</v>
      </c>
      <c r="I69" s="495">
        <f>Расчёт!H63</f>
        <v>0</v>
      </c>
      <c r="J69" s="591">
        <f>Расчёт!I60</f>
        <v>0</v>
      </c>
      <c r="K69" s="592">
        <f>SUM(E69:J69)</f>
        <v>0</v>
      </c>
      <c r="L69" s="137"/>
      <c r="M69" s="137"/>
      <c r="N69" s="137"/>
      <c r="O69" s="137"/>
      <c r="P69" s="137"/>
      <c r="V69" s="154">
        <f t="shared" si="0"/>
        <v>0</v>
      </c>
      <c r="Z69" s="155">
        <f t="shared" si="1"/>
        <v>0</v>
      </c>
    </row>
    <row r="70" spans="2:26" ht="15" customHeight="1" x14ac:dyDescent="0.2">
      <c r="B70" s="759" t="str">
        <f>Расчёт!B64</f>
        <v>КОНСЕРВЫ МЯСОРАСТИТЕЛЬНЫЕ</v>
      </c>
      <c r="C70" s="618" t="s">
        <v>164</v>
      </c>
      <c r="D70" s="1241">
        <f>Цены!D70</f>
        <v>0</v>
      </c>
      <c r="E70" s="586"/>
      <c r="F70" s="639">
        <v>0</v>
      </c>
      <c r="G70" s="588"/>
      <c r="H70" s="589">
        <f>Расчёт!G61</f>
        <v>0</v>
      </c>
      <c r="I70" s="495">
        <f>Расчёт!H64</f>
        <v>0</v>
      </c>
      <c r="J70" s="591">
        <f>Расчёт!I61</f>
        <v>0</v>
      </c>
      <c r="K70" s="592">
        <f>SUM(E70:J70)</f>
        <v>0</v>
      </c>
      <c r="L70" s="137"/>
      <c r="M70" s="137"/>
      <c r="N70" s="137"/>
      <c r="O70" s="137"/>
      <c r="P70" s="137"/>
      <c r="V70" s="154">
        <f t="shared" si="0"/>
        <v>0</v>
      </c>
      <c r="Z70" s="155">
        <f t="shared" si="1"/>
        <v>0</v>
      </c>
    </row>
    <row r="71" spans="2:26" ht="15" customHeight="1" thickBot="1" x14ac:dyDescent="0.25">
      <c r="B71" s="760" t="str">
        <f>Расчёт!B65</f>
        <v>КОНСЕРВЫ 1 ОБ. БЛЮДА</v>
      </c>
      <c r="C71" s="719" t="s">
        <v>163</v>
      </c>
      <c r="D71" s="1242">
        <f>Цены!D71</f>
        <v>0</v>
      </c>
      <c r="E71" s="663">
        <v>0</v>
      </c>
      <c r="F71" s="761">
        <v>0</v>
      </c>
      <c r="G71" s="696"/>
      <c r="H71" s="595">
        <f>Расчёт!G62</f>
        <v>0</v>
      </c>
      <c r="I71" s="502">
        <f>Расчёт!H65</f>
        <v>0</v>
      </c>
      <c r="J71" s="597">
        <f>Расчёт!I62</f>
        <v>0</v>
      </c>
      <c r="K71" s="504">
        <f>SUM(E71:J71)</f>
        <v>0</v>
      </c>
      <c r="L71" s="137"/>
      <c r="M71" s="137"/>
      <c r="N71" s="137"/>
      <c r="O71" s="137"/>
      <c r="P71" s="137"/>
      <c r="V71" s="10">
        <f>SUM(V9:V70)</f>
        <v>0</v>
      </c>
      <c r="Z71" s="155">
        <f t="shared" si="1"/>
        <v>0</v>
      </c>
    </row>
    <row r="72" spans="2:26" ht="18" x14ac:dyDescent="0.25">
      <c r="B72" s="185" t="s">
        <v>281</v>
      </c>
      <c r="C72" s="186"/>
      <c r="D72" s="187">
        <f>V71</f>
        <v>0</v>
      </c>
      <c r="E72" s="1595" t="str">
        <f>IF(Пн!$C$72&lt;&gt;31,CONCATENATE("(",Примеры!A6),CONCATENATE("(",Примеры!D18))</f>
        <v>( Ноль ) наименований</v>
      </c>
      <c r="F72" s="1595"/>
      <c r="G72" s="1595"/>
      <c r="H72" s="1595"/>
      <c r="I72" s="1595"/>
      <c r="J72" s="1568" t="str">
        <f>CONCATENATE("на сумму ",ROUND(Z72,2)," р.")</f>
        <v>на сумму 0 р.</v>
      </c>
      <c r="K72" s="1569"/>
      <c r="L72" s="143"/>
      <c r="M72" s="137"/>
      <c r="N72" s="137"/>
      <c r="O72" s="137"/>
      <c r="P72" s="137"/>
      <c r="V72" s="10"/>
      <c r="Z72" s="188">
        <f>SUM(Z9:Z71)</f>
        <v>0</v>
      </c>
    </row>
    <row r="73" spans="2:26" ht="18" x14ac:dyDescent="0.25">
      <c r="B73" s="1560" t="s">
        <v>364</v>
      </c>
      <c r="C73" s="1560"/>
      <c r="D73" s="1560"/>
      <c r="E73" s="1560"/>
      <c r="F73" s="1560"/>
      <c r="G73" s="1560"/>
      <c r="H73" s="1560"/>
      <c r="I73" s="1560"/>
      <c r="J73" s="1560"/>
      <c r="K73" s="1560"/>
      <c r="L73" s="190"/>
      <c r="M73" s="137"/>
      <c r="N73" s="137"/>
      <c r="O73" s="137"/>
      <c r="P73" s="137"/>
    </row>
    <row r="74" spans="2:26" ht="18" x14ac:dyDescent="0.25">
      <c r="B74" s="1567" t="str">
        <f>'Блок ввода'!M10</f>
        <v>ст. лейтенант</v>
      </c>
      <c r="C74" s="1567"/>
      <c r="D74" s="1567"/>
      <c r="E74" s="191"/>
      <c r="F74" s="191"/>
      <c r="G74" s="191"/>
      <c r="H74" s="191"/>
      <c r="J74" s="191" t="str">
        <f>'Блок ввода'!O10</f>
        <v>А. Демидов11111111</v>
      </c>
      <c r="K74" s="191"/>
      <c r="L74" s="143"/>
      <c r="M74" s="137"/>
      <c r="N74" s="137"/>
      <c r="O74" s="137"/>
      <c r="P74" s="137"/>
    </row>
    <row r="75" spans="2:26" ht="17.45" customHeight="1" x14ac:dyDescent="0.25">
      <c r="B75" s="1218" t="str">
        <f>CONCATENATE("ДЕЛОПРОИЗВОДИТЕЛЬ: ",'Блок ввода'!M13)</f>
        <v>ДЕЛОПРОИЗВОДИТЕЛЬ: служащая РА</v>
      </c>
      <c r="C75" s="1218"/>
      <c r="D75" s="1218"/>
      <c r="E75" s="189"/>
      <c r="F75" s="189"/>
      <c r="G75" s="189"/>
      <c r="I75" s="189"/>
      <c r="J75" s="258" t="str">
        <f>'Блок ввода'!O13</f>
        <v>С.ФЕДОРОВА</v>
      </c>
      <c r="K75" s="189"/>
      <c r="L75" s="143"/>
      <c r="M75" s="137"/>
      <c r="N75" s="137"/>
      <c r="O75" s="137"/>
      <c r="P75" s="137"/>
    </row>
    <row r="76" spans="2:26" ht="18.75" thickBot="1" x14ac:dyDescent="0.3">
      <c r="B76" s="1559">
        <f>C4-1</f>
        <v>40090</v>
      </c>
      <c r="C76" s="1559"/>
      <c r="D76" s="1559"/>
      <c r="E76" s="1559"/>
      <c r="F76" s="1559"/>
      <c r="G76" s="1559"/>
      <c r="H76" s="1559"/>
      <c r="I76" s="1559"/>
      <c r="J76" s="1559"/>
      <c r="K76" s="1559"/>
      <c r="L76" s="143"/>
      <c r="M76" s="137"/>
      <c r="N76" s="137"/>
      <c r="O76" s="137"/>
      <c r="P76" s="137"/>
    </row>
    <row r="77" spans="2:26" ht="15.75" customHeight="1" thickBot="1" x14ac:dyDescent="0.25">
      <c r="B77" s="1586"/>
      <c r="C77" s="1587"/>
      <c r="D77" s="1587"/>
      <c r="E77" s="1587"/>
      <c r="F77" s="1587"/>
      <c r="G77" s="1588"/>
      <c r="H77" s="1592" t="s">
        <v>379</v>
      </c>
      <c r="I77" s="1593"/>
      <c r="J77" s="1593"/>
      <c r="K77" s="1594"/>
      <c r="L77" s="143"/>
      <c r="M77" s="137"/>
      <c r="N77" s="137"/>
      <c r="O77" s="137"/>
      <c r="P77" s="137"/>
    </row>
    <row r="78" spans="2:26" ht="15.75" thickBot="1" x14ac:dyDescent="0.25">
      <c r="B78" s="1589"/>
      <c r="C78" s="1590"/>
      <c r="D78" s="1590"/>
      <c r="E78" s="1590"/>
      <c r="F78" s="1590"/>
      <c r="G78" s="1591"/>
      <c r="H78" s="192" t="s">
        <v>203</v>
      </c>
      <c r="I78" s="192" t="s">
        <v>204</v>
      </c>
      <c r="J78" s="193" t="s">
        <v>205</v>
      </c>
      <c r="K78" s="192" t="s">
        <v>276</v>
      </c>
      <c r="L78" s="143"/>
      <c r="M78" s="137"/>
      <c r="N78" s="137"/>
      <c r="O78" s="137"/>
      <c r="P78" s="137"/>
    </row>
    <row r="79" spans="2:26" ht="15" x14ac:dyDescent="0.2">
      <c r="B79" s="194" t="s">
        <v>165</v>
      </c>
      <c r="C79" s="195"/>
      <c r="D79" s="195"/>
      <c r="E79" s="195"/>
      <c r="F79" s="195"/>
      <c r="G79" s="195"/>
      <c r="H79" s="1556"/>
      <c r="I79" s="1556"/>
      <c r="J79" s="1556"/>
      <c r="K79" s="1548"/>
      <c r="L79" s="143"/>
      <c r="M79" s="137"/>
      <c r="N79" s="137"/>
      <c r="O79" s="137"/>
      <c r="P79" s="137"/>
    </row>
    <row r="80" spans="2:26" ht="15" x14ac:dyDescent="0.2">
      <c r="B80" s="196" t="str">
        <f>CONCATENATE('Блок ввода'!M12,'Блок ввода'!O12)</f>
        <v>прапорщик  К.МИХАЙЛОВА</v>
      </c>
      <c r="C80" s="197"/>
      <c r="D80" s="195"/>
      <c r="E80" s="195"/>
      <c r="F80" s="195"/>
      <c r="G80" s="195"/>
      <c r="H80" s="1546"/>
      <c r="I80" s="1546"/>
      <c r="J80" s="1546"/>
      <c r="K80" s="1549"/>
      <c r="L80" s="143"/>
      <c r="M80" s="137"/>
      <c r="N80" s="137"/>
      <c r="O80" s="137"/>
      <c r="P80" s="137"/>
    </row>
    <row r="81" spans="1:16" ht="15" x14ac:dyDescent="0.2">
      <c r="B81" s="198" t="s">
        <v>166</v>
      </c>
      <c r="C81" s="199"/>
      <c r="D81" s="199"/>
      <c r="E81" s="199"/>
      <c r="F81" s="199"/>
      <c r="G81" s="199"/>
      <c r="H81" s="1545"/>
      <c r="I81" s="1545"/>
      <c r="J81" s="1545"/>
      <c r="K81" s="1550"/>
      <c r="L81" s="143"/>
      <c r="M81" s="137"/>
      <c r="N81" s="137"/>
      <c r="O81" s="137"/>
      <c r="P81" s="137"/>
    </row>
    <row r="82" spans="1:16" ht="15" x14ac:dyDescent="0.2">
      <c r="B82" s="225" t="s">
        <v>449</v>
      </c>
      <c r="C82" s="195"/>
      <c r="D82" s="195"/>
      <c r="E82" s="195"/>
      <c r="F82" s="195"/>
      <c r="G82" s="195"/>
      <c r="H82" s="1546"/>
      <c r="I82" s="1546"/>
      <c r="J82" s="1546"/>
      <c r="K82" s="1551"/>
      <c r="L82" s="143"/>
      <c r="M82" s="137"/>
      <c r="N82" s="137"/>
      <c r="O82" s="137"/>
      <c r="P82" s="137"/>
    </row>
    <row r="83" spans="1:16" ht="15" x14ac:dyDescent="0.2">
      <c r="A83" s="200"/>
      <c r="B83" s="201" t="s">
        <v>275</v>
      </c>
      <c r="C83" s="199"/>
      <c r="D83" s="199"/>
      <c r="E83" s="199"/>
      <c r="F83" s="199"/>
      <c r="G83" s="199"/>
      <c r="H83" s="1545"/>
      <c r="I83" s="1545"/>
      <c r="J83" s="1545"/>
      <c r="K83" s="1550"/>
      <c r="L83" s="143"/>
      <c r="M83" s="137"/>
      <c r="N83" s="137"/>
      <c r="O83" s="137"/>
      <c r="P83" s="137"/>
    </row>
    <row r="84" spans="1:16" ht="15.75" thickBot="1" x14ac:dyDescent="0.25">
      <c r="A84" s="200"/>
      <c r="B84" s="202" t="str">
        <f>CONCATENATE('Блок ввода'!M11," ",'Блок ввода'!O11)</f>
        <v>ст. лейтенант М.СОКОЛОВ</v>
      </c>
      <c r="C84" s="203"/>
      <c r="D84" s="203"/>
      <c r="E84" s="203"/>
      <c r="F84" s="203"/>
      <c r="G84" s="203"/>
      <c r="H84" s="1557"/>
      <c r="I84" s="1557"/>
      <c r="J84" s="1557"/>
      <c r="K84" s="1552"/>
      <c r="L84" s="143"/>
      <c r="M84" s="137"/>
      <c r="N84" s="137"/>
      <c r="O84" s="137"/>
      <c r="P84" s="137"/>
    </row>
    <row r="85" spans="1:16" x14ac:dyDescent="0.2">
      <c r="A85" s="200"/>
      <c r="B85" s="204"/>
      <c r="J85" s="205"/>
      <c r="K85" s="206">
        <f>M2</f>
        <v>0</v>
      </c>
      <c r="L85" s="137"/>
      <c r="M85" s="137"/>
      <c r="N85" s="137"/>
      <c r="O85" s="137"/>
    </row>
    <row r="86" spans="1:16" x14ac:dyDescent="0.2">
      <c r="A86" s="200"/>
      <c r="B86" s="207" t="s">
        <v>354</v>
      </c>
      <c r="C86" s="208"/>
      <c r="D86" s="207" t="s">
        <v>355</v>
      </c>
      <c r="E86" s="207" t="s">
        <v>356</v>
      </c>
      <c r="F86" s="207" t="s">
        <v>357</v>
      </c>
      <c r="K86" s="206">
        <f>M4</f>
        <v>0</v>
      </c>
      <c r="L86" s="137"/>
      <c r="M86" s="137"/>
      <c r="N86" s="137"/>
      <c r="O86" s="137"/>
    </row>
    <row r="87" spans="1:16" x14ac:dyDescent="0.2">
      <c r="B87" s="789" t="str">
        <f>'Блок ввода'!AI4</f>
        <v>ПОДРАЗДЕЛЕНИЕ № 1</v>
      </c>
      <c r="C87" s="790" t="s">
        <v>546</v>
      </c>
      <c r="D87" s="224"/>
      <c r="E87" s="224"/>
      <c r="F87" s="224"/>
      <c r="J87" s="1547" t="str">
        <f>CONCATENATE("ОКГ = ",'Раскладка продуктов'!A37)</f>
        <v>ОКГ = 2075</v>
      </c>
      <c r="K87" s="1547"/>
      <c r="L87" s="137"/>
      <c r="M87" s="137"/>
      <c r="N87" s="137"/>
      <c r="O87" s="137"/>
    </row>
    <row r="88" spans="1:16" x14ac:dyDescent="0.2">
      <c r="B88" s="789" t="str">
        <f>'Блок ввода'!AI5</f>
        <v>ПОДРАЗДЕЛЕНИЕ № 2</v>
      </c>
      <c r="C88" s="790" t="s">
        <v>546</v>
      </c>
      <c r="D88" s="224"/>
      <c r="E88" s="224"/>
      <c r="F88" s="224"/>
      <c r="L88" s="137"/>
      <c r="M88" s="137"/>
      <c r="N88" s="137"/>
      <c r="O88" s="137"/>
    </row>
    <row r="89" spans="1:16" x14ac:dyDescent="0.2">
      <c r="B89" s="789" t="str">
        <f>'Блок ввода'!AI6</f>
        <v>ПОДРАЗДЕЛЕНИЕ № 3</v>
      </c>
      <c r="C89" s="790" t="s">
        <v>546</v>
      </c>
      <c r="D89" s="224"/>
      <c r="E89" s="224"/>
      <c r="F89" s="224"/>
      <c r="L89" s="137"/>
      <c r="M89" s="137"/>
      <c r="N89" s="137"/>
      <c r="O89" s="137"/>
    </row>
    <row r="90" spans="1:16" x14ac:dyDescent="0.2">
      <c r="B90" s="789" t="str">
        <f>'Блок ввода'!AI7</f>
        <v>ПОДРАЗДЕЛЕНИЕ № 4</v>
      </c>
      <c r="C90" s="790" t="s">
        <v>546</v>
      </c>
      <c r="D90" s="224"/>
      <c r="E90" s="224"/>
      <c r="F90" s="224"/>
      <c r="L90" s="137"/>
      <c r="M90" s="137"/>
      <c r="N90" s="137"/>
      <c r="O90" s="137"/>
    </row>
    <row r="91" spans="1:16" x14ac:dyDescent="0.2">
      <c r="B91" s="789" t="str">
        <f>'Блок ввода'!AI8</f>
        <v>ПОДРАЗДЕЛЕНИЕ № 5</v>
      </c>
      <c r="C91" s="790" t="s">
        <v>546</v>
      </c>
      <c r="D91" s="224"/>
      <c r="E91" s="224"/>
      <c r="F91" s="224"/>
      <c r="L91" s="137"/>
      <c r="M91" s="137"/>
      <c r="N91" s="137"/>
      <c r="O91" s="137"/>
    </row>
    <row r="92" spans="1:16" x14ac:dyDescent="0.2">
      <c r="B92" s="789" t="str">
        <f>'Блок ввода'!AI9</f>
        <v>ПОДРАЗДЕЛЕНИЕ № 6</v>
      </c>
      <c r="C92" s="790" t="s">
        <v>546</v>
      </c>
      <c r="D92" s="224"/>
      <c r="E92" s="224"/>
      <c r="F92" s="224"/>
      <c r="L92" s="137"/>
      <c r="M92" s="137"/>
      <c r="N92" s="137"/>
      <c r="O92" s="137"/>
    </row>
    <row r="93" spans="1:16" x14ac:dyDescent="0.2">
      <c r="B93" s="789" t="str">
        <f>'Блок ввода'!AI10</f>
        <v>ПОДРАЗДЕЛЕНИЕ № 7</v>
      </c>
      <c r="C93" s="790" t="s">
        <v>546</v>
      </c>
      <c r="D93" s="224"/>
      <c r="E93" s="224"/>
      <c r="F93" s="224"/>
      <c r="L93" s="137"/>
      <c r="M93" s="137"/>
      <c r="N93" s="137"/>
      <c r="O93" s="137"/>
    </row>
    <row r="94" spans="1:16" x14ac:dyDescent="0.2">
      <c r="B94" s="789" t="str">
        <f>'Блок ввода'!AI11</f>
        <v>ПОДРАЗДЕЛЕНИЕ № 8</v>
      </c>
      <c r="C94" s="790" t="s">
        <v>546</v>
      </c>
      <c r="D94" s="224"/>
      <c r="E94" s="224"/>
      <c r="F94" s="224"/>
      <c r="L94" s="137"/>
      <c r="M94" s="137"/>
      <c r="N94" s="137"/>
      <c r="O94" s="137"/>
    </row>
    <row r="95" spans="1:16" x14ac:dyDescent="0.2">
      <c r="B95" s="789" t="str">
        <f>'Блок ввода'!AI12</f>
        <v>ПОДРАЗДЕЛЕНИЕ № 9</v>
      </c>
      <c r="C95" s="790" t="s">
        <v>546</v>
      </c>
      <c r="D95" s="5"/>
      <c r="E95" s="5"/>
      <c r="F95" s="5"/>
      <c r="L95" s="137"/>
      <c r="M95" s="137"/>
      <c r="N95" s="137"/>
      <c r="O95" s="137"/>
    </row>
    <row r="96" spans="1:16" x14ac:dyDescent="0.2">
      <c r="B96" s="789" t="str">
        <f>'Блок ввода'!AI13</f>
        <v>ПОДРАЗДЕЛЕНИЕ № 10</v>
      </c>
      <c r="C96" s="790" t="s">
        <v>546</v>
      </c>
      <c r="D96" s="5"/>
      <c r="E96" s="5"/>
      <c r="F96" s="5"/>
      <c r="L96" s="137"/>
      <c r="M96" s="137"/>
      <c r="N96" s="137"/>
      <c r="O96" s="137"/>
    </row>
    <row r="97" spans="2:22" x14ac:dyDescent="0.2">
      <c r="B97" s="132" t="s">
        <v>358</v>
      </c>
      <c r="C97" s="790" t="s">
        <v>546</v>
      </c>
      <c r="D97" s="209">
        <f>SUM(D87:D96)</f>
        <v>0</v>
      </c>
      <c r="E97" s="209">
        <f>SUM(E87:E96)</f>
        <v>0</v>
      </c>
      <c r="F97" s="209">
        <f>SUM(F87:F96)</f>
        <v>0</v>
      </c>
      <c r="L97" s="137"/>
      <c r="M97" s="137"/>
      <c r="N97" s="137"/>
      <c r="O97" s="137"/>
    </row>
    <row r="98" spans="2:22" ht="13.5" thickBot="1" x14ac:dyDescent="0.25">
      <c r="B98" s="1554" t="s">
        <v>236</v>
      </c>
      <c r="C98" s="1554"/>
      <c r="D98" s="1554"/>
      <c r="E98" s="1554"/>
      <c r="F98" s="1554"/>
      <c r="G98" s="1554"/>
      <c r="H98" s="1554"/>
      <c r="I98" s="1554"/>
      <c r="J98" s="1554"/>
      <c r="K98" s="1554"/>
      <c r="L98" s="137"/>
      <c r="M98" s="137"/>
      <c r="N98" s="137"/>
      <c r="O98" s="137"/>
    </row>
    <row r="99" spans="2:22" x14ac:dyDescent="0.2">
      <c r="B99" s="2"/>
      <c r="C99" s="2"/>
      <c r="D99" s="2"/>
      <c r="E99" s="2"/>
      <c r="F99" s="2"/>
      <c r="G99" s="2"/>
      <c r="H99" s="2"/>
      <c r="I99" s="2"/>
      <c r="J99" s="2"/>
      <c r="K99" s="2"/>
      <c r="L99" s="137"/>
      <c r="M99" s="137"/>
      <c r="N99" s="137"/>
      <c r="O99" s="137"/>
    </row>
    <row r="100" spans="2:22" x14ac:dyDescent="0.2">
      <c r="B100" s="210" t="s">
        <v>235</v>
      </c>
      <c r="C100" s="210"/>
      <c r="D100" s="210"/>
      <c r="E100" s="1555">
        <f>C4</f>
        <v>40091</v>
      </c>
      <c r="F100" s="1555"/>
      <c r="G100" s="1555"/>
      <c r="H100" s="2"/>
      <c r="I100" s="2"/>
      <c r="J100" s="2"/>
      <c r="K100" s="2"/>
      <c r="L100" s="137"/>
      <c r="M100" s="137"/>
      <c r="N100" s="137"/>
      <c r="O100" s="137"/>
    </row>
    <row r="101" spans="2:22" ht="13.5" thickBot="1" x14ac:dyDescent="0.25"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137"/>
      <c r="M101" s="137"/>
      <c r="N101" s="137"/>
      <c r="O101" s="137"/>
      <c r="U101" s="302">
        <v>1</v>
      </c>
      <c r="V101" s="302"/>
    </row>
    <row r="102" spans="2:22" ht="16.5" thickBot="1" x14ac:dyDescent="0.3">
      <c r="B102" s="211" t="s">
        <v>162</v>
      </c>
      <c r="C102" s="212" t="s">
        <v>163</v>
      </c>
      <c r="D102" s="213"/>
      <c r="E102" s="214"/>
      <c r="F102" s="215"/>
      <c r="G102" s="216">
        <f>J102/('Блок ввода'!$H$22/1000)</f>
        <v>0.39999999999999997</v>
      </c>
      <c r="H102" s="215" t="s">
        <v>545</v>
      </c>
      <c r="I102" s="217"/>
      <c r="J102" s="218">
        <f>IF(U101=1,U102,K9)</f>
        <v>0.3</v>
      </c>
      <c r="K102" s="219" t="s">
        <v>163</v>
      </c>
      <c r="L102" s="137"/>
      <c r="M102" s="137"/>
      <c r="N102" s="137"/>
      <c r="O102" s="137"/>
      <c r="U102" s="373">
        <f>0.3</f>
        <v>0.3</v>
      </c>
      <c r="V102" s="477">
        <v>0</v>
      </c>
    </row>
    <row r="103" spans="2:22" ht="16.5" thickBot="1" x14ac:dyDescent="0.3">
      <c r="B103" s="220" t="str">
        <f>IF('Блок ввода'!H120=TRUE,"ХЛЕБ ИЗ ПШЕНИЧНОЙ МУКИ В\С","ХЛЕБ ПШЕНИЧНЫЙ ИЗ МУКИ 1 С.")</f>
        <v>ХЛЕБ ПШЕНИЧНЫЙ ИЗ МУКИ 1 С.</v>
      </c>
      <c r="C103" s="212" t="s">
        <v>163</v>
      </c>
      <c r="D103" s="221"/>
      <c r="E103" s="214"/>
      <c r="F103" s="215"/>
      <c r="G103" s="216">
        <f>J103/('Блок ввода'!$H$23/1000)</f>
        <v>0.46666666666666662</v>
      </c>
      <c r="H103" s="215" t="s">
        <v>545</v>
      </c>
      <c r="I103" s="217"/>
      <c r="J103" s="218">
        <f>IF(U101=1,U103,K10)</f>
        <v>0.35</v>
      </c>
      <c r="K103" s="219" t="s">
        <v>163</v>
      </c>
      <c r="L103" s="137"/>
      <c r="M103" s="137"/>
      <c r="N103" s="137"/>
      <c r="O103" s="137"/>
      <c r="U103" s="373">
        <f>0.35</f>
        <v>0.35</v>
      </c>
      <c r="V103" s="477"/>
    </row>
    <row r="104" spans="2:22" ht="15" x14ac:dyDescent="0.2">
      <c r="B104" s="222" t="s">
        <v>237</v>
      </c>
      <c r="E104" s="223"/>
      <c r="F104" s="223"/>
      <c r="G104" s="1553" t="str">
        <f>J75</f>
        <v>С.ФЕДОРОВА</v>
      </c>
      <c r="H104" s="1553"/>
      <c r="I104" s="1553"/>
      <c r="L104" s="137"/>
      <c r="M104" s="137"/>
      <c r="N104" s="137"/>
      <c r="O104" s="137"/>
      <c r="U104" s="302"/>
      <c r="V104" s="302"/>
    </row>
    <row r="105" spans="2:22" x14ac:dyDescent="0.2"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2:22" x14ac:dyDescent="0.2"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2:22" x14ac:dyDescent="0.2"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2:22" x14ac:dyDescent="0.2"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2:22" x14ac:dyDescent="0.2"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2:22" x14ac:dyDescent="0.2"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2:22" x14ac:dyDescent="0.2"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2:22" x14ac:dyDescent="0.2">
      <c r="B112" s="2"/>
      <c r="C112" s="2"/>
      <c r="D112" s="2"/>
      <c r="E112" s="2"/>
      <c r="F112" s="2"/>
      <c r="G112" s="2"/>
      <c r="H112" s="2"/>
      <c r="I112" s="2"/>
      <c r="J112" s="2"/>
      <c r="K112" s="2"/>
    </row>
    <row r="113" spans="2:11" x14ac:dyDescent="0.2">
      <c r="B113" s="2"/>
      <c r="C113" s="2"/>
      <c r="D113" s="2"/>
      <c r="E113" s="2"/>
      <c r="F113" s="2"/>
      <c r="G113" s="2"/>
      <c r="H113" s="2"/>
      <c r="I113" s="2"/>
      <c r="J113" s="2"/>
      <c r="K113" s="2"/>
    </row>
    <row r="114" spans="2:11" x14ac:dyDescent="0.2">
      <c r="B114" s="2"/>
      <c r="C114" s="2"/>
      <c r="D114" s="2"/>
      <c r="E114" s="2"/>
      <c r="F114" s="2"/>
      <c r="G114" s="2"/>
      <c r="H114" s="2"/>
      <c r="I114" s="2"/>
      <c r="J114" s="2"/>
      <c r="K114" s="2"/>
    </row>
    <row r="115" spans="2:11" x14ac:dyDescent="0.2">
      <c r="B115" s="2"/>
      <c r="C115" s="2"/>
      <c r="D115" s="2"/>
      <c r="E115" s="2"/>
      <c r="F115" s="2"/>
      <c r="G115" s="2"/>
      <c r="H115" s="2"/>
      <c r="I115" s="2"/>
      <c r="J115" s="2"/>
      <c r="K115" s="2"/>
    </row>
    <row r="116" spans="2:11" x14ac:dyDescent="0.2">
      <c r="B116" s="2"/>
      <c r="C116" s="2"/>
      <c r="D116" s="2"/>
      <c r="E116" s="2"/>
      <c r="F116" s="2"/>
      <c r="G116" s="2"/>
      <c r="H116" s="2"/>
      <c r="I116" s="2"/>
      <c r="J116" s="2"/>
      <c r="K116" s="2"/>
    </row>
    <row r="117" spans="2:11" x14ac:dyDescent="0.2">
      <c r="B117" s="2"/>
      <c r="C117" s="2"/>
      <c r="D117" s="2"/>
      <c r="E117" s="2"/>
      <c r="F117" s="2"/>
      <c r="G117" s="2"/>
      <c r="H117" s="2"/>
      <c r="I117" s="2"/>
      <c r="J117" s="2"/>
      <c r="K117" s="2"/>
    </row>
    <row r="118" spans="2:11" x14ac:dyDescent="0.2">
      <c r="B118" s="2"/>
      <c r="C118" s="2"/>
      <c r="D118" s="2"/>
      <c r="E118" s="2"/>
      <c r="F118" s="2"/>
      <c r="G118" s="2"/>
      <c r="H118" s="2"/>
      <c r="I118" s="2"/>
      <c r="J118" s="2"/>
      <c r="K118" s="2"/>
    </row>
    <row r="119" spans="2:11" x14ac:dyDescent="0.2">
      <c r="B119" s="2"/>
      <c r="C119" s="2"/>
      <c r="D119" s="2"/>
      <c r="E119" s="2"/>
      <c r="F119" s="2"/>
      <c r="G119" s="2"/>
      <c r="H119" s="2"/>
      <c r="I119" s="2"/>
      <c r="J119" s="2"/>
      <c r="K119" s="2"/>
    </row>
  </sheetData>
  <sheetProtection password="C4B7" sheet="1" objects="1" scenarios="1" selectLockedCells="1"/>
  <customSheetViews>
    <customSheetView guid="{4DE99834-7080-40E5-9A2F-2BF27F7EDEBF}" scale="65" showPageBreaks="1" showGridLines="0" zeroValues="0" printArea="1" view="pageBreakPreview" showRuler="0">
      <selection activeCell="I36" sqref="I36"/>
      <rowBreaks count="1" manualBreakCount="1">
        <brk id="41" min="1" max="9" man="1"/>
      </rowBreaks>
      <pageMargins left="0.78740157480314965" right="0.19685039370078741" top="0.98425196850393704" bottom="0.98425196850393704" header="0" footer="0"/>
      <printOptions horizontalCentered="1" verticalCentered="1"/>
      <pageSetup paperSize="9" scale="88" orientation="portrait" horizontalDpi="120" verticalDpi="144" r:id="rId1"/>
      <headerFooter alignWithMargins="0"/>
    </customSheetView>
  </customSheetViews>
  <mergeCells count="42">
    <mergeCell ref="B77:G78"/>
    <mergeCell ref="H77:K77"/>
    <mergeCell ref="E72:I72"/>
    <mergeCell ref="C4:H4"/>
    <mergeCell ref="B2:K2"/>
    <mergeCell ref="B3:K3"/>
    <mergeCell ref="T2:V2"/>
    <mergeCell ref="T3:V3"/>
    <mergeCell ref="T4:V4"/>
    <mergeCell ref="C6:K6"/>
    <mergeCell ref="B5:K5"/>
    <mergeCell ref="A22:A23"/>
    <mergeCell ref="A24:A25"/>
    <mergeCell ref="T5:V5"/>
    <mergeCell ref="E7:G7"/>
    <mergeCell ref="H7:J7"/>
    <mergeCell ref="B7:B8"/>
    <mergeCell ref="C7:C8"/>
    <mergeCell ref="D7:D8"/>
    <mergeCell ref="A28:A30"/>
    <mergeCell ref="B76:K76"/>
    <mergeCell ref="B73:K73"/>
    <mergeCell ref="E66:J66"/>
    <mergeCell ref="E67:J67"/>
    <mergeCell ref="B74:D74"/>
    <mergeCell ref="J72:K72"/>
    <mergeCell ref="G104:I104"/>
    <mergeCell ref="B98:K98"/>
    <mergeCell ref="E100:G100"/>
    <mergeCell ref="H79:H80"/>
    <mergeCell ref="I79:I80"/>
    <mergeCell ref="H83:H84"/>
    <mergeCell ref="I83:I84"/>
    <mergeCell ref="J83:J84"/>
    <mergeCell ref="J79:J80"/>
    <mergeCell ref="H81:H82"/>
    <mergeCell ref="I81:I82"/>
    <mergeCell ref="J81:J82"/>
    <mergeCell ref="J87:K87"/>
    <mergeCell ref="K79:K80"/>
    <mergeCell ref="K81:K82"/>
    <mergeCell ref="K83:K84"/>
  </mergeCells>
  <phoneticPr fontId="38" type="noConversion"/>
  <conditionalFormatting sqref="B98:K104">
    <cfRule type="expression" dxfId="34" priority="1" stopIfTrue="1">
      <formula>$Q$17=FALSE</formula>
    </cfRule>
  </conditionalFormatting>
  <conditionalFormatting sqref="B7:K71">
    <cfRule type="expression" dxfId="33" priority="2" stopIfTrue="1">
      <formula>$Y$1=0</formula>
    </cfRule>
  </conditionalFormatting>
  <conditionalFormatting sqref="M2">
    <cfRule type="cellIs" dxfId="32" priority="3" stopIfTrue="1" operator="equal">
      <formula>0</formula>
    </cfRule>
  </conditionalFormatting>
  <conditionalFormatting sqref="M4">
    <cfRule type="cellIs" dxfId="31" priority="4" stopIfTrue="1" operator="equal">
      <formula>0</formula>
    </cfRule>
  </conditionalFormatting>
  <dataValidations xWindow="1054" yWindow="138" count="1">
    <dataValidation type="decimal" allowBlank="1" showInputMessage="1" showErrorMessage="1" promptTitle="ВНИМАНИЕ" prompt="Введите количество личного состава по общевойсковому пайку!" sqref="M2">
      <formula1>0</formula1>
      <formula2>5000</formula2>
    </dataValidation>
  </dataValidations>
  <hyperlinks>
    <hyperlink ref="A2" location="'Раскладка продуктов'!B25" tooltip="ПОНЕДЕЛЬНИК, переход в раскладку продуктов на соответствующий день" display="ПОНЕДЕЛЬНИК"/>
  </hyperlinks>
  <pageMargins left="0.78740157480314965" right="0.19685039370078741" top="0.59055118110236227" bottom="0.59055118110236227" header="0" footer="0"/>
  <pageSetup paperSize="9" scale="69" orientation="portrait" horizontalDpi="120" verticalDpi="144" r:id="rId2"/>
  <headerFooter alignWithMargins="0"/>
  <rowBreaks count="1" manualBreakCount="1">
    <brk id="58" min="1" max="10" man="1"/>
  </rowBreaks>
  <drawing r:id="rId3"/>
  <legacyDrawing r:id="rId4"/>
  <controls>
    <mc:AlternateContent xmlns:mc="http://schemas.openxmlformats.org/markup-compatibility/2006">
      <mc:Choice Requires="x14">
        <control shapeId="13385" r:id="rId5" name="CommandButton1">
          <controlPr locked="0" defaultSize="0" autoLine="0" r:id="rId6">
            <anchor moveWithCells="1">
              <from>
                <xdr:col>11</xdr:col>
                <xdr:colOff>314325</xdr:colOff>
                <xdr:row>3</xdr:row>
                <xdr:rowOff>19050</xdr:rowOff>
              </from>
              <to>
                <xdr:col>13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13385" r:id="rId5" name="CommandButton1"/>
      </mc:Fallback>
    </mc:AlternateContent>
    <mc:AlternateContent xmlns:mc="http://schemas.openxmlformats.org/markup-compatibility/2006">
      <mc:Choice Requires="x14">
        <control shapeId="13314" r:id="rId7" name="Spinner 2">
          <controlPr defaultSize="0" autoPict="0">
            <anchor moveWithCells="1" sizeWithCells="1">
              <from>
                <xdr:col>13</xdr:col>
                <xdr:colOff>28575</xdr:colOff>
                <xdr:row>0</xdr:row>
                <xdr:rowOff>104775</xdr:rowOff>
              </from>
              <to>
                <xdr:col>13</xdr:col>
                <xdr:colOff>466725</xdr:colOff>
                <xdr:row>2</xdr:row>
                <xdr:rowOff>104775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Вт">
    <tabColor indexed="22"/>
  </sheetPr>
  <dimension ref="A1:AK128"/>
  <sheetViews>
    <sheetView showGridLines="0" showZeros="0" view="pageBreakPreview" zoomScale="65" zoomScaleNormal="75" zoomScaleSheetLayoutView="75" workbookViewId="0">
      <selection activeCell="M2" sqref="M2"/>
    </sheetView>
  </sheetViews>
  <sheetFormatPr defaultRowHeight="12.75" x14ac:dyDescent="0.2"/>
  <cols>
    <col min="1" max="1" width="5.7109375" style="4" customWidth="1"/>
    <col min="2" max="2" width="51.42578125" customWidth="1"/>
    <col min="3" max="3" width="4.7109375" customWidth="1"/>
    <col min="4" max="4" width="9.5703125" customWidth="1"/>
    <col min="5" max="7" width="9.5703125" hidden="1" customWidth="1"/>
    <col min="8" max="11" width="17.5703125" customWidth="1"/>
    <col min="12" max="12" width="9.140625" style="4"/>
    <col min="13" max="13" width="8.7109375" style="4" customWidth="1"/>
    <col min="14" max="14" width="9.140625" style="4"/>
    <col min="15" max="16" width="10.7109375" style="4" customWidth="1"/>
    <col min="17" max="17" width="9.28515625" style="4" hidden="1" customWidth="1"/>
    <col min="18" max="20" width="0" hidden="1" customWidth="1"/>
    <col min="21" max="21" width="9" hidden="1" customWidth="1"/>
    <col min="22" max="22" width="6.42578125" hidden="1" customWidth="1"/>
    <col min="23" max="26" width="0" hidden="1" customWidth="1"/>
  </cols>
  <sheetData>
    <row r="1" spans="1:37" ht="13.9" customHeight="1" thickBot="1" x14ac:dyDescent="0.25">
      <c r="B1" s="242"/>
      <c r="C1" s="80"/>
      <c r="D1" s="80"/>
      <c r="E1" s="80"/>
      <c r="F1" s="80"/>
      <c r="G1" s="243">
        <v>3</v>
      </c>
      <c r="H1" s="80"/>
      <c r="I1" s="80"/>
      <c r="J1" s="80"/>
      <c r="K1" s="244" t="s">
        <v>160</v>
      </c>
      <c r="L1" s="2"/>
      <c r="M1" s="2"/>
      <c r="N1" s="2"/>
      <c r="O1" s="2"/>
      <c r="P1" s="2"/>
      <c r="Q1" s="2"/>
      <c r="R1" s="80"/>
      <c r="S1" s="80"/>
      <c r="T1" s="80"/>
      <c r="U1" s="80"/>
      <c r="V1" s="80"/>
      <c r="W1" s="80">
        <v>2</v>
      </c>
      <c r="X1" s="302">
        <v>3</v>
      </c>
      <c r="Y1" s="2">
        <f>'Блок ввода'!G4</f>
        <v>0</v>
      </c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</row>
    <row r="2" spans="1:37" ht="21" customHeight="1" thickTop="1" thickBot="1" x14ac:dyDescent="0.25">
      <c r="A2" s="485" t="s">
        <v>521</v>
      </c>
      <c r="B2" s="1601" t="s">
        <v>511</v>
      </c>
      <c r="C2" s="1601"/>
      <c r="D2" s="1601"/>
      <c r="E2" s="1601"/>
      <c r="F2" s="1601"/>
      <c r="G2" s="1601"/>
      <c r="H2" s="1601"/>
      <c r="I2" s="1601"/>
      <c r="J2" s="1601"/>
      <c r="K2" s="1601"/>
      <c r="L2" s="2"/>
      <c r="M2" s="139">
        <v>0</v>
      </c>
      <c r="N2" s="2"/>
      <c r="O2" s="2"/>
      <c r="P2" s="2"/>
      <c r="Q2" s="2"/>
      <c r="R2" s="80"/>
      <c r="S2" s="80"/>
      <c r="T2" s="80"/>
      <c r="U2" s="80"/>
      <c r="V2" s="80"/>
      <c r="W2" s="80"/>
      <c r="X2" s="302">
        <v>0</v>
      </c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</row>
    <row r="3" spans="1:37" ht="18.95" customHeight="1" thickTop="1" x14ac:dyDescent="0.25">
      <c r="B3" s="1602" t="str">
        <f>CONCATENATE(" на выдачу продовольствия в столовую ",'Блок ввода'!G8," ",'Блок ввода'!I2)</f>
        <v xml:space="preserve"> на выдачу продовольствия в столовую войсковой части 00000</v>
      </c>
      <c r="C3" s="1602"/>
      <c r="D3" s="1602"/>
      <c r="E3" s="1602"/>
      <c r="F3" s="1602"/>
      <c r="G3" s="1602"/>
      <c r="H3" s="1602"/>
      <c r="I3" s="1602"/>
      <c r="J3" s="1602"/>
      <c r="K3" s="1602"/>
      <c r="L3" s="2"/>
      <c r="M3" s="137"/>
      <c r="N3" s="2"/>
      <c r="O3" s="2"/>
      <c r="P3" s="2"/>
      <c r="Q3" s="2"/>
      <c r="R3" s="80"/>
      <c r="S3" s="80"/>
      <c r="T3" s="80"/>
      <c r="U3" s="80"/>
      <c r="V3" s="80"/>
      <c r="W3" s="80"/>
      <c r="X3" s="302">
        <v>0</v>
      </c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</row>
    <row r="4" spans="1:37" ht="21" customHeight="1" x14ac:dyDescent="0.25">
      <c r="A4" s="2"/>
      <c r="B4" s="245" t="s">
        <v>214</v>
      </c>
      <c r="C4" s="1599">
        <f>'Блок ввода'!$I$4+1</f>
        <v>40092</v>
      </c>
      <c r="D4" s="1599"/>
      <c r="E4" s="1599"/>
      <c r="F4" s="1599"/>
      <c r="G4" s="1599"/>
      <c r="H4" s="1599"/>
      <c r="I4" s="1219"/>
      <c r="J4" s="1219"/>
      <c r="K4" s="1219"/>
      <c r="L4" s="2"/>
      <c r="M4" s="1232">
        <v>0</v>
      </c>
      <c r="N4" s="2"/>
      <c r="O4" s="2"/>
      <c r="P4" s="2"/>
      <c r="Q4" s="2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</row>
    <row r="5" spans="1:37" ht="17.100000000000001" customHeight="1" x14ac:dyDescent="0.25">
      <c r="A5" s="144"/>
      <c r="B5" s="1582" t="s">
        <v>375</v>
      </c>
      <c r="C5" s="1582"/>
      <c r="D5" s="1582"/>
      <c r="E5" s="1582"/>
      <c r="F5" s="1582"/>
      <c r="G5" s="1582"/>
      <c r="H5" s="1582"/>
      <c r="I5" s="1582"/>
      <c r="J5" s="1582"/>
      <c r="K5" s="1583"/>
      <c r="L5" s="137"/>
      <c r="M5" s="2"/>
      <c r="N5" s="2"/>
      <c r="O5" s="2"/>
      <c r="P5" s="2"/>
      <c r="Q5" s="2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</row>
    <row r="6" spans="1:37" ht="19.899999999999999" customHeight="1" thickBot="1" x14ac:dyDescent="0.3">
      <c r="A6" s="144"/>
      <c r="B6" s="245" t="s">
        <v>234</v>
      </c>
      <c r="C6" s="1607" t="s">
        <v>352</v>
      </c>
      <c r="D6" s="1608"/>
      <c r="E6" s="1608"/>
      <c r="F6" s="1608"/>
      <c r="G6" s="1608"/>
      <c r="H6" s="1608"/>
      <c r="I6" s="1608"/>
      <c r="J6" s="1608"/>
      <c r="K6" s="1608"/>
      <c r="L6" s="137"/>
      <c r="M6" s="246"/>
      <c r="N6" s="2"/>
      <c r="O6" s="2"/>
      <c r="P6" s="2"/>
      <c r="Q6" s="2"/>
      <c r="R6" s="80"/>
      <c r="S6" s="80"/>
      <c r="T6" s="80"/>
      <c r="U6" s="247" t="b">
        <f>IF(OR('Раскладка продуктов'!A50=1750,'Раскладка продуктов'!A50=1745),0,FALSE)</f>
        <v>0</v>
      </c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</row>
    <row r="7" spans="1:37" ht="13.5" customHeight="1" thickBot="1" x14ac:dyDescent="0.25">
      <c r="A7" s="2"/>
      <c r="B7" s="1574" t="s">
        <v>218</v>
      </c>
      <c r="C7" s="1576" t="s">
        <v>167</v>
      </c>
      <c r="D7" s="1578" t="s">
        <v>284</v>
      </c>
      <c r="E7" s="1604" t="s">
        <v>261</v>
      </c>
      <c r="F7" s="1605"/>
      <c r="G7" s="1606"/>
      <c r="H7" s="1604" t="s">
        <v>262</v>
      </c>
      <c r="I7" s="1605"/>
      <c r="J7" s="1606"/>
      <c r="K7" s="248"/>
      <c r="L7" s="2"/>
      <c r="M7" s="2"/>
      <c r="N7" s="2"/>
      <c r="O7" s="2"/>
      <c r="P7" s="2"/>
      <c r="Q7" s="2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</row>
    <row r="8" spans="1:37" ht="58.15" customHeight="1" thickBot="1" x14ac:dyDescent="0.25">
      <c r="A8" s="2"/>
      <c r="B8" s="1603"/>
      <c r="C8" s="1577"/>
      <c r="D8" s="1579"/>
      <c r="E8" s="249" t="s">
        <v>123</v>
      </c>
      <c r="F8" s="250" t="s">
        <v>124</v>
      </c>
      <c r="G8" s="251" t="s">
        <v>125</v>
      </c>
      <c r="H8" s="250" t="s">
        <v>123</v>
      </c>
      <c r="I8" s="250" t="s">
        <v>124</v>
      </c>
      <c r="J8" s="250" t="s">
        <v>125</v>
      </c>
      <c r="K8" s="252" t="s">
        <v>161</v>
      </c>
      <c r="L8" s="2"/>
      <c r="M8" s="2"/>
      <c r="N8" s="2"/>
      <c r="O8" s="2"/>
      <c r="P8" s="2"/>
      <c r="Q8" s="2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</row>
    <row r="9" spans="1:37" ht="15" customHeight="1" x14ac:dyDescent="0.25">
      <c r="A9" s="2"/>
      <c r="B9" s="697" t="str">
        <f>Расчёт!B68</f>
        <v>ХЛЕБ ИЗ СМЕСИ МУКИ РЖАНОЙ</v>
      </c>
      <c r="C9" s="613" t="s">
        <v>163</v>
      </c>
      <c r="D9" s="506">
        <f>Цены!D9</f>
        <v>0</v>
      </c>
      <c r="E9" s="604">
        <v>0</v>
      </c>
      <c r="F9" s="611">
        <v>0</v>
      </c>
      <c r="G9" s="612">
        <v>0</v>
      </c>
      <c r="H9" s="489">
        <f>Расчёт!G68</f>
        <v>0</v>
      </c>
      <c r="I9" s="490">
        <f>Расчёт!H68</f>
        <v>0</v>
      </c>
      <c r="J9" s="491">
        <f>Расчёт!I68</f>
        <v>0</v>
      </c>
      <c r="K9" s="585">
        <f>SUM(E9:J9)-K66</f>
        <v>0</v>
      </c>
      <c r="L9" s="2"/>
      <c r="M9" s="253"/>
      <c r="N9" s="254"/>
      <c r="O9" s="2"/>
      <c r="P9" s="2"/>
      <c r="Q9" s="2"/>
      <c r="R9" s="80"/>
      <c r="S9" s="154"/>
      <c r="T9" s="154"/>
      <c r="U9" s="154" t="b">
        <v>0</v>
      </c>
      <c r="V9" s="154">
        <f t="shared" ref="V9:V70" si="0">IF(K9&gt;0,1,0)</f>
        <v>0</v>
      </c>
      <c r="W9" s="80"/>
      <c r="X9" s="80"/>
      <c r="Y9" s="80"/>
      <c r="Z9" s="155">
        <f>D9*K9</f>
        <v>0</v>
      </c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</row>
    <row r="10" spans="1:37" ht="15" customHeight="1" x14ac:dyDescent="0.25">
      <c r="A10" s="2"/>
      <c r="B10" s="659" t="str">
        <f>Расчёт!B69</f>
        <v>ХЛЕБ ИЗ МУКИ ПШ. 1 С.</v>
      </c>
      <c r="C10" s="618" t="s">
        <v>163</v>
      </c>
      <c r="D10" s="640">
        <f>Цены!D10</f>
        <v>0</v>
      </c>
      <c r="E10" s="662">
        <v>0</v>
      </c>
      <c r="F10" s="614">
        <v>0</v>
      </c>
      <c r="G10" s="615">
        <v>0</v>
      </c>
      <c r="H10" s="494">
        <f>Расчёт!G69</f>
        <v>0</v>
      </c>
      <c r="I10" s="495">
        <f>Расчёт!H69</f>
        <v>0</v>
      </c>
      <c r="J10" s="496">
        <f>Расчёт!I69</f>
        <v>0</v>
      </c>
      <c r="K10" s="698">
        <f>SUM(E10:J10)-K67</f>
        <v>0</v>
      </c>
      <c r="L10" s="2"/>
      <c r="M10" s="253"/>
      <c r="N10" s="254"/>
      <c r="O10" s="2"/>
      <c r="P10" s="2"/>
      <c r="Q10" s="2"/>
      <c r="R10" s="80"/>
      <c r="S10" s="154"/>
      <c r="T10" s="80"/>
      <c r="U10" s="80" t="b">
        <v>1</v>
      </c>
      <c r="V10" s="154">
        <f t="shared" si="0"/>
        <v>0</v>
      </c>
      <c r="W10" s="80"/>
      <c r="X10" s="80"/>
      <c r="Y10" s="80"/>
      <c r="Z10" s="155">
        <f t="shared" ref="Z10:Z71" si="1">D10*K10</f>
        <v>0</v>
      </c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</row>
    <row r="11" spans="1:37" ht="15" customHeight="1" thickBot="1" x14ac:dyDescent="0.3">
      <c r="A11" s="2"/>
      <c r="B11" s="659" t="str">
        <f>Расчёт!B70</f>
        <v>СУХАРИ (ХЛЕБЦЫ) ИЗ ПШ. МУКИ 1 С.</v>
      </c>
      <c r="C11" s="618" t="s">
        <v>163</v>
      </c>
      <c r="D11" s="1244">
        <f>Цены!D11</f>
        <v>0</v>
      </c>
      <c r="E11" s="663">
        <v>0</v>
      </c>
      <c r="F11" s="621">
        <v>0</v>
      </c>
      <c r="G11" s="622">
        <v>0</v>
      </c>
      <c r="H11" s="501">
        <f>Расчёт!G70</f>
        <v>0</v>
      </c>
      <c r="I11" s="502">
        <f>Расчёт!H70</f>
        <v>0</v>
      </c>
      <c r="J11" s="503">
        <f>Расчёт!I70</f>
        <v>0</v>
      </c>
      <c r="K11" s="699">
        <f t="shared" ref="K11:K64" si="2">SUM(E11:J11)</f>
        <v>0</v>
      </c>
      <c r="L11" s="2"/>
      <c r="M11" s="253"/>
      <c r="N11" s="254"/>
      <c r="O11" s="2"/>
      <c r="P11" s="2"/>
      <c r="Q11" s="2"/>
      <c r="R11" s="80"/>
      <c r="S11" s="154"/>
      <c r="T11" s="80"/>
      <c r="U11" s="80"/>
      <c r="V11" s="154"/>
      <c r="W11" s="80"/>
      <c r="X11" s="80"/>
      <c r="Y11" s="80"/>
      <c r="Z11" s="155">
        <f t="shared" si="1"/>
        <v>0</v>
      </c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</row>
    <row r="12" spans="1:37" ht="15" customHeight="1" x14ac:dyDescent="0.2">
      <c r="A12" s="2"/>
      <c r="B12" s="505" t="s">
        <v>130</v>
      </c>
      <c r="C12" s="610" t="s">
        <v>163</v>
      </c>
      <c r="D12" s="506">
        <f>Цены!D12</f>
        <v>0</v>
      </c>
      <c r="E12" s="600">
        <v>0</v>
      </c>
      <c r="F12" s="600">
        <v>0</v>
      </c>
      <c r="G12" s="676">
        <v>0</v>
      </c>
      <c r="H12" s="509">
        <f>Расчёт!G71</f>
        <v>0</v>
      </c>
      <c r="I12" s="510">
        <f>Расчёт!H71</f>
        <v>0</v>
      </c>
      <c r="J12" s="511">
        <f>Расчёт!I71</f>
        <v>0</v>
      </c>
      <c r="K12" s="585">
        <f t="shared" si="2"/>
        <v>0</v>
      </c>
      <c r="L12" s="2"/>
      <c r="M12" s="2"/>
      <c r="N12" s="2"/>
      <c r="O12" s="2"/>
      <c r="P12" s="2"/>
      <c r="Q12" s="2"/>
      <c r="R12" s="80"/>
      <c r="S12" s="154"/>
      <c r="T12" s="80"/>
      <c r="U12" s="80"/>
      <c r="V12" s="154">
        <f t="shared" si="0"/>
        <v>0</v>
      </c>
      <c r="W12" s="80"/>
      <c r="X12" s="80"/>
      <c r="Y12" s="80"/>
      <c r="Z12" s="155">
        <f t="shared" si="1"/>
        <v>0</v>
      </c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</row>
    <row r="13" spans="1:37" ht="15" customHeight="1" thickBot="1" x14ac:dyDescent="0.25">
      <c r="A13" s="2"/>
      <c r="B13" s="513" t="s">
        <v>131</v>
      </c>
      <c r="C13" s="620" t="s">
        <v>163</v>
      </c>
      <c r="D13" s="1244">
        <f>Цены!D13</f>
        <v>0</v>
      </c>
      <c r="E13" s="663">
        <v>0</v>
      </c>
      <c r="F13" s="663">
        <v>0</v>
      </c>
      <c r="G13" s="622">
        <v>0</v>
      </c>
      <c r="H13" s="515">
        <f>Расчёт!G72</f>
        <v>0</v>
      </c>
      <c r="I13" s="518">
        <f>Расчёт!H72</f>
        <v>0</v>
      </c>
      <c r="J13" s="519">
        <f>Расчёт!I72</f>
        <v>0</v>
      </c>
      <c r="K13" s="700">
        <f t="shared" si="2"/>
        <v>0</v>
      </c>
      <c r="L13" s="2"/>
      <c r="M13" s="255"/>
      <c r="N13" s="2"/>
      <c r="O13" s="2"/>
      <c r="P13" s="2"/>
      <c r="Q13" s="2"/>
      <c r="R13" s="80"/>
      <c r="S13" s="154"/>
      <c r="T13" s="80"/>
      <c r="U13" s="80"/>
      <c r="V13" s="154">
        <f t="shared" si="0"/>
        <v>0</v>
      </c>
      <c r="W13" s="80"/>
      <c r="X13" s="80"/>
      <c r="Y13" s="80"/>
      <c r="Z13" s="155">
        <f t="shared" si="1"/>
        <v>0</v>
      </c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</row>
    <row r="14" spans="1:37" ht="15" customHeight="1" x14ac:dyDescent="0.2">
      <c r="A14" s="2"/>
      <c r="B14" s="521" t="str">
        <f>Расчёт!B73</f>
        <v>РИС</v>
      </c>
      <c r="C14" s="610" t="s">
        <v>163</v>
      </c>
      <c r="D14" s="506">
        <f>Цены!D14</f>
        <v>0</v>
      </c>
      <c r="E14" s="600">
        <v>0</v>
      </c>
      <c r="F14" s="600">
        <v>0</v>
      </c>
      <c r="G14" s="676">
        <v>0</v>
      </c>
      <c r="H14" s="489">
        <f>Расчёт!G73</f>
        <v>0</v>
      </c>
      <c r="I14" s="490">
        <f>Расчёт!H73</f>
        <v>0</v>
      </c>
      <c r="J14" s="491">
        <f>Расчёт!I73</f>
        <v>0</v>
      </c>
      <c r="K14" s="585">
        <f t="shared" si="2"/>
        <v>0</v>
      </c>
      <c r="L14" s="2"/>
      <c r="M14" s="2"/>
      <c r="N14" s="2"/>
      <c r="O14" s="2"/>
      <c r="P14" s="2"/>
      <c r="Q14" s="2"/>
      <c r="R14" s="80"/>
      <c r="S14" s="154"/>
      <c r="T14" s="2" t="str">
        <f>'Блок ввода'!O15</f>
        <v>Ю.АРТЕМОВ</v>
      </c>
      <c r="U14" s="80"/>
      <c r="V14" s="154">
        <f t="shared" si="0"/>
        <v>0</v>
      </c>
      <c r="W14" s="80"/>
      <c r="X14" s="80"/>
      <c r="Y14" s="80"/>
      <c r="Z14" s="155">
        <f t="shared" si="1"/>
        <v>0</v>
      </c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</row>
    <row r="15" spans="1:37" ht="15" customHeight="1" x14ac:dyDescent="0.2">
      <c r="A15" s="256"/>
      <c r="B15" s="523" t="str">
        <f>Расчёт!B74</f>
        <v>КРУПА ГРЕЧНЕВАЯ</v>
      </c>
      <c r="C15" s="613" t="s">
        <v>163</v>
      </c>
      <c r="D15" s="640">
        <f>Цены!D15</f>
        <v>0</v>
      </c>
      <c r="E15" s="662">
        <v>0</v>
      </c>
      <c r="F15" s="662">
        <v>0</v>
      </c>
      <c r="G15" s="615">
        <v>0</v>
      </c>
      <c r="H15" s="509">
        <f>Расчёт!G74</f>
        <v>0</v>
      </c>
      <c r="I15" s="510">
        <f>Расчёт!H74</f>
        <v>0</v>
      </c>
      <c r="J15" s="511">
        <f>Расчёт!I74</f>
        <v>0</v>
      </c>
      <c r="K15" s="701">
        <f t="shared" si="2"/>
        <v>0</v>
      </c>
      <c r="L15" s="2"/>
      <c r="M15" s="2"/>
      <c r="N15" s="2"/>
      <c r="O15" s="2"/>
      <c r="P15" s="2"/>
      <c r="Q15" s="2">
        <f>'Раскладка продуктов'!A37</f>
        <v>2075</v>
      </c>
      <c r="R15" s="80"/>
      <c r="S15" s="154"/>
      <c r="T15" s="2" t="str">
        <f>'Блок ввода'!O16</f>
        <v>Е.КАЛУГИН</v>
      </c>
      <c r="U15" s="80"/>
      <c r="V15" s="154">
        <f t="shared" si="0"/>
        <v>0</v>
      </c>
      <c r="W15" s="80"/>
      <c r="X15" s="80"/>
      <c r="Y15" s="80"/>
      <c r="Z15" s="155">
        <f t="shared" si="1"/>
        <v>0</v>
      </c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</row>
    <row r="16" spans="1:37" ht="15" customHeight="1" x14ac:dyDescent="0.2">
      <c r="A16" s="2"/>
      <c r="B16" s="523" t="str">
        <f>Расчёт!B75</f>
        <v>КРУПА ПЕРЛОВАЯ</v>
      </c>
      <c r="C16" s="613" t="s">
        <v>163</v>
      </c>
      <c r="D16" s="640">
        <f>Цены!D16</f>
        <v>0</v>
      </c>
      <c r="E16" s="662">
        <v>0</v>
      </c>
      <c r="F16" s="662">
        <v>0</v>
      </c>
      <c r="G16" s="615">
        <v>0</v>
      </c>
      <c r="H16" s="509">
        <f>Расчёт!G75</f>
        <v>0</v>
      </c>
      <c r="I16" s="510">
        <f>Расчёт!H75</f>
        <v>0</v>
      </c>
      <c r="J16" s="511">
        <f>Расчёт!I75</f>
        <v>0</v>
      </c>
      <c r="K16" s="701">
        <f t="shared" si="2"/>
        <v>0</v>
      </c>
      <c r="L16" s="2"/>
      <c r="M16" s="2"/>
      <c r="N16" s="2"/>
      <c r="O16" s="2"/>
      <c r="P16" s="2"/>
      <c r="Q16" s="239" t="str">
        <f>MID(B2,13,6)</f>
        <v/>
      </c>
      <c r="R16" s="80"/>
      <c r="S16" s="154"/>
      <c r="T16" s="80"/>
      <c r="U16" s="80"/>
      <c r="V16" s="154">
        <f t="shared" si="0"/>
        <v>0</v>
      </c>
      <c r="W16" s="80"/>
      <c r="X16" s="80"/>
      <c r="Y16" s="80"/>
      <c r="Z16" s="155">
        <f t="shared" si="1"/>
        <v>0</v>
      </c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</row>
    <row r="17" spans="1:37" ht="15" customHeight="1" x14ac:dyDescent="0.2">
      <c r="A17" s="2"/>
      <c r="B17" s="523" t="str">
        <f>Расчёт!B76</f>
        <v>КРУПА ГОРОХ</v>
      </c>
      <c r="C17" s="613" t="s">
        <v>163</v>
      </c>
      <c r="D17" s="640">
        <f>Цены!D17</f>
        <v>0</v>
      </c>
      <c r="E17" s="662">
        <v>0</v>
      </c>
      <c r="F17" s="662">
        <v>0</v>
      </c>
      <c r="G17" s="615">
        <v>0</v>
      </c>
      <c r="H17" s="509">
        <f>Расчёт!G76</f>
        <v>0</v>
      </c>
      <c r="I17" s="510">
        <f>Расчёт!H76</f>
        <v>0</v>
      </c>
      <c r="J17" s="511">
        <f>Расчёт!I76</f>
        <v>0</v>
      </c>
      <c r="K17" s="701">
        <f t="shared" si="2"/>
        <v>0</v>
      </c>
      <c r="L17" s="2"/>
      <c r="M17" s="2"/>
      <c r="N17" s="2"/>
      <c r="O17" s="2"/>
      <c r="P17" s="2"/>
      <c r="Q17" s="296" t="b">
        <v>1</v>
      </c>
      <c r="R17" s="80"/>
      <c r="S17" s="154"/>
      <c r="T17" s="80"/>
      <c r="U17" s="80"/>
      <c r="V17" s="154">
        <f t="shared" si="0"/>
        <v>0</v>
      </c>
      <c r="W17" s="80"/>
      <c r="X17" s="80"/>
      <c r="Y17" s="80"/>
      <c r="Z17" s="155">
        <f t="shared" si="1"/>
        <v>0</v>
      </c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</row>
    <row r="18" spans="1:37" ht="15" customHeight="1" x14ac:dyDescent="0.2">
      <c r="A18" s="2"/>
      <c r="B18" s="523" t="str">
        <f>Расчёт!B77</f>
        <v>КРУПА ПШЕНО</v>
      </c>
      <c r="C18" s="613" t="s">
        <v>163</v>
      </c>
      <c r="D18" s="640">
        <f>Цены!D18</f>
        <v>0</v>
      </c>
      <c r="E18" s="662">
        <v>0</v>
      </c>
      <c r="F18" s="662">
        <v>0</v>
      </c>
      <c r="G18" s="615">
        <v>0</v>
      </c>
      <c r="H18" s="509">
        <f>Расчёт!G77</f>
        <v>0</v>
      </c>
      <c r="I18" s="510">
        <f>Расчёт!H77</f>
        <v>0</v>
      </c>
      <c r="J18" s="511">
        <f>Расчёт!I77</f>
        <v>0</v>
      </c>
      <c r="K18" s="701">
        <f t="shared" si="2"/>
        <v>0</v>
      </c>
      <c r="L18" s="2"/>
      <c r="M18" s="2"/>
      <c r="N18" s="2"/>
      <c r="O18" s="2"/>
      <c r="P18" s="2"/>
      <c r="Q18" s="2"/>
      <c r="R18" s="80"/>
      <c r="S18" s="154"/>
      <c r="T18" s="80"/>
      <c r="U18" s="80"/>
      <c r="V18" s="154">
        <f t="shared" si="0"/>
        <v>0</v>
      </c>
      <c r="W18" s="80"/>
      <c r="X18" s="80"/>
      <c r="Y18" s="80"/>
      <c r="Z18" s="155">
        <f t="shared" si="1"/>
        <v>0</v>
      </c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</row>
    <row r="19" spans="1:37" ht="15" customHeight="1" x14ac:dyDescent="0.2">
      <c r="A19" s="2"/>
      <c r="B19" s="523" t="str">
        <f>Расчёт!B78</f>
        <v>КРУПА ПШЕНИЧНАЯ</v>
      </c>
      <c r="C19" s="613" t="s">
        <v>163</v>
      </c>
      <c r="D19" s="640">
        <f>Цены!D19</f>
        <v>0</v>
      </c>
      <c r="E19" s="662">
        <v>0</v>
      </c>
      <c r="F19" s="662">
        <v>0</v>
      </c>
      <c r="G19" s="615">
        <v>0</v>
      </c>
      <c r="H19" s="509">
        <f>Расчёт!G78</f>
        <v>0</v>
      </c>
      <c r="I19" s="510">
        <f>Расчёт!H78</f>
        <v>0</v>
      </c>
      <c r="J19" s="511">
        <f>Расчёт!I78</f>
        <v>0</v>
      </c>
      <c r="K19" s="701">
        <f t="shared" si="2"/>
        <v>0</v>
      </c>
      <c r="L19" s="2"/>
      <c r="M19" s="2"/>
      <c r="N19" s="2"/>
      <c r="O19" s="2"/>
      <c r="P19" s="2"/>
      <c r="Q19" s="2"/>
      <c r="R19" s="80"/>
      <c r="S19" s="154"/>
      <c r="T19" s="80"/>
      <c r="U19" s="80"/>
      <c r="V19" s="154">
        <f t="shared" si="0"/>
        <v>0</v>
      </c>
      <c r="W19" s="80"/>
      <c r="X19" s="80"/>
      <c r="Y19" s="80"/>
      <c r="Z19" s="155">
        <f t="shared" si="1"/>
        <v>0</v>
      </c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</row>
    <row r="20" spans="1:37" ht="15" customHeight="1" x14ac:dyDescent="0.2">
      <c r="A20" s="2"/>
      <c r="B20" s="523" t="str">
        <f>Расчёт!B79</f>
        <v>КРУПА ОВСЯНАЯ</v>
      </c>
      <c r="C20" s="613" t="s">
        <v>163</v>
      </c>
      <c r="D20" s="640">
        <f>Цены!D20</f>
        <v>0</v>
      </c>
      <c r="E20" s="662">
        <v>0</v>
      </c>
      <c r="F20" s="662">
        <v>0</v>
      </c>
      <c r="G20" s="615">
        <v>0</v>
      </c>
      <c r="H20" s="509">
        <f>Расчёт!G79</f>
        <v>0</v>
      </c>
      <c r="I20" s="510">
        <f>Расчёт!H79</f>
        <v>0</v>
      </c>
      <c r="J20" s="511">
        <f>Расчёт!I79</f>
        <v>0</v>
      </c>
      <c r="K20" s="701">
        <f t="shared" si="2"/>
        <v>0</v>
      </c>
      <c r="L20" s="2"/>
      <c r="M20" s="2"/>
      <c r="N20" s="2"/>
      <c r="O20" s="2"/>
      <c r="P20" s="2"/>
      <c r="Q20" s="2"/>
      <c r="R20" s="80"/>
      <c r="S20" s="154"/>
      <c r="T20" s="80"/>
      <c r="U20" s="80"/>
      <c r="V20" s="154">
        <f t="shared" si="0"/>
        <v>0</v>
      </c>
      <c r="W20" s="80"/>
      <c r="X20" s="80"/>
      <c r="Y20" s="80"/>
      <c r="Z20" s="155">
        <f t="shared" si="1"/>
        <v>0</v>
      </c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</row>
    <row r="21" spans="1:37" ht="15" customHeight="1" x14ac:dyDescent="0.2">
      <c r="A21" s="2"/>
      <c r="B21" s="523" t="str">
        <f>Расчёт!B80</f>
        <v>КРУПА ЯЧНЕВАЯ</v>
      </c>
      <c r="C21" s="613" t="s">
        <v>163</v>
      </c>
      <c r="D21" s="640">
        <f>Цены!D21</f>
        <v>0</v>
      </c>
      <c r="E21" s="662">
        <v>0</v>
      </c>
      <c r="F21" s="662">
        <v>0</v>
      </c>
      <c r="G21" s="615">
        <v>0</v>
      </c>
      <c r="H21" s="509">
        <f>Расчёт!G80</f>
        <v>0</v>
      </c>
      <c r="I21" s="510">
        <f>Расчёт!H80</f>
        <v>0</v>
      </c>
      <c r="J21" s="511">
        <f>Расчёт!I80</f>
        <v>0</v>
      </c>
      <c r="K21" s="701">
        <f t="shared" si="2"/>
        <v>0</v>
      </c>
      <c r="L21" s="2"/>
      <c r="M21" s="2"/>
      <c r="N21" s="2"/>
      <c r="O21" s="2"/>
      <c r="P21" s="2"/>
      <c r="Q21" s="2"/>
      <c r="R21" s="80"/>
      <c r="S21" s="154"/>
      <c r="T21" s="80"/>
      <c r="U21" s="80"/>
      <c r="V21" s="154">
        <f t="shared" si="0"/>
        <v>0</v>
      </c>
      <c r="W21" s="80"/>
      <c r="X21" s="80"/>
      <c r="Y21" s="80"/>
      <c r="Z21" s="155">
        <f t="shared" si="1"/>
        <v>0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</row>
    <row r="22" spans="1:37" ht="15" customHeight="1" thickBot="1" x14ac:dyDescent="0.25">
      <c r="A22" s="2"/>
      <c r="B22" s="525" t="str">
        <f>Расчёт!B81</f>
        <v>МАКАРОННЫЕ ИЗДЕЛИЯ</v>
      </c>
      <c r="C22" s="620" t="s">
        <v>163</v>
      </c>
      <c r="D22" s="1244">
        <f>Цены!D22</f>
        <v>0</v>
      </c>
      <c r="E22" s="702">
        <v>0</v>
      </c>
      <c r="F22" s="702">
        <v>0</v>
      </c>
      <c r="G22" s="678">
        <v>0</v>
      </c>
      <c r="H22" s="515">
        <f>Расчёт!G81</f>
        <v>0</v>
      </c>
      <c r="I22" s="518">
        <f>Расчёт!H81</f>
        <v>0</v>
      </c>
      <c r="J22" s="519">
        <f>Расчёт!I81</f>
        <v>0</v>
      </c>
      <c r="K22" s="700">
        <f t="shared" si="2"/>
        <v>0</v>
      </c>
      <c r="L22" s="2"/>
      <c r="M22" s="2"/>
      <c r="N22" s="2"/>
      <c r="O22" s="2"/>
      <c r="P22" s="2"/>
      <c r="Q22" s="2"/>
      <c r="R22" s="80"/>
      <c r="S22" s="154"/>
      <c r="T22" s="80"/>
      <c r="U22" s="80"/>
      <c r="V22" s="154">
        <f t="shared" si="0"/>
        <v>0</v>
      </c>
      <c r="W22" s="80"/>
      <c r="X22" s="80"/>
      <c r="Y22" s="80"/>
      <c r="Z22" s="155">
        <f t="shared" si="1"/>
        <v>0</v>
      </c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</row>
    <row r="23" spans="1:37" ht="15" customHeight="1" x14ac:dyDescent="0.2">
      <c r="A23" s="2"/>
      <c r="B23" s="486" t="str">
        <f>Расчёт!B82</f>
        <v>МЯСО  ГОВЯДИНА</v>
      </c>
      <c r="C23" s="703" t="s">
        <v>163</v>
      </c>
      <c r="D23" s="506">
        <f>Цены!D23</f>
        <v>0</v>
      </c>
      <c r="E23" s="604">
        <v>0</v>
      </c>
      <c r="F23" s="604">
        <v>0</v>
      </c>
      <c r="G23" s="612">
        <v>0</v>
      </c>
      <c r="H23" s="489">
        <f>Расчёт!G82</f>
        <v>0</v>
      </c>
      <c r="I23" s="490">
        <f>Расчёт!H82</f>
        <v>0</v>
      </c>
      <c r="J23" s="491">
        <f>Расчёт!I82</f>
        <v>0</v>
      </c>
      <c r="K23" s="529">
        <f t="shared" si="2"/>
        <v>0</v>
      </c>
      <c r="L23" s="2"/>
      <c r="M23" s="2"/>
      <c r="N23" s="2"/>
      <c r="O23" s="2"/>
      <c r="P23" s="2"/>
      <c r="Q23" s="2"/>
      <c r="R23" s="80"/>
      <c r="S23" s="154"/>
      <c r="T23" s="80"/>
      <c r="U23" s="80"/>
      <c r="V23" s="154">
        <f t="shared" si="0"/>
        <v>0</v>
      </c>
      <c r="W23" s="80"/>
      <c r="X23" s="80"/>
      <c r="Y23" s="80"/>
      <c r="Z23" s="155">
        <f t="shared" si="1"/>
        <v>0</v>
      </c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</row>
    <row r="24" spans="1:37" ht="15" customHeight="1" x14ac:dyDescent="0.2">
      <c r="A24" s="2"/>
      <c r="B24" s="493" t="str">
        <f>Расчёт!B83</f>
        <v>МЯСО ПТИЦЫ</v>
      </c>
      <c r="C24" s="703" t="s">
        <v>163</v>
      </c>
      <c r="D24" s="640">
        <f>Цены!D24</f>
        <v>0</v>
      </c>
      <c r="E24" s="662">
        <v>0</v>
      </c>
      <c r="F24" s="662">
        <v>0</v>
      </c>
      <c r="G24" s="615">
        <v>0</v>
      </c>
      <c r="H24" s="509">
        <f>Расчёт!G83</f>
        <v>0</v>
      </c>
      <c r="I24" s="510">
        <f>Расчёт!H83</f>
        <v>0</v>
      </c>
      <c r="J24" s="511">
        <f>Расчёт!I83</f>
        <v>0</v>
      </c>
      <c r="K24" s="524">
        <f t="shared" si="2"/>
        <v>0</v>
      </c>
      <c r="L24" s="2"/>
      <c r="M24" s="2"/>
      <c r="N24" s="2"/>
      <c r="O24" s="2"/>
      <c r="P24" s="2"/>
      <c r="Q24" s="2"/>
      <c r="R24" s="80"/>
      <c r="S24" s="154"/>
      <c r="T24" s="80"/>
      <c r="U24" s="80"/>
      <c r="V24" s="154">
        <f t="shared" si="0"/>
        <v>0</v>
      </c>
      <c r="W24" s="80"/>
      <c r="X24" s="80"/>
      <c r="Y24" s="80"/>
      <c r="Z24" s="155">
        <f t="shared" si="1"/>
        <v>0</v>
      </c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</row>
    <row r="25" spans="1:37" ht="15" customHeight="1" x14ac:dyDescent="0.2">
      <c r="A25" s="2"/>
      <c r="B25" s="493" t="str">
        <f>Расчёт!B84</f>
        <v>КОЛБАСА</v>
      </c>
      <c r="C25" s="703" t="s">
        <v>163</v>
      </c>
      <c r="D25" s="640">
        <f>Цены!D25</f>
        <v>0</v>
      </c>
      <c r="E25" s="662">
        <v>0</v>
      </c>
      <c r="F25" s="662">
        <v>0</v>
      </c>
      <c r="G25" s="615">
        <v>0</v>
      </c>
      <c r="H25" s="509">
        <f>Расчёт!G84</f>
        <v>0</v>
      </c>
      <c r="I25" s="510">
        <f>Расчёт!H84</f>
        <v>0</v>
      </c>
      <c r="J25" s="511">
        <f>Расчёт!I84</f>
        <v>0</v>
      </c>
      <c r="K25" s="524">
        <f t="shared" si="2"/>
        <v>0</v>
      </c>
      <c r="L25" s="2"/>
      <c r="M25" s="2"/>
      <c r="N25" s="2"/>
      <c r="O25" s="2"/>
      <c r="P25" s="2"/>
      <c r="Q25" s="2"/>
      <c r="R25" s="80"/>
      <c r="S25" s="154"/>
      <c r="T25" s="80"/>
      <c r="U25" s="80"/>
      <c r="V25" s="154">
        <f t="shared" si="0"/>
        <v>0</v>
      </c>
      <c r="W25" s="80"/>
      <c r="X25" s="80"/>
      <c r="Y25" s="80"/>
      <c r="Z25" s="155">
        <f t="shared" si="1"/>
        <v>0</v>
      </c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</row>
    <row r="26" spans="1:37" ht="15" customHeight="1" x14ac:dyDescent="0.2">
      <c r="A26" s="2"/>
      <c r="B26" s="493" t="str">
        <f>Расчёт!B85</f>
        <v>КОНСЕРВЫ МЯСНЫЕ</v>
      </c>
      <c r="C26" s="703" t="s">
        <v>163</v>
      </c>
      <c r="D26" s="640">
        <f>Цены!D26</f>
        <v>0</v>
      </c>
      <c r="E26" s="662">
        <v>0</v>
      </c>
      <c r="F26" s="662">
        <v>0</v>
      </c>
      <c r="G26" s="615">
        <v>0</v>
      </c>
      <c r="H26" s="509">
        <f>Расчёт!G85</f>
        <v>0</v>
      </c>
      <c r="I26" s="510">
        <f>Расчёт!H85</f>
        <v>0</v>
      </c>
      <c r="J26" s="511">
        <f>Расчёт!I85</f>
        <v>0</v>
      </c>
      <c r="K26" s="524">
        <f t="shared" si="2"/>
        <v>0</v>
      </c>
      <c r="L26" s="2"/>
      <c r="M26" s="2"/>
      <c r="N26" s="2"/>
      <c r="O26" s="2"/>
      <c r="P26" s="2"/>
      <c r="Q26" s="2"/>
      <c r="R26" s="80"/>
      <c r="S26" s="154"/>
      <c r="T26" s="80"/>
      <c r="U26" s="80"/>
      <c r="V26" s="154">
        <f t="shared" si="0"/>
        <v>0</v>
      </c>
      <c r="W26" s="80"/>
      <c r="X26" s="80"/>
      <c r="Y26" s="80"/>
      <c r="Z26" s="155">
        <f t="shared" si="1"/>
        <v>0</v>
      </c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</row>
    <row r="27" spans="1:37" ht="15" customHeight="1" x14ac:dyDescent="0.2">
      <c r="A27" s="2"/>
      <c r="B27" s="493" t="str">
        <f>Расчёт!B86</f>
        <v>РЫБА БЕЗ ГОЛОВЫ/СЕЛЬДЬ С ГОЛ.</v>
      </c>
      <c r="C27" s="703" t="s">
        <v>163</v>
      </c>
      <c r="D27" s="640">
        <f>Цены!D27</f>
        <v>0</v>
      </c>
      <c r="E27" s="662">
        <v>0</v>
      </c>
      <c r="F27" s="662">
        <v>0</v>
      </c>
      <c r="G27" s="615">
        <v>0</v>
      </c>
      <c r="H27" s="509">
        <f>Расчёт!G86</f>
        <v>0</v>
      </c>
      <c r="I27" s="510">
        <f>Расчёт!H86</f>
        <v>0</v>
      </c>
      <c r="J27" s="511">
        <f>Расчёт!I86</f>
        <v>0</v>
      </c>
      <c r="K27" s="524">
        <f>SUM(E27:J27)</f>
        <v>0</v>
      </c>
      <c r="L27" s="2"/>
      <c r="M27" s="2"/>
      <c r="N27" s="2"/>
      <c r="O27" s="2"/>
      <c r="P27" s="2"/>
      <c r="Q27" s="2"/>
      <c r="R27" s="80"/>
      <c r="S27" s="154"/>
      <c r="T27" s="80"/>
      <c r="U27" s="80"/>
      <c r="V27" s="154">
        <f t="shared" si="0"/>
        <v>0</v>
      </c>
      <c r="W27" s="80"/>
      <c r="X27" s="80"/>
      <c r="Y27" s="80"/>
      <c r="Z27" s="155">
        <f t="shared" si="1"/>
        <v>0</v>
      </c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</row>
    <row r="28" spans="1:37" ht="15" customHeight="1" x14ac:dyDescent="0.2">
      <c r="A28" s="2"/>
      <c r="B28" s="531" t="str">
        <f>Расчёт!B87</f>
        <v xml:space="preserve">КОНС. РЫБНЫЕ - КИЛЬКА В ТОМ. СОУСЕ  </v>
      </c>
      <c r="C28" s="703" t="s">
        <v>163</v>
      </c>
      <c r="D28" s="640">
        <f>Цены!D28</f>
        <v>0</v>
      </c>
      <c r="E28" s="662">
        <v>0</v>
      </c>
      <c r="F28" s="662">
        <v>0</v>
      </c>
      <c r="G28" s="615">
        <v>0</v>
      </c>
      <c r="H28" s="509">
        <f>Расчёт!G87</f>
        <v>0</v>
      </c>
      <c r="I28" s="510">
        <f>Расчёт!H87</f>
        <v>0</v>
      </c>
      <c r="J28" s="511">
        <f>Расчёт!I87</f>
        <v>0</v>
      </c>
      <c r="K28" s="524">
        <f t="shared" si="2"/>
        <v>0</v>
      </c>
      <c r="L28" s="2"/>
      <c r="M28" s="2"/>
      <c r="N28" s="2"/>
      <c r="O28" s="2"/>
      <c r="P28" s="2"/>
      <c r="Q28" s="2"/>
      <c r="R28" s="80"/>
      <c r="S28" s="154"/>
      <c r="T28" s="80"/>
      <c r="U28" s="80"/>
      <c r="V28" s="154">
        <f t="shared" si="0"/>
        <v>0</v>
      </c>
      <c r="W28" s="80"/>
      <c r="X28" s="80"/>
      <c r="Y28" s="80"/>
      <c r="Z28" s="155">
        <f t="shared" si="1"/>
        <v>0</v>
      </c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</row>
    <row r="29" spans="1:37" ht="15" customHeight="1" x14ac:dyDescent="0.2">
      <c r="A29" s="2"/>
      <c r="B29" s="493" t="str">
        <f>Расчёт!B88</f>
        <v>МАСЛО РАСТИТЕЛЬНОЕ</v>
      </c>
      <c r="C29" s="703" t="s">
        <v>163</v>
      </c>
      <c r="D29" s="640">
        <f>Цены!D29</f>
        <v>0</v>
      </c>
      <c r="E29" s="662">
        <v>0</v>
      </c>
      <c r="F29" s="662">
        <v>0</v>
      </c>
      <c r="G29" s="615">
        <v>0</v>
      </c>
      <c r="H29" s="509">
        <f>Расчёт!G88</f>
        <v>0</v>
      </c>
      <c r="I29" s="510">
        <f>Расчёт!H88</f>
        <v>0</v>
      </c>
      <c r="J29" s="511">
        <f>Расчёт!I88</f>
        <v>0</v>
      </c>
      <c r="K29" s="524">
        <f t="shared" si="2"/>
        <v>0</v>
      </c>
      <c r="L29" s="2"/>
      <c r="M29" s="2"/>
      <c r="N29" s="2"/>
      <c r="O29" s="2"/>
      <c r="P29" s="2"/>
      <c r="Q29" s="2"/>
      <c r="R29" s="80"/>
      <c r="S29" s="154"/>
      <c r="T29" s="80"/>
      <c r="U29" s="80"/>
      <c r="V29" s="154">
        <f t="shared" si="0"/>
        <v>0</v>
      </c>
      <c r="W29" s="80"/>
      <c r="X29" s="80"/>
      <c r="Y29" s="80"/>
      <c r="Z29" s="155">
        <f t="shared" si="1"/>
        <v>0</v>
      </c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</row>
    <row r="30" spans="1:37" ht="15" customHeight="1" x14ac:dyDescent="0.2">
      <c r="A30" s="2"/>
      <c r="B30" s="493" t="str">
        <f>Расчёт!B89</f>
        <v>МАСЛО КОРОВЬЕ</v>
      </c>
      <c r="C30" s="703" t="s">
        <v>163</v>
      </c>
      <c r="D30" s="640">
        <f>Цены!D30</f>
        <v>0</v>
      </c>
      <c r="E30" s="662">
        <v>0</v>
      </c>
      <c r="F30" s="662">
        <v>0</v>
      </c>
      <c r="G30" s="615">
        <v>0</v>
      </c>
      <c r="H30" s="509">
        <f>Расчёт!G89</f>
        <v>0</v>
      </c>
      <c r="I30" s="510">
        <f>Расчёт!H89</f>
        <v>0</v>
      </c>
      <c r="J30" s="511">
        <f>Расчёт!I89</f>
        <v>0</v>
      </c>
      <c r="K30" s="524">
        <f t="shared" si="2"/>
        <v>0</v>
      </c>
      <c r="L30" s="2"/>
      <c r="M30" s="2"/>
      <c r="N30" s="2"/>
      <c r="O30" s="2"/>
      <c r="P30" s="2"/>
      <c r="Q30" s="2"/>
      <c r="R30" s="80"/>
      <c r="S30" s="154"/>
      <c r="T30" s="80"/>
      <c r="U30" s="80"/>
      <c r="V30" s="154">
        <f t="shared" si="0"/>
        <v>0</v>
      </c>
      <c r="W30" s="80"/>
      <c r="X30" s="80"/>
      <c r="Y30" s="80"/>
      <c r="Z30" s="155">
        <f t="shared" si="1"/>
        <v>0</v>
      </c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</row>
    <row r="31" spans="1:37" ht="15" customHeight="1" x14ac:dyDescent="0.2">
      <c r="A31" s="2"/>
      <c r="B31" s="493" t="str">
        <f>Расчёт!B90</f>
        <v>ЖИРЫ ЖИВОТНЫЕ</v>
      </c>
      <c r="C31" s="703" t="s">
        <v>163</v>
      </c>
      <c r="D31" s="640">
        <f>Цены!D31</f>
        <v>0</v>
      </c>
      <c r="E31" s="662">
        <v>0</v>
      </c>
      <c r="F31" s="662">
        <v>0</v>
      </c>
      <c r="G31" s="615">
        <v>0</v>
      </c>
      <c r="H31" s="509">
        <f>Расчёт!G90</f>
        <v>0</v>
      </c>
      <c r="I31" s="510">
        <f>Расчёт!H90</f>
        <v>0</v>
      </c>
      <c r="J31" s="511">
        <f>Расчёт!I90</f>
        <v>0</v>
      </c>
      <c r="K31" s="524">
        <f t="shared" si="2"/>
        <v>0</v>
      </c>
      <c r="L31" s="2"/>
      <c r="M31" s="2"/>
      <c r="N31" s="2"/>
      <c r="O31" s="2"/>
      <c r="P31" s="2"/>
      <c r="Q31" s="2"/>
      <c r="R31" s="80"/>
      <c r="S31" s="154"/>
      <c r="T31" s="80"/>
      <c r="U31" s="80"/>
      <c r="V31" s="154">
        <f t="shared" si="0"/>
        <v>0</v>
      </c>
      <c r="W31" s="80"/>
      <c r="X31" s="80"/>
      <c r="Y31" s="80"/>
      <c r="Z31" s="155">
        <f t="shared" si="1"/>
        <v>0</v>
      </c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</row>
    <row r="32" spans="1:37" ht="15" customHeight="1" x14ac:dyDescent="0.2">
      <c r="A32" s="2"/>
      <c r="B32" s="493" t="str">
        <f>Расчёт!B91</f>
        <v>МОЛОКО СВЕЖЕЕ</v>
      </c>
      <c r="C32" s="703" t="s">
        <v>163</v>
      </c>
      <c r="D32" s="640">
        <f>Цены!D32</f>
        <v>0</v>
      </c>
      <c r="E32" s="662">
        <v>0</v>
      </c>
      <c r="F32" s="662">
        <v>0</v>
      </c>
      <c r="G32" s="615">
        <v>0</v>
      </c>
      <c r="H32" s="509">
        <f>Расчёт!G91</f>
        <v>0</v>
      </c>
      <c r="I32" s="510">
        <f>Расчёт!H91</f>
        <v>0</v>
      </c>
      <c r="J32" s="511">
        <f>Расчёт!I91</f>
        <v>0</v>
      </c>
      <c r="K32" s="512">
        <f t="shared" si="2"/>
        <v>0</v>
      </c>
      <c r="L32" s="2"/>
      <c r="M32" s="2"/>
      <c r="N32" s="2"/>
      <c r="O32" s="2"/>
      <c r="P32" s="2"/>
      <c r="Q32" s="2"/>
      <c r="R32" s="80"/>
      <c r="S32" s="154"/>
      <c r="T32" s="80"/>
      <c r="U32" s="80"/>
      <c r="V32" s="154">
        <f t="shared" si="0"/>
        <v>0</v>
      </c>
      <c r="W32" s="80"/>
      <c r="X32" s="80"/>
      <c r="Y32" s="80"/>
      <c r="Z32" s="155">
        <f t="shared" si="1"/>
        <v>0</v>
      </c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</row>
    <row r="33" spans="1:37" ht="15" customHeight="1" x14ac:dyDescent="0.2">
      <c r="A33" s="2"/>
      <c r="B33" s="493" t="str">
        <f>Расчёт!B92</f>
        <v>СМЕТАНА</v>
      </c>
      <c r="C33" s="703" t="s">
        <v>163</v>
      </c>
      <c r="D33" s="640">
        <f>Цены!D33</f>
        <v>0</v>
      </c>
      <c r="E33" s="662">
        <v>0</v>
      </c>
      <c r="F33" s="662">
        <v>0</v>
      </c>
      <c r="G33" s="615">
        <v>0</v>
      </c>
      <c r="H33" s="568">
        <f>Расчёт!G92</f>
        <v>0</v>
      </c>
      <c r="I33" s="533">
        <f>Расчёт!H92</f>
        <v>0</v>
      </c>
      <c r="J33" s="569">
        <f>Расчёт!I92</f>
        <v>0</v>
      </c>
      <c r="K33" s="512">
        <f t="shared" si="2"/>
        <v>0</v>
      </c>
      <c r="L33" s="2"/>
      <c r="M33" s="2"/>
      <c r="N33" s="2"/>
      <c r="O33" s="2"/>
      <c r="P33" s="2"/>
      <c r="Q33" s="2"/>
      <c r="R33" s="80"/>
      <c r="S33" s="154"/>
      <c r="T33" s="80"/>
      <c r="U33" s="80"/>
      <c r="V33" s="154">
        <f t="shared" si="0"/>
        <v>0</v>
      </c>
      <c r="W33" s="80"/>
      <c r="X33" s="80"/>
      <c r="Y33" s="80"/>
      <c r="Z33" s="155">
        <f t="shared" si="1"/>
        <v>0</v>
      </c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</row>
    <row r="34" spans="1:37" ht="15" customHeight="1" x14ac:dyDescent="0.2">
      <c r="A34" s="2"/>
      <c r="B34" s="493" t="str">
        <f>Расчёт!B93</f>
        <v>ТВОРОГ</v>
      </c>
      <c r="C34" s="703" t="s">
        <v>163</v>
      </c>
      <c r="D34" s="640">
        <f>Цены!D34</f>
        <v>0</v>
      </c>
      <c r="E34" s="662">
        <v>0</v>
      </c>
      <c r="F34" s="662">
        <v>0</v>
      </c>
      <c r="G34" s="615">
        <v>0</v>
      </c>
      <c r="H34" s="568">
        <f>Расчёт!G93</f>
        <v>0</v>
      </c>
      <c r="I34" s="533">
        <f>Расчёт!H93</f>
        <v>0</v>
      </c>
      <c r="J34" s="569">
        <f>Расчёт!I93</f>
        <v>0</v>
      </c>
      <c r="K34" s="512">
        <f t="shared" si="2"/>
        <v>0</v>
      </c>
      <c r="L34" s="2"/>
      <c r="M34" s="2"/>
      <c r="N34" s="2"/>
      <c r="O34" s="2"/>
      <c r="P34" s="2"/>
      <c r="Q34" s="2"/>
      <c r="R34" s="80"/>
      <c r="S34" s="154"/>
      <c r="T34" s="80"/>
      <c r="U34" s="80"/>
      <c r="V34" s="154">
        <f t="shared" si="0"/>
        <v>0</v>
      </c>
      <c r="W34" s="80"/>
      <c r="X34" s="80"/>
      <c r="Y34" s="80"/>
      <c r="Z34" s="155">
        <f t="shared" si="1"/>
        <v>0</v>
      </c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</row>
    <row r="35" spans="1:37" ht="15" customHeight="1" x14ac:dyDescent="0.2">
      <c r="A35" s="2"/>
      <c r="B35" s="493" t="str">
        <f>Расчёт!B94</f>
        <v>МОЛОКО СУХОЕ</v>
      </c>
      <c r="C35" s="703" t="s">
        <v>164</v>
      </c>
      <c r="D35" s="640">
        <f>Цены!D35</f>
        <v>0</v>
      </c>
      <c r="E35" s="662">
        <v>0</v>
      </c>
      <c r="F35" s="662">
        <v>0</v>
      </c>
      <c r="G35" s="615">
        <v>0</v>
      </c>
      <c r="H35" s="568">
        <f>Расчёт!G94</f>
        <v>0</v>
      </c>
      <c r="I35" s="533">
        <f>Расчёт!H94</f>
        <v>0</v>
      </c>
      <c r="J35" s="569">
        <f>Расчёт!I94</f>
        <v>0</v>
      </c>
      <c r="K35" s="512">
        <f t="shared" si="2"/>
        <v>0</v>
      </c>
      <c r="L35" s="2"/>
      <c r="M35" s="2"/>
      <c r="N35" s="2"/>
      <c r="O35" s="2"/>
      <c r="P35" s="2"/>
      <c r="Q35" s="2"/>
      <c r="R35" s="80"/>
      <c r="S35" s="154"/>
      <c r="T35" s="80"/>
      <c r="U35" s="80"/>
      <c r="V35" s="154">
        <f t="shared" si="0"/>
        <v>0</v>
      </c>
      <c r="W35" s="80"/>
      <c r="X35" s="80"/>
      <c r="Y35" s="80"/>
      <c r="Z35" s="155">
        <f t="shared" si="1"/>
        <v>0</v>
      </c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</row>
    <row r="36" spans="1:37" ht="15" customHeight="1" x14ac:dyDescent="0.2">
      <c r="A36" s="2"/>
      <c r="B36" s="493" t="str">
        <f>Расчёт!B95</f>
        <v>СЫР ПЛАВЛЕНЫЙ</v>
      </c>
      <c r="C36" s="703" t="s">
        <v>163</v>
      </c>
      <c r="D36" s="640">
        <f>Цены!D36</f>
        <v>0</v>
      </c>
      <c r="E36" s="662">
        <v>0</v>
      </c>
      <c r="F36" s="662">
        <v>0</v>
      </c>
      <c r="G36" s="615">
        <v>0</v>
      </c>
      <c r="H36" s="568">
        <f>Расчёт!G95</f>
        <v>0</v>
      </c>
      <c r="I36" s="533">
        <f>Расчёт!H95</f>
        <v>0</v>
      </c>
      <c r="J36" s="569">
        <f>Расчёт!I95</f>
        <v>0</v>
      </c>
      <c r="K36" s="512">
        <f t="shared" si="2"/>
        <v>0</v>
      </c>
      <c r="L36" s="2"/>
      <c r="M36" s="2"/>
      <c r="N36" s="2"/>
      <c r="O36" s="2"/>
      <c r="P36" s="2"/>
      <c r="Q36" s="2"/>
      <c r="R36" s="80"/>
      <c r="S36" s="154"/>
      <c r="T36" s="80"/>
      <c r="U36" s="80"/>
      <c r="V36" s="154">
        <f t="shared" si="0"/>
        <v>0</v>
      </c>
      <c r="W36" s="80"/>
      <c r="X36" s="80"/>
      <c r="Y36" s="80"/>
      <c r="Z36" s="155">
        <f t="shared" si="1"/>
        <v>0</v>
      </c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</row>
    <row r="37" spans="1:37" ht="15" customHeight="1" x14ac:dyDescent="0.2">
      <c r="A37" s="239"/>
      <c r="B37" s="493" t="str">
        <f>Расчёт!B96</f>
        <v>ЯЙЦА КУРИНЫЕ</v>
      </c>
      <c r="C37" s="703" t="str">
        <f>IF('Блок ввода'!G32=TRUE,"кг.","шт.")</f>
        <v>шт.</v>
      </c>
      <c r="D37" s="640">
        <f>Цены!D37</f>
        <v>0</v>
      </c>
      <c r="E37" s="662">
        <v>0</v>
      </c>
      <c r="F37" s="662">
        <v>0</v>
      </c>
      <c r="G37" s="615">
        <v>0</v>
      </c>
      <c r="H37" s="558">
        <f>Расчёт!G96</f>
        <v>0</v>
      </c>
      <c r="I37" s="562">
        <f>Расчёт!H96</f>
        <v>0</v>
      </c>
      <c r="J37" s="616">
        <f>Расчёт!I96</f>
        <v>0</v>
      </c>
      <c r="K37" s="642">
        <f t="shared" si="2"/>
        <v>0</v>
      </c>
      <c r="L37" s="2"/>
      <c r="M37" s="2"/>
      <c r="N37" s="2"/>
      <c r="O37" s="2"/>
      <c r="P37" s="2"/>
      <c r="Q37" s="2"/>
      <c r="R37" s="80"/>
      <c r="S37" s="154"/>
      <c r="T37" s="80"/>
      <c r="U37" s="80"/>
      <c r="V37" s="154">
        <f t="shared" si="0"/>
        <v>0</v>
      </c>
      <c r="W37" s="80"/>
      <c r="X37" s="80"/>
      <c r="Y37" s="80"/>
      <c r="Z37" s="155">
        <f t="shared" si="1"/>
        <v>0</v>
      </c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</row>
    <row r="38" spans="1:37" ht="15" customHeight="1" x14ac:dyDescent="0.2">
      <c r="A38" s="2"/>
      <c r="B38" s="493" t="str">
        <f>Расчёт!B97</f>
        <v>САХАР</v>
      </c>
      <c r="C38" s="703" t="s">
        <v>163</v>
      </c>
      <c r="D38" s="640">
        <f>Цены!D38</f>
        <v>0</v>
      </c>
      <c r="E38" s="662">
        <v>0</v>
      </c>
      <c r="F38" s="662">
        <v>0</v>
      </c>
      <c r="G38" s="615">
        <v>0</v>
      </c>
      <c r="H38" s="509">
        <f>Расчёт!G97</f>
        <v>0</v>
      </c>
      <c r="I38" s="533">
        <f>Расчёт!H97</f>
        <v>0</v>
      </c>
      <c r="J38" s="511">
        <f>Расчёт!I97</f>
        <v>0</v>
      </c>
      <c r="K38" s="512">
        <f t="shared" si="2"/>
        <v>0</v>
      </c>
      <c r="L38" s="2"/>
      <c r="M38" s="2"/>
      <c r="N38" s="2"/>
      <c r="O38" s="2"/>
      <c r="P38" s="2"/>
      <c r="Q38" s="2"/>
      <c r="R38" s="80"/>
      <c r="S38" s="154"/>
      <c r="T38" s="80"/>
      <c r="U38" s="80"/>
      <c r="V38" s="154">
        <f t="shared" si="0"/>
        <v>0</v>
      </c>
      <c r="W38" s="80"/>
      <c r="X38" s="80"/>
      <c r="Y38" s="80"/>
      <c r="Z38" s="155">
        <f t="shared" si="1"/>
        <v>0</v>
      </c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</row>
    <row r="39" spans="1:37" ht="15" customHeight="1" x14ac:dyDescent="0.2">
      <c r="A39" s="2"/>
      <c r="B39" s="493" t="str">
        <f>Расчёт!B98</f>
        <v>СОЛЬ ПИЩЕВАЯ</v>
      </c>
      <c r="C39" s="703" t="s">
        <v>163</v>
      </c>
      <c r="D39" s="640">
        <f>Цены!D39</f>
        <v>0</v>
      </c>
      <c r="E39" s="662">
        <v>0</v>
      </c>
      <c r="F39" s="662">
        <v>0</v>
      </c>
      <c r="G39" s="615">
        <v>0</v>
      </c>
      <c r="H39" s="509">
        <f>Расчёт!G98</f>
        <v>0</v>
      </c>
      <c r="I39" s="510">
        <f>Расчёт!H98</f>
        <v>0</v>
      </c>
      <c r="J39" s="511">
        <f>Расчёт!I98</f>
        <v>0</v>
      </c>
      <c r="K39" s="512">
        <f t="shared" si="2"/>
        <v>0</v>
      </c>
      <c r="L39" s="2"/>
      <c r="M39" s="2"/>
      <c r="N39" s="2"/>
      <c r="O39" s="2"/>
      <c r="P39" s="2"/>
      <c r="Q39" s="2"/>
      <c r="R39" s="80"/>
      <c r="S39" s="154"/>
      <c r="T39" s="80"/>
      <c r="U39" s="80"/>
      <c r="V39" s="154">
        <f t="shared" si="0"/>
        <v>0</v>
      </c>
      <c r="W39" s="80"/>
      <c r="X39" s="80"/>
      <c r="Y39" s="80"/>
      <c r="Z39" s="155">
        <f t="shared" si="1"/>
        <v>0</v>
      </c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</row>
    <row r="40" spans="1:37" ht="15" customHeight="1" x14ac:dyDescent="0.2">
      <c r="A40" s="2"/>
      <c r="B40" s="493" t="str">
        <f>Расчёт!B99</f>
        <v>ЧАЙ</v>
      </c>
      <c r="C40" s="703" t="s">
        <v>163</v>
      </c>
      <c r="D40" s="640">
        <f>Цены!D40</f>
        <v>0</v>
      </c>
      <c r="E40" s="662">
        <v>0</v>
      </c>
      <c r="F40" s="662">
        <v>0</v>
      </c>
      <c r="G40" s="615">
        <v>0</v>
      </c>
      <c r="H40" s="643">
        <f>Расчёт!G99</f>
        <v>0</v>
      </c>
      <c r="I40" s="533">
        <f>Расчёт!H99</f>
        <v>0</v>
      </c>
      <c r="J40" s="617">
        <f>Расчёт!I99</f>
        <v>0</v>
      </c>
      <c r="K40" s="644">
        <f>ROUND(SUM(E40:J40),3)</f>
        <v>0</v>
      </c>
      <c r="L40" s="2"/>
      <c r="M40" s="2"/>
      <c r="N40" s="2"/>
      <c r="O40" s="2"/>
      <c r="P40" s="2"/>
      <c r="Q40" s="2"/>
      <c r="R40" s="80"/>
      <c r="S40" s="154"/>
      <c r="T40" s="80"/>
      <c r="U40" s="80"/>
      <c r="V40" s="154">
        <f t="shared" si="0"/>
        <v>0</v>
      </c>
      <c r="W40" s="80"/>
      <c r="X40" s="80"/>
      <c r="Y40" s="80"/>
      <c r="Z40" s="155">
        <f t="shared" si="1"/>
        <v>0</v>
      </c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</row>
    <row r="41" spans="1:37" ht="15" customHeight="1" x14ac:dyDescent="0.2">
      <c r="A41" s="2"/>
      <c r="B41" s="493" t="str">
        <f>Расчёт!B100</f>
        <v>КОФЕ НАТУРАЛЬНЫЙ</v>
      </c>
      <c r="C41" s="703" t="s">
        <v>163</v>
      </c>
      <c r="D41" s="640">
        <f>Цены!D41</f>
        <v>0</v>
      </c>
      <c r="E41" s="662">
        <v>0</v>
      </c>
      <c r="F41" s="662">
        <v>0</v>
      </c>
      <c r="G41" s="615">
        <v>0</v>
      </c>
      <c r="H41" s="643">
        <f>Расчёт!G100</f>
        <v>0</v>
      </c>
      <c r="I41" s="533">
        <f>Расчёт!H100</f>
        <v>0</v>
      </c>
      <c r="J41" s="569">
        <f>Расчёт!I100</f>
        <v>0</v>
      </c>
      <c r="K41" s="644">
        <f t="shared" ref="K41:K48" si="3">ROUND(SUM(E41:J41),3)</f>
        <v>0</v>
      </c>
      <c r="L41" s="2"/>
      <c r="M41" s="2"/>
      <c r="N41" s="2"/>
      <c r="O41" s="2"/>
      <c r="P41" s="2"/>
      <c r="Q41" s="2"/>
      <c r="R41" s="80"/>
      <c r="S41" s="154"/>
      <c r="T41" s="80"/>
      <c r="U41" s="80"/>
      <c r="V41" s="154">
        <f t="shared" si="0"/>
        <v>0</v>
      </c>
      <c r="W41" s="80"/>
      <c r="X41" s="80"/>
      <c r="Y41" s="80"/>
      <c r="Z41" s="155">
        <f t="shared" si="1"/>
        <v>0</v>
      </c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</row>
    <row r="42" spans="1:37" ht="15" customHeight="1" x14ac:dyDescent="0.2">
      <c r="A42" s="2"/>
      <c r="B42" s="493" t="str">
        <f>Расчёт!B101</f>
        <v>КОФЕЙНЫЙ НАПИТОК</v>
      </c>
      <c r="C42" s="703" t="s">
        <v>163</v>
      </c>
      <c r="D42" s="640">
        <f>Цены!D42</f>
        <v>0</v>
      </c>
      <c r="E42" s="662">
        <v>0</v>
      </c>
      <c r="F42" s="662">
        <v>0</v>
      </c>
      <c r="G42" s="615">
        <v>0</v>
      </c>
      <c r="H42" s="643">
        <f>Расчёт!G101</f>
        <v>0</v>
      </c>
      <c r="I42" s="533">
        <f>Расчёт!H101</f>
        <v>0</v>
      </c>
      <c r="J42" s="617">
        <f>Расчёт!I101</f>
        <v>0</v>
      </c>
      <c r="K42" s="644">
        <f>ROUND(SUM(E42:J42),3)</f>
        <v>0</v>
      </c>
      <c r="L42" s="2"/>
      <c r="M42" s="2"/>
      <c r="N42" s="2"/>
      <c r="O42" s="2"/>
      <c r="P42" s="2"/>
      <c r="Q42" s="2"/>
      <c r="R42" s="80"/>
      <c r="S42" s="154"/>
      <c r="T42" s="80"/>
      <c r="U42" s="80"/>
      <c r="V42" s="154"/>
      <c r="W42" s="80"/>
      <c r="X42" s="80"/>
      <c r="Y42" s="80"/>
      <c r="Z42" s="155">
        <f t="shared" si="1"/>
        <v>0</v>
      </c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</row>
    <row r="43" spans="1:37" ht="15" customHeight="1" x14ac:dyDescent="0.2">
      <c r="A43" s="2"/>
      <c r="B43" s="493" t="str">
        <f>Расчёт!B102</f>
        <v>ЛАВРОВЫЙ ЛИСТ</v>
      </c>
      <c r="C43" s="703" t="s">
        <v>163</v>
      </c>
      <c r="D43" s="640">
        <f>Цены!D43</f>
        <v>0</v>
      </c>
      <c r="E43" s="662">
        <v>0</v>
      </c>
      <c r="F43" s="662">
        <v>0</v>
      </c>
      <c r="G43" s="615">
        <v>0</v>
      </c>
      <c r="H43" s="643">
        <f>Расчёт!G102</f>
        <v>0</v>
      </c>
      <c r="I43" s="533">
        <f>Расчёт!H102</f>
        <v>0</v>
      </c>
      <c r="J43" s="569">
        <f>Расчёт!I102</f>
        <v>0</v>
      </c>
      <c r="K43" s="644">
        <f t="shared" si="3"/>
        <v>0</v>
      </c>
      <c r="L43" s="2"/>
      <c r="M43" s="2"/>
      <c r="N43" s="2"/>
      <c r="O43" s="2"/>
      <c r="P43" s="2"/>
      <c r="Q43" s="2"/>
      <c r="R43" s="80"/>
      <c r="S43" s="154"/>
      <c r="T43" s="80"/>
      <c r="U43" s="80"/>
      <c r="V43" s="154">
        <f t="shared" si="0"/>
        <v>0</v>
      </c>
      <c r="W43" s="80"/>
      <c r="X43" s="80"/>
      <c r="Y43" s="80"/>
      <c r="Z43" s="155">
        <f t="shared" si="1"/>
        <v>0</v>
      </c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</row>
    <row r="44" spans="1:37" ht="15" customHeight="1" x14ac:dyDescent="0.2">
      <c r="A44" s="2"/>
      <c r="B44" s="493" t="str">
        <f>Расчёт!B103</f>
        <v>ПЕРЕЦ</v>
      </c>
      <c r="C44" s="704" t="s">
        <v>163</v>
      </c>
      <c r="D44" s="640">
        <f>Цены!D44</f>
        <v>0</v>
      </c>
      <c r="E44" s="662">
        <v>0</v>
      </c>
      <c r="F44" s="662">
        <v>0</v>
      </c>
      <c r="G44" s="615">
        <v>0</v>
      </c>
      <c r="H44" s="645">
        <f>Расчёт!G103</f>
        <v>0</v>
      </c>
      <c r="I44" s="587">
        <f>Расчёт!H103</f>
        <v>0</v>
      </c>
      <c r="J44" s="591">
        <f>Расчёт!I103</f>
        <v>0</v>
      </c>
      <c r="K44" s="646">
        <f t="shared" si="3"/>
        <v>0</v>
      </c>
      <c r="L44" s="2"/>
      <c r="M44" s="2"/>
      <c r="N44" s="2"/>
      <c r="O44" s="2"/>
      <c r="P44" s="2"/>
      <c r="Q44" s="2"/>
      <c r="R44" s="80"/>
      <c r="S44" s="154"/>
      <c r="T44" s="80"/>
      <c r="U44" s="80"/>
      <c r="V44" s="154">
        <f t="shared" si="0"/>
        <v>0</v>
      </c>
      <c r="W44" s="80"/>
      <c r="X44" s="80"/>
      <c r="Y44" s="80"/>
      <c r="Z44" s="155">
        <f t="shared" si="1"/>
        <v>0</v>
      </c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</row>
    <row r="45" spans="1:37" ht="15" customHeight="1" x14ac:dyDescent="0.2">
      <c r="A45" s="2"/>
      <c r="B45" s="493" t="str">
        <f>Расчёт!B104</f>
        <v>ГОРЧИЧНЫЙ ПОРОШОК</v>
      </c>
      <c r="C45" s="704" t="s">
        <v>163</v>
      </c>
      <c r="D45" s="640">
        <f>Цены!D45</f>
        <v>0</v>
      </c>
      <c r="E45" s="662">
        <v>0</v>
      </c>
      <c r="F45" s="662">
        <v>0</v>
      </c>
      <c r="G45" s="615">
        <v>0</v>
      </c>
      <c r="H45" s="645">
        <f>Расчёт!G104</f>
        <v>0</v>
      </c>
      <c r="I45" s="587">
        <f>Расчёт!H104</f>
        <v>0</v>
      </c>
      <c r="J45" s="591">
        <f>Расчёт!I104</f>
        <v>0</v>
      </c>
      <c r="K45" s="646">
        <f t="shared" si="3"/>
        <v>0</v>
      </c>
      <c r="L45" s="2"/>
      <c r="M45" s="2"/>
      <c r="N45" s="2"/>
      <c r="O45" s="2"/>
      <c r="P45" s="2"/>
      <c r="Q45" s="2"/>
      <c r="R45" s="80"/>
      <c r="S45" s="154"/>
      <c r="T45" s="80"/>
      <c r="U45" s="80"/>
      <c r="V45" s="154">
        <f t="shared" si="0"/>
        <v>0</v>
      </c>
      <c r="W45" s="80"/>
      <c r="X45" s="80"/>
      <c r="Y45" s="80"/>
      <c r="Z45" s="155">
        <f t="shared" si="1"/>
        <v>0</v>
      </c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</row>
    <row r="46" spans="1:37" ht="15" customHeight="1" x14ac:dyDescent="0.2">
      <c r="A46" s="2"/>
      <c r="B46" s="493" t="str">
        <f>Расчёт!B105</f>
        <v>УКСУС</v>
      </c>
      <c r="C46" s="704" t="s">
        <v>163</v>
      </c>
      <c r="D46" s="640">
        <f>Цены!D46</f>
        <v>0</v>
      </c>
      <c r="E46" s="662">
        <v>0</v>
      </c>
      <c r="F46" s="662">
        <v>0</v>
      </c>
      <c r="G46" s="615">
        <v>0</v>
      </c>
      <c r="H46" s="645">
        <f>Расчёт!G105</f>
        <v>0</v>
      </c>
      <c r="I46" s="587">
        <f>Расчёт!H105</f>
        <v>0</v>
      </c>
      <c r="J46" s="591">
        <f>Расчёт!I105</f>
        <v>0</v>
      </c>
      <c r="K46" s="646">
        <f t="shared" si="3"/>
        <v>0</v>
      </c>
      <c r="L46" s="2"/>
      <c r="M46" s="2"/>
      <c r="N46" s="2"/>
      <c r="O46" s="2"/>
      <c r="P46" s="2"/>
      <c r="Q46" s="2"/>
      <c r="R46" s="80"/>
      <c r="S46" s="154"/>
      <c r="T46" s="80"/>
      <c r="U46" s="80"/>
      <c r="V46" s="154">
        <f t="shared" si="0"/>
        <v>0</v>
      </c>
      <c r="W46" s="80"/>
      <c r="X46" s="80"/>
      <c r="Y46" s="80"/>
      <c r="Z46" s="155">
        <f t="shared" si="1"/>
        <v>0</v>
      </c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</row>
    <row r="47" spans="1:37" ht="15" customHeight="1" x14ac:dyDescent="0.2">
      <c r="A47" s="2"/>
      <c r="B47" s="493" t="str">
        <f>Расчёт!B106</f>
        <v>ТОМАТНАЯ ПАСТА</v>
      </c>
      <c r="C47" s="703" t="s">
        <v>163</v>
      </c>
      <c r="D47" s="640">
        <f>Цены!D47</f>
        <v>0</v>
      </c>
      <c r="E47" s="662">
        <v>0</v>
      </c>
      <c r="F47" s="662">
        <v>0</v>
      </c>
      <c r="G47" s="615">
        <v>0</v>
      </c>
      <c r="H47" s="643">
        <f>Расчёт!G106+IF(AND(X1=7,'Блок ввода'!Z26=1),X2,0)</f>
        <v>0</v>
      </c>
      <c r="I47" s="533">
        <f>Расчёт!H106</f>
        <v>0</v>
      </c>
      <c r="J47" s="569">
        <f>Расчёт!I106</f>
        <v>0</v>
      </c>
      <c r="K47" s="644">
        <f t="shared" si="3"/>
        <v>0</v>
      </c>
      <c r="L47" s="2"/>
      <c r="M47" s="2"/>
      <c r="N47" s="2"/>
      <c r="O47" s="2"/>
      <c r="P47" s="2"/>
      <c r="Q47" s="2"/>
      <c r="R47" s="80"/>
      <c r="S47" s="154"/>
      <c r="T47" s="80"/>
      <c r="U47" s="80"/>
      <c r="V47" s="154">
        <f t="shared" si="0"/>
        <v>0</v>
      </c>
      <c r="W47" s="80"/>
      <c r="X47" s="80"/>
      <c r="Y47" s="80"/>
      <c r="Z47" s="155">
        <f t="shared" si="1"/>
        <v>0</v>
      </c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</row>
    <row r="48" spans="1:37" ht="15" customHeight="1" x14ac:dyDescent="0.2">
      <c r="A48" s="2"/>
      <c r="B48" s="493" t="str">
        <f>Расчёт!B107</f>
        <v>КАРАМЕЛЬ</v>
      </c>
      <c r="C48" s="703" t="s">
        <v>163</v>
      </c>
      <c r="D48" s="640">
        <f>Цены!D48</f>
        <v>0</v>
      </c>
      <c r="E48" s="662">
        <v>0</v>
      </c>
      <c r="F48" s="662">
        <v>0</v>
      </c>
      <c r="G48" s="615">
        <v>0</v>
      </c>
      <c r="H48" s="643">
        <f>Расчёт!G107</f>
        <v>0</v>
      </c>
      <c r="I48" s="533">
        <f>Расчёт!H107</f>
        <v>0</v>
      </c>
      <c r="J48" s="569">
        <f>Расчёт!I107+IF(AND(X1=8,'Блок ввода'!Z26=1),X2,0)</f>
        <v>0</v>
      </c>
      <c r="K48" s="644">
        <f t="shared" si="3"/>
        <v>0</v>
      </c>
      <c r="L48" s="2"/>
      <c r="M48" s="2"/>
      <c r="N48" s="2"/>
      <c r="O48" s="2"/>
      <c r="P48" s="2"/>
      <c r="Q48" s="2"/>
      <c r="R48" s="80"/>
      <c r="S48" s="154"/>
      <c r="T48" s="80"/>
      <c r="U48" s="80"/>
      <c r="V48" s="154">
        <f t="shared" si="0"/>
        <v>0</v>
      </c>
      <c r="W48" s="80"/>
      <c r="X48" s="80"/>
      <c r="Y48" s="80"/>
      <c r="Z48" s="155">
        <f t="shared" si="1"/>
        <v>0</v>
      </c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</row>
    <row r="49" spans="1:37" ht="15" customHeight="1" x14ac:dyDescent="0.2">
      <c r="A49" s="2"/>
      <c r="B49" s="493" t="str">
        <f>Расчёт!B108</f>
        <v>ЖЕЛАТИН</v>
      </c>
      <c r="C49" s="704" t="s">
        <v>163</v>
      </c>
      <c r="D49" s="640">
        <f>Цены!D49</f>
        <v>0</v>
      </c>
      <c r="E49" s="662">
        <v>0</v>
      </c>
      <c r="F49" s="662">
        <v>0</v>
      </c>
      <c r="G49" s="615">
        <v>0</v>
      </c>
      <c r="H49" s="643">
        <f>Расчёт!G108</f>
        <v>0</v>
      </c>
      <c r="I49" s="533">
        <f>Расчёт!H108</f>
        <v>0</v>
      </c>
      <c r="J49" s="569">
        <f>Расчёт!I108</f>
        <v>0</v>
      </c>
      <c r="K49" s="512">
        <f t="shared" si="2"/>
        <v>0</v>
      </c>
      <c r="L49" s="2"/>
      <c r="M49" s="2"/>
      <c r="N49" s="2"/>
      <c r="O49" s="2"/>
      <c r="P49" s="2"/>
      <c r="Q49" s="2"/>
      <c r="R49" s="80"/>
      <c r="S49" s="154"/>
      <c r="T49" s="80"/>
      <c r="U49" s="80"/>
      <c r="V49" s="154">
        <f t="shared" si="0"/>
        <v>0</v>
      </c>
      <c r="W49" s="80"/>
      <c r="X49" s="80"/>
      <c r="Y49" s="80"/>
      <c r="Z49" s="155">
        <f t="shared" si="1"/>
        <v>0</v>
      </c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</row>
    <row r="50" spans="1:37" ht="15" customHeight="1" thickBot="1" x14ac:dyDescent="0.25">
      <c r="A50" s="2"/>
      <c r="B50" s="548" t="str">
        <f>Расчёт!B109</f>
        <v>ДРОЖЖИ ПРЕСОВАННЫЕ</v>
      </c>
      <c r="C50" s="705" t="s">
        <v>163</v>
      </c>
      <c r="D50" s="1244">
        <f>Цены!D50</f>
        <v>0</v>
      </c>
      <c r="E50" s="663">
        <v>0</v>
      </c>
      <c r="F50" s="663">
        <v>0</v>
      </c>
      <c r="G50" s="622">
        <v>0</v>
      </c>
      <c r="H50" s="572">
        <f>Расчёт!G109</f>
        <v>0</v>
      </c>
      <c r="I50" s="661">
        <f>Расчёт!H109</f>
        <v>0</v>
      </c>
      <c r="J50" s="574">
        <f>Расчёт!I109</f>
        <v>0</v>
      </c>
      <c r="K50" s="651">
        <f t="shared" si="2"/>
        <v>0</v>
      </c>
      <c r="L50" s="2"/>
      <c r="M50" s="2"/>
      <c r="N50" s="2"/>
      <c r="O50" s="2"/>
      <c r="P50" s="2"/>
      <c r="Q50" s="2"/>
      <c r="R50" s="80"/>
      <c r="S50" s="154"/>
      <c r="T50" s="80"/>
      <c r="U50" s="80"/>
      <c r="V50" s="154">
        <f t="shared" si="0"/>
        <v>0</v>
      </c>
      <c r="W50" s="80"/>
      <c r="X50" s="80"/>
      <c r="Y50" s="80"/>
      <c r="Z50" s="155">
        <f t="shared" si="1"/>
        <v>0</v>
      </c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</row>
    <row r="51" spans="1:37" ht="15" customHeight="1" x14ac:dyDescent="0.2">
      <c r="A51" s="2"/>
      <c r="B51" s="521" t="str">
        <f>Расчёт!B110</f>
        <v>КАРТОФЕЛЬ</v>
      </c>
      <c r="C51" s="610" t="s">
        <v>163</v>
      </c>
      <c r="D51" s="506">
        <f>Цены!D51</f>
        <v>0</v>
      </c>
      <c r="E51" s="604">
        <v>0</v>
      </c>
      <c r="F51" s="604">
        <v>0</v>
      </c>
      <c r="G51" s="612">
        <v>0</v>
      </c>
      <c r="H51" s="554">
        <f>Расчёт!G110</f>
        <v>0</v>
      </c>
      <c r="I51" s="628">
        <f>Расчёт!H110</f>
        <v>0</v>
      </c>
      <c r="J51" s="629">
        <f>Расчёт!I110</f>
        <v>0</v>
      </c>
      <c r="K51" s="706">
        <f t="shared" si="2"/>
        <v>0</v>
      </c>
      <c r="L51" s="2"/>
      <c r="M51" s="2"/>
      <c r="N51" s="2"/>
      <c r="O51" s="2"/>
      <c r="P51" s="2"/>
      <c r="Q51" s="2"/>
      <c r="R51" s="80"/>
      <c r="S51" s="154"/>
      <c r="T51" s="80"/>
      <c r="U51" s="80"/>
      <c r="V51" s="154">
        <f t="shared" si="0"/>
        <v>0</v>
      </c>
      <c r="W51" s="80"/>
      <c r="X51" s="80"/>
      <c r="Y51" s="80"/>
      <c r="Z51" s="155">
        <f t="shared" si="1"/>
        <v>0</v>
      </c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</row>
    <row r="52" spans="1:37" ht="15" customHeight="1" x14ac:dyDescent="0.2">
      <c r="A52" s="2"/>
      <c r="B52" s="523" t="str">
        <f>Расчёт!B111</f>
        <v xml:space="preserve">КАПУСТА  </v>
      </c>
      <c r="C52" s="613" t="s">
        <v>163</v>
      </c>
      <c r="D52" s="640">
        <f>Цены!D52</f>
        <v>0</v>
      </c>
      <c r="E52" s="662">
        <v>0</v>
      </c>
      <c r="F52" s="662">
        <v>0</v>
      </c>
      <c r="G52" s="615">
        <v>0</v>
      </c>
      <c r="H52" s="558">
        <f>Расчёт!G111</f>
        <v>0</v>
      </c>
      <c r="I52" s="562">
        <f>Расчёт!H111</f>
        <v>0</v>
      </c>
      <c r="J52" s="630">
        <f>Расчёт!I111</f>
        <v>0</v>
      </c>
      <c r="K52" s="707">
        <f t="shared" si="2"/>
        <v>0</v>
      </c>
      <c r="L52" s="2"/>
      <c r="M52" s="2"/>
      <c r="N52" s="2"/>
      <c r="O52" s="2"/>
      <c r="P52" s="2"/>
      <c r="Q52" s="2"/>
      <c r="R52" s="80"/>
      <c r="S52" s="154"/>
      <c r="T52" s="80"/>
      <c r="U52" s="80"/>
      <c r="V52" s="154">
        <f t="shared" si="0"/>
        <v>0</v>
      </c>
      <c r="W52" s="80"/>
      <c r="X52" s="80"/>
      <c r="Y52" s="80"/>
      <c r="Z52" s="155">
        <f t="shared" si="1"/>
        <v>0</v>
      </c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</row>
    <row r="53" spans="1:37" ht="15" customHeight="1" x14ac:dyDescent="0.2">
      <c r="A53" s="2"/>
      <c r="B53" s="523" t="str">
        <f>Расчёт!B112</f>
        <v>СВЕКЛА</v>
      </c>
      <c r="C53" s="613" t="s">
        <v>163</v>
      </c>
      <c r="D53" s="640">
        <f>Цены!D53</f>
        <v>0</v>
      </c>
      <c r="E53" s="662">
        <v>0</v>
      </c>
      <c r="F53" s="662">
        <v>0</v>
      </c>
      <c r="G53" s="615">
        <v>0</v>
      </c>
      <c r="H53" s="558">
        <f>Расчёт!G112</f>
        <v>0</v>
      </c>
      <c r="I53" s="562">
        <f>Расчёт!H112</f>
        <v>0</v>
      </c>
      <c r="J53" s="630">
        <f>Расчёт!I112</f>
        <v>0</v>
      </c>
      <c r="K53" s="708">
        <f t="shared" si="2"/>
        <v>0</v>
      </c>
      <c r="L53" s="2"/>
      <c r="M53" s="2"/>
      <c r="N53" s="2"/>
      <c r="O53" s="2"/>
      <c r="P53" s="2"/>
      <c r="Q53" s="2"/>
      <c r="R53" s="80"/>
      <c r="S53" s="154"/>
      <c r="T53" s="80"/>
      <c r="U53" s="80"/>
      <c r="V53" s="154">
        <f t="shared" si="0"/>
        <v>0</v>
      </c>
      <c r="W53" s="80"/>
      <c r="X53" s="80"/>
      <c r="Y53" s="80"/>
      <c r="Z53" s="155">
        <f t="shared" si="1"/>
        <v>0</v>
      </c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</row>
    <row r="54" spans="1:37" ht="15" customHeight="1" x14ac:dyDescent="0.2">
      <c r="A54" s="2"/>
      <c r="B54" s="523" t="str">
        <f>Расчёт!B113</f>
        <v>МОРКОВЬ</v>
      </c>
      <c r="C54" s="613" t="s">
        <v>163</v>
      </c>
      <c r="D54" s="640">
        <f>Цены!D54</f>
        <v>0</v>
      </c>
      <c r="E54" s="662">
        <v>0</v>
      </c>
      <c r="F54" s="662">
        <v>0</v>
      </c>
      <c r="G54" s="615">
        <v>0</v>
      </c>
      <c r="H54" s="558">
        <f>Расчёт!G113</f>
        <v>0</v>
      </c>
      <c r="I54" s="562">
        <f>Расчёт!H113</f>
        <v>0</v>
      </c>
      <c r="J54" s="630">
        <f>Расчёт!I113</f>
        <v>0</v>
      </c>
      <c r="K54" s="708">
        <f t="shared" si="2"/>
        <v>0</v>
      </c>
      <c r="L54" s="2"/>
      <c r="M54" s="2"/>
      <c r="N54" s="2"/>
      <c r="O54" s="2"/>
      <c r="P54" s="2"/>
      <c r="Q54" s="2"/>
      <c r="R54" s="80"/>
      <c r="S54" s="154"/>
      <c r="T54" s="80"/>
      <c r="U54" s="80"/>
      <c r="V54" s="154">
        <f t="shared" si="0"/>
        <v>0</v>
      </c>
      <c r="W54" s="80"/>
      <c r="X54" s="80"/>
      <c r="Y54" s="80"/>
      <c r="Z54" s="155">
        <f t="shared" si="1"/>
        <v>0</v>
      </c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</row>
    <row r="55" spans="1:37" ht="15" customHeight="1" x14ac:dyDescent="0.2">
      <c r="A55" s="2"/>
      <c r="B55" s="523" t="str">
        <f>Расчёт!B114</f>
        <v>ЛУК РЕПЧАТЫЙ</v>
      </c>
      <c r="C55" s="613" t="s">
        <v>163</v>
      </c>
      <c r="D55" s="640">
        <f>Цены!D55</f>
        <v>0</v>
      </c>
      <c r="E55" s="662">
        <v>0</v>
      </c>
      <c r="F55" s="662">
        <v>0</v>
      </c>
      <c r="G55" s="615">
        <v>0</v>
      </c>
      <c r="H55" s="558">
        <f>Расчёт!G114</f>
        <v>0</v>
      </c>
      <c r="I55" s="562">
        <f>Расчёт!H114</f>
        <v>0</v>
      </c>
      <c r="J55" s="630">
        <f>Расчёт!I114</f>
        <v>0</v>
      </c>
      <c r="K55" s="708">
        <f t="shared" si="2"/>
        <v>0</v>
      </c>
      <c r="L55" s="2"/>
      <c r="M55" s="2"/>
      <c r="N55" s="2"/>
      <c r="O55" s="2"/>
      <c r="P55" s="2"/>
      <c r="Q55" s="2"/>
      <c r="R55" s="80"/>
      <c r="S55" s="154"/>
      <c r="T55" s="80"/>
      <c r="U55" s="80"/>
      <c r="V55" s="154">
        <f t="shared" si="0"/>
        <v>0</v>
      </c>
      <c r="W55" s="80"/>
      <c r="X55" s="80"/>
      <c r="Y55" s="80"/>
      <c r="Z55" s="155">
        <f t="shared" si="1"/>
        <v>0</v>
      </c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</row>
    <row r="56" spans="1:37" ht="15" customHeight="1" x14ac:dyDescent="0.2">
      <c r="A56" s="2"/>
      <c r="B56" s="523" t="str">
        <f>Расчёт!B115</f>
        <v>ОГУРЦЫ СВЕЖИЕ</v>
      </c>
      <c r="C56" s="613" t="s">
        <v>163</v>
      </c>
      <c r="D56" s="640">
        <f>Цены!D56</f>
        <v>0</v>
      </c>
      <c r="E56" s="662">
        <v>0</v>
      </c>
      <c r="F56" s="662">
        <v>0</v>
      </c>
      <c r="G56" s="615">
        <v>0</v>
      </c>
      <c r="H56" s="568">
        <f>Расчёт!G115</f>
        <v>0</v>
      </c>
      <c r="I56" s="510">
        <f>Расчёт!H115</f>
        <v>0</v>
      </c>
      <c r="J56" s="569">
        <f>Расчёт!I115</f>
        <v>0</v>
      </c>
      <c r="K56" s="708">
        <f t="shared" si="2"/>
        <v>0</v>
      </c>
      <c r="L56" s="2"/>
      <c r="M56" s="2"/>
      <c r="N56" s="2"/>
      <c r="O56" s="2"/>
      <c r="P56" s="2"/>
      <c r="Q56" s="2"/>
      <c r="R56" s="80"/>
      <c r="S56" s="154"/>
      <c r="T56" s="80"/>
      <c r="U56" s="80"/>
      <c r="V56" s="154">
        <f t="shared" si="0"/>
        <v>0</v>
      </c>
      <c r="W56" s="80"/>
      <c r="X56" s="80"/>
      <c r="Y56" s="80"/>
      <c r="Z56" s="155">
        <f t="shared" si="1"/>
        <v>0</v>
      </c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</row>
    <row r="57" spans="1:37" ht="15" customHeight="1" x14ac:dyDescent="0.2">
      <c r="A57" s="2"/>
      <c r="B57" s="523" t="str">
        <f>Расчёт!B116</f>
        <v>ПОМИДОРЫ СОЛЁНЫЕ</v>
      </c>
      <c r="C57" s="613" t="s">
        <v>163</v>
      </c>
      <c r="D57" s="640">
        <f>Цены!D57</f>
        <v>0</v>
      </c>
      <c r="E57" s="662">
        <v>0</v>
      </c>
      <c r="F57" s="662">
        <v>0</v>
      </c>
      <c r="G57" s="615">
        <v>0</v>
      </c>
      <c r="H57" s="568">
        <f>Расчёт!G116</f>
        <v>0</v>
      </c>
      <c r="I57" s="533">
        <f>Расчёт!H116</f>
        <v>0</v>
      </c>
      <c r="J57" s="569">
        <f>Расчёт!I116</f>
        <v>0</v>
      </c>
      <c r="K57" s="709">
        <f t="shared" si="2"/>
        <v>0</v>
      </c>
      <c r="L57" s="2"/>
      <c r="M57" s="2"/>
      <c r="N57" s="2"/>
      <c r="O57" s="2"/>
      <c r="P57" s="2"/>
      <c r="Q57" s="2"/>
      <c r="R57" s="80"/>
      <c r="S57" s="154"/>
      <c r="T57" s="80"/>
      <c r="U57" s="80"/>
      <c r="V57" s="154">
        <f t="shared" si="0"/>
        <v>0</v>
      </c>
      <c r="W57" s="80"/>
      <c r="X57" s="80"/>
      <c r="Y57" s="80"/>
      <c r="Z57" s="155">
        <f t="shared" si="1"/>
        <v>0</v>
      </c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</row>
    <row r="58" spans="1:37" ht="15" customHeight="1" thickBot="1" x14ac:dyDescent="0.25">
      <c r="A58" s="2"/>
      <c r="B58" s="525" t="str">
        <f>Расчёт!B117</f>
        <v>КАБАЧКИ</v>
      </c>
      <c r="C58" s="620" t="s">
        <v>163</v>
      </c>
      <c r="D58" s="1244">
        <f>Цены!D58</f>
        <v>0</v>
      </c>
      <c r="E58" s="663">
        <v>0</v>
      </c>
      <c r="F58" s="663">
        <v>0</v>
      </c>
      <c r="G58" s="622">
        <v>0</v>
      </c>
      <c r="H58" s="572">
        <f>Расчёт!G117</f>
        <v>0</v>
      </c>
      <c r="I58" s="661">
        <f>Расчёт!H117</f>
        <v>0</v>
      </c>
      <c r="J58" s="574">
        <f>Расчёт!I117</f>
        <v>0</v>
      </c>
      <c r="K58" s="710">
        <f>SUM(E58:J58)</f>
        <v>0</v>
      </c>
      <c r="L58" s="2"/>
      <c r="M58" s="2"/>
      <c r="N58" s="2"/>
      <c r="O58" s="2"/>
      <c r="P58" s="2"/>
      <c r="Q58" s="2"/>
      <c r="R58" s="80"/>
      <c r="S58" s="154"/>
      <c r="T58" s="80"/>
      <c r="U58" s="80"/>
      <c r="V58" s="154"/>
      <c r="W58" s="80"/>
      <c r="X58" s="80"/>
      <c r="Y58" s="80"/>
      <c r="Z58" s="155">
        <f t="shared" si="1"/>
        <v>0</v>
      </c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</row>
    <row r="59" spans="1:37" ht="15" customHeight="1" x14ac:dyDescent="0.2">
      <c r="A59" s="2"/>
      <c r="B59" s="505" t="str">
        <f>Расчёт!B118</f>
        <v>ФРУКТЫ СУШЁНЫЕ</v>
      </c>
      <c r="C59" s="610" t="s">
        <v>163</v>
      </c>
      <c r="D59" s="506">
        <f>Цены!D59</f>
        <v>0</v>
      </c>
      <c r="E59" s="604">
        <v>0</v>
      </c>
      <c r="F59" s="604">
        <v>0</v>
      </c>
      <c r="G59" s="612">
        <v>0</v>
      </c>
      <c r="H59" s="582">
        <f>Расчёт!G118</f>
        <v>0</v>
      </c>
      <c r="I59" s="490">
        <f>Расчёт!H118</f>
        <v>0</v>
      </c>
      <c r="J59" s="584">
        <f>Расчёт!I118</f>
        <v>0</v>
      </c>
      <c r="K59" s="492">
        <f t="shared" si="2"/>
        <v>0</v>
      </c>
      <c r="L59" s="2"/>
      <c r="M59" s="2"/>
      <c r="N59" s="2"/>
      <c r="O59" s="2"/>
      <c r="P59" s="2"/>
      <c r="Q59" s="2"/>
      <c r="R59" s="80"/>
      <c r="S59" s="154"/>
      <c r="T59" s="80"/>
      <c r="U59" s="80"/>
      <c r="V59" s="154">
        <f t="shared" si="0"/>
        <v>0</v>
      </c>
      <c r="W59" s="80"/>
      <c r="X59" s="80"/>
      <c r="Y59" s="80"/>
      <c r="Z59" s="155">
        <f t="shared" si="1"/>
        <v>0</v>
      </c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</row>
    <row r="60" spans="1:37" ht="15" customHeight="1" x14ac:dyDescent="0.2">
      <c r="A60" s="2"/>
      <c r="B60" s="570" t="str">
        <f>Расчёт!B119</f>
        <v>КИСЕЛЬ ПЛОДОВЫЙ ИЛИ ЯГОДНЫЙ</v>
      </c>
      <c r="C60" s="613" t="s">
        <v>163</v>
      </c>
      <c r="D60" s="640">
        <f>Цены!D60</f>
        <v>0</v>
      </c>
      <c r="E60" s="662">
        <v>0</v>
      </c>
      <c r="F60" s="662">
        <v>0</v>
      </c>
      <c r="G60" s="615">
        <v>0</v>
      </c>
      <c r="H60" s="509">
        <f>Расчёт!G119</f>
        <v>0</v>
      </c>
      <c r="I60" s="510">
        <f>Расчёт!H119</f>
        <v>0</v>
      </c>
      <c r="J60" s="511">
        <f>Расчёт!I119</f>
        <v>0</v>
      </c>
      <c r="K60" s="709">
        <f t="shared" si="2"/>
        <v>0</v>
      </c>
      <c r="L60" s="2"/>
      <c r="M60" s="2"/>
      <c r="N60" s="2"/>
      <c r="O60" s="2"/>
      <c r="P60" s="2"/>
      <c r="Q60" s="2"/>
      <c r="R60" s="80"/>
      <c r="S60" s="154"/>
      <c r="T60" s="80"/>
      <c r="U60" s="80"/>
      <c r="V60" s="154">
        <f t="shared" si="0"/>
        <v>0</v>
      </c>
      <c r="W60" s="80"/>
      <c r="X60" s="80"/>
      <c r="Y60" s="80"/>
      <c r="Z60" s="155">
        <f t="shared" si="1"/>
        <v>0</v>
      </c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</row>
    <row r="61" spans="1:37" ht="15" customHeight="1" x14ac:dyDescent="0.2">
      <c r="A61" s="2"/>
      <c r="B61" s="570" t="str">
        <f>Расчёт!B120</f>
        <v>АПЕЛЬСИНЫ</v>
      </c>
      <c r="C61" s="613" t="s">
        <v>163</v>
      </c>
      <c r="D61" s="640">
        <f>Цены!D61</f>
        <v>0</v>
      </c>
      <c r="E61" s="662">
        <v>0</v>
      </c>
      <c r="F61" s="662">
        <v>0</v>
      </c>
      <c r="G61" s="615">
        <v>0</v>
      </c>
      <c r="H61" s="568">
        <f>Расчёт!G120</f>
        <v>0</v>
      </c>
      <c r="I61" s="533">
        <f>Расчёт!H120</f>
        <v>0</v>
      </c>
      <c r="J61" s="569">
        <f>Расчёт!I120</f>
        <v>0</v>
      </c>
      <c r="K61" s="709">
        <f t="shared" si="2"/>
        <v>0</v>
      </c>
      <c r="L61" s="2"/>
      <c r="M61" s="2"/>
      <c r="N61" s="2"/>
      <c r="O61" s="2"/>
      <c r="P61" s="2"/>
      <c r="Q61" s="2"/>
      <c r="R61" s="80"/>
      <c r="S61" s="154"/>
      <c r="T61" s="80"/>
      <c r="U61" s="80"/>
      <c r="V61" s="154">
        <f t="shared" si="0"/>
        <v>0</v>
      </c>
      <c r="W61" s="80"/>
      <c r="X61" s="80"/>
      <c r="Y61" s="80"/>
      <c r="Z61" s="155">
        <f t="shared" si="1"/>
        <v>0</v>
      </c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</row>
    <row r="62" spans="1:37" ht="15" customHeight="1" x14ac:dyDescent="0.2">
      <c r="A62" s="2"/>
      <c r="B62" s="570" t="str">
        <f>Расчёт!B121</f>
        <v>СОК</v>
      </c>
      <c r="C62" s="613" t="s">
        <v>163</v>
      </c>
      <c r="D62" s="640">
        <f>Цены!D62</f>
        <v>0</v>
      </c>
      <c r="E62" s="662">
        <v>0</v>
      </c>
      <c r="F62" s="662">
        <v>0</v>
      </c>
      <c r="G62" s="615">
        <v>0</v>
      </c>
      <c r="H62" s="568">
        <f>Расчёт!G121</f>
        <v>0</v>
      </c>
      <c r="I62" s="510">
        <f>Расчёт!H121</f>
        <v>0</v>
      </c>
      <c r="J62" s="569">
        <f>Расчёт!I121</f>
        <v>0</v>
      </c>
      <c r="K62" s="709">
        <f t="shared" si="2"/>
        <v>0</v>
      </c>
      <c r="L62" s="2"/>
      <c r="M62" s="2"/>
      <c r="N62" s="2"/>
      <c r="O62" s="2"/>
      <c r="P62" s="2"/>
      <c r="Q62" s="2"/>
      <c r="R62" s="80"/>
      <c r="S62" s="154"/>
      <c r="T62" s="80"/>
      <c r="U62" s="80"/>
      <c r="V62" s="154">
        <f t="shared" si="0"/>
        <v>0</v>
      </c>
      <c r="W62" s="80"/>
      <c r="X62" s="80"/>
      <c r="Y62" s="80"/>
      <c r="Z62" s="155">
        <f t="shared" si="1"/>
        <v>0</v>
      </c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</row>
    <row r="63" spans="1:37" ht="15" customHeight="1" x14ac:dyDescent="0.2">
      <c r="A63" s="2"/>
      <c r="B63" s="570" t="str">
        <f>Расчёт!B122</f>
        <v>ПОВИДЛО, ВАРЕНЬЕ</v>
      </c>
      <c r="C63" s="613" t="s">
        <v>163</v>
      </c>
      <c r="D63" s="640">
        <f>Цены!D63</f>
        <v>0</v>
      </c>
      <c r="E63" s="662">
        <v>0</v>
      </c>
      <c r="F63" s="662">
        <v>0</v>
      </c>
      <c r="G63" s="615">
        <v>0</v>
      </c>
      <c r="H63" s="509">
        <f>Расчёт!G122</f>
        <v>0</v>
      </c>
      <c r="I63" s="510">
        <f>Расчёт!H122</f>
        <v>0</v>
      </c>
      <c r="J63" s="511">
        <f>Расчёт!I122</f>
        <v>0</v>
      </c>
      <c r="K63" s="709">
        <f t="shared" si="2"/>
        <v>0</v>
      </c>
      <c r="L63" s="2"/>
      <c r="M63" s="2"/>
      <c r="N63" s="2"/>
      <c r="O63" s="2"/>
      <c r="P63" s="2"/>
      <c r="Q63" s="2"/>
      <c r="R63" s="80"/>
      <c r="S63" s="154"/>
      <c r="T63" s="80"/>
      <c r="U63" s="80"/>
      <c r="V63" s="154">
        <f t="shared" si="0"/>
        <v>0</v>
      </c>
      <c r="W63" s="80"/>
      <c r="X63" s="80"/>
      <c r="Y63" s="80"/>
      <c r="Z63" s="155">
        <f t="shared" si="1"/>
        <v>0</v>
      </c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</row>
    <row r="64" spans="1:37" ht="15" customHeight="1" x14ac:dyDescent="0.2">
      <c r="A64" s="2"/>
      <c r="B64" s="570" t="str">
        <f>Расчёт!B123</f>
        <v>КОМПОТ КОНС.</v>
      </c>
      <c r="C64" s="618" t="s">
        <v>163</v>
      </c>
      <c r="D64" s="640">
        <f>Цены!D64</f>
        <v>0</v>
      </c>
      <c r="E64" s="662">
        <v>0</v>
      </c>
      <c r="F64" s="662">
        <v>0</v>
      </c>
      <c r="G64" s="615">
        <v>0</v>
      </c>
      <c r="H64" s="589">
        <f>Расчёт!G123</f>
        <v>0</v>
      </c>
      <c r="I64" s="587">
        <f>Расчёт!H123</f>
        <v>0</v>
      </c>
      <c r="J64" s="591">
        <f>Расчёт!I123</f>
        <v>0</v>
      </c>
      <c r="K64" s="497">
        <f t="shared" si="2"/>
        <v>0</v>
      </c>
      <c r="L64" s="2"/>
      <c r="M64" s="2"/>
      <c r="N64" s="2"/>
      <c r="O64" s="2"/>
      <c r="P64" s="2"/>
      <c r="Q64" s="2"/>
      <c r="R64" s="80"/>
      <c r="S64" s="154"/>
      <c r="T64" s="80"/>
      <c r="U64" s="80"/>
      <c r="V64" s="154">
        <f t="shared" si="0"/>
        <v>0</v>
      </c>
      <c r="W64" s="80"/>
      <c r="X64" s="80"/>
      <c r="Y64" s="80"/>
      <c r="Z64" s="155">
        <f t="shared" si="1"/>
        <v>0</v>
      </c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</row>
    <row r="65" spans="1:37" ht="15" customHeight="1" thickBot="1" x14ac:dyDescent="0.25">
      <c r="A65" s="2"/>
      <c r="B65" s="513" t="str">
        <f>Расчёт!B124</f>
        <v>КОНСЕРВЫ ОВ. ЗАКУС.</v>
      </c>
      <c r="C65" s="719" t="s">
        <v>163</v>
      </c>
      <c r="D65" s="1244">
        <f>Цены!D65</f>
        <v>0</v>
      </c>
      <c r="E65" s="663">
        <v>0</v>
      </c>
      <c r="F65" s="663">
        <v>0</v>
      </c>
      <c r="G65" s="622">
        <v>0</v>
      </c>
      <c r="H65" s="595">
        <f>Расчёт!G124</f>
        <v>0</v>
      </c>
      <c r="I65" s="693">
        <f>Расчёт!H124</f>
        <v>0</v>
      </c>
      <c r="J65" s="597">
        <f>Расчёт!I124</f>
        <v>0</v>
      </c>
      <c r="K65" s="504">
        <f>SUM(E65:J65)</f>
        <v>0</v>
      </c>
      <c r="L65" s="2"/>
      <c r="M65" s="2"/>
      <c r="N65" s="2"/>
      <c r="O65" s="2"/>
      <c r="P65" s="2"/>
      <c r="Q65" s="2"/>
      <c r="R65" s="80"/>
      <c r="S65" s="154"/>
      <c r="T65" s="80"/>
      <c r="U65" s="80"/>
      <c r="V65" s="154">
        <f t="shared" si="0"/>
        <v>0</v>
      </c>
      <c r="W65" s="80"/>
      <c r="X65" s="80"/>
      <c r="Y65" s="80"/>
      <c r="Z65" s="155">
        <f t="shared" si="1"/>
        <v>0</v>
      </c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</row>
    <row r="66" spans="1:37" ht="15" customHeight="1" x14ac:dyDescent="0.2">
      <c r="A66" s="2"/>
      <c r="B66" s="711" t="str">
        <f>IF(K66&gt;0,B9,"")</f>
        <v/>
      </c>
      <c r="C66" s="610" t="s">
        <v>163</v>
      </c>
      <c r="D66" s="506">
        <f>Цены!D66</f>
        <v>0</v>
      </c>
      <c r="E66" s="1561" t="str">
        <f>IF(K66&gt;0,"ЭКОНОМИЯ","")</f>
        <v/>
      </c>
      <c r="F66" s="1561"/>
      <c r="G66" s="1561"/>
      <c r="H66" s="1561"/>
      <c r="I66" s="1561"/>
      <c r="J66" s="1609"/>
      <c r="K66" s="712">
        <v>0</v>
      </c>
      <c r="L66" s="2"/>
      <c r="M66" s="2"/>
      <c r="N66" s="2"/>
      <c r="O66" s="2"/>
      <c r="P66" s="2"/>
      <c r="Q66" s="2"/>
      <c r="R66" s="80"/>
      <c r="S66" s="154"/>
      <c r="T66" s="80"/>
      <c r="U66" s="80"/>
      <c r="V66" s="154">
        <f t="shared" si="0"/>
        <v>0</v>
      </c>
      <c r="W66" s="80"/>
      <c r="X66" s="80"/>
      <c r="Y66" s="80"/>
      <c r="Z66" s="155">
        <f t="shared" si="1"/>
        <v>0</v>
      </c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</row>
    <row r="67" spans="1:37" ht="15" customHeight="1" thickBot="1" x14ac:dyDescent="0.25">
      <c r="A67" s="2"/>
      <c r="B67" s="713" t="str">
        <f>IF(K67&gt;0,B10,"")</f>
        <v/>
      </c>
      <c r="C67" s="647" t="s">
        <v>163</v>
      </c>
      <c r="D67" s="1244">
        <f>Цены!D67</f>
        <v>0</v>
      </c>
      <c r="E67" s="1564" t="str">
        <f>IF(K67&gt;0,"ЭКОНОМИЯ","")</f>
        <v/>
      </c>
      <c r="F67" s="1564"/>
      <c r="G67" s="1564"/>
      <c r="H67" s="1565"/>
      <c r="I67" s="1565"/>
      <c r="J67" s="1566"/>
      <c r="K67" s="714">
        <v>0</v>
      </c>
      <c r="L67" s="2"/>
      <c r="M67" s="2"/>
      <c r="N67" s="2"/>
      <c r="O67" s="2"/>
      <c r="P67" s="2"/>
      <c r="Q67" s="2"/>
      <c r="R67" s="80"/>
      <c r="S67" s="154"/>
      <c r="T67" s="80"/>
      <c r="U67" s="80"/>
      <c r="V67" s="154">
        <f t="shared" si="0"/>
        <v>0</v>
      </c>
      <c r="W67" s="80"/>
      <c r="X67" s="80"/>
      <c r="Y67" s="80"/>
      <c r="Z67" s="155">
        <f t="shared" si="1"/>
        <v>0</v>
      </c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</row>
    <row r="68" spans="1:37" ht="15" customHeight="1" x14ac:dyDescent="0.2">
      <c r="A68" s="2"/>
      <c r="B68" s="715" t="str">
        <f>Расчёт!B127</f>
        <v>ЧЕСНОК</v>
      </c>
      <c r="C68" s="610" t="s">
        <v>163</v>
      </c>
      <c r="D68" s="506">
        <f>Цены!D68</f>
        <v>0</v>
      </c>
      <c r="E68" s="635">
        <v>0</v>
      </c>
      <c r="F68" s="636">
        <v>0</v>
      </c>
      <c r="G68" s="637">
        <v>0</v>
      </c>
      <c r="H68" s="582">
        <f>Расчёт!G124</f>
        <v>0</v>
      </c>
      <c r="I68" s="490">
        <f>Расчёт!H127</f>
        <v>0</v>
      </c>
      <c r="J68" s="584">
        <f>Расчёт!I124</f>
        <v>0</v>
      </c>
      <c r="K68" s="492">
        <f>SUM(E68:J68)</f>
        <v>0</v>
      </c>
      <c r="L68" s="2"/>
      <c r="M68" s="2"/>
      <c r="N68" s="2"/>
      <c r="O68" s="2"/>
      <c r="P68" s="2"/>
      <c r="Q68" s="2"/>
      <c r="R68" s="80"/>
      <c r="S68" s="154"/>
      <c r="T68" s="80"/>
      <c r="U68" s="80"/>
      <c r="V68" s="154">
        <f t="shared" si="0"/>
        <v>0</v>
      </c>
      <c r="W68" s="80"/>
      <c r="X68" s="80"/>
      <c r="Y68" s="80"/>
      <c r="Z68" s="155">
        <f t="shared" si="1"/>
        <v>0</v>
      </c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</row>
    <row r="69" spans="1:37" ht="15" customHeight="1" x14ac:dyDescent="0.2">
      <c r="A69" s="2"/>
      <c r="B69" s="716" t="str">
        <f>Расчёт!B128</f>
        <v>ДРАЖЕ "ГЕКСАВИТ"</v>
      </c>
      <c r="C69" s="618" t="s">
        <v>163</v>
      </c>
      <c r="D69" s="640">
        <f>Цены!D69</f>
        <v>0</v>
      </c>
      <c r="E69" s="586"/>
      <c r="F69" s="639">
        <v>0</v>
      </c>
      <c r="G69" s="588"/>
      <c r="H69" s="589">
        <f>Расчёт!G125</f>
        <v>0</v>
      </c>
      <c r="I69" s="495">
        <f>Расчёт!H128</f>
        <v>0</v>
      </c>
      <c r="J69" s="591">
        <f>Расчёт!I125</f>
        <v>0</v>
      </c>
      <c r="K69" s="592">
        <f>SUM(E69:J69)</f>
        <v>0</v>
      </c>
      <c r="L69" s="2"/>
      <c r="M69" s="2"/>
      <c r="N69" s="2"/>
      <c r="O69" s="2"/>
      <c r="P69" s="2"/>
      <c r="Q69" s="2"/>
      <c r="R69" s="80"/>
      <c r="S69" s="10"/>
      <c r="T69" s="80"/>
      <c r="U69" s="80"/>
      <c r="V69" s="154">
        <f t="shared" si="0"/>
        <v>0</v>
      </c>
      <c r="W69" s="80"/>
      <c r="X69" s="80"/>
      <c r="Y69" s="80"/>
      <c r="Z69" s="155">
        <f t="shared" si="1"/>
        <v>0</v>
      </c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</row>
    <row r="70" spans="1:37" ht="15" customHeight="1" x14ac:dyDescent="0.2">
      <c r="A70" s="2"/>
      <c r="B70" s="716" t="str">
        <f>Расчёт!B129</f>
        <v>КОНСЕРВЫ МЯСОРАСТИТЕЛЬНЫЕ</v>
      </c>
      <c r="C70" s="618" t="s">
        <v>163</v>
      </c>
      <c r="D70" s="640">
        <f>Цены!D70</f>
        <v>0</v>
      </c>
      <c r="E70" s="717">
        <v>0</v>
      </c>
      <c r="F70" s="639">
        <v>0</v>
      </c>
      <c r="G70" s="588"/>
      <c r="H70" s="589">
        <f>Расчёт!G126</f>
        <v>0</v>
      </c>
      <c r="I70" s="495">
        <f>Расчёт!H129</f>
        <v>0</v>
      </c>
      <c r="J70" s="591">
        <f>Расчёт!I126</f>
        <v>0</v>
      </c>
      <c r="K70" s="497">
        <f>SUM(E70:J70)</f>
        <v>0</v>
      </c>
      <c r="L70" s="2"/>
      <c r="M70" s="2"/>
      <c r="N70" s="2"/>
      <c r="O70" s="2"/>
      <c r="P70" s="2"/>
      <c r="Q70" s="2"/>
      <c r="R70" s="80"/>
      <c r="S70" s="10"/>
      <c r="T70" s="80"/>
      <c r="U70" s="80"/>
      <c r="V70" s="154">
        <f t="shared" si="0"/>
        <v>0</v>
      </c>
      <c r="W70" s="80"/>
      <c r="X70" s="80"/>
      <c r="Y70" s="80"/>
      <c r="Z70" s="155">
        <f t="shared" si="1"/>
        <v>0</v>
      </c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</row>
    <row r="71" spans="1:37" ht="15" customHeight="1" thickBot="1" x14ac:dyDescent="0.25">
      <c r="A71" s="2"/>
      <c r="B71" s="718" t="str">
        <f>Расчёт!B130</f>
        <v>КОНСЕРВЫ 1 ОБ. БЛЮДА</v>
      </c>
      <c r="C71" s="719" t="s">
        <v>163</v>
      </c>
      <c r="D71" s="648">
        <f>Цены!D71</f>
        <v>0</v>
      </c>
      <c r="E71" s="663">
        <v>0</v>
      </c>
      <c r="F71" s="667">
        <v>0</v>
      </c>
      <c r="G71" s="696"/>
      <c r="H71" s="595">
        <f>Расчёт!G127</f>
        <v>0</v>
      </c>
      <c r="I71" s="502">
        <f>Расчёт!H130</f>
        <v>0</v>
      </c>
      <c r="J71" s="597">
        <f>Расчёт!I127</f>
        <v>0</v>
      </c>
      <c r="K71" s="504">
        <f>SUM(E71:J71)</f>
        <v>0</v>
      </c>
      <c r="L71" s="2"/>
      <c r="M71" s="2"/>
      <c r="N71" s="2"/>
      <c r="O71" s="2"/>
      <c r="P71" s="2"/>
      <c r="Q71" s="2"/>
      <c r="R71" s="80"/>
      <c r="S71" s="10"/>
      <c r="T71" s="80"/>
      <c r="U71" s="80"/>
      <c r="V71" s="10">
        <f>SUM(V9:V70)</f>
        <v>0</v>
      </c>
      <c r="W71" s="80"/>
      <c r="X71" s="80"/>
      <c r="Y71" s="80"/>
      <c r="Z71" s="155">
        <f t="shared" si="1"/>
        <v>0</v>
      </c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</row>
    <row r="72" spans="1:37" ht="18" x14ac:dyDescent="0.25">
      <c r="A72" s="2"/>
      <c r="B72" s="185" t="s">
        <v>280</v>
      </c>
      <c r="C72" s="257"/>
      <c r="D72" s="187">
        <f>V71</f>
        <v>0</v>
      </c>
      <c r="E72" s="1595" t="str">
        <f>IF(Вт!$C$72&lt;&gt;31,CONCATENATE("(",Примеры!A36),CONCATENATE("(",Примеры!D19))</f>
        <v>( Ноль ) наименований</v>
      </c>
      <c r="F72" s="1595"/>
      <c r="G72" s="1595"/>
      <c r="H72" s="1595"/>
      <c r="I72" s="1595"/>
      <c r="J72" s="1568" t="str">
        <f>CONCATENATE("на сумму ",ROUND(Z72,2)," р.")</f>
        <v>на сумму 0 р.</v>
      </c>
      <c r="K72" s="1568"/>
      <c r="L72" s="2"/>
      <c r="M72" s="2"/>
      <c r="N72" s="2"/>
      <c r="O72" s="2"/>
      <c r="P72" s="2"/>
      <c r="Q72" s="2"/>
      <c r="R72" s="80"/>
      <c r="S72" s="80"/>
      <c r="T72" s="80"/>
      <c r="U72" s="80"/>
      <c r="V72" s="80"/>
      <c r="W72" s="80"/>
      <c r="X72" s="80"/>
      <c r="Y72" s="80"/>
      <c r="Z72" s="188">
        <f>SUM(Z9:Z71)</f>
        <v>0</v>
      </c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</row>
    <row r="73" spans="1:37" ht="18" x14ac:dyDescent="0.25">
      <c r="A73" s="2"/>
      <c r="B73" s="1560" t="s">
        <v>364</v>
      </c>
      <c r="C73" s="1560"/>
      <c r="D73" s="1560"/>
      <c r="E73" s="1560"/>
      <c r="F73" s="1560"/>
      <c r="G73" s="1560"/>
      <c r="H73" s="1560"/>
      <c r="I73" s="1560"/>
      <c r="J73" s="1560"/>
      <c r="K73" s="1560"/>
      <c r="L73" s="2"/>
      <c r="M73" s="2"/>
      <c r="N73" s="2"/>
      <c r="O73" s="2"/>
      <c r="P73" s="2"/>
      <c r="Q73" s="2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</row>
    <row r="74" spans="1:37" ht="18" x14ac:dyDescent="0.25">
      <c r="A74" s="2"/>
      <c r="B74" s="1567" t="str">
        <f>'Блок ввода'!M10</f>
        <v>ст. лейтенант</v>
      </c>
      <c r="C74" s="1567"/>
      <c r="D74" s="1567"/>
      <c r="E74" s="191"/>
      <c r="F74" s="191"/>
      <c r="G74" s="191"/>
      <c r="H74" s="191"/>
      <c r="I74" s="191" t="str">
        <f>'Блок ввода'!O10</f>
        <v>А. Демидов11111111</v>
      </c>
      <c r="J74" s="191"/>
      <c r="K74" s="191"/>
      <c r="L74" s="2"/>
      <c r="M74" s="2"/>
      <c r="N74" s="2"/>
      <c r="O74" s="2"/>
      <c r="P74" s="2"/>
      <c r="Q74" s="2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</row>
    <row r="75" spans="1:37" ht="17.45" customHeight="1" x14ac:dyDescent="0.25">
      <c r="A75" s="2"/>
      <c r="B75" s="1218" t="str">
        <f>CONCATENATE("ДЕЛОПРОИЗВОДИТЕЛЬ: ",'Блок ввода'!M13)</f>
        <v>ДЕЛОПРОИЗВОДИТЕЛЬ: служащая РА</v>
      </c>
      <c r="C75" s="1218"/>
      <c r="D75" s="1218"/>
      <c r="E75" s="189"/>
      <c r="F75" s="189"/>
      <c r="G75" s="189"/>
      <c r="I75" s="189"/>
      <c r="J75" s="258" t="str">
        <f>'Блок ввода'!O13</f>
        <v>С.ФЕДОРОВА</v>
      </c>
      <c r="K75" s="189"/>
      <c r="L75" s="2"/>
      <c r="M75" s="2"/>
      <c r="N75" s="2"/>
      <c r="O75" s="2"/>
      <c r="P75" s="2"/>
      <c r="Q75" s="2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</row>
    <row r="76" spans="1:37" ht="18.75" thickBot="1" x14ac:dyDescent="0.3">
      <c r="A76" s="2"/>
      <c r="B76" s="1559">
        <f>C4-1</f>
        <v>40091</v>
      </c>
      <c r="C76" s="1559"/>
      <c r="D76" s="1559"/>
      <c r="E76" s="1559"/>
      <c r="F76" s="1559"/>
      <c r="G76" s="1559"/>
      <c r="H76" s="1559"/>
      <c r="I76" s="1559"/>
      <c r="J76" s="1559"/>
      <c r="K76" s="1559"/>
      <c r="L76" s="2"/>
      <c r="M76" s="2"/>
      <c r="N76" s="2"/>
      <c r="O76" s="2"/>
      <c r="P76" s="2"/>
      <c r="Q76" s="2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</row>
    <row r="77" spans="1:37" ht="13.5" thickBot="1" x14ac:dyDescent="0.25">
      <c r="A77" s="2"/>
      <c r="B77" s="1586"/>
      <c r="C77" s="1587"/>
      <c r="D77" s="1587"/>
      <c r="E77" s="1587"/>
      <c r="F77" s="1587"/>
      <c r="G77" s="1588"/>
      <c r="H77" s="1592" t="s">
        <v>379</v>
      </c>
      <c r="I77" s="1593"/>
      <c r="J77" s="1593"/>
      <c r="K77" s="1594"/>
      <c r="L77" s="2"/>
      <c r="M77" s="2"/>
      <c r="N77" s="2"/>
      <c r="O77" s="2"/>
      <c r="P77" s="2"/>
      <c r="Q77" s="2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</row>
    <row r="78" spans="1:37" ht="15.75" thickBot="1" x14ac:dyDescent="0.25">
      <c r="A78" s="2"/>
      <c r="B78" s="1589"/>
      <c r="C78" s="1590"/>
      <c r="D78" s="1590"/>
      <c r="E78" s="1590"/>
      <c r="F78" s="1590"/>
      <c r="G78" s="1591"/>
      <c r="H78" s="192" t="s">
        <v>203</v>
      </c>
      <c r="I78" s="192" t="s">
        <v>204</v>
      </c>
      <c r="J78" s="193" t="s">
        <v>205</v>
      </c>
      <c r="K78" s="192" t="s">
        <v>276</v>
      </c>
      <c r="L78" s="2"/>
      <c r="M78" s="2"/>
      <c r="N78" s="2"/>
      <c r="O78" s="2"/>
      <c r="P78" s="2"/>
      <c r="Q78" s="2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</row>
    <row r="79" spans="1:37" ht="15" x14ac:dyDescent="0.2">
      <c r="A79" s="2"/>
      <c r="B79" s="194" t="s">
        <v>165</v>
      </c>
      <c r="C79" s="195"/>
      <c r="D79" s="195"/>
      <c r="E79" s="195"/>
      <c r="F79" s="195"/>
      <c r="G79" s="195"/>
      <c r="H79" s="1556"/>
      <c r="I79" s="1556"/>
      <c r="J79" s="1556"/>
      <c r="K79" s="1548"/>
      <c r="L79" s="2"/>
      <c r="M79" s="2"/>
      <c r="N79" s="2"/>
      <c r="O79" s="2"/>
      <c r="P79" s="2"/>
      <c r="Q79" s="2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</row>
    <row r="80" spans="1:37" ht="15" x14ac:dyDescent="0.2">
      <c r="A80" s="2"/>
      <c r="B80" s="196" t="str">
        <f>CONCATENATE('Блок ввода'!M12,'Блок ввода'!O12)</f>
        <v>прапорщик  К.МИХАЙЛОВА</v>
      </c>
      <c r="C80" s="197"/>
      <c r="D80" s="195"/>
      <c r="E80" s="195"/>
      <c r="F80" s="195"/>
      <c r="G80" s="195"/>
      <c r="H80" s="1546"/>
      <c r="I80" s="1546"/>
      <c r="J80" s="1546"/>
      <c r="K80" s="1549"/>
      <c r="L80" s="2"/>
      <c r="M80" s="2"/>
      <c r="N80" s="2"/>
      <c r="O80" s="2"/>
      <c r="P80" s="2"/>
      <c r="Q80" s="2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</row>
    <row r="81" spans="1:37" ht="15" x14ac:dyDescent="0.2">
      <c r="A81" s="2"/>
      <c r="B81" s="198" t="s">
        <v>166</v>
      </c>
      <c r="C81" s="199"/>
      <c r="D81" s="199"/>
      <c r="E81" s="199"/>
      <c r="F81" s="199"/>
      <c r="G81" s="199"/>
      <c r="H81" s="1545"/>
      <c r="I81" s="1545"/>
      <c r="J81" s="1545"/>
      <c r="K81" s="1550"/>
      <c r="L81" s="2"/>
      <c r="M81" s="2"/>
      <c r="N81" s="2"/>
      <c r="O81" s="2"/>
      <c r="P81" s="2"/>
      <c r="Q81" s="2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</row>
    <row r="82" spans="1:37" ht="15" x14ac:dyDescent="0.2">
      <c r="A82" s="2"/>
      <c r="B82" s="225" t="s">
        <v>352</v>
      </c>
      <c r="C82" s="195"/>
      <c r="D82" s="195"/>
      <c r="E82" s="195"/>
      <c r="F82" s="195"/>
      <c r="G82" s="195"/>
      <c r="H82" s="1546"/>
      <c r="I82" s="1546"/>
      <c r="J82" s="1546"/>
      <c r="K82" s="1551"/>
      <c r="L82" s="2"/>
      <c r="M82" s="2"/>
      <c r="N82" s="2"/>
      <c r="O82" s="2"/>
      <c r="P82" s="2"/>
      <c r="Q82" s="2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</row>
    <row r="83" spans="1:37" ht="15" x14ac:dyDescent="0.2">
      <c r="A83" s="200"/>
      <c r="B83" s="201" t="s">
        <v>275</v>
      </c>
      <c r="C83" s="199"/>
      <c r="D83" s="199"/>
      <c r="E83" s="199"/>
      <c r="F83" s="199"/>
      <c r="G83" s="199"/>
      <c r="H83" s="1545"/>
      <c r="I83" s="1545"/>
      <c r="J83" s="1545"/>
      <c r="K83" s="1550"/>
      <c r="L83" s="2"/>
      <c r="M83" s="2"/>
      <c r="N83" s="2"/>
      <c r="O83" s="2"/>
      <c r="P83" s="2"/>
      <c r="Q83" s="2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</row>
    <row r="84" spans="1:37" ht="15.75" thickBot="1" x14ac:dyDescent="0.25">
      <c r="A84" s="200"/>
      <c r="B84" s="202" t="str">
        <f>CONCATENATE('Блок ввода'!M11," ",'Блок ввода'!O11)</f>
        <v>ст. лейтенант М.СОКОЛОВ</v>
      </c>
      <c r="C84" s="203"/>
      <c r="D84" s="203"/>
      <c r="E84" s="203"/>
      <c r="F84" s="203"/>
      <c r="G84" s="203"/>
      <c r="H84" s="1557"/>
      <c r="I84" s="1557"/>
      <c r="J84" s="1557"/>
      <c r="K84" s="1552"/>
      <c r="L84" s="2"/>
      <c r="M84" s="2"/>
      <c r="N84" s="2"/>
      <c r="O84" s="2"/>
      <c r="P84" s="2"/>
      <c r="Q84" s="2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</row>
    <row r="85" spans="1:37" x14ac:dyDescent="0.2">
      <c r="A85" s="200"/>
      <c r="B85" s="259"/>
      <c r="C85" s="80"/>
      <c r="D85" s="80"/>
      <c r="E85" s="80"/>
      <c r="F85" s="80"/>
      <c r="G85" s="80"/>
      <c r="H85" s="80"/>
      <c r="I85" s="80"/>
      <c r="J85" s="80"/>
      <c r="K85" s="206">
        <f>M2</f>
        <v>0</v>
      </c>
      <c r="L85" s="2"/>
      <c r="M85" s="2"/>
      <c r="N85" s="2"/>
      <c r="O85" s="2"/>
      <c r="P85" s="2"/>
      <c r="Q85" s="2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</row>
    <row r="86" spans="1:37" x14ac:dyDescent="0.2">
      <c r="A86" s="200"/>
      <c r="B86" s="207" t="s">
        <v>354</v>
      </c>
      <c r="C86" s="208"/>
      <c r="D86" s="207" t="s">
        <v>355</v>
      </c>
      <c r="E86" s="207" t="s">
        <v>356</v>
      </c>
      <c r="F86" s="207" t="s">
        <v>357</v>
      </c>
      <c r="G86" s="80"/>
      <c r="H86" s="80"/>
      <c r="I86" s="80"/>
      <c r="J86" s="80"/>
      <c r="K86" s="206">
        <f>M4</f>
        <v>0</v>
      </c>
      <c r="L86" s="2"/>
      <c r="M86" s="2"/>
      <c r="N86" s="2"/>
      <c r="O86" s="2"/>
      <c r="P86" s="2"/>
      <c r="Q86" s="2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</row>
    <row r="87" spans="1:37" x14ac:dyDescent="0.2">
      <c r="A87" s="2"/>
      <c r="B87" s="789" t="str">
        <f>'Блок ввода'!AI4</f>
        <v>ПОДРАЗДЕЛЕНИЕ № 1</v>
      </c>
      <c r="C87" s="790" t="s">
        <v>546</v>
      </c>
      <c r="D87" s="224"/>
      <c r="E87" s="224"/>
      <c r="F87" s="224"/>
      <c r="G87" s="80"/>
      <c r="H87" s="80"/>
      <c r="I87" s="80"/>
      <c r="J87" s="1600" t="str">
        <f>CONCATENATE("ОКГ = ",'Раскладка продуктов'!A50)</f>
        <v>ОКГ = 1650</v>
      </c>
      <c r="K87" s="1600"/>
      <c r="L87" s="2"/>
      <c r="M87" s="2"/>
      <c r="N87" s="2"/>
      <c r="O87" s="2"/>
      <c r="P87" s="2"/>
      <c r="Q87" s="2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</row>
    <row r="88" spans="1:37" x14ac:dyDescent="0.2">
      <c r="A88" s="2"/>
      <c r="B88" s="789" t="str">
        <f>'Блок ввода'!AI5</f>
        <v>ПОДРАЗДЕЛЕНИЕ № 2</v>
      </c>
      <c r="C88" s="790" t="s">
        <v>546</v>
      </c>
      <c r="D88" s="224"/>
      <c r="E88" s="224"/>
      <c r="F88" s="224"/>
      <c r="G88" s="80"/>
      <c r="H88" s="80"/>
      <c r="I88" s="80"/>
      <c r="J88" s="80"/>
      <c r="K88" s="80"/>
      <c r="L88" s="2"/>
      <c r="M88" s="2"/>
      <c r="N88" s="2"/>
      <c r="O88" s="2"/>
      <c r="P88" s="2"/>
      <c r="Q88" s="2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</row>
    <row r="89" spans="1:37" x14ac:dyDescent="0.2">
      <c r="A89" s="2"/>
      <c r="B89" s="789" t="str">
        <f>'Блок ввода'!AI6</f>
        <v>ПОДРАЗДЕЛЕНИЕ № 3</v>
      </c>
      <c r="C89" s="790" t="s">
        <v>546</v>
      </c>
      <c r="D89" s="224"/>
      <c r="E89" s="224"/>
      <c r="F89" s="224"/>
      <c r="G89" s="80"/>
      <c r="H89" s="80"/>
      <c r="I89" s="80"/>
      <c r="J89" s="80"/>
      <c r="K89" s="80"/>
      <c r="L89" s="2"/>
      <c r="M89" s="2"/>
      <c r="N89" s="2"/>
      <c r="O89" s="2"/>
      <c r="P89" s="2"/>
      <c r="Q89" s="2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</row>
    <row r="90" spans="1:37" x14ac:dyDescent="0.2">
      <c r="A90" s="2"/>
      <c r="B90" s="789" t="str">
        <f>'Блок ввода'!AI7</f>
        <v>ПОДРАЗДЕЛЕНИЕ № 4</v>
      </c>
      <c r="C90" s="790" t="s">
        <v>546</v>
      </c>
      <c r="D90" s="224"/>
      <c r="E90" s="224"/>
      <c r="F90" s="224"/>
      <c r="G90" s="80"/>
      <c r="H90" s="80"/>
      <c r="I90" s="80"/>
      <c r="J90" s="80"/>
      <c r="K90" s="80"/>
      <c r="L90" s="2"/>
      <c r="M90" s="2"/>
      <c r="N90" s="2"/>
      <c r="O90" s="2"/>
      <c r="P90" s="2"/>
      <c r="Q90" s="2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</row>
    <row r="91" spans="1:37" x14ac:dyDescent="0.2">
      <c r="A91" s="2"/>
      <c r="B91" s="789" t="str">
        <f>'Блок ввода'!AI8</f>
        <v>ПОДРАЗДЕЛЕНИЕ № 5</v>
      </c>
      <c r="C91" s="790" t="s">
        <v>546</v>
      </c>
      <c r="D91" s="224"/>
      <c r="E91" s="224"/>
      <c r="F91" s="224"/>
      <c r="G91" s="80"/>
      <c r="H91" s="80"/>
      <c r="I91" s="80"/>
      <c r="J91" s="80"/>
      <c r="K91" s="80"/>
      <c r="L91" s="2"/>
      <c r="M91" s="2"/>
      <c r="N91" s="2"/>
      <c r="O91" s="2"/>
      <c r="P91" s="2"/>
      <c r="Q91" s="2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</row>
    <row r="92" spans="1:37" x14ac:dyDescent="0.2">
      <c r="A92" s="2"/>
      <c r="B92" s="789" t="str">
        <f>'Блок ввода'!AI9</f>
        <v>ПОДРАЗДЕЛЕНИЕ № 6</v>
      </c>
      <c r="C92" s="790" t="s">
        <v>546</v>
      </c>
      <c r="D92" s="224"/>
      <c r="E92" s="224"/>
      <c r="F92" s="224"/>
      <c r="G92" s="80"/>
      <c r="H92" s="80"/>
      <c r="I92" s="80"/>
      <c r="J92" s="80"/>
      <c r="K92" s="80"/>
      <c r="L92" s="2"/>
      <c r="M92" s="2"/>
      <c r="N92" s="2"/>
      <c r="O92" s="2"/>
      <c r="P92" s="2"/>
      <c r="Q92" s="2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</row>
    <row r="93" spans="1:37" x14ac:dyDescent="0.2">
      <c r="A93" s="2"/>
      <c r="B93" s="789" t="str">
        <f>'Блок ввода'!AI10</f>
        <v>ПОДРАЗДЕЛЕНИЕ № 7</v>
      </c>
      <c r="C93" s="790" t="s">
        <v>546</v>
      </c>
      <c r="D93" s="224"/>
      <c r="E93" s="224"/>
      <c r="F93" s="224"/>
      <c r="G93" s="80"/>
      <c r="H93" s="80"/>
      <c r="I93" s="80"/>
      <c r="J93" s="80"/>
      <c r="K93" s="80"/>
      <c r="L93" s="2"/>
      <c r="M93" s="2"/>
      <c r="N93" s="2"/>
      <c r="O93" s="2"/>
      <c r="P93" s="2"/>
      <c r="Q93" s="2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</row>
    <row r="94" spans="1:37" x14ac:dyDescent="0.2">
      <c r="A94" s="2"/>
      <c r="B94" s="789" t="str">
        <f>'Блок ввода'!AI11</f>
        <v>ПОДРАЗДЕЛЕНИЕ № 8</v>
      </c>
      <c r="C94" s="790" t="s">
        <v>546</v>
      </c>
      <c r="D94" s="224"/>
      <c r="E94" s="224"/>
      <c r="F94" s="224"/>
      <c r="G94" s="80"/>
      <c r="H94" s="80"/>
      <c r="I94" s="80"/>
      <c r="J94" s="80"/>
      <c r="K94" s="80"/>
      <c r="L94" s="2"/>
      <c r="M94" s="2"/>
      <c r="N94" s="2"/>
      <c r="O94" s="2"/>
      <c r="P94" s="2"/>
      <c r="Q94" s="2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</row>
    <row r="95" spans="1:37" x14ac:dyDescent="0.2">
      <c r="A95" s="2"/>
      <c r="B95" s="789" t="str">
        <f>'Блок ввода'!AI12</f>
        <v>ПОДРАЗДЕЛЕНИЕ № 9</v>
      </c>
      <c r="C95" s="790" t="s">
        <v>546</v>
      </c>
      <c r="D95" s="5"/>
      <c r="E95" s="5"/>
      <c r="F95" s="5"/>
      <c r="G95" s="80"/>
      <c r="H95" s="80"/>
      <c r="I95" s="80"/>
      <c r="J95" s="80"/>
      <c r="K95" s="80"/>
      <c r="L95" s="2"/>
      <c r="M95" s="2"/>
      <c r="N95" s="2"/>
      <c r="O95" s="2"/>
      <c r="P95" s="2"/>
      <c r="Q95" s="2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</row>
    <row r="96" spans="1:37" x14ac:dyDescent="0.2">
      <c r="A96" s="2"/>
      <c r="B96" s="789" t="str">
        <f>'Блок ввода'!AI13</f>
        <v>ПОДРАЗДЕЛЕНИЕ № 10</v>
      </c>
      <c r="C96" s="790" t="s">
        <v>546</v>
      </c>
      <c r="D96" s="5"/>
      <c r="E96" s="5"/>
      <c r="F96" s="5"/>
      <c r="G96" s="80"/>
      <c r="H96" s="80"/>
      <c r="I96" s="80"/>
      <c r="J96" s="80"/>
      <c r="K96" s="80"/>
      <c r="L96" s="2"/>
      <c r="M96" s="2"/>
      <c r="N96" s="2"/>
      <c r="O96" s="2"/>
      <c r="P96" s="2"/>
      <c r="Q96" s="2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</row>
    <row r="97" spans="1:37" x14ac:dyDescent="0.2">
      <c r="A97" s="2"/>
      <c r="B97" s="132" t="s">
        <v>358</v>
      </c>
      <c r="C97" s="790" t="s">
        <v>546</v>
      </c>
      <c r="D97" s="209">
        <f>SUM(D87:D96)</f>
        <v>0</v>
      </c>
      <c r="E97" s="209">
        <f>SUM(E87:E96)</f>
        <v>0</v>
      </c>
      <c r="F97" s="209">
        <f>SUM(F87:F96)</f>
        <v>0</v>
      </c>
      <c r="G97" s="80"/>
      <c r="H97" s="80"/>
      <c r="I97" s="80"/>
      <c r="J97" s="80"/>
      <c r="K97" s="80"/>
      <c r="L97" s="2"/>
      <c r="M97" s="2"/>
      <c r="N97" s="2"/>
      <c r="O97" s="2"/>
      <c r="P97" s="2"/>
      <c r="Q97" s="2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</row>
    <row r="98" spans="1:37" ht="13.5" thickBot="1" x14ac:dyDescent="0.25">
      <c r="A98" s="2"/>
      <c r="B98" s="1554" t="s">
        <v>236</v>
      </c>
      <c r="C98" s="1554"/>
      <c r="D98" s="1554"/>
      <c r="E98" s="1554"/>
      <c r="F98" s="1554"/>
      <c r="G98" s="1554"/>
      <c r="H98" s="1554"/>
      <c r="I98" s="1554"/>
      <c r="J98" s="1554"/>
      <c r="K98" s="1554"/>
      <c r="L98" s="2"/>
      <c r="M98" s="2"/>
      <c r="N98" s="2"/>
      <c r="O98" s="2"/>
      <c r="P98" s="2"/>
      <c r="Q98" s="2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</row>
    <row r="99" spans="1:37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</row>
    <row r="100" spans="1:37" x14ac:dyDescent="0.2">
      <c r="A100" s="2"/>
      <c r="B100" s="210" t="s">
        <v>235</v>
      </c>
      <c r="C100" s="210"/>
      <c r="D100" s="210"/>
      <c r="E100" s="1555">
        <f>C4</f>
        <v>40092</v>
      </c>
      <c r="F100" s="1555"/>
      <c r="G100" s="1555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</row>
    <row r="101" spans="1:37" ht="13.5" thickBo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80"/>
      <c r="S101" s="80"/>
      <c r="T101" s="80"/>
      <c r="U101" s="302">
        <v>2</v>
      </c>
      <c r="V101" s="479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</row>
    <row r="102" spans="1:37" ht="16.5" thickBot="1" x14ac:dyDescent="0.3">
      <c r="A102" s="2"/>
      <c r="B102" s="211" t="s">
        <v>162</v>
      </c>
      <c r="C102" s="212" t="s">
        <v>163</v>
      </c>
      <c r="D102" s="213"/>
      <c r="E102" s="214"/>
      <c r="F102" s="215"/>
      <c r="G102" s="216">
        <f>J102/('Блок ввода'!$H$22/1000)</f>
        <v>0</v>
      </c>
      <c r="H102" s="215" t="s">
        <v>545</v>
      </c>
      <c r="I102" s="217"/>
      <c r="J102" s="218">
        <f>IF(U101=1,U102,K9)</f>
        <v>0</v>
      </c>
      <c r="K102" s="219" t="s">
        <v>163</v>
      </c>
      <c r="L102" s="2"/>
      <c r="M102" s="2"/>
      <c r="N102" s="2"/>
      <c r="O102" s="2"/>
      <c r="P102" s="2"/>
      <c r="Q102" s="2"/>
      <c r="R102" s="80"/>
      <c r="S102" s="80"/>
      <c r="T102" s="80"/>
      <c r="U102" s="302">
        <f>0</f>
        <v>0</v>
      </c>
      <c r="V102" s="479">
        <v>0</v>
      </c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</row>
    <row r="103" spans="1:37" ht="16.5" thickBot="1" x14ac:dyDescent="0.3">
      <c r="A103" s="2"/>
      <c r="B103" s="220" t="str">
        <f>IF('Блок ввода'!H120=TRUE,"ХЛЕБ ИЗ ПШЕНИЧНОЙ МУКИ В\С","ХЛЕБ ПШЕНИЧНЫЙ ИЗ МУКИ 1 С.")</f>
        <v>ХЛЕБ ПШЕНИЧНЫЙ ИЗ МУКИ 1 С.</v>
      </c>
      <c r="C103" s="212" t="s">
        <v>163</v>
      </c>
      <c r="D103" s="221"/>
      <c r="E103" s="214"/>
      <c r="F103" s="215"/>
      <c r="G103" s="216">
        <f>J103/('Блок ввода'!$H$23/1000)</f>
        <v>0</v>
      </c>
      <c r="H103" s="215" t="s">
        <v>545</v>
      </c>
      <c r="I103" s="217"/>
      <c r="J103" s="218">
        <f>IF(U101=1,U103,K10)</f>
        <v>0</v>
      </c>
      <c r="K103" s="219" t="s">
        <v>163</v>
      </c>
      <c r="L103" s="2"/>
      <c r="M103" s="2"/>
      <c r="N103" s="2"/>
      <c r="O103" s="2"/>
      <c r="P103" s="2"/>
      <c r="Q103" s="2"/>
      <c r="R103" s="80"/>
      <c r="S103" s="80"/>
      <c r="T103" s="80"/>
      <c r="U103" s="302">
        <f>0</f>
        <v>0</v>
      </c>
      <c r="V103" s="302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</row>
    <row r="104" spans="1:37" ht="15" x14ac:dyDescent="0.2">
      <c r="A104" s="2"/>
      <c r="B104" s="222" t="s">
        <v>237</v>
      </c>
      <c r="C104" s="80"/>
      <c r="D104" s="80"/>
      <c r="E104" s="223"/>
      <c r="F104" s="223"/>
      <c r="G104" s="1553" t="str">
        <f>J75</f>
        <v>С.ФЕДОРОВА</v>
      </c>
      <c r="H104" s="1553"/>
      <c r="I104" s="1553"/>
      <c r="J104" s="80"/>
      <c r="K104" s="80"/>
      <c r="L104" s="2"/>
      <c r="M104" s="2"/>
      <c r="N104" s="2"/>
      <c r="O104" s="2"/>
      <c r="P104" s="2"/>
      <c r="Q104" s="2"/>
      <c r="R104" s="80"/>
      <c r="S104" s="80"/>
      <c r="T104" s="80"/>
      <c r="U104" s="302"/>
      <c r="V104" s="302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</row>
    <row r="105" spans="1:37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</row>
    <row r="106" spans="1:37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</row>
    <row r="107" spans="1:37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</row>
    <row r="108" spans="1:37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</row>
    <row r="109" spans="1:37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</row>
    <row r="110" spans="1:37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</row>
    <row r="111" spans="1:37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</row>
    <row r="112" spans="1:37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</row>
    <row r="113" spans="1:37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</row>
    <row r="114" spans="1:37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</row>
    <row r="115" spans="1:37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</row>
    <row r="116" spans="1:37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</row>
    <row r="117" spans="1:37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</row>
    <row r="118" spans="1:37" x14ac:dyDescent="0.2">
      <c r="A118" s="2"/>
      <c r="B118" s="80"/>
      <c r="C118" s="80"/>
      <c r="D118" s="80"/>
      <c r="E118" s="80"/>
      <c r="F118" s="80"/>
      <c r="G118" s="80"/>
      <c r="H118" s="80"/>
      <c r="I118" s="80"/>
      <c r="J118" s="80"/>
      <c r="K118" s="80"/>
      <c r="L118" s="2"/>
      <c r="M118" s="2"/>
      <c r="N118" s="2"/>
      <c r="O118" s="2"/>
      <c r="P118" s="2"/>
      <c r="Q118" s="2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</row>
    <row r="119" spans="1:37" x14ac:dyDescent="0.2">
      <c r="A119" s="2"/>
      <c r="B119" s="80"/>
      <c r="C119" s="80"/>
      <c r="D119" s="80"/>
      <c r="E119" s="80"/>
      <c r="F119" s="80"/>
      <c r="G119" s="80"/>
      <c r="H119" s="80"/>
      <c r="I119" s="80"/>
      <c r="J119" s="80"/>
      <c r="K119" s="80"/>
      <c r="L119" s="2"/>
      <c r="M119" s="2"/>
      <c r="N119" s="2"/>
      <c r="O119" s="2"/>
      <c r="P119" s="2"/>
      <c r="Q119" s="2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</row>
    <row r="120" spans="1:37" x14ac:dyDescent="0.2">
      <c r="A120" s="2"/>
      <c r="B120" s="80"/>
      <c r="C120" s="80"/>
      <c r="D120" s="80"/>
      <c r="E120" s="80"/>
      <c r="F120" s="80"/>
      <c r="G120" s="80"/>
      <c r="H120" s="80"/>
      <c r="I120" s="80"/>
      <c r="J120" s="80"/>
      <c r="K120" s="80"/>
      <c r="L120" s="2"/>
      <c r="M120" s="2"/>
      <c r="N120" s="2"/>
      <c r="O120" s="2"/>
      <c r="P120" s="2"/>
      <c r="Q120" s="2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</row>
    <row r="121" spans="1:37" x14ac:dyDescent="0.2">
      <c r="A121" s="2"/>
      <c r="B121" s="80"/>
      <c r="C121" s="80"/>
      <c r="D121" s="80"/>
      <c r="E121" s="80"/>
      <c r="F121" s="80"/>
      <c r="G121" s="80"/>
      <c r="H121" s="80"/>
      <c r="I121" s="80"/>
      <c r="J121" s="80"/>
      <c r="K121" s="80"/>
      <c r="L121" s="2"/>
      <c r="M121" s="2"/>
      <c r="N121" s="2"/>
      <c r="O121" s="2"/>
      <c r="P121" s="2"/>
      <c r="Q121" s="2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</row>
    <row r="122" spans="1:37" x14ac:dyDescent="0.2">
      <c r="A122" s="2"/>
      <c r="B122" s="80"/>
      <c r="C122" s="80"/>
      <c r="D122" s="80"/>
      <c r="E122" s="80"/>
      <c r="F122" s="80"/>
      <c r="G122" s="80"/>
      <c r="H122" s="80"/>
      <c r="I122" s="80"/>
      <c r="J122" s="80"/>
      <c r="K122" s="80"/>
      <c r="L122" s="2"/>
      <c r="M122" s="2"/>
      <c r="N122" s="2"/>
      <c r="O122" s="2"/>
      <c r="P122" s="2"/>
      <c r="Q122" s="2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</row>
    <row r="123" spans="1:37" x14ac:dyDescent="0.2">
      <c r="A123" s="2"/>
      <c r="B123" s="80"/>
      <c r="C123" s="80"/>
      <c r="D123" s="80"/>
      <c r="E123" s="80"/>
      <c r="F123" s="80"/>
      <c r="G123" s="80"/>
      <c r="H123" s="80"/>
      <c r="I123" s="80"/>
      <c r="J123" s="80"/>
      <c r="K123" s="80"/>
      <c r="L123" s="2"/>
      <c r="M123" s="2"/>
      <c r="N123" s="2"/>
      <c r="O123" s="2"/>
      <c r="P123" s="2"/>
      <c r="Q123" s="2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</row>
    <row r="124" spans="1:37" x14ac:dyDescent="0.2">
      <c r="A124" s="2"/>
      <c r="B124" s="80"/>
      <c r="C124" s="80"/>
      <c r="D124" s="80"/>
      <c r="E124" s="80"/>
      <c r="F124" s="80"/>
      <c r="G124" s="80"/>
      <c r="H124" s="80"/>
      <c r="I124" s="80"/>
      <c r="J124" s="80"/>
      <c r="K124" s="80"/>
      <c r="L124" s="2"/>
      <c r="M124" s="2"/>
      <c r="N124" s="2"/>
      <c r="O124" s="2"/>
      <c r="P124" s="2"/>
      <c r="Q124" s="2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</row>
    <row r="125" spans="1:37" x14ac:dyDescent="0.2">
      <c r="A125" s="2"/>
      <c r="B125" s="80"/>
      <c r="C125" s="80"/>
      <c r="D125" s="80"/>
      <c r="E125" s="80"/>
      <c r="F125" s="80"/>
      <c r="G125" s="80"/>
      <c r="H125" s="80"/>
      <c r="I125" s="80"/>
      <c r="J125" s="80"/>
      <c r="K125" s="80"/>
      <c r="L125" s="2"/>
      <c r="M125" s="2"/>
      <c r="N125" s="2"/>
      <c r="O125" s="2"/>
      <c r="P125" s="2"/>
      <c r="Q125" s="2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</row>
    <row r="126" spans="1:37" x14ac:dyDescent="0.2">
      <c r="A126" s="2"/>
      <c r="B126" s="80"/>
      <c r="C126" s="80"/>
      <c r="D126" s="80"/>
      <c r="E126" s="80"/>
      <c r="F126" s="80"/>
      <c r="G126" s="80"/>
      <c r="H126" s="80"/>
      <c r="I126" s="80"/>
      <c r="J126" s="80"/>
      <c r="K126" s="80"/>
      <c r="L126" s="2"/>
      <c r="M126" s="2"/>
      <c r="N126" s="2"/>
      <c r="O126" s="2"/>
      <c r="P126" s="2"/>
      <c r="Q126" s="2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</row>
    <row r="127" spans="1:37" x14ac:dyDescent="0.2">
      <c r="A127" s="2"/>
      <c r="B127" s="80"/>
      <c r="C127" s="80"/>
      <c r="D127" s="80"/>
      <c r="E127" s="80"/>
      <c r="F127" s="80"/>
      <c r="G127" s="80"/>
      <c r="H127" s="80"/>
      <c r="I127" s="80"/>
      <c r="J127" s="80"/>
      <c r="K127" s="80"/>
      <c r="L127" s="2"/>
      <c r="M127" s="2"/>
      <c r="N127" s="2"/>
      <c r="O127" s="2"/>
      <c r="P127" s="2"/>
      <c r="Q127" s="2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</row>
    <row r="128" spans="1:37" x14ac:dyDescent="0.2">
      <c r="A128" s="2"/>
      <c r="B128" s="80"/>
      <c r="C128" s="80"/>
      <c r="D128" s="80"/>
      <c r="E128" s="80"/>
      <c r="F128" s="80"/>
      <c r="G128" s="80"/>
      <c r="H128" s="80"/>
      <c r="I128" s="80"/>
      <c r="J128" s="80"/>
      <c r="K128" s="80"/>
      <c r="L128" s="2"/>
      <c r="M128" s="2"/>
      <c r="N128" s="2"/>
      <c r="O128" s="2"/>
      <c r="P128" s="2"/>
      <c r="Q128" s="2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</row>
  </sheetData>
  <sheetProtection password="C4B7" sheet="1" objects="1" scenarios="1" selectLockedCells="1"/>
  <customSheetViews>
    <customSheetView guid="{4DE99834-7080-40E5-9A2F-2BF27F7EDEBF}" scale="65" showPageBreaks="1" showGridLines="0" zeroValues="0" printArea="1" view="pageBreakPreview" showRuler="0" topLeftCell="A10">
      <selection activeCell="J26" sqref="J26"/>
      <rowBreaks count="2" manualBreakCount="2">
        <brk id="41" min="1" max="9" man="1"/>
        <brk id="88" min="1" max="9" man="1"/>
      </rowBreaks>
      <pageMargins left="0.78740157480314965" right="0.19685039370078741" top="0.98425196850393704" bottom="0.98425196850393704" header="0.51181102362204722" footer="0.51181102362204722"/>
      <printOptions horizontalCentered="1" verticalCentered="1"/>
      <pageSetup paperSize="9" scale="87" orientation="portrait" horizontalDpi="120" verticalDpi="72" r:id="rId1"/>
      <headerFooter alignWithMargins="0"/>
    </customSheetView>
  </customSheetViews>
  <mergeCells count="35">
    <mergeCell ref="E66:J66"/>
    <mergeCell ref="B2:K2"/>
    <mergeCell ref="B3:K3"/>
    <mergeCell ref="B7:B8"/>
    <mergeCell ref="C7:C8"/>
    <mergeCell ref="E7:G7"/>
    <mergeCell ref="H7:J7"/>
    <mergeCell ref="C6:K6"/>
    <mergeCell ref="B5:K5"/>
    <mergeCell ref="D7:D8"/>
    <mergeCell ref="B73:K73"/>
    <mergeCell ref="B74:D74"/>
    <mergeCell ref="G104:I104"/>
    <mergeCell ref="I81:I82"/>
    <mergeCell ref="J81:J82"/>
    <mergeCell ref="H83:H84"/>
    <mergeCell ref="I83:I84"/>
    <mergeCell ref="B77:G78"/>
    <mergeCell ref="B98:K98"/>
    <mergeCell ref="E100:G100"/>
    <mergeCell ref="J87:K87"/>
    <mergeCell ref="K81:K82"/>
    <mergeCell ref="J72:K72"/>
    <mergeCell ref="E72:I72"/>
    <mergeCell ref="H77:K77"/>
    <mergeCell ref="C4:H4"/>
    <mergeCell ref="K83:K84"/>
    <mergeCell ref="H79:H80"/>
    <mergeCell ref="I79:I80"/>
    <mergeCell ref="J79:J80"/>
    <mergeCell ref="H81:H82"/>
    <mergeCell ref="K79:K80"/>
    <mergeCell ref="B76:K76"/>
    <mergeCell ref="J83:J84"/>
    <mergeCell ref="E67:J67"/>
  </mergeCells>
  <phoneticPr fontId="38" type="noConversion"/>
  <conditionalFormatting sqref="B98:K104">
    <cfRule type="expression" dxfId="30" priority="1" stopIfTrue="1">
      <formula>$Q$17=FALSE</formula>
    </cfRule>
  </conditionalFormatting>
  <conditionalFormatting sqref="M23">
    <cfRule type="cellIs" dxfId="29" priority="2" stopIfTrue="1" operator="notEqual">
      <formula>$U$6</formula>
    </cfRule>
  </conditionalFormatting>
  <conditionalFormatting sqref="B7:K71">
    <cfRule type="expression" dxfId="28" priority="3" stopIfTrue="1">
      <formula>$Y$1=0</formula>
    </cfRule>
  </conditionalFormatting>
  <conditionalFormatting sqref="M2">
    <cfRule type="cellIs" dxfId="27" priority="4" stopIfTrue="1" operator="equal">
      <formula>0</formula>
    </cfRule>
  </conditionalFormatting>
  <conditionalFormatting sqref="M4">
    <cfRule type="cellIs" dxfId="26" priority="5" stopIfTrue="1" operator="equal">
      <formula>0</formula>
    </cfRule>
  </conditionalFormatting>
  <dataValidations xWindow="1185" yWindow="158" count="1">
    <dataValidation type="decimal" allowBlank="1" showInputMessage="1" showErrorMessage="1" promptTitle="ВНИМАНИЕ" prompt="Введите количество личного состава по общевойсковому пайку!" sqref="M2">
      <formula1>0</formula1>
      <formula2>5000</formula2>
    </dataValidation>
  </dataValidations>
  <hyperlinks>
    <hyperlink ref="A2" location="'Раскладка продуктов'!B38" tooltip="Переход в раскладку продуктов" display="ВТОРНИК"/>
  </hyperlinks>
  <pageMargins left="0.59055118110236227" right="0.19685039370078741" top="0.59055118110236227" bottom="0.59055118110236227" header="0.51181102362204722" footer="0.51181102362204722"/>
  <pageSetup paperSize="9" scale="71" orientation="portrait" horizontalDpi="120" verticalDpi="72" r:id="rId2"/>
  <headerFooter alignWithMargins="0"/>
  <rowBreaks count="1" manualBreakCount="1">
    <brk id="58" min="1" max="10" man="1"/>
  </rowBreaks>
  <drawing r:id="rId3"/>
  <legacyDrawing r:id="rId4"/>
  <controls>
    <mc:AlternateContent xmlns:mc="http://schemas.openxmlformats.org/markup-compatibility/2006">
      <mc:Choice Requires="x14">
        <control shapeId="14394" r:id="rId5" name="CommandButton1">
          <controlPr locked="0" defaultSize="0" autoLine="0" r:id="rId6">
            <anchor moveWithCells="1">
              <from>
                <xdr:col>11</xdr:col>
                <xdr:colOff>323850</xdr:colOff>
                <xdr:row>3</xdr:row>
                <xdr:rowOff>19050</xdr:rowOff>
              </from>
              <to>
                <xdr:col>13</xdr:col>
                <xdr:colOff>523875</xdr:colOff>
                <xdr:row>4</xdr:row>
                <xdr:rowOff>95250</xdr:rowOff>
              </to>
            </anchor>
          </controlPr>
        </control>
      </mc:Choice>
      <mc:Fallback>
        <control shapeId="14394" r:id="rId5" name="CommandButton1"/>
      </mc:Fallback>
    </mc:AlternateContent>
    <mc:AlternateContent xmlns:mc="http://schemas.openxmlformats.org/markup-compatibility/2006">
      <mc:Choice Requires="x14">
        <control shapeId="14340" r:id="rId7" name="Spinner 4">
          <controlPr defaultSize="0" autoPict="0">
            <anchor moveWithCells="1" sizeWithCells="1">
              <from>
                <xdr:col>13</xdr:col>
                <xdr:colOff>28575</xdr:colOff>
                <xdr:row>0</xdr:row>
                <xdr:rowOff>104775</xdr:rowOff>
              </from>
              <to>
                <xdr:col>13</xdr:col>
                <xdr:colOff>466725</xdr:colOff>
                <xdr:row>2</xdr:row>
                <xdr:rowOff>104775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Ср">
    <tabColor indexed="55"/>
  </sheetPr>
  <dimension ref="A1:AB117"/>
  <sheetViews>
    <sheetView showGridLines="0" showZeros="0" view="pageBreakPreview" zoomScale="65" zoomScaleNormal="75" zoomScaleSheetLayoutView="75" workbookViewId="0">
      <selection activeCell="M2" sqref="M2"/>
    </sheetView>
  </sheetViews>
  <sheetFormatPr defaultRowHeight="12.75" x14ac:dyDescent="0.2"/>
  <cols>
    <col min="1" max="1" width="5.7109375" style="4" customWidth="1"/>
    <col min="2" max="2" width="51.42578125" customWidth="1"/>
    <col min="3" max="3" width="4.7109375" customWidth="1"/>
    <col min="4" max="4" width="9.5703125" customWidth="1"/>
    <col min="5" max="7" width="9.5703125" hidden="1" customWidth="1"/>
    <col min="8" max="11" width="17.5703125" customWidth="1"/>
    <col min="12" max="12" width="9.140625" style="4"/>
    <col min="13" max="13" width="8.7109375" style="4" customWidth="1"/>
    <col min="14" max="14" width="9.140625" style="4"/>
    <col min="15" max="16" width="10.7109375" style="4" customWidth="1"/>
    <col min="17" max="17" width="10.7109375" style="4" hidden="1" customWidth="1"/>
    <col min="18" max="26" width="10.7109375" hidden="1" customWidth="1"/>
    <col min="27" max="27" width="10.7109375" customWidth="1"/>
  </cols>
  <sheetData>
    <row r="1" spans="1:28" ht="13.9" customHeight="1" thickBot="1" x14ac:dyDescent="0.25">
      <c r="B1" s="80"/>
      <c r="C1" s="80"/>
      <c r="D1" s="80"/>
      <c r="E1" s="80"/>
      <c r="F1" s="80"/>
      <c r="G1" s="80"/>
      <c r="H1" s="80"/>
      <c r="I1" s="80"/>
      <c r="J1" s="80"/>
      <c r="K1" s="244" t="s">
        <v>160</v>
      </c>
      <c r="L1" s="2"/>
      <c r="M1" s="2"/>
      <c r="N1" s="2"/>
      <c r="O1" s="2"/>
      <c r="P1" s="2"/>
      <c r="Q1" s="2"/>
      <c r="R1" s="80"/>
      <c r="S1" s="80"/>
      <c r="T1" s="80"/>
      <c r="U1" s="80"/>
      <c r="V1">
        <v>1</v>
      </c>
      <c r="W1" s="80">
        <v>3</v>
      </c>
      <c r="X1" s="302">
        <v>4</v>
      </c>
      <c r="Y1" s="2">
        <f>'Блок ввода'!G4</f>
        <v>0</v>
      </c>
      <c r="Z1" s="80"/>
      <c r="AA1" s="80"/>
      <c r="AB1" s="80"/>
    </row>
    <row r="2" spans="1:28" ht="21" customHeight="1" thickTop="1" thickBot="1" x14ac:dyDescent="0.25">
      <c r="A2" s="485" t="s">
        <v>526</v>
      </c>
      <c r="B2" s="1601" t="s">
        <v>511</v>
      </c>
      <c r="C2" s="1601"/>
      <c r="D2" s="1601"/>
      <c r="E2" s="1601"/>
      <c r="F2" s="1601"/>
      <c r="G2" s="1601"/>
      <c r="H2" s="1601"/>
      <c r="I2" s="1601"/>
      <c r="J2" s="1601"/>
      <c r="K2" s="1601"/>
      <c r="L2" s="2"/>
      <c r="M2" s="139">
        <v>0</v>
      </c>
      <c r="N2" s="2"/>
      <c r="O2" s="2"/>
      <c r="P2" s="2"/>
      <c r="Q2" s="2"/>
      <c r="R2" s="80"/>
      <c r="S2" s="80"/>
      <c r="T2" s="80"/>
      <c r="U2" s="80"/>
      <c r="V2" s="80"/>
      <c r="W2" s="80"/>
      <c r="X2" s="302">
        <v>0</v>
      </c>
      <c r="Y2" s="80"/>
      <c r="Z2" s="80"/>
      <c r="AA2" s="80"/>
      <c r="AB2" s="80"/>
    </row>
    <row r="3" spans="1:28" ht="18.95" customHeight="1" thickTop="1" x14ac:dyDescent="0.25">
      <c r="B3" s="1602" t="str">
        <f>CONCATENATE(" на выдачу продовольствия в столовую ",'Блок ввода'!G8," ",'Блок ввода'!I2)</f>
        <v xml:space="preserve"> на выдачу продовольствия в столовую войсковой части 00000</v>
      </c>
      <c r="C3" s="1602"/>
      <c r="D3" s="1602"/>
      <c r="E3" s="1602"/>
      <c r="F3" s="1602"/>
      <c r="G3" s="1602"/>
      <c r="H3" s="1602"/>
      <c r="I3" s="1602"/>
      <c r="J3" s="1602"/>
      <c r="K3" s="1602"/>
      <c r="L3" s="2"/>
      <c r="M3" s="137"/>
      <c r="N3" s="2"/>
      <c r="O3" s="2"/>
      <c r="P3" s="2"/>
      <c r="Q3" s="2"/>
      <c r="R3" s="80"/>
      <c r="S3" s="80"/>
      <c r="T3" s="80"/>
      <c r="U3" s="80"/>
      <c r="V3" s="80"/>
      <c r="W3" s="80"/>
      <c r="X3" s="302">
        <v>0</v>
      </c>
      <c r="Y3" s="80"/>
      <c r="Z3" s="80"/>
      <c r="AA3" s="80"/>
      <c r="AB3" s="80"/>
    </row>
    <row r="4" spans="1:28" ht="21" customHeight="1" x14ac:dyDescent="0.25">
      <c r="A4" s="2"/>
      <c r="B4" s="245" t="s">
        <v>214</v>
      </c>
      <c r="C4" s="1599">
        <f>'Блок ввода'!I4+2</f>
        <v>40093</v>
      </c>
      <c r="D4" s="1599"/>
      <c r="E4" s="1599"/>
      <c r="F4" s="1599"/>
      <c r="G4" s="1599"/>
      <c r="H4" s="1599"/>
      <c r="I4" s="1219"/>
      <c r="J4" s="1219"/>
      <c r="K4" s="1219"/>
      <c r="L4" s="2"/>
      <c r="M4" s="1232">
        <v>0</v>
      </c>
      <c r="N4" s="2"/>
      <c r="O4" s="2"/>
      <c r="P4" s="2"/>
      <c r="Q4" s="2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</row>
    <row r="5" spans="1:28" ht="17.100000000000001" customHeight="1" x14ac:dyDescent="0.25">
      <c r="A5" s="144"/>
      <c r="B5" s="1582" t="s">
        <v>375</v>
      </c>
      <c r="C5" s="1582"/>
      <c r="D5" s="1582"/>
      <c r="E5" s="1582"/>
      <c r="F5" s="1582"/>
      <c r="G5" s="1582"/>
      <c r="H5" s="1582"/>
      <c r="I5" s="1582"/>
      <c r="J5" s="1582"/>
      <c r="K5" s="1583"/>
      <c r="L5" s="137"/>
      <c r="M5" s="2"/>
      <c r="N5" s="2"/>
      <c r="O5" s="2"/>
      <c r="P5" s="2"/>
      <c r="Q5" s="2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</row>
    <row r="6" spans="1:28" ht="19.899999999999999" customHeight="1" thickBot="1" x14ac:dyDescent="0.3">
      <c r="A6" s="144"/>
      <c r="B6" s="245" t="s">
        <v>234</v>
      </c>
      <c r="C6" s="1611" t="s">
        <v>449</v>
      </c>
      <c r="D6" s="1611"/>
      <c r="E6" s="1612"/>
      <c r="F6" s="1612"/>
      <c r="G6" s="1612"/>
      <c r="H6" s="1612"/>
      <c r="I6" s="1612"/>
      <c r="J6" s="1612"/>
      <c r="K6" s="1612"/>
      <c r="L6" s="2"/>
      <c r="M6" s="246"/>
      <c r="N6" s="2"/>
      <c r="O6" s="2"/>
      <c r="P6" s="2"/>
      <c r="Q6" s="2"/>
      <c r="R6" s="80"/>
      <c r="S6" s="80"/>
      <c r="T6" s="80"/>
      <c r="U6" s="142" t="b">
        <f>IF(OR('Раскладка продуктов'!A63=1750,'Раскладка продуктов'!A63=1745),0,FALSE)</f>
        <v>0</v>
      </c>
      <c r="V6" s="80"/>
      <c r="W6" s="80"/>
      <c r="X6" s="80"/>
      <c r="Y6" s="80"/>
      <c r="Z6" s="80"/>
      <c r="AA6" s="80"/>
      <c r="AB6" s="80"/>
    </row>
    <row r="7" spans="1:28" ht="13.5" customHeight="1" thickBot="1" x14ac:dyDescent="0.25">
      <c r="A7" s="2"/>
      <c r="B7" s="1574" t="s">
        <v>219</v>
      </c>
      <c r="C7" s="1614" t="s">
        <v>167</v>
      </c>
      <c r="D7" s="1578" t="s">
        <v>284</v>
      </c>
      <c r="E7" s="1604" t="s">
        <v>261</v>
      </c>
      <c r="F7" s="1605"/>
      <c r="G7" s="1606"/>
      <c r="H7" s="1604" t="s">
        <v>262</v>
      </c>
      <c r="I7" s="1605"/>
      <c r="J7" s="1606"/>
      <c r="K7" s="248"/>
      <c r="L7" s="2"/>
      <c r="M7" s="2"/>
      <c r="N7" s="2"/>
      <c r="O7" s="2"/>
      <c r="P7" s="2"/>
      <c r="Q7" s="2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</row>
    <row r="8" spans="1:28" ht="58.15" customHeight="1" thickBot="1" x14ac:dyDescent="0.25">
      <c r="A8" s="2"/>
      <c r="B8" s="1613"/>
      <c r="C8" s="1615"/>
      <c r="D8" s="1579"/>
      <c r="E8" s="250" t="s">
        <v>123</v>
      </c>
      <c r="F8" s="250" t="s">
        <v>124</v>
      </c>
      <c r="G8" s="250" t="s">
        <v>125</v>
      </c>
      <c r="H8" s="250" t="s">
        <v>123</v>
      </c>
      <c r="I8" s="250" t="s">
        <v>124</v>
      </c>
      <c r="J8" s="250" t="s">
        <v>125</v>
      </c>
      <c r="K8" s="252" t="s">
        <v>161</v>
      </c>
      <c r="L8" s="2"/>
      <c r="M8" s="2"/>
      <c r="N8" s="2"/>
      <c r="O8" s="2"/>
      <c r="P8" s="2"/>
      <c r="Q8" s="2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</row>
    <row r="9" spans="1:28" ht="15" customHeight="1" x14ac:dyDescent="0.25">
      <c r="A9" s="2"/>
      <c r="B9" s="668" t="str">
        <f>Расчёт!B133</f>
        <v>ХЛЕБ ИЗ СМЕСИ МУКИ РЖАНОЙ</v>
      </c>
      <c r="C9" s="1237" t="s">
        <v>163</v>
      </c>
      <c r="D9" s="506">
        <f>Цены!D9</f>
        <v>0</v>
      </c>
      <c r="E9" s="694">
        <v>0</v>
      </c>
      <c r="F9" s="669">
        <v>0</v>
      </c>
      <c r="G9" s="670">
        <v>0</v>
      </c>
      <c r="H9" s="507">
        <f>Расчёт!G133</f>
        <v>0</v>
      </c>
      <c r="I9" s="490">
        <f>Расчёт!H133</f>
        <v>0</v>
      </c>
      <c r="J9" s="491">
        <f>Расчёт!I133</f>
        <v>0</v>
      </c>
      <c r="K9" s="529">
        <f>SUM(E9:J9)-K66</f>
        <v>0</v>
      </c>
      <c r="L9" s="2"/>
      <c r="M9" s="253"/>
      <c r="N9" s="254"/>
      <c r="O9" s="2"/>
      <c r="P9" s="2"/>
      <c r="Q9" s="2"/>
      <c r="R9" s="80"/>
      <c r="S9" s="80"/>
      <c r="T9" s="80"/>
      <c r="U9" s="142"/>
      <c r="V9" s="154">
        <f t="shared" ref="V9:V70" si="0">IF(K9&gt;0,1,0)</f>
        <v>0</v>
      </c>
      <c r="W9" s="80"/>
      <c r="X9" s="80"/>
      <c r="Y9" s="80"/>
      <c r="Z9" s="155">
        <f>D9*K9</f>
        <v>0</v>
      </c>
      <c r="AA9" s="80"/>
      <c r="AB9" s="80"/>
    </row>
    <row r="10" spans="1:28" ht="15" customHeight="1" x14ac:dyDescent="0.25">
      <c r="A10" s="2"/>
      <c r="B10" s="671" t="str">
        <f>Расчёт!B134</f>
        <v>ХЛЕБ ИЗ МУКИ ПШ. 1 С.</v>
      </c>
      <c r="C10" s="1238" t="s">
        <v>163</v>
      </c>
      <c r="D10" s="640">
        <f>Цены!D10</f>
        <v>0</v>
      </c>
      <c r="E10" s="662">
        <v>0</v>
      </c>
      <c r="F10" s="614">
        <v>0</v>
      </c>
      <c r="G10" s="615">
        <v>0</v>
      </c>
      <c r="H10" s="672">
        <f>Расчёт!G134</f>
        <v>0</v>
      </c>
      <c r="I10" s="495">
        <f>Расчёт!H134</f>
        <v>0</v>
      </c>
      <c r="J10" s="496">
        <f>Расчёт!I134</f>
        <v>0</v>
      </c>
      <c r="K10" s="563">
        <f>SUM(E10:J10)-K67</f>
        <v>0</v>
      </c>
      <c r="L10" s="2"/>
      <c r="M10" s="253"/>
      <c r="N10" s="254"/>
      <c r="O10" s="2"/>
      <c r="P10" s="2"/>
      <c r="Q10" s="2"/>
      <c r="R10" s="80"/>
      <c r="S10" s="80"/>
      <c r="T10" s="80"/>
      <c r="U10" s="142"/>
      <c r="V10" s="154">
        <f t="shared" si="0"/>
        <v>0</v>
      </c>
      <c r="W10" s="80"/>
      <c r="X10" s="80"/>
      <c r="Y10" s="80"/>
      <c r="Z10" s="155">
        <f t="shared" ref="Z10:Z71" si="1">D10*K10</f>
        <v>0</v>
      </c>
      <c r="AA10" s="80"/>
      <c r="AB10" s="80"/>
    </row>
    <row r="11" spans="1:28" ht="15" customHeight="1" thickBot="1" x14ac:dyDescent="0.3">
      <c r="A11" s="2"/>
      <c r="B11" s="671" t="str">
        <f>Расчёт!B135</f>
        <v>СУХАРИ (ХЛЕБЦЫ) ИЗ ПШ. МУКИ 1 С.</v>
      </c>
      <c r="C11" s="1239" t="s">
        <v>163</v>
      </c>
      <c r="D11" s="1244">
        <f>Цены!D11</f>
        <v>0</v>
      </c>
      <c r="E11" s="663">
        <v>0</v>
      </c>
      <c r="F11" s="621">
        <v>0</v>
      </c>
      <c r="G11" s="622">
        <v>0</v>
      </c>
      <c r="H11" s="672">
        <f>Расчёт!G135</f>
        <v>0</v>
      </c>
      <c r="I11" s="673">
        <f>Расчёт!H135</f>
        <v>0</v>
      </c>
      <c r="J11" s="496">
        <f>Расчёт!I135</f>
        <v>0</v>
      </c>
      <c r="K11" s="674">
        <f t="shared" ref="K11:K64" si="2">SUM(E11:J11)</f>
        <v>0</v>
      </c>
      <c r="L11" s="2"/>
      <c r="M11" s="253"/>
      <c r="N11" s="254"/>
      <c r="O11" s="2"/>
      <c r="P11" s="2"/>
      <c r="Q11" s="2"/>
      <c r="R11" s="80"/>
      <c r="S11" s="80"/>
      <c r="T11" s="80"/>
      <c r="U11" s="142"/>
      <c r="V11" s="154"/>
      <c r="W11" s="80"/>
      <c r="X11" s="80"/>
      <c r="Y11" s="80"/>
      <c r="Z11" s="155">
        <f t="shared" si="1"/>
        <v>0</v>
      </c>
      <c r="AA11" s="80"/>
      <c r="AB11" s="80"/>
    </row>
    <row r="12" spans="1:28" ht="15" customHeight="1" x14ac:dyDescent="0.2">
      <c r="A12" s="2"/>
      <c r="B12" s="505" t="s">
        <v>130</v>
      </c>
      <c r="C12" s="610" t="s">
        <v>163</v>
      </c>
      <c r="D12" s="506">
        <f>Цены!D12</f>
        <v>0</v>
      </c>
      <c r="E12" s="600">
        <v>0</v>
      </c>
      <c r="F12" s="675">
        <v>0</v>
      </c>
      <c r="G12" s="676">
        <v>0</v>
      </c>
      <c r="H12" s="489">
        <f>Расчёт!G136</f>
        <v>0</v>
      </c>
      <c r="I12" s="490">
        <f>Расчёт!H136</f>
        <v>0</v>
      </c>
      <c r="J12" s="491">
        <f>Расчёт!I136</f>
        <v>0</v>
      </c>
      <c r="K12" s="522">
        <f t="shared" si="2"/>
        <v>0</v>
      </c>
      <c r="L12" s="2"/>
      <c r="M12" s="2"/>
      <c r="N12" s="2"/>
      <c r="O12" s="2"/>
      <c r="P12" s="2"/>
      <c r="Q12" s="2"/>
      <c r="R12" s="80"/>
      <c r="S12" s="80"/>
      <c r="T12" s="80"/>
      <c r="U12" s="80"/>
      <c r="V12" s="154">
        <f t="shared" si="0"/>
        <v>0</v>
      </c>
      <c r="W12" s="80"/>
      <c r="X12" s="80"/>
      <c r="Y12" s="80"/>
      <c r="Z12" s="155">
        <f t="shared" si="1"/>
        <v>0</v>
      </c>
      <c r="AA12" s="80"/>
      <c r="AB12" s="80"/>
    </row>
    <row r="13" spans="1:28" ht="15" customHeight="1" thickBot="1" x14ac:dyDescent="0.25">
      <c r="A13" s="2"/>
      <c r="B13" s="513" t="s">
        <v>131</v>
      </c>
      <c r="C13" s="620" t="s">
        <v>163</v>
      </c>
      <c r="D13" s="1244">
        <f>Цены!D13</f>
        <v>0</v>
      </c>
      <c r="E13" s="702">
        <v>0</v>
      </c>
      <c r="F13" s="677">
        <v>0</v>
      </c>
      <c r="G13" s="678">
        <v>0</v>
      </c>
      <c r="H13" s="515">
        <f>Расчёт!G137</f>
        <v>0</v>
      </c>
      <c r="I13" s="518">
        <f>Расчёт!H137</f>
        <v>0</v>
      </c>
      <c r="J13" s="519">
        <f>Расчёт!I137</f>
        <v>0</v>
      </c>
      <c r="K13" s="520">
        <f t="shared" si="2"/>
        <v>0</v>
      </c>
      <c r="L13" s="2"/>
      <c r="M13" s="255"/>
      <c r="N13" s="2"/>
      <c r="O13" s="2"/>
      <c r="P13" s="2"/>
      <c r="Q13" s="2"/>
      <c r="R13" s="80"/>
      <c r="S13" s="80"/>
      <c r="T13" s="80"/>
      <c r="U13" s="80"/>
      <c r="V13" s="154">
        <f t="shared" si="0"/>
        <v>0</v>
      </c>
      <c r="W13" s="80"/>
      <c r="X13" s="80"/>
      <c r="Y13" s="80"/>
      <c r="Z13" s="155">
        <f t="shared" si="1"/>
        <v>0</v>
      </c>
      <c r="AA13" s="80"/>
      <c r="AB13" s="80"/>
    </row>
    <row r="14" spans="1:28" ht="15" customHeight="1" x14ac:dyDescent="0.2">
      <c r="A14" s="260"/>
      <c r="B14" s="521" t="s">
        <v>132</v>
      </c>
      <c r="C14" s="610" t="s">
        <v>163</v>
      </c>
      <c r="D14" s="506">
        <f>Цены!D14</f>
        <v>0</v>
      </c>
      <c r="E14" s="604">
        <v>0</v>
      </c>
      <c r="F14" s="611">
        <v>0</v>
      </c>
      <c r="G14" s="612">
        <v>0</v>
      </c>
      <c r="H14" s="509">
        <f>Расчёт!G138</f>
        <v>0</v>
      </c>
      <c r="I14" s="510">
        <f>Расчёт!H138</f>
        <v>0</v>
      </c>
      <c r="J14" s="511">
        <f>Расчёт!I138</f>
        <v>0</v>
      </c>
      <c r="K14" s="512">
        <f t="shared" si="2"/>
        <v>0</v>
      </c>
      <c r="L14" s="2"/>
      <c r="M14" s="2"/>
      <c r="N14" s="2"/>
      <c r="O14" s="2"/>
      <c r="P14" s="2"/>
      <c r="Q14" s="2"/>
      <c r="R14" s="80"/>
      <c r="S14" s="80"/>
      <c r="T14" s="2" t="str">
        <f>'Блок ввода'!O15</f>
        <v>Ю.АРТЕМОВ</v>
      </c>
      <c r="U14" s="80"/>
      <c r="V14" s="154">
        <f t="shared" si="0"/>
        <v>0</v>
      </c>
      <c r="W14" s="80"/>
      <c r="X14" s="80"/>
      <c r="Y14" s="80"/>
      <c r="Z14" s="155">
        <f t="shared" si="1"/>
        <v>0</v>
      </c>
      <c r="AA14" s="80"/>
      <c r="AB14" s="80"/>
    </row>
    <row r="15" spans="1:28" ht="15" customHeight="1" x14ac:dyDescent="0.2">
      <c r="A15" s="256"/>
      <c r="B15" s="523" t="str">
        <f>Расчёт!B139</f>
        <v>КРУПА ГРЕЧНЕВАЯ</v>
      </c>
      <c r="C15" s="613" t="s">
        <v>163</v>
      </c>
      <c r="D15" s="640">
        <f>Цены!D15</f>
        <v>0</v>
      </c>
      <c r="E15" s="662">
        <v>0</v>
      </c>
      <c r="F15" s="614">
        <v>0</v>
      </c>
      <c r="G15" s="615">
        <v>0</v>
      </c>
      <c r="H15" s="509">
        <f>Расчёт!G139</f>
        <v>0</v>
      </c>
      <c r="I15" s="510">
        <f>Расчёт!H139</f>
        <v>0</v>
      </c>
      <c r="J15" s="511">
        <f>Расчёт!I139</f>
        <v>0</v>
      </c>
      <c r="K15" s="512">
        <f t="shared" si="2"/>
        <v>0</v>
      </c>
      <c r="L15" s="2"/>
      <c r="M15" s="2"/>
      <c r="N15" s="2"/>
      <c r="O15" s="2"/>
      <c r="P15" s="2"/>
      <c r="Q15" s="2">
        <f>'Раскладка продуктов'!A37</f>
        <v>2075</v>
      </c>
      <c r="R15" s="80"/>
      <c r="S15" s="80"/>
      <c r="T15" s="2" t="str">
        <f>'Блок ввода'!O16</f>
        <v>Е.КАЛУГИН</v>
      </c>
      <c r="U15" s="80"/>
      <c r="V15" s="154">
        <f t="shared" si="0"/>
        <v>0</v>
      </c>
      <c r="W15" s="80"/>
      <c r="X15" s="80"/>
      <c r="Y15" s="80"/>
      <c r="Z15" s="155">
        <f t="shared" si="1"/>
        <v>0</v>
      </c>
      <c r="AA15" s="80"/>
      <c r="AB15" s="80"/>
    </row>
    <row r="16" spans="1:28" ht="15" customHeight="1" x14ac:dyDescent="0.2">
      <c r="A16" s="2"/>
      <c r="B16" s="523" t="str">
        <f>Расчёт!B140</f>
        <v>КРУПА ПЕРЛОВАЯ</v>
      </c>
      <c r="C16" s="613" t="s">
        <v>163</v>
      </c>
      <c r="D16" s="640">
        <f>Цены!D16</f>
        <v>0</v>
      </c>
      <c r="E16" s="662">
        <v>0</v>
      </c>
      <c r="F16" s="614">
        <v>0</v>
      </c>
      <c r="G16" s="615">
        <v>0</v>
      </c>
      <c r="H16" s="509">
        <f>Расчёт!G140</f>
        <v>0</v>
      </c>
      <c r="I16" s="510">
        <f>Расчёт!H140</f>
        <v>0</v>
      </c>
      <c r="J16" s="511">
        <f>Расчёт!I140</f>
        <v>0</v>
      </c>
      <c r="K16" s="512">
        <f t="shared" si="2"/>
        <v>0</v>
      </c>
      <c r="L16" s="2"/>
      <c r="M16" s="2"/>
      <c r="N16" s="2"/>
      <c r="O16" s="2"/>
      <c r="P16" s="2"/>
      <c r="Q16" s="239" t="str">
        <f>MID(B2,13,6)</f>
        <v/>
      </c>
      <c r="R16" s="80"/>
      <c r="S16" s="80"/>
      <c r="T16" s="80"/>
      <c r="U16" s="80"/>
      <c r="V16" s="154">
        <f t="shared" si="0"/>
        <v>0</v>
      </c>
      <c r="W16" s="80"/>
      <c r="X16" s="80"/>
      <c r="Y16" s="80"/>
      <c r="Z16" s="155">
        <f t="shared" si="1"/>
        <v>0</v>
      </c>
      <c r="AA16" s="80"/>
      <c r="AB16" s="80"/>
    </row>
    <row r="17" spans="1:28" ht="15" customHeight="1" x14ac:dyDescent="0.2">
      <c r="A17" s="2"/>
      <c r="B17" s="523" t="str">
        <f>Расчёт!B141</f>
        <v>КРУПА ГОРОХ</v>
      </c>
      <c r="C17" s="613" t="s">
        <v>163</v>
      </c>
      <c r="D17" s="640">
        <f>Цены!D17</f>
        <v>0</v>
      </c>
      <c r="E17" s="662">
        <v>0</v>
      </c>
      <c r="F17" s="614">
        <v>0</v>
      </c>
      <c r="G17" s="615">
        <v>0</v>
      </c>
      <c r="H17" s="509">
        <f>Расчёт!G141</f>
        <v>0</v>
      </c>
      <c r="I17" s="510">
        <f>Расчёт!H141</f>
        <v>0</v>
      </c>
      <c r="J17" s="511">
        <f>Расчёт!I141</f>
        <v>0</v>
      </c>
      <c r="K17" s="512">
        <f t="shared" si="2"/>
        <v>0</v>
      </c>
      <c r="L17" s="2"/>
      <c r="M17" s="2"/>
      <c r="N17" s="2"/>
      <c r="O17" s="131"/>
      <c r="P17" s="2"/>
      <c r="Q17" s="375" t="b">
        <v>1</v>
      </c>
      <c r="R17" s="80"/>
      <c r="S17" s="80"/>
      <c r="T17" s="80"/>
      <c r="U17" s="80"/>
      <c r="V17" s="154">
        <f t="shared" si="0"/>
        <v>0</v>
      </c>
      <c r="W17" s="80"/>
      <c r="X17" s="80"/>
      <c r="Y17" s="80"/>
      <c r="Z17" s="155">
        <f t="shared" si="1"/>
        <v>0</v>
      </c>
      <c r="AA17" s="80"/>
      <c r="AB17" s="80"/>
    </row>
    <row r="18" spans="1:28" ht="15" customHeight="1" x14ac:dyDescent="0.2">
      <c r="A18" s="2"/>
      <c r="B18" s="523" t="str">
        <f>Расчёт!B142</f>
        <v>КРУПА ПШЕНО</v>
      </c>
      <c r="C18" s="613" t="s">
        <v>163</v>
      </c>
      <c r="D18" s="640">
        <f>Цены!D18</f>
        <v>0</v>
      </c>
      <c r="E18" s="662">
        <v>0</v>
      </c>
      <c r="F18" s="614">
        <v>0</v>
      </c>
      <c r="G18" s="615">
        <v>0</v>
      </c>
      <c r="H18" s="509">
        <f>Расчёт!G142</f>
        <v>0</v>
      </c>
      <c r="I18" s="510">
        <f>Расчёт!H142</f>
        <v>0</v>
      </c>
      <c r="J18" s="511">
        <f>Расчёт!I142</f>
        <v>0</v>
      </c>
      <c r="K18" s="512">
        <f t="shared" si="2"/>
        <v>0</v>
      </c>
      <c r="L18" s="2"/>
      <c r="M18" s="2"/>
      <c r="N18" s="2"/>
      <c r="O18" s="2"/>
      <c r="P18" s="2"/>
      <c r="Q18" s="2"/>
      <c r="R18" s="80"/>
      <c r="S18" s="80"/>
      <c r="T18" s="80"/>
      <c r="U18" s="80"/>
      <c r="V18" s="154">
        <f t="shared" si="0"/>
        <v>0</v>
      </c>
      <c r="W18" s="80"/>
      <c r="X18" s="80"/>
      <c r="Y18" s="80"/>
      <c r="Z18" s="155">
        <f t="shared" si="1"/>
        <v>0</v>
      </c>
      <c r="AA18" s="80"/>
      <c r="AB18" s="80"/>
    </row>
    <row r="19" spans="1:28" ht="15" customHeight="1" x14ac:dyDescent="0.2">
      <c r="A19" s="2"/>
      <c r="B19" s="523" t="str">
        <f>Расчёт!B143</f>
        <v>КРУПА ПШЕНИЧНАЯ</v>
      </c>
      <c r="C19" s="613" t="s">
        <v>163</v>
      </c>
      <c r="D19" s="640">
        <f>Цены!D19</f>
        <v>0</v>
      </c>
      <c r="E19" s="662">
        <v>0</v>
      </c>
      <c r="F19" s="614">
        <v>0</v>
      </c>
      <c r="G19" s="615">
        <v>0</v>
      </c>
      <c r="H19" s="509">
        <f>Расчёт!G143</f>
        <v>0</v>
      </c>
      <c r="I19" s="510">
        <f>Расчёт!H143</f>
        <v>0</v>
      </c>
      <c r="J19" s="511">
        <f>Расчёт!I143</f>
        <v>0</v>
      </c>
      <c r="K19" s="512">
        <f t="shared" si="2"/>
        <v>0</v>
      </c>
      <c r="L19" s="2"/>
      <c r="M19" s="2"/>
      <c r="N19" s="2"/>
      <c r="O19" s="2"/>
      <c r="P19" s="2"/>
      <c r="Q19" s="2"/>
      <c r="R19" s="80"/>
      <c r="S19" s="80"/>
      <c r="T19" s="80"/>
      <c r="U19" s="80"/>
      <c r="V19" s="154">
        <f t="shared" si="0"/>
        <v>0</v>
      </c>
      <c r="W19" s="80"/>
      <c r="X19" s="80"/>
      <c r="Y19" s="80"/>
      <c r="Z19" s="155">
        <f t="shared" si="1"/>
        <v>0</v>
      </c>
      <c r="AA19" s="80"/>
      <c r="AB19" s="80"/>
    </row>
    <row r="20" spans="1:28" ht="15" customHeight="1" x14ac:dyDescent="0.2">
      <c r="A20" s="2"/>
      <c r="B20" s="523" t="str">
        <f>Расчёт!B144</f>
        <v>КРУПА ОВСЯНАЯ</v>
      </c>
      <c r="C20" s="613" t="s">
        <v>163</v>
      </c>
      <c r="D20" s="640">
        <f>Цены!D20</f>
        <v>0</v>
      </c>
      <c r="E20" s="662">
        <v>0</v>
      </c>
      <c r="F20" s="614">
        <v>0</v>
      </c>
      <c r="G20" s="615">
        <v>0</v>
      </c>
      <c r="H20" s="509">
        <f>Расчёт!G144</f>
        <v>0</v>
      </c>
      <c r="I20" s="510">
        <f>Расчёт!H144</f>
        <v>0</v>
      </c>
      <c r="J20" s="511">
        <f>Расчёт!I144</f>
        <v>0</v>
      </c>
      <c r="K20" s="512">
        <f t="shared" si="2"/>
        <v>0</v>
      </c>
      <c r="L20" s="2"/>
      <c r="M20" s="2"/>
      <c r="N20" s="2"/>
      <c r="O20" s="2"/>
      <c r="P20" s="2"/>
      <c r="Q20" s="2"/>
      <c r="R20" s="80"/>
      <c r="S20" s="80"/>
      <c r="T20" s="80"/>
      <c r="U20" s="80"/>
      <c r="V20" s="154">
        <f t="shared" si="0"/>
        <v>0</v>
      </c>
      <c r="W20" s="80"/>
      <c r="X20" s="80"/>
      <c r="Y20" s="80"/>
      <c r="Z20" s="155">
        <f t="shared" si="1"/>
        <v>0</v>
      </c>
      <c r="AA20" s="80"/>
      <c r="AB20" s="80"/>
    </row>
    <row r="21" spans="1:28" ht="15" customHeight="1" x14ac:dyDescent="0.2">
      <c r="A21" s="2"/>
      <c r="B21" s="523" t="str">
        <f>Расчёт!B145</f>
        <v>КРУПА ЯЧНЕВАЯ</v>
      </c>
      <c r="C21" s="613" t="s">
        <v>163</v>
      </c>
      <c r="D21" s="640">
        <f>Цены!D21</f>
        <v>0</v>
      </c>
      <c r="E21" s="662">
        <v>0</v>
      </c>
      <c r="F21" s="614">
        <v>0</v>
      </c>
      <c r="G21" s="615">
        <v>0</v>
      </c>
      <c r="H21" s="509">
        <f>Расчёт!G145</f>
        <v>0</v>
      </c>
      <c r="I21" s="510">
        <f>Расчёт!H145</f>
        <v>0</v>
      </c>
      <c r="J21" s="511">
        <f>Расчёт!I145</f>
        <v>0</v>
      </c>
      <c r="K21" s="512">
        <f t="shared" si="2"/>
        <v>0</v>
      </c>
      <c r="L21" s="2"/>
      <c r="M21" s="2"/>
      <c r="N21" s="2"/>
      <c r="O21" s="2"/>
      <c r="P21" s="2"/>
      <c r="Q21" s="2"/>
      <c r="R21" s="80"/>
      <c r="S21" s="80"/>
      <c r="T21" s="80"/>
      <c r="U21" s="80"/>
      <c r="V21" s="154">
        <f t="shared" si="0"/>
        <v>0</v>
      </c>
      <c r="W21" s="80"/>
      <c r="X21" s="80"/>
      <c r="Y21" s="80"/>
      <c r="Z21" s="155">
        <f t="shared" si="1"/>
        <v>0</v>
      </c>
      <c r="AA21" s="80"/>
      <c r="AB21" s="80"/>
    </row>
    <row r="22" spans="1:28" ht="15" customHeight="1" thickBot="1" x14ac:dyDescent="0.25">
      <c r="A22" s="2"/>
      <c r="B22" s="525" t="str">
        <f>Расчёт!B146</f>
        <v>МАКАРОННЫЕ ИЗДЕЛИЯ</v>
      </c>
      <c r="C22" s="620" t="s">
        <v>163</v>
      </c>
      <c r="D22" s="1244">
        <f>Цены!D22</f>
        <v>0</v>
      </c>
      <c r="E22" s="663">
        <v>0</v>
      </c>
      <c r="F22" s="621">
        <v>0</v>
      </c>
      <c r="G22" s="622">
        <v>0</v>
      </c>
      <c r="H22" s="515">
        <f>Расчёт!G146</f>
        <v>0</v>
      </c>
      <c r="I22" s="518">
        <f>Расчёт!H146</f>
        <v>0</v>
      </c>
      <c r="J22" s="519">
        <f>Расчёт!I146</f>
        <v>0</v>
      </c>
      <c r="K22" s="520">
        <f t="shared" si="2"/>
        <v>0</v>
      </c>
      <c r="L22" s="2"/>
      <c r="M22" s="2"/>
      <c r="N22" s="2"/>
      <c r="O22" s="2"/>
      <c r="P22" s="2"/>
      <c r="Q22" s="2"/>
      <c r="R22" s="80"/>
      <c r="S22" s="80"/>
      <c r="T22" s="80"/>
      <c r="U22" s="80"/>
      <c r="V22" s="154">
        <f t="shared" si="0"/>
        <v>0</v>
      </c>
      <c r="W22" s="80"/>
      <c r="X22" s="80"/>
      <c r="Y22" s="80"/>
      <c r="Z22" s="155">
        <f t="shared" si="1"/>
        <v>0</v>
      </c>
      <c r="AA22" s="80"/>
      <c r="AB22" s="80"/>
    </row>
    <row r="23" spans="1:28" ht="15" customHeight="1" x14ac:dyDescent="0.2">
      <c r="A23" s="2"/>
      <c r="B23" s="486" t="str">
        <f>Расчёт!B147</f>
        <v>МЯСО  ГОВЯДИНА</v>
      </c>
      <c r="C23" s="610" t="s">
        <v>163</v>
      </c>
      <c r="D23" s="506">
        <f>Цены!D23</f>
        <v>0</v>
      </c>
      <c r="E23" s="600">
        <v>0</v>
      </c>
      <c r="F23" s="675">
        <v>0</v>
      </c>
      <c r="G23" s="676">
        <v>0</v>
      </c>
      <c r="H23" s="489">
        <f>Расчёт!G147</f>
        <v>0</v>
      </c>
      <c r="I23" s="490">
        <f>Расчёт!H147</f>
        <v>0</v>
      </c>
      <c r="J23" s="491">
        <f>Расчёт!I147</f>
        <v>0</v>
      </c>
      <c r="K23" s="522">
        <f t="shared" si="2"/>
        <v>0</v>
      </c>
      <c r="L23" s="2"/>
      <c r="M23" s="2"/>
      <c r="N23" s="2"/>
      <c r="O23" s="2"/>
      <c r="P23" s="2"/>
      <c r="Q23" s="2"/>
      <c r="R23" s="80"/>
      <c r="S23" s="80"/>
      <c r="T23" s="80"/>
      <c r="U23" s="80"/>
      <c r="V23" s="154">
        <f t="shared" si="0"/>
        <v>0</v>
      </c>
      <c r="W23" s="80"/>
      <c r="X23" s="80"/>
      <c r="Y23" s="80"/>
      <c r="Z23" s="155">
        <f t="shared" si="1"/>
        <v>0</v>
      </c>
      <c r="AA23" s="80"/>
      <c r="AB23" s="80"/>
    </row>
    <row r="24" spans="1:28" ht="15" customHeight="1" x14ac:dyDescent="0.2">
      <c r="A24" s="2"/>
      <c r="B24" s="493" t="str">
        <f>Расчёт!B148</f>
        <v>МЯСО ПТИЦЫ</v>
      </c>
      <c r="C24" s="613" t="s">
        <v>163</v>
      </c>
      <c r="D24" s="640">
        <f>Цены!D24</f>
        <v>0</v>
      </c>
      <c r="E24" s="662">
        <v>0</v>
      </c>
      <c r="F24" s="614">
        <v>0</v>
      </c>
      <c r="G24" s="615">
        <v>0</v>
      </c>
      <c r="H24" s="509">
        <f>Расчёт!G148</f>
        <v>0</v>
      </c>
      <c r="I24" s="510">
        <f>Расчёт!H148</f>
        <v>0</v>
      </c>
      <c r="J24" s="511">
        <f>Расчёт!I148</f>
        <v>0</v>
      </c>
      <c r="K24" s="512">
        <f t="shared" si="2"/>
        <v>0</v>
      </c>
      <c r="L24" s="2"/>
      <c r="M24" s="2"/>
      <c r="N24" s="2"/>
      <c r="O24" s="2"/>
      <c r="P24" s="2"/>
      <c r="Q24" s="2"/>
      <c r="R24" s="80"/>
      <c r="S24" s="80"/>
      <c r="T24" s="80"/>
      <c r="U24" s="80"/>
      <c r="V24" s="154">
        <f t="shared" si="0"/>
        <v>0</v>
      </c>
      <c r="W24" s="80"/>
      <c r="X24" s="80"/>
      <c r="Y24" s="80"/>
      <c r="Z24" s="155">
        <f t="shared" si="1"/>
        <v>0</v>
      </c>
      <c r="AA24" s="80"/>
      <c r="AB24" s="80"/>
    </row>
    <row r="25" spans="1:28" ht="15" customHeight="1" x14ac:dyDescent="0.2">
      <c r="A25" s="2"/>
      <c r="B25" s="493" t="str">
        <f>Расчёт!B149</f>
        <v>КОЛБАСА</v>
      </c>
      <c r="C25" s="613" t="s">
        <v>163</v>
      </c>
      <c r="D25" s="640">
        <f>Цены!D25</f>
        <v>0</v>
      </c>
      <c r="E25" s="662">
        <v>0</v>
      </c>
      <c r="F25" s="614">
        <v>0</v>
      </c>
      <c r="G25" s="615">
        <v>0</v>
      </c>
      <c r="H25" s="509">
        <f>Расчёт!G149</f>
        <v>0</v>
      </c>
      <c r="I25" s="510">
        <f>Расчёт!H149</f>
        <v>0</v>
      </c>
      <c r="J25" s="511">
        <f>Расчёт!I149</f>
        <v>0</v>
      </c>
      <c r="K25" s="512">
        <f t="shared" si="2"/>
        <v>0</v>
      </c>
      <c r="L25" s="2"/>
      <c r="M25" s="2"/>
      <c r="N25" s="2"/>
      <c r="O25" s="2"/>
      <c r="P25" s="2"/>
      <c r="Q25" s="2"/>
      <c r="R25" s="80"/>
      <c r="S25" s="80"/>
      <c r="T25" s="80"/>
      <c r="U25" s="80"/>
      <c r="V25" s="154">
        <f t="shared" si="0"/>
        <v>0</v>
      </c>
      <c r="W25" s="80"/>
      <c r="X25" s="80"/>
      <c r="Y25" s="80"/>
      <c r="Z25" s="155">
        <f t="shared" si="1"/>
        <v>0</v>
      </c>
      <c r="AA25" s="80"/>
      <c r="AB25" s="80"/>
    </row>
    <row r="26" spans="1:28" ht="15" customHeight="1" x14ac:dyDescent="0.2">
      <c r="A26" s="2"/>
      <c r="B26" s="493" t="str">
        <f>Расчёт!B150</f>
        <v>КОНСЕРВЫ МЯСНЫЕ</v>
      </c>
      <c r="C26" s="613" t="s">
        <v>163</v>
      </c>
      <c r="D26" s="640">
        <f>Цены!D26</f>
        <v>0</v>
      </c>
      <c r="E26" s="662">
        <v>0</v>
      </c>
      <c r="F26" s="614">
        <v>0</v>
      </c>
      <c r="G26" s="615">
        <v>0</v>
      </c>
      <c r="H26" s="509">
        <f>Расчёт!G150</f>
        <v>0</v>
      </c>
      <c r="I26" s="510">
        <f>Расчёт!H150</f>
        <v>0</v>
      </c>
      <c r="J26" s="511">
        <f>Расчёт!I150</f>
        <v>0</v>
      </c>
      <c r="K26" s="512">
        <f t="shared" si="2"/>
        <v>0</v>
      </c>
      <c r="L26" s="2"/>
      <c r="M26" s="2"/>
      <c r="N26" s="2"/>
      <c r="O26" s="2"/>
      <c r="P26" s="2"/>
      <c r="Q26" s="2"/>
      <c r="R26" s="80"/>
      <c r="S26" s="80"/>
      <c r="T26" s="80"/>
      <c r="U26" s="80"/>
      <c r="V26" s="154">
        <f t="shared" si="0"/>
        <v>0</v>
      </c>
      <c r="W26" s="80"/>
      <c r="X26" s="80"/>
      <c r="Y26" s="80"/>
      <c r="Z26" s="155">
        <f t="shared" si="1"/>
        <v>0</v>
      </c>
      <c r="AA26" s="80"/>
      <c r="AB26" s="80"/>
    </row>
    <row r="27" spans="1:28" ht="15" customHeight="1" x14ac:dyDescent="0.2">
      <c r="A27" s="2"/>
      <c r="B27" s="493" t="str">
        <f>Расчёт!B151</f>
        <v>РЫБА БЕЗ ГОЛОВЫ/СЕЛЬДЬ С ГОЛ.</v>
      </c>
      <c r="C27" s="613" t="s">
        <v>163</v>
      </c>
      <c r="D27" s="640">
        <f>Цены!D27</f>
        <v>0</v>
      </c>
      <c r="E27" s="662">
        <v>0</v>
      </c>
      <c r="F27" s="614">
        <v>0</v>
      </c>
      <c r="G27" s="615">
        <v>0</v>
      </c>
      <c r="H27" s="509">
        <f>Расчёт!G151</f>
        <v>0</v>
      </c>
      <c r="I27" s="510">
        <f>Расчёт!H151</f>
        <v>0</v>
      </c>
      <c r="J27" s="511">
        <f>Расчёт!I151</f>
        <v>0</v>
      </c>
      <c r="K27" s="512">
        <f t="shared" si="2"/>
        <v>0</v>
      </c>
      <c r="L27" s="2"/>
      <c r="M27" s="2"/>
      <c r="N27" s="2"/>
      <c r="O27" s="2"/>
      <c r="P27" s="2"/>
      <c r="Q27" s="2"/>
      <c r="R27" s="80"/>
      <c r="S27" s="80"/>
      <c r="T27" s="80"/>
      <c r="U27" s="80"/>
      <c r="V27" s="154">
        <f t="shared" si="0"/>
        <v>0</v>
      </c>
      <c r="W27" s="80"/>
      <c r="X27" s="80"/>
      <c r="Y27" s="80"/>
      <c r="Z27" s="155">
        <f t="shared" si="1"/>
        <v>0</v>
      </c>
      <c r="AA27" s="80"/>
      <c r="AB27" s="80"/>
    </row>
    <row r="28" spans="1:28" ht="15" customHeight="1" x14ac:dyDescent="0.2">
      <c r="A28" s="2"/>
      <c r="B28" s="531" t="str">
        <f>Расчёт!B152</f>
        <v xml:space="preserve">КОНС. РЫБНЫЕ - КИЛЬКА В ТОМ. СОУСЕ  </v>
      </c>
      <c r="C28" s="613" t="s">
        <v>163</v>
      </c>
      <c r="D28" s="640">
        <f>Цены!D28</f>
        <v>0</v>
      </c>
      <c r="E28" s="662">
        <v>0</v>
      </c>
      <c r="F28" s="614">
        <v>0</v>
      </c>
      <c r="G28" s="615">
        <v>0</v>
      </c>
      <c r="H28" s="509">
        <f>Расчёт!G152</f>
        <v>0</v>
      </c>
      <c r="I28" s="510">
        <f>Расчёт!H152</f>
        <v>0</v>
      </c>
      <c r="J28" s="511">
        <f>Расчёт!I152</f>
        <v>0</v>
      </c>
      <c r="K28" s="512">
        <f t="shared" si="2"/>
        <v>0</v>
      </c>
      <c r="L28" s="2"/>
      <c r="M28" s="2"/>
      <c r="N28" s="2"/>
      <c r="O28" s="2"/>
      <c r="P28" s="2"/>
      <c r="Q28" s="2"/>
      <c r="R28" s="80"/>
      <c r="S28" s="80"/>
      <c r="T28" s="80"/>
      <c r="U28" s="80"/>
      <c r="V28" s="154">
        <f t="shared" si="0"/>
        <v>0</v>
      </c>
      <c r="W28" s="80"/>
      <c r="X28" s="80"/>
      <c r="Y28" s="80"/>
      <c r="Z28" s="155">
        <f t="shared" si="1"/>
        <v>0</v>
      </c>
      <c r="AA28" s="80"/>
      <c r="AB28" s="80"/>
    </row>
    <row r="29" spans="1:28" ht="15" customHeight="1" x14ac:dyDescent="0.2">
      <c r="A29" s="2"/>
      <c r="B29" s="493" t="str">
        <f>Расчёт!B153</f>
        <v>МАСЛО РАСТИТЕЛЬНОЕ</v>
      </c>
      <c r="C29" s="613" t="s">
        <v>163</v>
      </c>
      <c r="D29" s="640">
        <f>Цены!D29</f>
        <v>0</v>
      </c>
      <c r="E29" s="662">
        <v>0</v>
      </c>
      <c r="F29" s="614">
        <v>0</v>
      </c>
      <c r="G29" s="615">
        <v>0</v>
      </c>
      <c r="H29" s="509">
        <f>Расчёт!G153</f>
        <v>0</v>
      </c>
      <c r="I29" s="510">
        <f>Расчёт!H153</f>
        <v>0</v>
      </c>
      <c r="J29" s="511">
        <f>Расчёт!I153</f>
        <v>0</v>
      </c>
      <c r="K29" s="512">
        <f t="shared" si="2"/>
        <v>0</v>
      </c>
      <c r="L29" s="2"/>
      <c r="M29" s="2"/>
      <c r="N29" s="2"/>
      <c r="O29" s="2"/>
      <c r="P29" s="2"/>
      <c r="Q29" s="2"/>
      <c r="R29" s="80"/>
      <c r="S29" s="80"/>
      <c r="T29" s="80"/>
      <c r="U29" s="80"/>
      <c r="V29" s="154">
        <f t="shared" si="0"/>
        <v>0</v>
      </c>
      <c r="W29" s="80"/>
      <c r="X29" s="80"/>
      <c r="Y29" s="80"/>
      <c r="Z29" s="155">
        <f t="shared" si="1"/>
        <v>0</v>
      </c>
      <c r="AA29" s="80"/>
      <c r="AB29" s="80"/>
    </row>
    <row r="30" spans="1:28" ht="15" customHeight="1" x14ac:dyDescent="0.2">
      <c r="A30" s="2"/>
      <c r="B30" s="493" t="str">
        <f>Расчёт!B154</f>
        <v>МАСЛО КОРОВЬЕ</v>
      </c>
      <c r="C30" s="613" t="s">
        <v>163</v>
      </c>
      <c r="D30" s="640">
        <f>Цены!D30</f>
        <v>0</v>
      </c>
      <c r="E30" s="662">
        <v>0</v>
      </c>
      <c r="F30" s="614">
        <v>0</v>
      </c>
      <c r="G30" s="615">
        <v>0</v>
      </c>
      <c r="H30" s="509">
        <f>Расчёт!G154</f>
        <v>0</v>
      </c>
      <c r="I30" s="510">
        <f>Расчёт!H154</f>
        <v>0</v>
      </c>
      <c r="J30" s="511">
        <f>Расчёт!I154</f>
        <v>0</v>
      </c>
      <c r="K30" s="512">
        <f t="shared" si="2"/>
        <v>0</v>
      </c>
      <c r="L30" s="2"/>
      <c r="M30" s="2"/>
      <c r="N30" s="2"/>
      <c r="O30" s="2"/>
      <c r="P30" s="2"/>
      <c r="Q30" s="2"/>
      <c r="R30" s="80"/>
      <c r="S30" s="80"/>
      <c r="T30" s="80"/>
      <c r="U30" s="80"/>
      <c r="V30" s="154">
        <f t="shared" si="0"/>
        <v>0</v>
      </c>
      <c r="W30" s="80"/>
      <c r="X30" s="80"/>
      <c r="Y30" s="80"/>
      <c r="Z30" s="155">
        <f t="shared" si="1"/>
        <v>0</v>
      </c>
      <c r="AA30" s="80"/>
      <c r="AB30" s="80"/>
    </row>
    <row r="31" spans="1:28" ht="15" customHeight="1" x14ac:dyDescent="0.2">
      <c r="A31" s="2"/>
      <c r="B31" s="493" t="str">
        <f>Расчёт!B155</f>
        <v>ЖИРЫ ЖИВОТНЫЕ</v>
      </c>
      <c r="C31" s="613" t="s">
        <v>163</v>
      </c>
      <c r="D31" s="640">
        <f>Цены!D31</f>
        <v>0</v>
      </c>
      <c r="E31" s="662">
        <v>0</v>
      </c>
      <c r="F31" s="614">
        <v>0</v>
      </c>
      <c r="G31" s="615">
        <v>0</v>
      </c>
      <c r="H31" s="509">
        <f>Расчёт!G155</f>
        <v>0</v>
      </c>
      <c r="I31" s="510">
        <f>Расчёт!H155</f>
        <v>0</v>
      </c>
      <c r="J31" s="511">
        <f>Расчёт!I155</f>
        <v>0</v>
      </c>
      <c r="K31" s="512">
        <f t="shared" si="2"/>
        <v>0</v>
      </c>
      <c r="L31" s="2"/>
      <c r="M31" s="2"/>
      <c r="N31" s="2"/>
      <c r="O31" s="2"/>
      <c r="P31" s="2"/>
      <c r="Q31" s="2"/>
      <c r="R31" s="80"/>
      <c r="S31" s="80"/>
      <c r="T31" s="80"/>
      <c r="U31" s="80"/>
      <c r="V31" s="154">
        <f t="shared" si="0"/>
        <v>0</v>
      </c>
      <c r="W31" s="80"/>
      <c r="X31" s="80"/>
      <c r="Y31" s="80"/>
      <c r="Z31" s="155">
        <f t="shared" si="1"/>
        <v>0</v>
      </c>
      <c r="AA31" s="80"/>
      <c r="AB31" s="80"/>
    </row>
    <row r="32" spans="1:28" ht="15" customHeight="1" x14ac:dyDescent="0.2">
      <c r="A32" s="2"/>
      <c r="B32" s="493" t="str">
        <f>Расчёт!B156</f>
        <v>МОЛОКО СВЕЖЕЕ</v>
      </c>
      <c r="C32" s="613" t="s">
        <v>163</v>
      </c>
      <c r="D32" s="640">
        <f>Цены!D32</f>
        <v>0</v>
      </c>
      <c r="E32" s="662">
        <v>0</v>
      </c>
      <c r="F32" s="614">
        <v>0</v>
      </c>
      <c r="G32" s="615">
        <v>0</v>
      </c>
      <c r="H32" s="509">
        <f>Расчёт!G156</f>
        <v>0</v>
      </c>
      <c r="I32" s="510">
        <f>Расчёт!H156</f>
        <v>0</v>
      </c>
      <c r="J32" s="511">
        <f>Расчёт!I156</f>
        <v>0</v>
      </c>
      <c r="K32" s="512">
        <f t="shared" si="2"/>
        <v>0</v>
      </c>
      <c r="L32" s="2"/>
      <c r="M32" s="2"/>
      <c r="N32" s="2"/>
      <c r="O32" s="2"/>
      <c r="P32" s="2"/>
      <c r="Q32" s="2"/>
      <c r="R32" s="80"/>
      <c r="S32" s="80"/>
      <c r="T32" s="80"/>
      <c r="U32" s="80"/>
      <c r="V32" s="154">
        <f t="shared" si="0"/>
        <v>0</v>
      </c>
      <c r="W32" s="80"/>
      <c r="X32" s="80"/>
      <c r="Y32" s="80"/>
      <c r="Z32" s="155">
        <f t="shared" si="1"/>
        <v>0</v>
      </c>
      <c r="AA32" s="80"/>
      <c r="AB32" s="80"/>
    </row>
    <row r="33" spans="1:28" ht="15" customHeight="1" x14ac:dyDescent="0.2">
      <c r="A33" s="2"/>
      <c r="B33" s="493" t="str">
        <f>Расчёт!B157</f>
        <v>СМЕТАНА</v>
      </c>
      <c r="C33" s="613" t="s">
        <v>163</v>
      </c>
      <c r="D33" s="640">
        <f>Цены!D33</f>
        <v>0</v>
      </c>
      <c r="E33" s="679">
        <v>0</v>
      </c>
      <c r="F33" s="680">
        <v>0</v>
      </c>
      <c r="G33" s="681">
        <v>0</v>
      </c>
      <c r="H33" s="509">
        <f>Расчёт!G157</f>
        <v>0</v>
      </c>
      <c r="I33" s="510">
        <f>Расчёт!H157</f>
        <v>0</v>
      </c>
      <c r="J33" s="511">
        <f>Расчёт!I157</f>
        <v>0</v>
      </c>
      <c r="K33" s="512">
        <f t="shared" si="2"/>
        <v>0</v>
      </c>
      <c r="L33" s="2"/>
      <c r="M33" s="2"/>
      <c r="N33" s="2"/>
      <c r="O33" s="2"/>
      <c r="P33" s="2"/>
      <c r="Q33" s="2"/>
      <c r="R33" s="80"/>
      <c r="S33" s="80"/>
      <c r="T33" s="80"/>
      <c r="U33" s="80"/>
      <c r="V33" s="154">
        <f t="shared" si="0"/>
        <v>0</v>
      </c>
      <c r="W33" s="80"/>
      <c r="X33" s="80"/>
      <c r="Y33" s="80"/>
      <c r="Z33" s="155">
        <f t="shared" si="1"/>
        <v>0</v>
      </c>
      <c r="AA33" s="80"/>
      <c r="AB33" s="80"/>
    </row>
    <row r="34" spans="1:28" ht="15" customHeight="1" x14ac:dyDescent="0.2">
      <c r="A34" s="2"/>
      <c r="B34" s="493" t="str">
        <f>Расчёт!B158</f>
        <v>ТВОРОГ</v>
      </c>
      <c r="C34" s="613" t="s">
        <v>163</v>
      </c>
      <c r="D34" s="640">
        <f>Цены!D34</f>
        <v>0</v>
      </c>
      <c r="E34" s="679">
        <v>0</v>
      </c>
      <c r="F34" s="680">
        <v>0</v>
      </c>
      <c r="G34" s="681">
        <v>0</v>
      </c>
      <c r="H34" s="509">
        <f>Расчёт!G158</f>
        <v>0</v>
      </c>
      <c r="I34" s="510">
        <f>Расчёт!H158</f>
        <v>0</v>
      </c>
      <c r="J34" s="511">
        <f>Расчёт!I158</f>
        <v>0</v>
      </c>
      <c r="K34" s="512">
        <f t="shared" si="2"/>
        <v>0</v>
      </c>
      <c r="L34" s="2"/>
      <c r="M34" s="2"/>
      <c r="N34" s="2"/>
      <c r="O34" s="2"/>
      <c r="P34" s="2"/>
      <c r="Q34" s="2"/>
      <c r="R34" s="80"/>
      <c r="S34" s="80"/>
      <c r="T34" s="80"/>
      <c r="U34" s="80"/>
      <c r="V34" s="154">
        <f t="shared" si="0"/>
        <v>0</v>
      </c>
      <c r="W34" s="80"/>
      <c r="X34" s="80"/>
      <c r="Y34" s="80"/>
      <c r="Z34" s="155">
        <f t="shared" si="1"/>
        <v>0</v>
      </c>
      <c r="AA34" s="80"/>
      <c r="AB34" s="80"/>
    </row>
    <row r="35" spans="1:28" ht="15" customHeight="1" x14ac:dyDescent="0.2">
      <c r="A35" s="2"/>
      <c r="B35" s="493" t="str">
        <f>Расчёт!B159</f>
        <v>МОЛОКО СУХОЕ</v>
      </c>
      <c r="C35" s="613" t="s">
        <v>164</v>
      </c>
      <c r="D35" s="640">
        <f>Цены!D35</f>
        <v>0</v>
      </c>
      <c r="E35" s="679">
        <v>0</v>
      </c>
      <c r="F35" s="680">
        <v>0</v>
      </c>
      <c r="G35" s="681">
        <v>0</v>
      </c>
      <c r="H35" s="509">
        <f>Расчёт!G159</f>
        <v>0</v>
      </c>
      <c r="I35" s="510">
        <f>Расчёт!H159</f>
        <v>0</v>
      </c>
      <c r="J35" s="511">
        <f>Расчёт!I159</f>
        <v>0</v>
      </c>
      <c r="K35" s="512">
        <f t="shared" si="2"/>
        <v>0</v>
      </c>
      <c r="L35" s="2"/>
      <c r="M35" s="2"/>
      <c r="N35" s="2"/>
      <c r="O35" s="2"/>
      <c r="P35" s="2"/>
      <c r="Q35" s="2"/>
      <c r="R35" s="80"/>
      <c r="S35" s="80"/>
      <c r="T35" s="80"/>
      <c r="U35" s="80"/>
      <c r="V35" s="154">
        <f t="shared" si="0"/>
        <v>0</v>
      </c>
      <c r="W35" s="80"/>
      <c r="X35" s="80"/>
      <c r="Y35" s="80"/>
      <c r="Z35" s="155">
        <f t="shared" si="1"/>
        <v>0</v>
      </c>
      <c r="AA35" s="80"/>
      <c r="AB35" s="80"/>
    </row>
    <row r="36" spans="1:28" ht="15" customHeight="1" x14ac:dyDescent="0.2">
      <c r="A36" s="2"/>
      <c r="B36" s="493" t="str">
        <f>Расчёт!B160</f>
        <v>СЫР ПЛАВЛЕНЫЙ</v>
      </c>
      <c r="C36" s="613" t="s">
        <v>163</v>
      </c>
      <c r="D36" s="640">
        <f>Цены!D36</f>
        <v>0</v>
      </c>
      <c r="E36" s="679">
        <v>0</v>
      </c>
      <c r="F36" s="680">
        <v>0</v>
      </c>
      <c r="G36" s="681">
        <v>0</v>
      </c>
      <c r="H36" s="509">
        <f>Расчёт!G160</f>
        <v>0</v>
      </c>
      <c r="I36" s="510">
        <f>Расчёт!H160</f>
        <v>0</v>
      </c>
      <c r="J36" s="511">
        <f>Расчёт!I160</f>
        <v>0</v>
      </c>
      <c r="K36" s="512">
        <f t="shared" si="2"/>
        <v>0</v>
      </c>
      <c r="L36" s="2"/>
      <c r="M36" s="2"/>
      <c r="N36" s="2"/>
      <c r="O36" s="2"/>
      <c r="P36" s="2"/>
      <c r="Q36" s="2"/>
      <c r="R36" s="80"/>
      <c r="S36" s="80"/>
      <c r="T36" s="80"/>
      <c r="U36" s="80"/>
      <c r="V36" s="154">
        <f t="shared" si="0"/>
        <v>0</v>
      </c>
      <c r="W36" s="80"/>
      <c r="X36" s="80"/>
      <c r="Y36" s="80"/>
      <c r="Z36" s="155">
        <f t="shared" si="1"/>
        <v>0</v>
      </c>
      <c r="AA36" s="80"/>
      <c r="AB36" s="80"/>
    </row>
    <row r="37" spans="1:28" ht="15" customHeight="1" x14ac:dyDescent="0.2">
      <c r="A37" s="239"/>
      <c r="B37" s="493" t="str">
        <f>Расчёт!B161</f>
        <v>ЯЙЦА КУРИНЫЕ</v>
      </c>
      <c r="C37" s="613" t="str">
        <f>IF('Блок ввода'!G32=TRUE,"кг.","шт.")</f>
        <v>шт.</v>
      </c>
      <c r="D37" s="640">
        <f>Цены!D37</f>
        <v>0</v>
      </c>
      <c r="E37" s="682">
        <v>0</v>
      </c>
      <c r="F37" s="683">
        <v>0</v>
      </c>
      <c r="G37" s="684">
        <v>0</v>
      </c>
      <c r="H37" s="641">
        <f>Расчёт!G161</f>
        <v>0</v>
      </c>
      <c r="I37" s="536">
        <f>Расчёт!H161</f>
        <v>0</v>
      </c>
      <c r="J37" s="616">
        <f>Расчёт!I161</f>
        <v>0</v>
      </c>
      <c r="K37" s="642">
        <f t="shared" si="2"/>
        <v>0</v>
      </c>
      <c r="L37" s="2"/>
      <c r="M37" s="2"/>
      <c r="N37" s="2"/>
      <c r="O37" s="2"/>
      <c r="P37" s="2"/>
      <c r="Q37" s="2"/>
      <c r="R37" s="80"/>
      <c r="S37" s="80"/>
      <c r="T37" s="80"/>
      <c r="U37" s="80"/>
      <c r="V37" s="154">
        <f t="shared" si="0"/>
        <v>0</v>
      </c>
      <c r="W37" s="80"/>
      <c r="X37" s="80"/>
      <c r="Y37" s="80"/>
      <c r="Z37" s="155">
        <f t="shared" si="1"/>
        <v>0</v>
      </c>
      <c r="AA37" s="80"/>
      <c r="AB37" s="80"/>
    </row>
    <row r="38" spans="1:28" ht="15" customHeight="1" x14ac:dyDescent="0.2">
      <c r="A38" s="2"/>
      <c r="B38" s="493" t="str">
        <f>Расчёт!B162</f>
        <v>САХАР</v>
      </c>
      <c r="C38" s="613" t="s">
        <v>163</v>
      </c>
      <c r="D38" s="640">
        <f>Цены!D38</f>
        <v>0</v>
      </c>
      <c r="E38" s="662">
        <v>0</v>
      </c>
      <c r="F38" s="614">
        <v>0</v>
      </c>
      <c r="G38" s="615">
        <v>0</v>
      </c>
      <c r="H38" s="509">
        <f>Расчёт!G162</f>
        <v>0</v>
      </c>
      <c r="I38" s="510">
        <f>Расчёт!H162</f>
        <v>0</v>
      </c>
      <c r="J38" s="511">
        <f>Расчёт!I162</f>
        <v>0</v>
      </c>
      <c r="K38" s="512">
        <f t="shared" si="2"/>
        <v>0</v>
      </c>
      <c r="L38" s="2"/>
      <c r="M38" s="2"/>
      <c r="N38" s="2"/>
      <c r="O38" s="2"/>
      <c r="P38" s="2"/>
      <c r="Q38" s="2"/>
      <c r="R38" s="80"/>
      <c r="S38" s="80"/>
      <c r="T38" s="80"/>
      <c r="U38" s="80"/>
      <c r="V38" s="154">
        <f t="shared" si="0"/>
        <v>0</v>
      </c>
      <c r="W38" s="80"/>
      <c r="X38" s="80"/>
      <c r="Y38" s="80"/>
      <c r="Z38" s="155">
        <f t="shared" si="1"/>
        <v>0</v>
      </c>
      <c r="AA38" s="80"/>
      <c r="AB38" s="80"/>
    </row>
    <row r="39" spans="1:28" ht="15" customHeight="1" x14ac:dyDescent="0.2">
      <c r="A39" s="2"/>
      <c r="B39" s="493" t="str">
        <f>Расчёт!B163</f>
        <v>СОЛЬ ПИЩЕВАЯ</v>
      </c>
      <c r="C39" s="613" t="s">
        <v>163</v>
      </c>
      <c r="D39" s="640">
        <f>Цены!D39</f>
        <v>0</v>
      </c>
      <c r="E39" s="679">
        <v>0</v>
      </c>
      <c r="F39" s="680">
        <v>0</v>
      </c>
      <c r="G39" s="681">
        <v>0</v>
      </c>
      <c r="H39" s="509">
        <f>Расчёт!G163</f>
        <v>0</v>
      </c>
      <c r="I39" s="510">
        <f>Расчёт!H163</f>
        <v>0</v>
      </c>
      <c r="J39" s="511">
        <f>Расчёт!I163</f>
        <v>0</v>
      </c>
      <c r="K39" s="512">
        <f t="shared" si="2"/>
        <v>0</v>
      </c>
      <c r="L39" s="2"/>
      <c r="M39" s="2"/>
      <c r="N39" s="2"/>
      <c r="O39" s="2"/>
      <c r="P39" s="2"/>
      <c r="Q39" s="2"/>
      <c r="R39" s="80"/>
      <c r="S39" s="80"/>
      <c r="T39" s="80"/>
      <c r="U39" s="80"/>
      <c r="V39" s="154">
        <f t="shared" si="0"/>
        <v>0</v>
      </c>
      <c r="W39" s="80"/>
      <c r="X39" s="80"/>
      <c r="Y39" s="80"/>
      <c r="Z39" s="155">
        <f t="shared" si="1"/>
        <v>0</v>
      </c>
      <c r="AA39" s="80"/>
      <c r="AB39" s="80"/>
    </row>
    <row r="40" spans="1:28" ht="15" customHeight="1" x14ac:dyDescent="0.2">
      <c r="A40" s="2"/>
      <c r="B40" s="493" t="str">
        <f>Расчёт!B164</f>
        <v>ЧАЙ</v>
      </c>
      <c r="C40" s="613" t="s">
        <v>163</v>
      </c>
      <c r="D40" s="640">
        <f>Цены!D40</f>
        <v>0</v>
      </c>
      <c r="E40" s="679">
        <v>0</v>
      </c>
      <c r="F40" s="680">
        <v>0</v>
      </c>
      <c r="G40" s="681">
        <v>0</v>
      </c>
      <c r="H40" s="643">
        <f>Расчёт!G164</f>
        <v>0</v>
      </c>
      <c r="I40" s="540">
        <f>Расчёт!H164</f>
        <v>0</v>
      </c>
      <c r="J40" s="617">
        <f>Расчёт!I164</f>
        <v>0</v>
      </c>
      <c r="K40" s="644">
        <f>ROUND(SUM(E40:J40),3)</f>
        <v>0</v>
      </c>
      <c r="L40" s="2"/>
      <c r="M40" s="2"/>
      <c r="N40" s="2"/>
      <c r="O40" s="2"/>
      <c r="P40" s="2"/>
      <c r="Q40" s="2"/>
      <c r="R40" s="80"/>
      <c r="S40" s="80"/>
      <c r="T40" s="80"/>
      <c r="U40" s="80"/>
      <c r="V40" s="154">
        <f t="shared" si="0"/>
        <v>0</v>
      </c>
      <c r="W40" s="80"/>
      <c r="X40" s="80"/>
      <c r="Y40" s="80"/>
      <c r="Z40" s="155">
        <f t="shared" si="1"/>
        <v>0</v>
      </c>
      <c r="AA40" s="80"/>
      <c r="AB40" s="80"/>
    </row>
    <row r="41" spans="1:28" ht="15" customHeight="1" x14ac:dyDescent="0.2">
      <c r="A41" s="2"/>
      <c r="B41" s="493" t="str">
        <f>Расчёт!B165</f>
        <v>КОФЕ НАТУРАЛЬНЫЙ</v>
      </c>
      <c r="C41" s="613" t="s">
        <v>163</v>
      </c>
      <c r="D41" s="640">
        <f>Цены!D41</f>
        <v>0</v>
      </c>
      <c r="E41" s="679">
        <v>0</v>
      </c>
      <c r="F41" s="680">
        <v>0</v>
      </c>
      <c r="G41" s="681">
        <v>0</v>
      </c>
      <c r="H41" s="643">
        <f>Расчёт!G165</f>
        <v>0</v>
      </c>
      <c r="I41" s="540">
        <f>Расчёт!H165</f>
        <v>0</v>
      </c>
      <c r="J41" s="617">
        <f>Расчёт!I165</f>
        <v>0</v>
      </c>
      <c r="K41" s="644">
        <f t="shared" ref="K41:K50" si="3">ROUND(SUM(E41:J41),3)</f>
        <v>0</v>
      </c>
      <c r="L41" s="2"/>
      <c r="M41" s="2"/>
      <c r="N41" s="2"/>
      <c r="O41" s="2"/>
      <c r="P41" s="2"/>
      <c r="Q41" s="2"/>
      <c r="R41" s="80"/>
      <c r="S41" s="80"/>
      <c r="T41" s="80"/>
      <c r="U41" s="80"/>
      <c r="V41" s="154">
        <f t="shared" si="0"/>
        <v>0</v>
      </c>
      <c r="W41" s="80"/>
      <c r="X41" s="80"/>
      <c r="Y41" s="80"/>
      <c r="Z41" s="155">
        <f t="shared" si="1"/>
        <v>0</v>
      </c>
      <c r="AA41" s="80"/>
      <c r="AB41" s="80"/>
    </row>
    <row r="42" spans="1:28" ht="15" customHeight="1" x14ac:dyDescent="0.2">
      <c r="A42" s="2"/>
      <c r="B42" s="493" t="str">
        <f>Расчёт!B166</f>
        <v>КОФЕЙНЫЙ НАПИТОК</v>
      </c>
      <c r="C42" s="613" t="s">
        <v>163</v>
      </c>
      <c r="D42" s="640">
        <f>Цены!D42</f>
        <v>0</v>
      </c>
      <c r="E42" s="679">
        <v>0</v>
      </c>
      <c r="F42" s="680">
        <v>0</v>
      </c>
      <c r="G42" s="681">
        <v>0</v>
      </c>
      <c r="H42" s="643">
        <f>Расчёт!G166</f>
        <v>0</v>
      </c>
      <c r="I42" s="540">
        <f>Расчёт!H166</f>
        <v>0</v>
      </c>
      <c r="J42" s="617">
        <f>Расчёт!I166</f>
        <v>0</v>
      </c>
      <c r="K42" s="644">
        <f>ROUND(SUM(E42:J42),3)</f>
        <v>0</v>
      </c>
      <c r="L42" s="2"/>
      <c r="M42" s="2"/>
      <c r="N42" s="2"/>
      <c r="O42" s="2"/>
      <c r="P42" s="2"/>
      <c r="Q42" s="2"/>
      <c r="R42" s="80"/>
      <c r="S42" s="80"/>
      <c r="T42" s="80"/>
      <c r="U42" s="80"/>
      <c r="V42" s="154"/>
      <c r="W42" s="80"/>
      <c r="X42" s="80"/>
      <c r="Y42" s="80"/>
      <c r="Z42" s="155">
        <f t="shared" si="1"/>
        <v>0</v>
      </c>
      <c r="AA42" s="80"/>
      <c r="AB42" s="80"/>
    </row>
    <row r="43" spans="1:28" ht="15" customHeight="1" x14ac:dyDescent="0.2">
      <c r="A43" s="2"/>
      <c r="B43" s="493" t="str">
        <f>Расчёт!B167</f>
        <v>ЛАВРОВЫЙ ЛИСТ</v>
      </c>
      <c r="C43" s="613" t="s">
        <v>163</v>
      </c>
      <c r="D43" s="640">
        <f>Цены!D43</f>
        <v>0</v>
      </c>
      <c r="E43" s="679">
        <v>0</v>
      </c>
      <c r="F43" s="680">
        <v>0</v>
      </c>
      <c r="G43" s="681">
        <v>0</v>
      </c>
      <c r="H43" s="643">
        <f>Расчёт!G167</f>
        <v>0</v>
      </c>
      <c r="I43" s="540">
        <f>Расчёт!H167</f>
        <v>0</v>
      </c>
      <c r="J43" s="617">
        <f>Расчёт!I167</f>
        <v>0</v>
      </c>
      <c r="K43" s="644">
        <f t="shared" si="3"/>
        <v>0</v>
      </c>
      <c r="L43" s="2"/>
      <c r="M43" s="2"/>
      <c r="N43" s="2"/>
      <c r="O43" s="2"/>
      <c r="P43" s="2"/>
      <c r="Q43" s="2"/>
      <c r="R43" s="80"/>
      <c r="S43" s="80"/>
      <c r="T43" s="80"/>
      <c r="U43" s="80"/>
      <c r="V43" s="154">
        <f t="shared" si="0"/>
        <v>0</v>
      </c>
      <c r="W43" s="80"/>
      <c r="X43" s="80"/>
      <c r="Y43" s="80"/>
      <c r="Z43" s="155">
        <f t="shared" si="1"/>
        <v>0</v>
      </c>
      <c r="AA43" s="80"/>
      <c r="AB43" s="80"/>
    </row>
    <row r="44" spans="1:28" ht="15" customHeight="1" x14ac:dyDescent="0.2">
      <c r="A44" s="2"/>
      <c r="B44" s="493" t="str">
        <f>Расчёт!B168</f>
        <v>ПЕРЕЦ</v>
      </c>
      <c r="C44" s="618" t="s">
        <v>163</v>
      </c>
      <c r="D44" s="640">
        <f>Цены!D44</f>
        <v>0</v>
      </c>
      <c r="E44" s="679">
        <v>0</v>
      </c>
      <c r="F44" s="680">
        <v>0</v>
      </c>
      <c r="G44" s="681">
        <v>0</v>
      </c>
      <c r="H44" s="645">
        <f>Расчёт!G168</f>
        <v>0</v>
      </c>
      <c r="I44" s="545">
        <f>Расчёт!H168</f>
        <v>0</v>
      </c>
      <c r="J44" s="619">
        <f>Расчёт!I168</f>
        <v>0</v>
      </c>
      <c r="K44" s="646">
        <f t="shared" si="3"/>
        <v>0</v>
      </c>
      <c r="L44" s="2"/>
      <c r="M44" s="2"/>
      <c r="N44" s="2"/>
      <c r="O44" s="2"/>
      <c r="P44" s="2"/>
      <c r="Q44" s="2"/>
      <c r="R44" s="80"/>
      <c r="S44" s="80"/>
      <c r="T44" s="80"/>
      <c r="U44" s="80"/>
      <c r="V44" s="154">
        <f t="shared" si="0"/>
        <v>0</v>
      </c>
      <c r="W44" s="80"/>
      <c r="X44" s="80"/>
      <c r="Y44" s="80"/>
      <c r="Z44" s="155">
        <f t="shared" si="1"/>
        <v>0</v>
      </c>
      <c r="AA44" s="80"/>
      <c r="AB44" s="80"/>
    </row>
    <row r="45" spans="1:28" ht="15" customHeight="1" x14ac:dyDescent="0.2">
      <c r="A45" s="2"/>
      <c r="B45" s="493" t="str">
        <f>Расчёт!B169</f>
        <v>ГОРЧИЧНЫЙ ПОРОШОК</v>
      </c>
      <c r="C45" s="618" t="s">
        <v>163</v>
      </c>
      <c r="D45" s="640">
        <f>Цены!D45</f>
        <v>0</v>
      </c>
      <c r="E45" s="679">
        <v>0</v>
      </c>
      <c r="F45" s="680">
        <v>0</v>
      </c>
      <c r="G45" s="681">
        <v>0</v>
      </c>
      <c r="H45" s="645">
        <f>Расчёт!G169</f>
        <v>0</v>
      </c>
      <c r="I45" s="545">
        <f>Расчёт!H169</f>
        <v>0</v>
      </c>
      <c r="J45" s="619">
        <f>Расчёт!I169</f>
        <v>0</v>
      </c>
      <c r="K45" s="646">
        <f t="shared" si="3"/>
        <v>0</v>
      </c>
      <c r="L45" s="2"/>
      <c r="M45" s="2"/>
      <c r="N45" s="2"/>
      <c r="O45" s="2"/>
      <c r="P45" s="2"/>
      <c r="Q45" s="2"/>
      <c r="R45" s="80"/>
      <c r="S45" s="80"/>
      <c r="T45" s="80"/>
      <c r="U45" s="80"/>
      <c r="V45" s="154">
        <f t="shared" si="0"/>
        <v>0</v>
      </c>
      <c r="W45" s="80"/>
      <c r="X45" s="80"/>
      <c r="Y45" s="80"/>
      <c r="Z45" s="155">
        <f t="shared" si="1"/>
        <v>0</v>
      </c>
      <c r="AA45" s="80"/>
      <c r="AB45" s="80"/>
    </row>
    <row r="46" spans="1:28" ht="15" customHeight="1" x14ac:dyDescent="0.2">
      <c r="A46" s="2"/>
      <c r="B46" s="493" t="str">
        <f>Расчёт!B170</f>
        <v>УКСУС</v>
      </c>
      <c r="C46" s="618" t="s">
        <v>163</v>
      </c>
      <c r="D46" s="640">
        <f>Цены!D46</f>
        <v>0</v>
      </c>
      <c r="E46" s="679">
        <v>0</v>
      </c>
      <c r="F46" s="680">
        <v>0</v>
      </c>
      <c r="G46" s="681">
        <v>0</v>
      </c>
      <c r="H46" s="645">
        <f>Расчёт!G170</f>
        <v>0</v>
      </c>
      <c r="I46" s="545">
        <f>Расчёт!H170</f>
        <v>0</v>
      </c>
      <c r="J46" s="619">
        <f>Расчёт!I170</f>
        <v>0</v>
      </c>
      <c r="K46" s="646">
        <f t="shared" si="3"/>
        <v>0</v>
      </c>
      <c r="L46" s="2"/>
      <c r="M46" s="2"/>
      <c r="N46" s="2"/>
      <c r="O46" s="2"/>
      <c r="P46" s="2"/>
      <c r="Q46" s="2"/>
      <c r="R46" s="80"/>
      <c r="S46" s="80"/>
      <c r="T46" s="80"/>
      <c r="U46" s="80"/>
      <c r="V46" s="154">
        <f t="shared" si="0"/>
        <v>0</v>
      </c>
      <c r="W46" s="80"/>
      <c r="X46" s="80"/>
      <c r="Y46" s="80"/>
      <c r="Z46" s="155">
        <f t="shared" si="1"/>
        <v>0</v>
      </c>
      <c r="AA46" s="80"/>
      <c r="AB46" s="80"/>
    </row>
    <row r="47" spans="1:28" ht="15" customHeight="1" x14ac:dyDescent="0.2">
      <c r="A47" s="2"/>
      <c r="B47" s="493" t="str">
        <f>Расчёт!B171</f>
        <v>ТОМАТНАЯ ПАСТА</v>
      </c>
      <c r="C47" s="613" t="s">
        <v>163</v>
      </c>
      <c r="D47" s="640">
        <f>Цены!D47</f>
        <v>0</v>
      </c>
      <c r="E47" s="679">
        <v>0</v>
      </c>
      <c r="F47" s="680">
        <v>0</v>
      </c>
      <c r="G47" s="681">
        <v>0</v>
      </c>
      <c r="H47" s="643">
        <f>Расчёт!G171+IF(AND(X1=7,'Блок ввода'!Z26=1),X2,0)</f>
        <v>0</v>
      </c>
      <c r="I47" s="540">
        <f>Расчёт!H171</f>
        <v>0</v>
      </c>
      <c r="J47" s="617">
        <f>Расчёт!I171</f>
        <v>0</v>
      </c>
      <c r="K47" s="644">
        <f t="shared" si="3"/>
        <v>0</v>
      </c>
      <c r="L47" s="2"/>
      <c r="M47" s="2"/>
      <c r="N47" s="2"/>
      <c r="O47" s="2"/>
      <c r="P47" s="2"/>
      <c r="Q47" s="2"/>
      <c r="R47" s="80"/>
      <c r="S47" s="80"/>
      <c r="T47" s="80"/>
      <c r="U47" s="80"/>
      <c r="V47" s="154">
        <f t="shared" si="0"/>
        <v>0</v>
      </c>
      <c r="W47" s="80"/>
      <c r="X47" s="80"/>
      <c r="Y47" s="80"/>
      <c r="Z47" s="155">
        <f t="shared" si="1"/>
        <v>0</v>
      </c>
      <c r="AA47" s="80"/>
      <c r="AB47" s="80"/>
    </row>
    <row r="48" spans="1:28" ht="15" customHeight="1" x14ac:dyDescent="0.2">
      <c r="A48" s="2"/>
      <c r="B48" s="493" t="str">
        <f>Расчёт!B172</f>
        <v>КАРАМЕЛЬ</v>
      </c>
      <c r="C48" s="613" t="s">
        <v>163</v>
      </c>
      <c r="D48" s="640">
        <f>Цены!D48</f>
        <v>0</v>
      </c>
      <c r="E48" s="679">
        <v>0</v>
      </c>
      <c r="F48" s="680">
        <v>0</v>
      </c>
      <c r="G48" s="681">
        <v>0</v>
      </c>
      <c r="H48" s="509">
        <f>Расчёт!G172</f>
        <v>0</v>
      </c>
      <c r="I48" s="510">
        <f>Расчёт!H172</f>
        <v>0</v>
      </c>
      <c r="J48" s="511">
        <f>Расчёт!I172+IF(AND(X1=8,'Блок ввода'!Z26=1),X2,0)</f>
        <v>0</v>
      </c>
      <c r="K48" s="644">
        <f t="shared" si="3"/>
        <v>0</v>
      </c>
      <c r="L48" s="2"/>
      <c r="M48" s="2"/>
      <c r="N48" s="2"/>
      <c r="O48" s="2"/>
      <c r="P48" s="2"/>
      <c r="Q48" s="2"/>
      <c r="R48" s="80"/>
      <c r="S48" s="80"/>
      <c r="T48" s="80"/>
      <c r="U48" s="80"/>
      <c r="V48" s="154">
        <f t="shared" si="0"/>
        <v>0</v>
      </c>
      <c r="W48" s="80"/>
      <c r="X48" s="80"/>
      <c r="Y48" s="80"/>
      <c r="Z48" s="155">
        <f t="shared" si="1"/>
        <v>0</v>
      </c>
      <c r="AA48" s="80"/>
      <c r="AB48" s="80"/>
    </row>
    <row r="49" spans="1:28" ht="15" customHeight="1" x14ac:dyDescent="0.2">
      <c r="A49" s="2"/>
      <c r="B49" s="493" t="str">
        <f>Расчёт!B173</f>
        <v>ЖЕЛАТИН</v>
      </c>
      <c r="C49" s="618" t="s">
        <v>163</v>
      </c>
      <c r="D49" s="640">
        <f>Цены!D49</f>
        <v>0</v>
      </c>
      <c r="E49" s="679">
        <v>0</v>
      </c>
      <c r="F49" s="680">
        <v>0</v>
      </c>
      <c r="G49" s="681">
        <v>0</v>
      </c>
      <c r="H49" s="509">
        <f>Расчёт!G173</f>
        <v>0</v>
      </c>
      <c r="I49" s="510">
        <f>Расчёт!H173</f>
        <v>0</v>
      </c>
      <c r="J49" s="511">
        <f>Расчёт!I173</f>
        <v>0</v>
      </c>
      <c r="K49" s="644">
        <f t="shared" si="3"/>
        <v>0</v>
      </c>
      <c r="L49" s="2"/>
      <c r="M49" s="2"/>
      <c r="N49" s="2"/>
      <c r="O49" s="2"/>
      <c r="P49" s="2"/>
      <c r="Q49" s="2"/>
      <c r="R49" s="80"/>
      <c r="S49" s="80"/>
      <c r="T49" s="80"/>
      <c r="U49" s="80"/>
      <c r="V49" s="154">
        <f t="shared" si="0"/>
        <v>0</v>
      </c>
      <c r="W49" s="80"/>
      <c r="X49" s="80"/>
      <c r="Y49" s="80"/>
      <c r="Z49" s="155">
        <f t="shared" si="1"/>
        <v>0</v>
      </c>
      <c r="AA49" s="80"/>
      <c r="AB49" s="80"/>
    </row>
    <row r="50" spans="1:28" ht="15" customHeight="1" thickBot="1" x14ac:dyDescent="0.25">
      <c r="A50" s="2"/>
      <c r="B50" s="548" t="str">
        <f>Расчёт!B174</f>
        <v>ДРОЖЖИ ПРЕСОВАННЫЕ</v>
      </c>
      <c r="C50" s="620" t="s">
        <v>163</v>
      </c>
      <c r="D50" s="1244">
        <f>Цены!D50</f>
        <v>0</v>
      </c>
      <c r="E50" s="685">
        <v>0</v>
      </c>
      <c r="F50" s="686">
        <v>0</v>
      </c>
      <c r="G50" s="687">
        <v>0</v>
      </c>
      <c r="H50" s="515">
        <f>Расчёт!G174</f>
        <v>0</v>
      </c>
      <c r="I50" s="624">
        <f>Расчёт!H174</f>
        <v>0</v>
      </c>
      <c r="J50" s="625">
        <f>Расчёт!I174</f>
        <v>0</v>
      </c>
      <c r="K50" s="651">
        <f t="shared" si="3"/>
        <v>0</v>
      </c>
      <c r="L50" s="2"/>
      <c r="M50" s="2"/>
      <c r="N50" s="2"/>
      <c r="O50" s="2"/>
      <c r="P50" s="2"/>
      <c r="Q50" s="2"/>
      <c r="R50" s="80"/>
      <c r="S50" s="80"/>
      <c r="T50" s="80"/>
      <c r="U50" s="80"/>
      <c r="V50" s="154">
        <f t="shared" si="0"/>
        <v>0</v>
      </c>
      <c r="W50" s="80"/>
      <c r="X50" s="80"/>
      <c r="Y50" s="80"/>
      <c r="Z50" s="155">
        <f t="shared" si="1"/>
        <v>0</v>
      </c>
      <c r="AA50" s="80"/>
      <c r="AB50" s="80"/>
    </row>
    <row r="51" spans="1:28" ht="15" customHeight="1" x14ac:dyDescent="0.2">
      <c r="A51" s="2"/>
      <c r="B51" s="521" t="str">
        <f>Расчёт!B175</f>
        <v>КАРТОФЕЛЬ</v>
      </c>
      <c r="C51" s="610" t="s">
        <v>163</v>
      </c>
      <c r="D51" s="506">
        <f>Цены!D51</f>
        <v>0</v>
      </c>
      <c r="E51" s="1251">
        <v>0</v>
      </c>
      <c r="F51" s="688">
        <v>0</v>
      </c>
      <c r="G51" s="689">
        <v>0</v>
      </c>
      <c r="H51" s="554">
        <f>Расчёт!G175</f>
        <v>0</v>
      </c>
      <c r="I51" s="628">
        <f>Расчёт!H175</f>
        <v>0</v>
      </c>
      <c r="J51" s="629">
        <f>Расчёт!I175</f>
        <v>0</v>
      </c>
      <c r="K51" s="652">
        <f t="shared" si="2"/>
        <v>0</v>
      </c>
      <c r="L51" s="2"/>
      <c r="M51" s="2"/>
      <c r="N51" s="2"/>
      <c r="O51" s="2"/>
      <c r="P51" s="2"/>
      <c r="Q51" s="2"/>
      <c r="R51" s="80"/>
      <c r="S51" s="80"/>
      <c r="T51" s="80"/>
      <c r="U51" s="80"/>
      <c r="V51" s="154">
        <f t="shared" si="0"/>
        <v>0</v>
      </c>
      <c r="W51" s="80"/>
      <c r="X51" s="80"/>
      <c r="Y51" s="80"/>
      <c r="Z51" s="155">
        <f t="shared" si="1"/>
        <v>0</v>
      </c>
      <c r="AA51" s="80"/>
      <c r="AB51" s="80"/>
    </row>
    <row r="52" spans="1:28" ht="15" customHeight="1" x14ac:dyDescent="0.2">
      <c r="A52" s="2"/>
      <c r="B52" s="523" t="str">
        <f>Расчёт!B176</f>
        <v xml:space="preserve">КАПУСТА  </v>
      </c>
      <c r="C52" s="613" t="s">
        <v>163</v>
      </c>
      <c r="D52" s="640">
        <f>Цены!D52</f>
        <v>0</v>
      </c>
      <c r="E52" s="682">
        <v>0</v>
      </c>
      <c r="F52" s="683">
        <v>0</v>
      </c>
      <c r="G52" s="684">
        <v>0</v>
      </c>
      <c r="H52" s="558">
        <f>Расчёт!G176</f>
        <v>0</v>
      </c>
      <c r="I52" s="562">
        <f>Расчёт!H176</f>
        <v>0</v>
      </c>
      <c r="J52" s="630">
        <f>Расчёт!I176</f>
        <v>0</v>
      </c>
      <c r="K52" s="653">
        <f t="shared" si="2"/>
        <v>0</v>
      </c>
      <c r="L52" s="2"/>
      <c r="M52" s="2"/>
      <c r="N52" s="2"/>
      <c r="O52" s="2"/>
      <c r="P52" s="2"/>
      <c r="Q52" s="2"/>
      <c r="R52" s="80"/>
      <c r="S52" s="80"/>
      <c r="T52" s="80"/>
      <c r="U52" s="80"/>
      <c r="V52" s="154">
        <f t="shared" si="0"/>
        <v>0</v>
      </c>
      <c r="W52" s="80"/>
      <c r="X52" s="80"/>
      <c r="Y52" s="80"/>
      <c r="Z52" s="155">
        <f t="shared" si="1"/>
        <v>0</v>
      </c>
      <c r="AA52" s="80"/>
      <c r="AB52" s="80"/>
    </row>
    <row r="53" spans="1:28" ht="15" customHeight="1" x14ac:dyDescent="0.2">
      <c r="A53" s="2"/>
      <c r="B53" s="523" t="str">
        <f>Расчёт!B177</f>
        <v>СВЕКЛА</v>
      </c>
      <c r="C53" s="613" t="s">
        <v>163</v>
      </c>
      <c r="D53" s="640">
        <f>Цены!D53</f>
        <v>0</v>
      </c>
      <c r="E53" s="682">
        <v>0</v>
      </c>
      <c r="F53" s="683">
        <v>0</v>
      </c>
      <c r="G53" s="684">
        <v>0</v>
      </c>
      <c r="H53" s="558">
        <f>Расчёт!G177</f>
        <v>0</v>
      </c>
      <c r="I53" s="562">
        <f>Расчёт!H177</f>
        <v>0</v>
      </c>
      <c r="J53" s="630">
        <f>Расчёт!I177</f>
        <v>0</v>
      </c>
      <c r="K53" s="653">
        <f t="shared" si="2"/>
        <v>0</v>
      </c>
      <c r="L53" s="2"/>
      <c r="M53" s="2"/>
      <c r="N53" s="2"/>
      <c r="O53" s="2"/>
      <c r="P53" s="2"/>
      <c r="Q53" s="2"/>
      <c r="R53" s="80"/>
      <c r="S53" s="80"/>
      <c r="T53" s="80"/>
      <c r="U53" s="80"/>
      <c r="V53" s="154">
        <f t="shared" si="0"/>
        <v>0</v>
      </c>
      <c r="W53" s="80"/>
      <c r="X53" s="80"/>
      <c r="Y53" s="80"/>
      <c r="Z53" s="155">
        <f t="shared" si="1"/>
        <v>0</v>
      </c>
      <c r="AA53" s="80"/>
      <c r="AB53" s="80"/>
    </row>
    <row r="54" spans="1:28" ht="15" customHeight="1" x14ac:dyDescent="0.2">
      <c r="A54" s="2"/>
      <c r="B54" s="523" t="str">
        <f>Расчёт!B178</f>
        <v>МОРКОВЬ</v>
      </c>
      <c r="C54" s="613" t="s">
        <v>163</v>
      </c>
      <c r="D54" s="640">
        <f>Цены!D54</f>
        <v>0</v>
      </c>
      <c r="E54" s="682">
        <v>0</v>
      </c>
      <c r="F54" s="683">
        <v>0</v>
      </c>
      <c r="G54" s="684">
        <v>0</v>
      </c>
      <c r="H54" s="558">
        <f>Расчёт!G178</f>
        <v>0</v>
      </c>
      <c r="I54" s="562">
        <f>Расчёт!H178</f>
        <v>0</v>
      </c>
      <c r="J54" s="630">
        <f>Расчёт!I178</f>
        <v>0</v>
      </c>
      <c r="K54" s="653">
        <f t="shared" si="2"/>
        <v>0</v>
      </c>
      <c r="L54" s="2"/>
      <c r="M54" s="2"/>
      <c r="N54" s="2"/>
      <c r="O54" s="2"/>
      <c r="P54" s="2"/>
      <c r="Q54" s="2"/>
      <c r="R54" s="80"/>
      <c r="S54" s="80"/>
      <c r="T54" s="80"/>
      <c r="U54" s="80"/>
      <c r="V54" s="154">
        <f t="shared" si="0"/>
        <v>0</v>
      </c>
      <c r="W54" s="80"/>
      <c r="X54" s="80"/>
      <c r="Y54" s="80"/>
      <c r="Z54" s="155">
        <f t="shared" si="1"/>
        <v>0</v>
      </c>
      <c r="AA54" s="80"/>
      <c r="AB54" s="80"/>
    </row>
    <row r="55" spans="1:28" ht="15" customHeight="1" x14ac:dyDescent="0.2">
      <c r="A55" s="2"/>
      <c r="B55" s="523" t="str">
        <f>Расчёт!B179</f>
        <v>ЛУК РЕПЧАТЫЙ</v>
      </c>
      <c r="C55" s="613" t="s">
        <v>163</v>
      </c>
      <c r="D55" s="640">
        <f>Цены!D55</f>
        <v>0</v>
      </c>
      <c r="E55" s="682">
        <v>0</v>
      </c>
      <c r="F55" s="683">
        <v>0</v>
      </c>
      <c r="G55" s="684">
        <v>0</v>
      </c>
      <c r="H55" s="558">
        <f>Расчёт!G179</f>
        <v>0</v>
      </c>
      <c r="I55" s="562">
        <f>Расчёт!H179</f>
        <v>0</v>
      </c>
      <c r="J55" s="630">
        <f>Расчёт!I179</f>
        <v>0</v>
      </c>
      <c r="K55" s="653">
        <f t="shared" si="2"/>
        <v>0</v>
      </c>
      <c r="L55" s="2"/>
      <c r="M55" s="2"/>
      <c r="N55" s="2"/>
      <c r="O55" s="2"/>
      <c r="P55" s="2"/>
      <c r="Q55" s="2"/>
      <c r="R55" s="80"/>
      <c r="S55" s="80"/>
      <c r="T55" s="80"/>
      <c r="U55" s="80"/>
      <c r="V55" s="154">
        <f t="shared" si="0"/>
        <v>0</v>
      </c>
      <c r="W55" s="80"/>
      <c r="X55" s="80"/>
      <c r="Y55" s="80"/>
      <c r="Z55" s="155">
        <f t="shared" si="1"/>
        <v>0</v>
      </c>
      <c r="AA55" s="80"/>
      <c r="AB55" s="80"/>
    </row>
    <row r="56" spans="1:28" ht="15" customHeight="1" x14ac:dyDescent="0.2">
      <c r="A56" s="2"/>
      <c r="B56" s="523" t="s">
        <v>268</v>
      </c>
      <c r="C56" s="613" t="s">
        <v>163</v>
      </c>
      <c r="D56" s="640">
        <f>Цены!D56</f>
        <v>0</v>
      </c>
      <c r="E56" s="682">
        <v>0</v>
      </c>
      <c r="F56" s="683">
        <v>0</v>
      </c>
      <c r="G56" s="684">
        <v>0</v>
      </c>
      <c r="H56" s="558">
        <f>Расчёт!G180</f>
        <v>0</v>
      </c>
      <c r="I56" s="510">
        <f>Расчёт!H180</f>
        <v>0</v>
      </c>
      <c r="J56" s="511">
        <f>Расчёт!I180</f>
        <v>0</v>
      </c>
      <c r="K56" s="512">
        <f t="shared" si="2"/>
        <v>0</v>
      </c>
      <c r="L56" s="2"/>
      <c r="M56" s="2"/>
      <c r="N56" s="2"/>
      <c r="O56" s="2"/>
      <c r="P56" s="2"/>
      <c r="Q56" s="2"/>
      <c r="R56" s="80"/>
      <c r="S56" s="80"/>
      <c r="T56" s="80"/>
      <c r="U56" s="80"/>
      <c r="V56" s="154">
        <f t="shared" si="0"/>
        <v>0</v>
      </c>
      <c r="W56" s="80"/>
      <c r="X56" s="80"/>
      <c r="Y56" s="80"/>
      <c r="Z56" s="155">
        <f t="shared" si="1"/>
        <v>0</v>
      </c>
      <c r="AA56" s="80"/>
      <c r="AB56" s="80"/>
    </row>
    <row r="57" spans="1:28" ht="15" customHeight="1" x14ac:dyDescent="0.2">
      <c r="A57" s="2"/>
      <c r="B57" s="523" t="s">
        <v>269</v>
      </c>
      <c r="C57" s="613" t="s">
        <v>163</v>
      </c>
      <c r="D57" s="640">
        <f>Цены!D57</f>
        <v>0</v>
      </c>
      <c r="E57" s="679">
        <v>0</v>
      </c>
      <c r="F57" s="680">
        <v>0</v>
      </c>
      <c r="G57" s="681">
        <v>0</v>
      </c>
      <c r="H57" s="558">
        <f>Расчёт!G181</f>
        <v>0</v>
      </c>
      <c r="I57" s="510">
        <f>Расчёт!H181</f>
        <v>0</v>
      </c>
      <c r="J57" s="511">
        <f>Расчёт!I181</f>
        <v>0</v>
      </c>
      <c r="K57" s="512">
        <f t="shared" si="2"/>
        <v>0</v>
      </c>
      <c r="L57" s="2"/>
      <c r="M57" s="2"/>
      <c r="N57" s="2"/>
      <c r="O57" s="2"/>
      <c r="P57" s="2"/>
      <c r="Q57" s="2"/>
      <c r="R57" s="80"/>
      <c r="S57" s="80"/>
      <c r="T57" s="80"/>
      <c r="U57" s="80"/>
      <c r="V57" s="154">
        <f t="shared" si="0"/>
        <v>0</v>
      </c>
      <c r="W57" s="80"/>
      <c r="X57" s="80"/>
      <c r="Y57" s="80"/>
      <c r="Z57" s="155">
        <f t="shared" si="1"/>
        <v>0</v>
      </c>
      <c r="AA57" s="80"/>
      <c r="AB57" s="80"/>
    </row>
    <row r="58" spans="1:28" ht="15" customHeight="1" thickBot="1" x14ac:dyDescent="0.25">
      <c r="A58" s="2"/>
      <c r="B58" s="525" t="str">
        <f>Расчёт!B182</f>
        <v>КАБАЧКИ</v>
      </c>
      <c r="C58" s="620" t="s">
        <v>163</v>
      </c>
      <c r="D58" s="1244">
        <f>Цены!D58</f>
        <v>0</v>
      </c>
      <c r="E58" s="1252">
        <v>0</v>
      </c>
      <c r="F58" s="690">
        <v>0</v>
      </c>
      <c r="G58" s="691">
        <v>0</v>
      </c>
      <c r="H58" s="564">
        <f>Расчёт!G182</f>
        <v>0</v>
      </c>
      <c r="I58" s="565">
        <f>Расчёт!H182</f>
        <v>0</v>
      </c>
      <c r="J58" s="632">
        <f>Расчёт!I182</f>
        <v>0</v>
      </c>
      <c r="K58" s="654">
        <f>SUM(E58:J58)</f>
        <v>0</v>
      </c>
      <c r="L58" s="2"/>
      <c r="M58" s="2"/>
      <c r="N58" s="2"/>
      <c r="O58" s="2"/>
      <c r="P58" s="2"/>
      <c r="Q58" s="2"/>
      <c r="R58" s="80"/>
      <c r="S58" s="80"/>
      <c r="T58" s="80"/>
      <c r="U58" s="80"/>
      <c r="V58" s="154"/>
      <c r="W58" s="80"/>
      <c r="X58" s="80"/>
      <c r="Y58" s="80"/>
      <c r="Z58" s="155">
        <f t="shared" si="1"/>
        <v>0</v>
      </c>
      <c r="AA58" s="80"/>
      <c r="AB58" s="80"/>
    </row>
    <row r="59" spans="1:28" ht="15" customHeight="1" x14ac:dyDescent="0.2">
      <c r="A59" s="2"/>
      <c r="B59" s="505" t="str">
        <f>Расчёт!B183</f>
        <v>ФРУКТЫ СУШЁНЫЕ</v>
      </c>
      <c r="C59" s="610" t="s">
        <v>163</v>
      </c>
      <c r="D59" s="506">
        <f>Цены!D59</f>
        <v>0</v>
      </c>
      <c r="E59" s="694">
        <v>0</v>
      </c>
      <c r="F59" s="669">
        <v>0</v>
      </c>
      <c r="G59" s="670">
        <v>0</v>
      </c>
      <c r="H59" s="489">
        <f>Расчёт!G183</f>
        <v>0</v>
      </c>
      <c r="I59" s="490">
        <f>Расчёт!H183</f>
        <v>0</v>
      </c>
      <c r="J59" s="491">
        <f>Расчёт!I183</f>
        <v>0</v>
      </c>
      <c r="K59" s="522">
        <f t="shared" si="2"/>
        <v>0</v>
      </c>
      <c r="L59" s="2"/>
      <c r="M59" s="2"/>
      <c r="N59" s="2"/>
      <c r="O59" s="2"/>
      <c r="P59" s="2"/>
      <c r="Q59" s="2"/>
      <c r="R59" s="80"/>
      <c r="S59" s="80"/>
      <c r="T59" s="80"/>
      <c r="U59" s="80"/>
      <c r="V59" s="154">
        <f t="shared" si="0"/>
        <v>0</v>
      </c>
      <c r="W59" s="80"/>
      <c r="X59" s="80"/>
      <c r="Y59" s="80"/>
      <c r="Z59" s="155">
        <f t="shared" si="1"/>
        <v>0</v>
      </c>
      <c r="AA59" s="80"/>
      <c r="AB59" s="80"/>
    </row>
    <row r="60" spans="1:28" ht="15" customHeight="1" x14ac:dyDescent="0.2">
      <c r="A60" s="2"/>
      <c r="B60" s="570" t="str">
        <f>Расчёт!B184</f>
        <v>КИСЕЛЬ ПЛОДОВЫЙ ИЛИ ЯГОДНЫЙ</v>
      </c>
      <c r="C60" s="613" t="s">
        <v>163</v>
      </c>
      <c r="D60" s="640">
        <f>Цены!D60</f>
        <v>0</v>
      </c>
      <c r="E60" s="662">
        <v>0</v>
      </c>
      <c r="F60" s="614">
        <v>0</v>
      </c>
      <c r="G60" s="681">
        <v>0</v>
      </c>
      <c r="H60" s="509">
        <f>Расчёт!G184</f>
        <v>0</v>
      </c>
      <c r="I60" s="510">
        <f>Расчёт!H184</f>
        <v>0</v>
      </c>
      <c r="J60" s="511">
        <f>Расчёт!I184</f>
        <v>0</v>
      </c>
      <c r="K60" s="512">
        <f t="shared" si="2"/>
        <v>0</v>
      </c>
      <c r="L60" s="2"/>
      <c r="M60" s="2"/>
      <c r="N60" s="2"/>
      <c r="O60" s="2"/>
      <c r="P60" s="2"/>
      <c r="Q60" s="2"/>
      <c r="R60" s="80"/>
      <c r="S60" s="80"/>
      <c r="T60" s="80"/>
      <c r="U60" s="80"/>
      <c r="V60" s="154">
        <f t="shared" si="0"/>
        <v>0</v>
      </c>
      <c r="W60" s="80"/>
      <c r="X60" s="80"/>
      <c r="Y60" s="80"/>
      <c r="Z60" s="155">
        <f t="shared" si="1"/>
        <v>0</v>
      </c>
      <c r="AA60" s="80"/>
      <c r="AB60" s="80"/>
    </row>
    <row r="61" spans="1:28" ht="15" customHeight="1" x14ac:dyDescent="0.2">
      <c r="A61" s="2"/>
      <c r="B61" s="570" t="str">
        <f>Расчёт!B185</f>
        <v>АПЕЛЬСИНЫ</v>
      </c>
      <c r="C61" s="613" t="s">
        <v>163</v>
      </c>
      <c r="D61" s="640">
        <f>Цены!D61</f>
        <v>0</v>
      </c>
      <c r="E61" s="679">
        <v>0</v>
      </c>
      <c r="F61" s="680">
        <v>0</v>
      </c>
      <c r="G61" s="681">
        <v>0</v>
      </c>
      <c r="H61" s="509">
        <f>Расчёт!G185</f>
        <v>0</v>
      </c>
      <c r="I61" s="510">
        <f>Расчёт!H185</f>
        <v>0</v>
      </c>
      <c r="J61" s="511">
        <f>Расчёт!I185</f>
        <v>0</v>
      </c>
      <c r="K61" s="512">
        <f t="shared" si="2"/>
        <v>0</v>
      </c>
      <c r="L61" s="2"/>
      <c r="M61" s="2"/>
      <c r="N61" s="2"/>
      <c r="O61" s="2"/>
      <c r="P61" s="2"/>
      <c r="Q61" s="2"/>
      <c r="R61" s="80"/>
      <c r="S61" s="80"/>
      <c r="T61" s="80"/>
      <c r="U61" s="80"/>
      <c r="V61" s="154">
        <f t="shared" si="0"/>
        <v>0</v>
      </c>
      <c r="W61" s="80"/>
      <c r="X61" s="80"/>
      <c r="Y61" s="80"/>
      <c r="Z61" s="155">
        <f t="shared" si="1"/>
        <v>0</v>
      </c>
      <c r="AA61" s="80"/>
      <c r="AB61" s="80"/>
    </row>
    <row r="62" spans="1:28" ht="15" customHeight="1" x14ac:dyDescent="0.2">
      <c r="A62" s="2"/>
      <c r="B62" s="570" t="str">
        <f>Расчёт!B186</f>
        <v>СОК</v>
      </c>
      <c r="C62" s="613" t="s">
        <v>163</v>
      </c>
      <c r="D62" s="640">
        <f>Цены!D62</f>
        <v>0</v>
      </c>
      <c r="E62" s="679">
        <v>0</v>
      </c>
      <c r="F62" s="680">
        <v>0</v>
      </c>
      <c r="G62" s="681">
        <v>0</v>
      </c>
      <c r="H62" s="509">
        <f>Расчёт!G186</f>
        <v>0</v>
      </c>
      <c r="I62" s="510">
        <f>Расчёт!H186</f>
        <v>0</v>
      </c>
      <c r="J62" s="511">
        <f>Расчёт!I186</f>
        <v>0</v>
      </c>
      <c r="K62" s="512">
        <f t="shared" si="2"/>
        <v>0</v>
      </c>
      <c r="L62" s="2"/>
      <c r="M62" s="2"/>
      <c r="N62" s="2"/>
      <c r="O62" s="2"/>
      <c r="P62" s="2"/>
      <c r="Q62" s="2"/>
      <c r="R62" s="80"/>
      <c r="S62" s="80"/>
      <c r="T62" s="80"/>
      <c r="U62" s="80"/>
      <c r="V62" s="154">
        <f t="shared" si="0"/>
        <v>0</v>
      </c>
      <c r="W62" s="80"/>
      <c r="X62" s="80"/>
      <c r="Y62" s="80"/>
      <c r="Z62" s="155">
        <f t="shared" si="1"/>
        <v>0</v>
      </c>
      <c r="AA62" s="80"/>
      <c r="AB62" s="80"/>
    </row>
    <row r="63" spans="1:28" ht="15" customHeight="1" x14ac:dyDescent="0.2">
      <c r="A63" s="2"/>
      <c r="B63" s="570" t="str">
        <f>Расчёт!B187</f>
        <v>ПОВИДЛО, ВАРЕНЬЕ</v>
      </c>
      <c r="C63" s="613" t="s">
        <v>163</v>
      </c>
      <c r="D63" s="640">
        <f>Цены!D63</f>
        <v>0</v>
      </c>
      <c r="E63" s="679">
        <v>0</v>
      </c>
      <c r="F63" s="680">
        <v>0</v>
      </c>
      <c r="G63" s="681">
        <v>0</v>
      </c>
      <c r="H63" s="509">
        <f>Расчёт!G187</f>
        <v>0</v>
      </c>
      <c r="I63" s="510">
        <f>Расчёт!H187</f>
        <v>0</v>
      </c>
      <c r="J63" s="511">
        <f>Расчёт!I187</f>
        <v>0</v>
      </c>
      <c r="K63" s="512">
        <f t="shared" si="2"/>
        <v>0</v>
      </c>
      <c r="L63" s="2"/>
      <c r="M63" s="2"/>
      <c r="N63" s="2"/>
      <c r="O63" s="2"/>
      <c r="P63" s="2"/>
      <c r="Q63" s="2"/>
      <c r="R63" s="80"/>
      <c r="S63" s="80"/>
      <c r="T63" s="80"/>
      <c r="U63" s="80"/>
      <c r="V63" s="154">
        <f t="shared" si="0"/>
        <v>0</v>
      </c>
      <c r="W63" s="80"/>
      <c r="X63" s="80"/>
      <c r="Y63" s="80"/>
      <c r="Z63" s="155">
        <f t="shared" si="1"/>
        <v>0</v>
      </c>
      <c r="AA63" s="80"/>
      <c r="AB63" s="80"/>
    </row>
    <row r="64" spans="1:28" ht="15" customHeight="1" x14ac:dyDescent="0.2">
      <c r="A64" s="2"/>
      <c r="B64" s="570" t="str">
        <f>Расчёт!B188</f>
        <v>КОМПОТ КОНС.</v>
      </c>
      <c r="C64" s="618" t="s">
        <v>163</v>
      </c>
      <c r="D64" s="640">
        <f>Цены!D64</f>
        <v>0</v>
      </c>
      <c r="E64" s="679">
        <v>0</v>
      </c>
      <c r="F64" s="680">
        <v>0</v>
      </c>
      <c r="G64" s="681">
        <v>0</v>
      </c>
      <c r="H64" s="589">
        <f>Расчёт!G188</f>
        <v>0</v>
      </c>
      <c r="I64" s="587">
        <f>Расчёт!H188</f>
        <v>0</v>
      </c>
      <c r="J64" s="591">
        <f>Расчёт!I188</f>
        <v>0</v>
      </c>
      <c r="K64" s="692">
        <f t="shared" si="2"/>
        <v>0</v>
      </c>
      <c r="L64" s="2"/>
      <c r="M64" s="2"/>
      <c r="N64" s="2"/>
      <c r="O64" s="2"/>
      <c r="P64" s="2"/>
      <c r="Q64" s="2"/>
      <c r="R64" s="80"/>
      <c r="S64" s="80"/>
      <c r="T64" s="80"/>
      <c r="U64" s="80"/>
      <c r="V64" s="154">
        <f t="shared" si="0"/>
        <v>0</v>
      </c>
      <c r="W64" s="80"/>
      <c r="X64" s="80"/>
      <c r="Y64" s="80"/>
      <c r="Z64" s="155">
        <f t="shared" si="1"/>
        <v>0</v>
      </c>
      <c r="AA64" s="80"/>
      <c r="AB64" s="80"/>
    </row>
    <row r="65" spans="1:28" ht="15" customHeight="1" thickBot="1" x14ac:dyDescent="0.25">
      <c r="A65" s="2"/>
      <c r="B65" s="513" t="str">
        <f>Расчёт!B189</f>
        <v>КОНСЕРВЫ ОВ. ЗАКУС.</v>
      </c>
      <c r="C65" s="719" t="s">
        <v>163</v>
      </c>
      <c r="D65" s="1244">
        <f>Цены!D65</f>
        <v>0</v>
      </c>
      <c r="E65" s="1252">
        <v>0</v>
      </c>
      <c r="F65" s="690">
        <v>0</v>
      </c>
      <c r="G65" s="691">
        <v>0</v>
      </c>
      <c r="H65" s="595">
        <f>Расчёт!G189</f>
        <v>0</v>
      </c>
      <c r="I65" s="693">
        <f>Расчёт!H189</f>
        <v>0</v>
      </c>
      <c r="J65" s="597">
        <f>Расчёт!I189</f>
        <v>0</v>
      </c>
      <c r="K65" s="1230">
        <f>SUM(E65:J65)</f>
        <v>0</v>
      </c>
      <c r="L65" s="2"/>
      <c r="M65" s="2"/>
      <c r="N65" s="2"/>
      <c r="O65" s="2"/>
      <c r="P65" s="2"/>
      <c r="Q65" s="2"/>
      <c r="R65" s="80"/>
      <c r="S65" s="80"/>
      <c r="T65" s="80"/>
      <c r="U65" s="80"/>
      <c r="V65" s="154">
        <f t="shared" si="0"/>
        <v>0</v>
      </c>
      <c r="W65" s="80"/>
      <c r="X65" s="80"/>
      <c r="Y65" s="80"/>
      <c r="Z65" s="155">
        <f t="shared" si="1"/>
        <v>0</v>
      </c>
      <c r="AA65" s="80"/>
      <c r="AB65" s="80"/>
    </row>
    <row r="66" spans="1:28" ht="15" customHeight="1" x14ac:dyDescent="0.2">
      <c r="A66" s="2"/>
      <c r="B66" s="575" t="str">
        <f>IF(K66&gt;0,B9,"")</f>
        <v/>
      </c>
      <c r="C66" s="610" t="s">
        <v>163</v>
      </c>
      <c r="D66" s="506">
        <f>Цены!D66</f>
        <v>0</v>
      </c>
      <c r="E66" s="1561" t="str">
        <f>IF(K66&gt;0,"ЭКОНОМИЯ","")</f>
        <v/>
      </c>
      <c r="F66" s="1561"/>
      <c r="G66" s="1561"/>
      <c r="H66" s="1561"/>
      <c r="I66" s="1561"/>
      <c r="J66" s="1609"/>
      <c r="K66" s="655">
        <v>0</v>
      </c>
      <c r="L66" s="2"/>
      <c r="M66" s="2"/>
      <c r="N66" s="2"/>
      <c r="O66" s="2"/>
      <c r="P66" s="2"/>
      <c r="Q66" s="2"/>
      <c r="R66" s="80"/>
      <c r="S66" s="80"/>
      <c r="T66" s="80"/>
      <c r="U66" s="80"/>
      <c r="V66" s="154">
        <f t="shared" si="0"/>
        <v>0</v>
      </c>
      <c r="W66" s="80"/>
      <c r="X66" s="80"/>
      <c r="Y66" s="80"/>
      <c r="Z66" s="155">
        <f t="shared" si="1"/>
        <v>0</v>
      </c>
      <c r="AA66" s="80"/>
      <c r="AB66" s="80"/>
    </row>
    <row r="67" spans="1:28" ht="15" customHeight="1" thickBot="1" x14ac:dyDescent="0.25">
      <c r="A67" s="2"/>
      <c r="B67" s="577" t="str">
        <f>IF(K67&gt;0,B10,"")</f>
        <v/>
      </c>
      <c r="C67" s="647" t="s">
        <v>163</v>
      </c>
      <c r="D67" s="1244">
        <f>Цены!D67</f>
        <v>0</v>
      </c>
      <c r="E67" s="1564" t="str">
        <f>IF(K67&gt;0,"ЭКОНОМИЯ","")</f>
        <v/>
      </c>
      <c r="F67" s="1564"/>
      <c r="G67" s="1564"/>
      <c r="H67" s="1565"/>
      <c r="I67" s="1565"/>
      <c r="J67" s="1566"/>
      <c r="K67" s="656">
        <v>0</v>
      </c>
      <c r="L67" s="2"/>
      <c r="M67" s="2"/>
      <c r="N67" s="2"/>
      <c r="O67" s="2"/>
      <c r="P67" s="2"/>
      <c r="Q67" s="2"/>
      <c r="R67" s="80"/>
      <c r="S67" s="80"/>
      <c r="T67" s="80"/>
      <c r="U67" s="80"/>
      <c r="V67" s="154">
        <f t="shared" si="0"/>
        <v>0</v>
      </c>
      <c r="W67" s="80"/>
      <c r="X67" s="80"/>
      <c r="Y67" s="80"/>
      <c r="Z67" s="155">
        <f t="shared" si="1"/>
        <v>0</v>
      </c>
      <c r="AA67" s="80"/>
      <c r="AB67" s="80"/>
    </row>
    <row r="68" spans="1:28" ht="15" customHeight="1" x14ac:dyDescent="0.2">
      <c r="A68" s="2"/>
      <c r="B68" s="505" t="str">
        <f>Расчёт!B192</f>
        <v>ЧЕСНОК</v>
      </c>
      <c r="C68" s="610" t="s">
        <v>163</v>
      </c>
      <c r="D68" s="506">
        <f>Цены!D68</f>
        <v>0</v>
      </c>
      <c r="E68" s="694">
        <v>0</v>
      </c>
      <c r="F68" s="669">
        <v>0</v>
      </c>
      <c r="G68" s="695">
        <v>0</v>
      </c>
      <c r="H68" s="582">
        <f>Расчёт!G192</f>
        <v>0</v>
      </c>
      <c r="I68" s="490">
        <f>Расчёт!H192</f>
        <v>0</v>
      </c>
      <c r="J68" s="584">
        <f>Расчёт!I189</f>
        <v>0</v>
      </c>
      <c r="K68" s="492">
        <f>SUM(E68:J68)</f>
        <v>0</v>
      </c>
      <c r="L68" s="2"/>
      <c r="M68" s="2"/>
      <c r="N68" s="2"/>
      <c r="O68" s="2"/>
      <c r="P68" s="2"/>
      <c r="Q68" s="2"/>
      <c r="R68" s="80"/>
      <c r="S68" s="80"/>
      <c r="T68" s="80"/>
      <c r="U68" s="80"/>
      <c r="V68" s="154">
        <f t="shared" si="0"/>
        <v>0</v>
      </c>
      <c r="W68" s="80"/>
      <c r="X68" s="80"/>
      <c r="Y68" s="80"/>
      <c r="Z68" s="155">
        <f t="shared" si="1"/>
        <v>0</v>
      </c>
      <c r="AA68" s="80"/>
      <c r="AB68" s="80"/>
    </row>
    <row r="69" spans="1:28" ht="15" customHeight="1" x14ac:dyDescent="0.2">
      <c r="A69" s="2"/>
      <c r="B69" s="570" t="str">
        <f>Расчёт!B193</f>
        <v>ДРАЖЕ "ГЕКСАВИТ"</v>
      </c>
      <c r="C69" s="618" t="s">
        <v>163</v>
      </c>
      <c r="D69" s="640">
        <f>Цены!D69</f>
        <v>0</v>
      </c>
      <c r="E69" s="586"/>
      <c r="F69" s="680">
        <v>0</v>
      </c>
      <c r="G69" s="588"/>
      <c r="H69" s="589">
        <f>Расчёт!G193</f>
        <v>0</v>
      </c>
      <c r="I69" s="587">
        <f>Расчёт!H193</f>
        <v>0</v>
      </c>
      <c r="J69" s="591">
        <f>Расчёт!I190</f>
        <v>0</v>
      </c>
      <c r="K69" s="592">
        <f>SUM(E69:J69)</f>
        <v>0</v>
      </c>
      <c r="L69" s="2"/>
      <c r="M69" s="2"/>
      <c r="N69" s="2"/>
      <c r="O69" s="2"/>
      <c r="P69" s="2"/>
      <c r="Q69" s="2"/>
      <c r="R69" s="80"/>
      <c r="S69" s="80"/>
      <c r="T69" s="80"/>
      <c r="U69" s="80"/>
      <c r="V69" s="154">
        <f t="shared" si="0"/>
        <v>0</v>
      </c>
      <c r="W69" s="80"/>
      <c r="X69" s="80"/>
      <c r="Y69" s="80"/>
      <c r="Z69" s="155">
        <f t="shared" si="1"/>
        <v>0</v>
      </c>
      <c r="AA69" s="80"/>
      <c r="AB69" s="80"/>
    </row>
    <row r="70" spans="1:28" ht="15" customHeight="1" x14ac:dyDescent="0.2">
      <c r="A70" s="2"/>
      <c r="B70" s="570" t="str">
        <f>Расчёт!B194</f>
        <v>КОНСЕРВЫ МЯСОРАСТИТЕЛЬНЫЕ</v>
      </c>
      <c r="C70" s="618" t="s">
        <v>163</v>
      </c>
      <c r="D70" s="640">
        <f>Цены!D70</f>
        <v>0</v>
      </c>
      <c r="E70" s="586">
        <v>0</v>
      </c>
      <c r="F70" s="680">
        <v>0</v>
      </c>
      <c r="G70" s="588"/>
      <c r="H70" s="589">
        <f>Расчёт!G194</f>
        <v>0</v>
      </c>
      <c r="I70" s="587">
        <f>Расчёт!H194</f>
        <v>0</v>
      </c>
      <c r="J70" s="591">
        <f>Расчёт!I191</f>
        <v>0</v>
      </c>
      <c r="K70" s="497">
        <f>SUM(E70:J70)</f>
        <v>0</v>
      </c>
      <c r="L70" s="2"/>
      <c r="M70" s="2"/>
      <c r="N70" s="2"/>
      <c r="O70" s="2"/>
      <c r="P70" s="2"/>
      <c r="Q70" s="2"/>
      <c r="R70" s="80"/>
      <c r="S70" s="80"/>
      <c r="T70" s="80"/>
      <c r="U70" s="80"/>
      <c r="V70" s="154">
        <f t="shared" si="0"/>
        <v>0</v>
      </c>
      <c r="W70" s="80"/>
      <c r="X70" s="80"/>
      <c r="Y70" s="80"/>
      <c r="Z70" s="155">
        <f t="shared" si="1"/>
        <v>0</v>
      </c>
      <c r="AA70" s="80"/>
      <c r="AB70" s="80"/>
    </row>
    <row r="71" spans="1:28" ht="15" customHeight="1" thickBot="1" x14ac:dyDescent="0.25">
      <c r="A71" s="2"/>
      <c r="B71" s="513" t="str">
        <f>Расчёт!B195</f>
        <v>КОНСЕРВЫ 1 ОБ. БЛЮДА</v>
      </c>
      <c r="C71" s="719" t="s">
        <v>163</v>
      </c>
      <c r="D71" s="648">
        <f>Цены!D71</f>
        <v>0</v>
      </c>
      <c r="E71" s="663">
        <v>0</v>
      </c>
      <c r="F71" s="621">
        <v>0</v>
      </c>
      <c r="G71" s="696"/>
      <c r="H71" s="501">
        <f>Расчёт!G195</f>
        <v>0</v>
      </c>
      <c r="I71" s="502">
        <f>Расчёт!H195</f>
        <v>0</v>
      </c>
      <c r="J71" s="597">
        <f>Расчёт!I192</f>
        <v>0</v>
      </c>
      <c r="K71" s="504">
        <f>SUM(E71:J71)</f>
        <v>0</v>
      </c>
      <c r="L71" s="2"/>
      <c r="M71" s="2"/>
      <c r="N71" s="2"/>
      <c r="O71" s="2"/>
      <c r="P71" s="2"/>
      <c r="Q71" s="2"/>
      <c r="R71" s="80"/>
      <c r="S71" s="80"/>
      <c r="T71" s="80"/>
      <c r="U71" s="80"/>
      <c r="V71" s="10">
        <f>SUM(V9:V70)</f>
        <v>0</v>
      </c>
      <c r="W71" s="80"/>
      <c r="X71" s="80"/>
      <c r="Y71" s="80"/>
      <c r="Z71" s="155">
        <f t="shared" si="1"/>
        <v>0</v>
      </c>
      <c r="AA71" s="80"/>
      <c r="AB71" s="80"/>
    </row>
    <row r="72" spans="1:28" ht="18" x14ac:dyDescent="0.25">
      <c r="A72" s="2"/>
      <c r="B72" s="185" t="s">
        <v>280</v>
      </c>
      <c r="C72" s="257"/>
      <c r="D72" s="187">
        <f>V71</f>
        <v>0</v>
      </c>
      <c r="E72" s="1595" t="str">
        <f>IF(Ср!$C$72&lt;&gt;31,CONCATENATE("(",Примеры!A66),CONCATENATE("(",Примеры!D20))</f>
        <v>( Ноль ) наименований</v>
      </c>
      <c r="F72" s="1595"/>
      <c r="G72" s="1595"/>
      <c r="H72" s="1595"/>
      <c r="I72" s="1595"/>
      <c r="J72" s="1568" t="str">
        <f>CONCATENATE("на сумму ",ROUND(Z72,2)," р.")</f>
        <v>на сумму 0 р.</v>
      </c>
      <c r="K72" s="1568"/>
      <c r="L72" s="2"/>
      <c r="M72" s="2"/>
      <c r="N72" s="2"/>
      <c r="O72" s="2"/>
      <c r="P72" s="2"/>
      <c r="Q72" s="2"/>
      <c r="R72" s="80"/>
      <c r="S72" s="80"/>
      <c r="T72" s="80"/>
      <c r="U72" s="80"/>
      <c r="V72" s="80"/>
      <c r="W72" s="80"/>
      <c r="X72" s="80"/>
      <c r="Y72" s="80"/>
      <c r="Z72" s="188">
        <f>SUM(Z9:Z71)</f>
        <v>0</v>
      </c>
      <c r="AA72" s="80"/>
      <c r="AB72" s="80"/>
    </row>
    <row r="73" spans="1:28" ht="18" x14ac:dyDescent="0.25">
      <c r="A73" s="2"/>
      <c r="B73" s="1560" t="s">
        <v>364</v>
      </c>
      <c r="C73" s="1560"/>
      <c r="D73" s="1560"/>
      <c r="E73" s="1560"/>
      <c r="F73" s="1560"/>
      <c r="G73" s="1560"/>
      <c r="H73" s="1560"/>
      <c r="I73" s="1560"/>
      <c r="J73" s="1560"/>
      <c r="K73" s="1560"/>
      <c r="L73" s="2"/>
      <c r="M73" s="2"/>
      <c r="N73" s="2"/>
      <c r="O73" s="2"/>
      <c r="P73" s="2"/>
      <c r="Q73" s="2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</row>
    <row r="74" spans="1:28" ht="18" x14ac:dyDescent="0.25">
      <c r="A74" s="2"/>
      <c r="B74" s="1567" t="str">
        <f>'Блок ввода'!M10</f>
        <v>ст. лейтенант</v>
      </c>
      <c r="C74" s="1567"/>
      <c r="D74" s="1567"/>
      <c r="E74" s="191"/>
      <c r="F74" s="191"/>
      <c r="G74" s="191"/>
      <c r="H74" s="191"/>
      <c r="I74" s="191" t="str">
        <f>'Блок ввода'!O10</f>
        <v>А. Демидов11111111</v>
      </c>
      <c r="J74" s="191"/>
      <c r="K74" s="191"/>
      <c r="L74" s="2"/>
      <c r="M74" s="2"/>
      <c r="N74" s="2"/>
      <c r="O74" s="2"/>
      <c r="P74" s="2"/>
      <c r="Q74" s="2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</row>
    <row r="75" spans="1:28" ht="17.45" customHeight="1" x14ac:dyDescent="0.25">
      <c r="A75" s="2"/>
      <c r="B75" s="1218" t="str">
        <f>CONCATENATE("ДЕЛОПРОИЗВОДИТЕЛЬ: ",'Блок ввода'!M13)</f>
        <v>ДЕЛОПРОИЗВОДИТЕЛЬ: служащая РА</v>
      </c>
      <c r="C75" s="1218"/>
      <c r="D75" s="1218"/>
      <c r="E75" s="189"/>
      <c r="F75" s="189"/>
      <c r="G75" s="189"/>
      <c r="I75" s="189"/>
      <c r="J75" s="258" t="str">
        <f>'Блок ввода'!O13</f>
        <v>С.ФЕДОРОВА</v>
      </c>
      <c r="K75" s="189"/>
      <c r="L75" s="2"/>
      <c r="M75" s="2"/>
      <c r="N75" s="2"/>
      <c r="O75" s="2"/>
      <c r="P75" s="2"/>
      <c r="Q75" s="2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</row>
    <row r="76" spans="1:28" ht="18" x14ac:dyDescent="0.25">
      <c r="A76" s="2"/>
      <c r="B76" s="1559">
        <f>C4-1</f>
        <v>40092</v>
      </c>
      <c r="C76" s="1559"/>
      <c r="D76" s="1559"/>
      <c r="E76" s="1559"/>
      <c r="F76" s="1559"/>
      <c r="G76" s="1559"/>
      <c r="H76" s="1559"/>
      <c r="I76" s="1559"/>
      <c r="J76" s="1559"/>
      <c r="K76" s="1559"/>
      <c r="L76" s="2"/>
      <c r="M76" s="2"/>
      <c r="N76" s="2"/>
      <c r="O76" s="2"/>
      <c r="P76" s="2"/>
      <c r="Q76" s="2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</row>
    <row r="77" spans="1:28" ht="15.75" thickBot="1" x14ac:dyDescent="0.25">
      <c r="A77" s="2"/>
      <c r="B77" s="80"/>
      <c r="C77" s="80"/>
      <c r="D77" s="80"/>
      <c r="E77" s="80"/>
      <c r="F77" s="80"/>
      <c r="G77" s="80"/>
      <c r="H77" s="80"/>
      <c r="I77" s="80"/>
      <c r="J77" s="261"/>
      <c r="K77" s="261"/>
      <c r="L77" s="2"/>
      <c r="M77" s="2"/>
      <c r="N77" s="2"/>
      <c r="O77" s="2"/>
      <c r="P77" s="2"/>
      <c r="Q77" s="2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</row>
    <row r="78" spans="1:28" ht="15.75" thickBot="1" x14ac:dyDescent="0.25">
      <c r="A78" s="2"/>
      <c r="B78" s="262"/>
      <c r="C78" s="263"/>
      <c r="D78" s="263"/>
      <c r="E78" s="263"/>
      <c r="F78" s="263"/>
      <c r="G78" s="264"/>
      <c r="H78" s="192" t="s">
        <v>203</v>
      </c>
      <c r="I78" s="192" t="s">
        <v>204</v>
      </c>
      <c r="J78" s="193" t="s">
        <v>205</v>
      </c>
      <c r="K78" s="192" t="s">
        <v>276</v>
      </c>
      <c r="L78" s="2"/>
      <c r="M78" s="2"/>
      <c r="N78" s="2"/>
      <c r="O78" s="2"/>
      <c r="P78" s="2"/>
      <c r="Q78" s="2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</row>
    <row r="79" spans="1:28" ht="15" x14ac:dyDescent="0.2">
      <c r="A79" s="2"/>
      <c r="B79" s="194" t="s">
        <v>165</v>
      </c>
      <c r="C79" s="195"/>
      <c r="D79" s="195"/>
      <c r="E79" s="195"/>
      <c r="F79" s="195"/>
      <c r="G79" s="195"/>
      <c r="H79" s="1556"/>
      <c r="I79" s="1556"/>
      <c r="J79" s="1556"/>
      <c r="K79" s="1548"/>
      <c r="L79" s="2"/>
      <c r="M79" s="2"/>
      <c r="N79" s="2"/>
      <c r="O79" s="2"/>
      <c r="P79" s="2"/>
      <c r="Q79" s="2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</row>
    <row r="80" spans="1:28" ht="15" x14ac:dyDescent="0.2">
      <c r="A80" s="2"/>
      <c r="B80" s="196" t="str">
        <f>CONCATENATE('Блок ввода'!M12,'Блок ввода'!O12)</f>
        <v>прапорщик  К.МИХАЙЛОВА</v>
      </c>
      <c r="C80" s="197"/>
      <c r="D80" s="195"/>
      <c r="E80" s="195"/>
      <c r="F80" s="195"/>
      <c r="G80" s="195"/>
      <c r="H80" s="1546"/>
      <c r="I80" s="1546"/>
      <c r="J80" s="1546"/>
      <c r="K80" s="1549"/>
      <c r="L80" s="2"/>
      <c r="M80" s="2"/>
      <c r="N80" s="2"/>
      <c r="O80" s="2"/>
      <c r="P80" s="2"/>
      <c r="Q80" s="2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</row>
    <row r="81" spans="1:28" ht="15" x14ac:dyDescent="0.2">
      <c r="A81" s="2"/>
      <c r="B81" s="198" t="s">
        <v>166</v>
      </c>
      <c r="C81" s="199"/>
      <c r="D81" s="199"/>
      <c r="E81" s="199"/>
      <c r="F81" s="199"/>
      <c r="G81" s="199"/>
      <c r="H81" s="1545"/>
      <c r="I81" s="1545"/>
      <c r="J81" s="1545"/>
      <c r="K81" s="1550"/>
      <c r="L81" s="2"/>
      <c r="M81" s="2"/>
      <c r="N81" s="2"/>
      <c r="O81" s="2"/>
      <c r="P81" s="2"/>
      <c r="Q81" s="2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</row>
    <row r="82" spans="1:28" ht="15" x14ac:dyDescent="0.2">
      <c r="A82" s="2"/>
      <c r="B82" s="225" t="s">
        <v>449</v>
      </c>
      <c r="C82" s="195"/>
      <c r="D82" s="195"/>
      <c r="E82" s="195"/>
      <c r="F82" s="195"/>
      <c r="G82" s="195"/>
      <c r="H82" s="1546"/>
      <c r="I82" s="1546"/>
      <c r="J82" s="1546"/>
      <c r="K82" s="1551"/>
      <c r="L82" s="2"/>
      <c r="M82" s="2"/>
      <c r="N82" s="2"/>
      <c r="O82" s="2"/>
      <c r="P82" s="2"/>
      <c r="Q82" s="2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</row>
    <row r="83" spans="1:28" ht="15" x14ac:dyDescent="0.2">
      <c r="A83" s="200"/>
      <c r="B83" s="201" t="s">
        <v>275</v>
      </c>
      <c r="C83" s="199"/>
      <c r="D83" s="199"/>
      <c r="E83" s="199"/>
      <c r="F83" s="199"/>
      <c r="G83" s="199"/>
      <c r="H83" s="1545"/>
      <c r="I83" s="1545"/>
      <c r="J83" s="1545"/>
      <c r="K83" s="1550"/>
      <c r="L83" s="2"/>
      <c r="M83" s="2"/>
      <c r="N83" s="2"/>
      <c r="O83" s="2"/>
      <c r="P83" s="2"/>
      <c r="Q83" s="2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</row>
    <row r="84" spans="1:28" ht="15.75" thickBot="1" x14ac:dyDescent="0.25">
      <c r="A84" s="200"/>
      <c r="B84" s="202" t="str">
        <f>CONCATENATE('Блок ввода'!M11," ",'Блок ввода'!O11)</f>
        <v>ст. лейтенант М.СОКОЛОВ</v>
      </c>
      <c r="C84" s="203"/>
      <c r="D84" s="203"/>
      <c r="E84" s="203"/>
      <c r="F84" s="203"/>
      <c r="G84" s="203"/>
      <c r="H84" s="1557"/>
      <c r="I84" s="1557"/>
      <c r="J84" s="1557"/>
      <c r="K84" s="1552"/>
      <c r="L84" s="2"/>
      <c r="M84" s="2"/>
      <c r="N84" s="2"/>
      <c r="O84" s="2"/>
      <c r="P84" s="2"/>
      <c r="Q84" s="2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</row>
    <row r="85" spans="1:28" x14ac:dyDescent="0.2">
      <c r="A85" s="200"/>
      <c r="B85" s="259"/>
      <c r="C85" s="80"/>
      <c r="D85" s="80"/>
      <c r="E85" s="80"/>
      <c r="F85" s="80"/>
      <c r="G85" s="80"/>
      <c r="H85" s="80"/>
      <c r="I85" s="80"/>
      <c r="J85" s="80"/>
      <c r="K85" s="206">
        <f>M2</f>
        <v>0</v>
      </c>
      <c r="L85" s="2"/>
      <c r="M85" s="2"/>
      <c r="N85" s="2"/>
      <c r="O85" s="2"/>
      <c r="P85" s="2"/>
      <c r="Q85" s="2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</row>
    <row r="86" spans="1:28" x14ac:dyDescent="0.2">
      <c r="A86" s="200"/>
      <c r="B86" s="207" t="s">
        <v>354</v>
      </c>
      <c r="C86" s="208"/>
      <c r="D86" s="207" t="s">
        <v>355</v>
      </c>
      <c r="E86" s="207" t="s">
        <v>356</v>
      </c>
      <c r="F86" s="207" t="s">
        <v>357</v>
      </c>
      <c r="G86" s="80"/>
      <c r="H86" s="80"/>
      <c r="I86" s="80"/>
      <c r="J86" s="80"/>
      <c r="K86" s="206">
        <f>M4</f>
        <v>0</v>
      </c>
      <c r="L86" s="2"/>
      <c r="M86" s="2"/>
      <c r="N86" s="2"/>
      <c r="O86" s="2"/>
      <c r="P86" s="2"/>
      <c r="Q86" s="2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</row>
    <row r="87" spans="1:28" x14ac:dyDescent="0.2">
      <c r="A87" s="2"/>
      <c r="B87" s="789" t="str">
        <f>'Блок ввода'!AI4</f>
        <v>ПОДРАЗДЕЛЕНИЕ № 1</v>
      </c>
      <c r="C87" s="790" t="s">
        <v>546</v>
      </c>
      <c r="D87" s="224"/>
      <c r="E87" s="224"/>
      <c r="F87" s="224"/>
      <c r="G87" s="80"/>
      <c r="H87" s="80"/>
      <c r="I87" s="80"/>
      <c r="J87" s="1600" t="str">
        <f>CONCATENATE("ОКГ = ",'Раскладка продуктов'!A63)</f>
        <v>ОКГ = 1650</v>
      </c>
      <c r="K87" s="1600"/>
      <c r="L87" s="2"/>
      <c r="M87" s="2"/>
      <c r="N87" s="2"/>
      <c r="O87" s="2"/>
      <c r="P87" s="2"/>
      <c r="Q87" s="2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</row>
    <row r="88" spans="1:28" x14ac:dyDescent="0.2">
      <c r="A88" s="2"/>
      <c r="B88" s="789" t="str">
        <f>'Блок ввода'!AI5</f>
        <v>ПОДРАЗДЕЛЕНИЕ № 2</v>
      </c>
      <c r="C88" s="790" t="s">
        <v>546</v>
      </c>
      <c r="D88" s="224"/>
      <c r="E88" s="224"/>
      <c r="F88" s="224"/>
      <c r="G88" s="265"/>
      <c r="H88" s="265"/>
      <c r="I88" s="265"/>
      <c r="J88" s="265"/>
      <c r="K88" s="265"/>
      <c r="L88" s="2"/>
      <c r="M88" s="2"/>
      <c r="N88" s="2"/>
      <c r="O88" s="2"/>
      <c r="P88" s="2"/>
      <c r="Q88" s="2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</row>
    <row r="89" spans="1:28" x14ac:dyDescent="0.2">
      <c r="A89" s="2"/>
      <c r="B89" s="789" t="str">
        <f>'Блок ввода'!AI6</f>
        <v>ПОДРАЗДЕЛЕНИЕ № 3</v>
      </c>
      <c r="C89" s="790" t="s">
        <v>546</v>
      </c>
      <c r="D89" s="224"/>
      <c r="E89" s="224"/>
      <c r="F89" s="224"/>
      <c r="G89" s="265"/>
      <c r="H89" s="265"/>
      <c r="I89" s="265"/>
      <c r="J89" s="265"/>
      <c r="K89" s="265"/>
      <c r="L89" s="2"/>
      <c r="M89" s="2"/>
      <c r="N89" s="2"/>
      <c r="O89" s="2"/>
      <c r="P89" s="2"/>
      <c r="Q89" s="2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</row>
    <row r="90" spans="1:28" x14ac:dyDescent="0.2">
      <c r="A90" s="2"/>
      <c r="B90" s="789" t="str">
        <f>'Блок ввода'!AI7</f>
        <v>ПОДРАЗДЕЛЕНИЕ № 4</v>
      </c>
      <c r="C90" s="790" t="s">
        <v>546</v>
      </c>
      <c r="D90" s="224"/>
      <c r="E90" s="224"/>
      <c r="F90" s="224"/>
      <c r="G90" s="80"/>
      <c r="H90" s="80"/>
      <c r="I90" s="80"/>
      <c r="J90" s="80"/>
      <c r="K90" s="80"/>
      <c r="L90" s="2"/>
      <c r="M90" s="2"/>
      <c r="N90" s="2"/>
      <c r="O90" s="2"/>
      <c r="P90" s="2"/>
      <c r="Q90" s="2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</row>
    <row r="91" spans="1:28" x14ac:dyDescent="0.2">
      <c r="A91" s="2"/>
      <c r="B91" s="789" t="str">
        <f>'Блок ввода'!AI8</f>
        <v>ПОДРАЗДЕЛЕНИЕ № 5</v>
      </c>
      <c r="C91" s="790" t="s">
        <v>546</v>
      </c>
      <c r="D91" s="224"/>
      <c r="E91" s="224"/>
      <c r="F91" s="224"/>
      <c r="G91" s="80"/>
      <c r="H91" s="80"/>
      <c r="I91" s="80"/>
      <c r="J91" s="80"/>
      <c r="K91" s="80"/>
      <c r="L91" s="2"/>
      <c r="M91" s="2"/>
      <c r="N91" s="2"/>
      <c r="O91" s="2"/>
      <c r="P91" s="2"/>
      <c r="Q91" s="2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</row>
    <row r="92" spans="1:28" x14ac:dyDescent="0.2">
      <c r="A92" s="2"/>
      <c r="B92" s="789" t="str">
        <f>'Блок ввода'!AI9</f>
        <v>ПОДРАЗДЕЛЕНИЕ № 6</v>
      </c>
      <c r="C92" s="790" t="s">
        <v>546</v>
      </c>
      <c r="D92" s="224"/>
      <c r="E92" s="224"/>
      <c r="F92" s="224"/>
      <c r="G92" s="80"/>
      <c r="H92" s="80"/>
      <c r="I92" s="80"/>
      <c r="J92" s="80"/>
      <c r="K92" s="80"/>
      <c r="L92" s="2"/>
      <c r="M92" s="2"/>
      <c r="N92" s="2"/>
      <c r="O92" s="2"/>
      <c r="P92" s="2"/>
      <c r="Q92" s="2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</row>
    <row r="93" spans="1:28" x14ac:dyDescent="0.2">
      <c r="A93" s="2"/>
      <c r="B93" s="789" t="str">
        <f>'Блок ввода'!AI10</f>
        <v>ПОДРАЗДЕЛЕНИЕ № 7</v>
      </c>
      <c r="C93" s="790" t="s">
        <v>546</v>
      </c>
      <c r="D93" s="224"/>
      <c r="E93" s="224"/>
      <c r="F93" s="224"/>
      <c r="G93" s="142"/>
      <c r="H93" s="142"/>
      <c r="I93" s="142"/>
      <c r="J93" s="142"/>
      <c r="K93" s="142"/>
      <c r="L93" s="2"/>
      <c r="M93" s="2"/>
      <c r="N93" s="2"/>
      <c r="O93" s="2"/>
      <c r="P93" s="2"/>
      <c r="Q93" s="2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</row>
    <row r="94" spans="1:28" x14ac:dyDescent="0.2">
      <c r="A94" s="2"/>
      <c r="B94" s="789" t="str">
        <f>'Блок ввода'!AI11</f>
        <v>ПОДРАЗДЕЛЕНИЕ № 8</v>
      </c>
      <c r="C94" s="790" t="s">
        <v>546</v>
      </c>
      <c r="D94" s="224"/>
      <c r="E94" s="224"/>
      <c r="F94" s="224"/>
      <c r="G94" s="142"/>
      <c r="H94" s="142"/>
      <c r="I94" s="142"/>
      <c r="J94" s="142"/>
      <c r="K94" s="142"/>
      <c r="L94" s="2"/>
      <c r="M94" s="2"/>
      <c r="N94" s="2"/>
      <c r="O94" s="2"/>
      <c r="P94" s="2"/>
      <c r="Q94" s="2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</row>
    <row r="95" spans="1:28" x14ac:dyDescent="0.2">
      <c r="A95" s="2"/>
      <c r="B95" s="789" t="str">
        <f>'Блок ввода'!AI12</f>
        <v>ПОДРАЗДЕЛЕНИЕ № 9</v>
      </c>
      <c r="C95" s="790" t="s">
        <v>546</v>
      </c>
      <c r="D95" s="5"/>
      <c r="E95" s="5"/>
      <c r="F95" s="5"/>
      <c r="G95" s="80"/>
      <c r="H95" s="80"/>
      <c r="I95" s="80"/>
      <c r="J95" s="80"/>
      <c r="K95" s="80"/>
      <c r="L95" s="2"/>
      <c r="M95" s="2"/>
      <c r="N95" s="2"/>
      <c r="O95" s="2"/>
      <c r="P95" s="2"/>
      <c r="Q95" s="2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</row>
    <row r="96" spans="1:28" x14ac:dyDescent="0.2">
      <c r="A96" s="2"/>
      <c r="B96" s="789" t="str">
        <f>'Блок ввода'!AI13</f>
        <v>ПОДРАЗДЕЛЕНИЕ № 10</v>
      </c>
      <c r="C96" s="790" t="s">
        <v>546</v>
      </c>
      <c r="D96" s="5"/>
      <c r="E96" s="5"/>
      <c r="F96" s="5"/>
      <c r="G96" s="80"/>
      <c r="H96" s="80"/>
      <c r="I96" s="80"/>
      <c r="J96" s="80"/>
      <c r="K96" s="80"/>
      <c r="L96" s="2"/>
      <c r="M96" s="2"/>
      <c r="N96" s="2"/>
      <c r="O96" s="2"/>
      <c r="P96" s="2"/>
      <c r="Q96" s="2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</row>
    <row r="97" spans="1:28" x14ac:dyDescent="0.2">
      <c r="A97" s="2"/>
      <c r="B97" s="132" t="s">
        <v>358</v>
      </c>
      <c r="C97" s="790" t="s">
        <v>546</v>
      </c>
      <c r="D97" s="209">
        <f>SUM(D87:D96)</f>
        <v>0</v>
      </c>
      <c r="E97" s="209">
        <f>SUM(E87:E96)</f>
        <v>0</v>
      </c>
      <c r="F97" s="209">
        <f>SUM(F87:F96)</f>
        <v>0</v>
      </c>
      <c r="G97" s="80"/>
      <c r="H97" s="80"/>
      <c r="I97" s="80"/>
      <c r="J97" s="80"/>
      <c r="K97" s="80"/>
      <c r="L97" s="2"/>
      <c r="M97" s="2"/>
      <c r="N97" s="2"/>
      <c r="O97" s="2"/>
      <c r="P97" s="2"/>
      <c r="Q97" s="2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</row>
    <row r="98" spans="1:28" ht="13.5" thickBot="1" x14ac:dyDescent="0.25">
      <c r="A98" s="2"/>
      <c r="B98" s="1554" t="s">
        <v>236</v>
      </c>
      <c r="C98" s="1554"/>
      <c r="D98" s="1554"/>
      <c r="E98" s="1554"/>
      <c r="F98" s="1554"/>
      <c r="G98" s="1554"/>
      <c r="H98" s="1554"/>
      <c r="I98" s="1554"/>
      <c r="J98" s="1554"/>
      <c r="K98" s="1554"/>
      <c r="L98" s="2"/>
      <c r="M98" s="2"/>
      <c r="N98" s="2"/>
      <c r="O98" s="2"/>
      <c r="P98" s="2"/>
      <c r="Q98" s="2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</row>
    <row r="99" spans="1:28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</row>
    <row r="100" spans="1:28" x14ac:dyDescent="0.2">
      <c r="A100" s="2"/>
      <c r="B100" s="210" t="s">
        <v>235</v>
      </c>
      <c r="C100" s="210"/>
      <c r="D100" s="210"/>
      <c r="E100" s="1555">
        <f>C4</f>
        <v>40093</v>
      </c>
      <c r="F100" s="1555"/>
      <c r="G100" s="1555"/>
      <c r="H100" s="2"/>
      <c r="I100" s="2"/>
      <c r="J100" s="2"/>
      <c r="K100" s="2"/>
      <c r="L100" s="266"/>
      <c r="M100" s="266"/>
      <c r="N100" s="2"/>
      <c r="O100" s="2"/>
      <c r="P100" s="2"/>
      <c r="Q100" s="2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</row>
    <row r="101" spans="1:28" ht="13.5" thickBo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80"/>
      <c r="S101" s="80"/>
      <c r="T101" s="80"/>
      <c r="U101" s="302">
        <v>2</v>
      </c>
      <c r="V101" s="479">
        <v>100</v>
      </c>
      <c r="W101" s="80"/>
      <c r="X101" s="80"/>
      <c r="Y101" s="80"/>
      <c r="Z101" s="80"/>
      <c r="AA101" s="80"/>
      <c r="AB101" s="80"/>
    </row>
    <row r="102" spans="1:28" ht="16.5" thickBot="1" x14ac:dyDescent="0.3">
      <c r="A102" s="2"/>
      <c r="B102" s="211" t="s">
        <v>162</v>
      </c>
      <c r="C102" s="212" t="s">
        <v>163</v>
      </c>
      <c r="D102" s="213"/>
      <c r="E102" s="214"/>
      <c r="F102" s="215"/>
      <c r="G102" s="216">
        <f>J102/('Блок ввода'!$H$22/1000)</f>
        <v>0</v>
      </c>
      <c r="H102" s="215" t="s">
        <v>545</v>
      </c>
      <c r="I102" s="217"/>
      <c r="J102" s="218">
        <f>IF(U101=1,U102,K9)</f>
        <v>0</v>
      </c>
      <c r="K102" s="219" t="s">
        <v>163</v>
      </c>
      <c r="L102" s="2"/>
      <c r="M102" s="2"/>
      <c r="N102" s="2"/>
      <c r="O102" s="2"/>
      <c r="P102" s="2"/>
      <c r="Q102" s="2"/>
      <c r="R102" s="80"/>
      <c r="S102" s="80"/>
      <c r="T102" s="80"/>
      <c r="U102" s="302">
        <f>0</f>
        <v>0</v>
      </c>
      <c r="V102" s="479">
        <v>0</v>
      </c>
      <c r="W102" s="80"/>
      <c r="X102" s="80"/>
      <c r="Y102" s="80"/>
      <c r="Z102" s="80"/>
      <c r="AA102" s="80"/>
      <c r="AB102" s="80"/>
    </row>
    <row r="103" spans="1:28" ht="16.5" thickBot="1" x14ac:dyDescent="0.3">
      <c r="A103" s="2"/>
      <c r="B103" s="220" t="str">
        <f>IF('Блок ввода'!H120=TRUE,"ХЛЕБ ИЗ ПШЕНИЧНОЙ МУКИ В\С","ХЛЕБ ПШЕНИЧНЫЙ ИЗ МУКИ 1 С.")</f>
        <v>ХЛЕБ ПШЕНИЧНЫЙ ИЗ МУКИ 1 С.</v>
      </c>
      <c r="C103" s="212" t="s">
        <v>163</v>
      </c>
      <c r="D103" s="221"/>
      <c r="E103" s="214"/>
      <c r="F103" s="215"/>
      <c r="G103" s="216">
        <f>J103/('Блок ввода'!$H$23/1000)</f>
        <v>0</v>
      </c>
      <c r="H103" s="215" t="s">
        <v>545</v>
      </c>
      <c r="I103" s="217"/>
      <c r="J103" s="218">
        <f>IF(U101=1,U103,K10)</f>
        <v>0</v>
      </c>
      <c r="K103" s="219" t="s">
        <v>163</v>
      </c>
      <c r="L103" s="2"/>
      <c r="M103" s="2"/>
      <c r="N103" s="2"/>
      <c r="O103" s="2"/>
      <c r="P103" s="2"/>
      <c r="Q103" s="2"/>
      <c r="R103" s="80"/>
      <c r="S103" s="80"/>
      <c r="T103" s="80"/>
      <c r="U103" s="302">
        <f>0</f>
        <v>0</v>
      </c>
      <c r="V103" s="302">
        <v>2</v>
      </c>
      <c r="W103" s="80"/>
      <c r="X103" s="80"/>
      <c r="Y103" s="80"/>
      <c r="Z103" s="80"/>
      <c r="AA103" s="80"/>
      <c r="AB103" s="80"/>
    </row>
    <row r="104" spans="1:28" ht="15" x14ac:dyDescent="0.2">
      <c r="A104" s="2"/>
      <c r="B104" s="222" t="s">
        <v>237</v>
      </c>
      <c r="C104" s="80"/>
      <c r="D104" s="80"/>
      <c r="E104" s="223"/>
      <c r="F104" s="223"/>
      <c r="G104" s="1553" t="str">
        <f>J75</f>
        <v>С.ФЕДОРОВА</v>
      </c>
      <c r="H104" s="1553"/>
      <c r="I104" s="1553"/>
      <c r="J104" s="80"/>
      <c r="K104" s="80"/>
      <c r="L104" s="2"/>
      <c r="M104" s="2"/>
      <c r="N104" s="2"/>
      <c r="O104" s="2"/>
      <c r="P104" s="2"/>
      <c r="Q104" s="2"/>
      <c r="R104" s="80"/>
      <c r="S104" s="80"/>
      <c r="T104" s="80"/>
      <c r="U104" s="302"/>
      <c r="V104" s="302">
        <v>2</v>
      </c>
      <c r="W104" s="80"/>
      <c r="X104" s="80"/>
      <c r="Y104" s="80"/>
      <c r="Z104" s="80"/>
      <c r="AA104" s="80"/>
      <c r="AB104" s="80"/>
    </row>
    <row r="105" spans="1:28" x14ac:dyDescent="0.2">
      <c r="A105" s="2"/>
      <c r="B105" s="1610"/>
      <c r="C105" s="1610"/>
      <c r="D105" s="1610"/>
      <c r="E105" s="1610"/>
      <c r="F105" s="1610"/>
      <c r="G105" s="1610"/>
      <c r="H105" s="1610"/>
      <c r="I105" s="1610"/>
      <c r="J105" s="1610"/>
      <c r="K105" s="1610"/>
      <c r="L105" s="2"/>
      <c r="M105" s="2"/>
      <c r="N105" s="2"/>
      <c r="O105" s="2"/>
      <c r="P105" s="2"/>
      <c r="Q105" s="2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</row>
    <row r="106" spans="1:28" ht="15" x14ac:dyDescent="0.2">
      <c r="A106" s="2"/>
      <c r="B106" s="2"/>
      <c r="C106" s="2"/>
      <c r="D106" s="2"/>
      <c r="E106" s="2"/>
      <c r="F106" s="2"/>
      <c r="G106" s="253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</row>
    <row r="107" spans="1:28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</row>
    <row r="108" spans="1:28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</row>
    <row r="109" spans="1:28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</row>
    <row r="110" spans="1:28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</row>
    <row r="111" spans="1:28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</row>
    <row r="112" spans="1:28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</row>
    <row r="113" spans="1:28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</row>
    <row r="114" spans="1:28" x14ac:dyDescent="0.2"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28" x14ac:dyDescent="0.2"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28" x14ac:dyDescent="0.2"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28" x14ac:dyDescent="0.2">
      <c r="B117" s="4"/>
      <c r="C117" s="4"/>
      <c r="D117" s="4"/>
      <c r="E117" s="4"/>
      <c r="F117" s="4"/>
      <c r="G117" s="4"/>
      <c r="H117" s="4"/>
      <c r="I117" s="4"/>
      <c r="J117" s="4"/>
      <c r="K117" s="4"/>
    </row>
  </sheetData>
  <sheetProtection password="C4B7" sheet="1" objects="1" scenarios="1" selectLockedCells="1"/>
  <customSheetViews>
    <customSheetView guid="{4DE99834-7080-40E5-9A2F-2BF27F7EDEBF}" scale="65" showPageBreaks="1" showGridLines="0" zeroValues="0" printArea="1" view="pageBreakPreview" showRuler="0">
      <selection activeCell="J26" sqref="J26"/>
      <rowBreaks count="1" manualBreakCount="1">
        <brk id="41" min="1" max="9" man="1"/>
      </rowBreaks>
      <pageMargins left="0.78740157480314965" right="0.19685039370078741" top="0.98425196850393704" bottom="0.98425196850393704" header="0.51181102362204722" footer="0.51181102362204722"/>
      <pageSetup paperSize="9" scale="88" orientation="portrait" horizontalDpi="120" verticalDpi="144" r:id="rId1"/>
      <headerFooter alignWithMargins="0"/>
    </customSheetView>
  </customSheetViews>
  <mergeCells count="34">
    <mergeCell ref="B2:K2"/>
    <mergeCell ref="B3:K3"/>
    <mergeCell ref="B7:B8"/>
    <mergeCell ref="C7:C8"/>
    <mergeCell ref="E7:G7"/>
    <mergeCell ref="H7:J7"/>
    <mergeCell ref="B5:K5"/>
    <mergeCell ref="C4:H4"/>
    <mergeCell ref="G104:I104"/>
    <mergeCell ref="E67:J67"/>
    <mergeCell ref="D7:D8"/>
    <mergeCell ref="C6:K6"/>
    <mergeCell ref="H81:H82"/>
    <mergeCell ref="B76:K76"/>
    <mergeCell ref="H79:H80"/>
    <mergeCell ref="I79:I80"/>
    <mergeCell ref="E66:J66"/>
    <mergeCell ref="B74:D74"/>
    <mergeCell ref="J72:K72"/>
    <mergeCell ref="E72:I72"/>
    <mergeCell ref="E100:G100"/>
    <mergeCell ref="B105:K105"/>
    <mergeCell ref="J79:J80"/>
    <mergeCell ref="J87:K87"/>
    <mergeCell ref="K81:K82"/>
    <mergeCell ref="K83:K84"/>
    <mergeCell ref="I81:I82"/>
    <mergeCell ref="B98:K98"/>
    <mergeCell ref="B73:K73"/>
    <mergeCell ref="H83:H84"/>
    <mergeCell ref="I83:I84"/>
    <mergeCell ref="J83:J84"/>
    <mergeCell ref="J81:J82"/>
    <mergeCell ref="K79:K80"/>
  </mergeCells>
  <phoneticPr fontId="38" type="noConversion"/>
  <conditionalFormatting sqref="B98:K104">
    <cfRule type="expression" dxfId="25" priority="1" stopIfTrue="1">
      <formula>$Q$17=FALSE</formula>
    </cfRule>
  </conditionalFormatting>
  <conditionalFormatting sqref="B7:K71">
    <cfRule type="expression" dxfId="24" priority="2" stopIfTrue="1">
      <formula>$Y$1=0</formula>
    </cfRule>
  </conditionalFormatting>
  <conditionalFormatting sqref="M2">
    <cfRule type="cellIs" dxfId="23" priority="3" stopIfTrue="1" operator="equal">
      <formula>0</formula>
    </cfRule>
  </conditionalFormatting>
  <conditionalFormatting sqref="M4">
    <cfRule type="cellIs" dxfId="22" priority="4" stopIfTrue="1" operator="equal">
      <formula>0</formula>
    </cfRule>
  </conditionalFormatting>
  <dataValidations xWindow="1110" yWindow="113" count="2">
    <dataValidation type="decimal" allowBlank="1" showInputMessage="1" showErrorMessage="1" promptTitle="ВНИМАНИЕ" prompt="Введите количество личного состава по общевойсковому пайку!" sqref="M2">
      <formula1>0</formula1>
      <formula2>5000</formula2>
    </dataValidation>
    <dataValidation type="decimal" allowBlank="1" showInputMessage="1" showErrorMessage="1" promptTitle="ВНИМАНИЕ" prompt="Введите количество личного состава по лечебному пайку!" sqref="M4">
      <formula1>0</formula1>
      <formula2>5000</formula2>
    </dataValidation>
  </dataValidations>
  <hyperlinks>
    <hyperlink ref="A2" location="'Раскладка продуктов'!B51" tooltip="Переход в раскладку продуктов" display="СРЕДА"/>
  </hyperlinks>
  <pageMargins left="0.78740157480314965" right="0.19685039370078741" top="0.59055118110236227" bottom="0.59055118110236227" header="0.51181102362204722" footer="0.51181102362204722"/>
  <pageSetup paperSize="9" scale="69" orientation="portrait" horizontalDpi="120" verticalDpi="72" r:id="rId2"/>
  <headerFooter alignWithMargins="0"/>
  <rowBreaks count="1" manualBreakCount="1">
    <brk id="58" min="1" max="10" man="1"/>
  </rowBreaks>
  <drawing r:id="rId3"/>
  <legacyDrawing r:id="rId4"/>
  <controls>
    <mc:AlternateContent xmlns:mc="http://schemas.openxmlformats.org/markup-compatibility/2006">
      <mc:Choice Requires="x14">
        <control shapeId="15419" r:id="rId5" name="CommandButton1">
          <controlPr locked="0" defaultSize="0" autoLine="0" r:id="rId6">
            <anchor moveWithCells="1">
              <from>
                <xdr:col>11</xdr:col>
                <xdr:colOff>323850</xdr:colOff>
                <xdr:row>3</xdr:row>
                <xdr:rowOff>0</xdr:rowOff>
              </from>
              <to>
                <xdr:col>13</xdr:col>
                <xdr:colOff>523875</xdr:colOff>
                <xdr:row>4</xdr:row>
                <xdr:rowOff>76200</xdr:rowOff>
              </to>
            </anchor>
          </controlPr>
        </control>
      </mc:Choice>
      <mc:Fallback>
        <control shapeId="15419" r:id="rId5" name="CommandButton1"/>
      </mc:Fallback>
    </mc:AlternateContent>
    <mc:AlternateContent xmlns:mc="http://schemas.openxmlformats.org/markup-compatibility/2006">
      <mc:Choice Requires="x14">
        <control shapeId="15362" r:id="rId7" name="Spinner 2">
          <controlPr defaultSize="0" autoPict="0">
            <anchor moveWithCells="1" sizeWithCells="1">
              <from>
                <xdr:col>13</xdr:col>
                <xdr:colOff>28575</xdr:colOff>
                <xdr:row>0</xdr:row>
                <xdr:rowOff>95250</xdr:rowOff>
              </from>
              <to>
                <xdr:col>13</xdr:col>
                <xdr:colOff>466725</xdr:colOff>
                <xdr:row>2</xdr:row>
                <xdr:rowOff>85725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Чт">
    <tabColor indexed="23"/>
  </sheetPr>
  <dimension ref="A1:AI2212"/>
  <sheetViews>
    <sheetView showGridLines="0" showZeros="0" showOutlineSymbols="0" view="pageBreakPreview" zoomScale="65" zoomScaleNormal="75" workbookViewId="0">
      <selection activeCell="M2" sqref="M2"/>
    </sheetView>
  </sheetViews>
  <sheetFormatPr defaultRowHeight="12.75" x14ac:dyDescent="0.2"/>
  <cols>
    <col min="1" max="1" width="5.7109375" customWidth="1"/>
    <col min="2" max="2" width="51.42578125" customWidth="1"/>
    <col min="3" max="3" width="4.7109375" customWidth="1"/>
    <col min="4" max="4" width="9.5703125" customWidth="1"/>
    <col min="5" max="7" width="9.5703125" hidden="1" customWidth="1"/>
    <col min="8" max="11" width="17.5703125" customWidth="1"/>
    <col min="12" max="12" width="9.140625" style="4"/>
    <col min="13" max="13" width="8.7109375" style="4" customWidth="1"/>
    <col min="14" max="14" width="9.140625" style="4"/>
    <col min="15" max="16" width="10.7109375" style="4" customWidth="1"/>
    <col min="17" max="17" width="9.28515625" style="4" hidden="1" customWidth="1"/>
    <col min="18" max="19" width="0" hidden="1" customWidth="1"/>
    <col min="20" max="20" width="9" hidden="1" customWidth="1"/>
    <col min="21" max="21" width="8.5703125" hidden="1" customWidth="1"/>
    <col min="22" max="22" width="4.85546875" hidden="1" customWidth="1"/>
    <col min="23" max="26" width="0" hidden="1" customWidth="1"/>
  </cols>
  <sheetData>
    <row r="1" spans="1:35" ht="13.9" customHeight="1" thickBot="1" x14ac:dyDescent="0.25">
      <c r="B1" s="80"/>
      <c r="C1" s="80"/>
      <c r="D1" s="80"/>
      <c r="E1" s="80"/>
      <c r="F1" s="80"/>
      <c r="G1" s="80"/>
      <c r="H1" s="80"/>
      <c r="I1" s="80"/>
      <c r="J1" s="80"/>
      <c r="K1" s="244" t="s">
        <v>160</v>
      </c>
      <c r="L1" s="2"/>
      <c r="M1" s="2"/>
      <c r="N1" s="2"/>
      <c r="O1" s="267"/>
      <c r="P1" s="2"/>
      <c r="Q1" s="2"/>
      <c r="R1" s="80"/>
      <c r="S1" s="80"/>
      <c r="T1" s="80"/>
      <c r="U1" s="80"/>
      <c r="V1" s="80"/>
      <c r="W1" s="80">
        <v>4</v>
      </c>
      <c r="X1" s="302">
        <v>2</v>
      </c>
      <c r="Y1" s="2">
        <f>'Блок ввода'!G4</f>
        <v>0</v>
      </c>
      <c r="Z1" s="80"/>
      <c r="AA1" s="80"/>
      <c r="AB1" s="80"/>
      <c r="AC1" s="80"/>
      <c r="AD1" s="80"/>
      <c r="AE1" s="80"/>
      <c r="AF1" s="80"/>
      <c r="AG1" s="80"/>
      <c r="AH1" s="80"/>
      <c r="AI1" s="80"/>
    </row>
    <row r="2" spans="1:35" ht="21" customHeight="1" thickTop="1" thickBot="1" x14ac:dyDescent="0.25">
      <c r="A2" s="485" t="s">
        <v>525</v>
      </c>
      <c r="B2" s="1601" t="s">
        <v>511</v>
      </c>
      <c r="C2" s="1601"/>
      <c r="D2" s="1601"/>
      <c r="E2" s="1601"/>
      <c r="F2" s="1601"/>
      <c r="G2" s="1601"/>
      <c r="H2" s="1601"/>
      <c r="I2" s="1601"/>
      <c r="J2" s="1601"/>
      <c r="K2" s="1601"/>
      <c r="L2" s="2"/>
      <c r="M2" s="139">
        <v>0</v>
      </c>
      <c r="N2" s="2"/>
      <c r="O2" s="2"/>
      <c r="P2" s="2"/>
      <c r="Q2" s="2"/>
      <c r="R2" s="80"/>
      <c r="S2" s="80"/>
      <c r="T2" s="80"/>
      <c r="U2" s="80"/>
      <c r="V2" s="80"/>
      <c r="W2" s="80"/>
      <c r="X2" s="302">
        <v>0</v>
      </c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</row>
    <row r="3" spans="1:35" ht="18.95" customHeight="1" thickTop="1" x14ac:dyDescent="0.25">
      <c r="B3" s="1602" t="str">
        <f>CONCATENATE(" на выдачу продовольствия в столовую ",'Блок ввода'!G8," ",'Блок ввода'!I2)</f>
        <v xml:space="preserve"> на выдачу продовольствия в столовую войсковой части 00000</v>
      </c>
      <c r="C3" s="1602"/>
      <c r="D3" s="1602"/>
      <c r="E3" s="1602"/>
      <c r="F3" s="1602"/>
      <c r="G3" s="1602"/>
      <c r="H3" s="1602"/>
      <c r="I3" s="1602"/>
      <c r="J3" s="1602"/>
      <c r="K3" s="1602"/>
      <c r="L3" s="2"/>
      <c r="M3" s="137"/>
      <c r="N3" s="2"/>
      <c r="O3" s="2"/>
      <c r="P3" s="2"/>
      <c r="Q3" s="2"/>
      <c r="R3" s="80"/>
      <c r="S3" s="80"/>
      <c r="T3" s="80"/>
      <c r="U3" s="80"/>
      <c r="V3" s="80"/>
      <c r="W3" s="80"/>
      <c r="X3" s="302">
        <v>0</v>
      </c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</row>
    <row r="4" spans="1:35" ht="21" customHeight="1" x14ac:dyDescent="0.25">
      <c r="A4" s="2"/>
      <c r="B4" s="245" t="s">
        <v>214</v>
      </c>
      <c r="C4" s="1599">
        <f>'Блок ввода'!$I$4+3</f>
        <v>40094</v>
      </c>
      <c r="D4" s="1599"/>
      <c r="E4" s="1599"/>
      <c r="F4" s="1599"/>
      <c r="G4" s="1599"/>
      <c r="H4" s="1599"/>
      <c r="I4" s="1219"/>
      <c r="J4" s="1219"/>
      <c r="K4" s="1219"/>
      <c r="L4" s="2"/>
      <c r="M4" s="1232">
        <v>0</v>
      </c>
      <c r="N4" s="2"/>
      <c r="O4" s="2"/>
      <c r="P4" s="2"/>
      <c r="Q4" s="2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</row>
    <row r="5" spans="1:35" ht="17.100000000000001" customHeight="1" x14ac:dyDescent="0.25">
      <c r="A5" s="144"/>
      <c r="B5" s="1582" t="s">
        <v>375</v>
      </c>
      <c r="C5" s="1582"/>
      <c r="D5" s="1582"/>
      <c r="E5" s="1582"/>
      <c r="F5" s="1582"/>
      <c r="G5" s="1582"/>
      <c r="H5" s="1582"/>
      <c r="I5" s="1582"/>
      <c r="J5" s="1582"/>
      <c r="K5" s="1583"/>
      <c r="L5" s="137"/>
      <c r="M5" s="2"/>
      <c r="N5" s="2"/>
      <c r="O5" s="2"/>
      <c r="P5" s="2"/>
      <c r="Q5" s="2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</row>
    <row r="6" spans="1:35" ht="19.899999999999999" customHeight="1" thickBot="1" x14ac:dyDescent="0.3">
      <c r="A6" s="144"/>
      <c r="B6" s="245" t="s">
        <v>234</v>
      </c>
      <c r="C6" s="1607" t="s">
        <v>352</v>
      </c>
      <c r="D6" s="1607"/>
      <c r="E6" s="1607"/>
      <c r="F6" s="1607"/>
      <c r="G6" s="1607"/>
      <c r="H6" s="1607"/>
      <c r="I6" s="1607"/>
      <c r="J6" s="1607"/>
      <c r="K6" s="1607"/>
      <c r="L6" s="2"/>
      <c r="M6" s="246"/>
      <c r="N6" s="2"/>
      <c r="O6" s="2"/>
      <c r="P6" s="2"/>
      <c r="Q6" s="2"/>
      <c r="R6" s="80"/>
      <c r="S6" s="80"/>
      <c r="T6" s="80"/>
      <c r="U6" s="142" t="b">
        <f>IF(OR('Раскладка продуктов'!A76=1750,'Раскладка продуктов'!A76=1745),0,FALSE)</f>
        <v>0</v>
      </c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</row>
    <row r="7" spans="1:35" ht="13.5" customHeight="1" thickBot="1" x14ac:dyDescent="0.25">
      <c r="A7" s="2"/>
      <c r="B7" s="1574" t="s">
        <v>220</v>
      </c>
      <c r="C7" s="1614" t="s">
        <v>167</v>
      </c>
      <c r="D7" s="1578" t="s">
        <v>284</v>
      </c>
      <c r="E7" s="1604" t="s">
        <v>261</v>
      </c>
      <c r="F7" s="1605"/>
      <c r="G7" s="1606"/>
      <c r="H7" s="1604" t="s">
        <v>262</v>
      </c>
      <c r="I7" s="1605"/>
      <c r="J7" s="1606"/>
      <c r="K7" s="248"/>
      <c r="L7" s="2"/>
      <c r="M7" s="2"/>
      <c r="N7" s="2"/>
      <c r="O7" s="2"/>
      <c r="P7" s="2"/>
      <c r="Q7" s="2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</row>
    <row r="8" spans="1:35" ht="58.15" customHeight="1" thickBot="1" x14ac:dyDescent="0.25">
      <c r="A8" s="2"/>
      <c r="B8" s="1613"/>
      <c r="C8" s="1615"/>
      <c r="D8" s="1579"/>
      <c r="E8" s="250" t="s">
        <v>123</v>
      </c>
      <c r="F8" s="250" t="s">
        <v>124</v>
      </c>
      <c r="G8" s="250" t="s">
        <v>125</v>
      </c>
      <c r="H8" s="250" t="s">
        <v>123</v>
      </c>
      <c r="I8" s="250" t="s">
        <v>124</v>
      </c>
      <c r="J8" s="250" t="s">
        <v>125</v>
      </c>
      <c r="K8" s="252" t="s">
        <v>161</v>
      </c>
      <c r="L8" s="2"/>
      <c r="M8" s="2"/>
      <c r="N8" s="2"/>
      <c r="O8" s="2"/>
      <c r="P8" s="2"/>
      <c r="Q8" s="2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</row>
    <row r="9" spans="1:35" ht="15" customHeight="1" x14ac:dyDescent="0.25">
      <c r="A9" s="2"/>
      <c r="B9" s="658" t="str">
        <f>Расчёт!B198</f>
        <v>ХЛЕБ ИЗ СМЕСИ МУКИ РЖАНОЙ</v>
      </c>
      <c r="C9" s="610" t="s">
        <v>163</v>
      </c>
      <c r="D9" s="506">
        <f>Цены!D9</f>
        <v>0</v>
      </c>
      <c r="E9" s="604">
        <v>0</v>
      </c>
      <c r="F9" s="611">
        <v>0</v>
      </c>
      <c r="G9" s="612">
        <v>0</v>
      </c>
      <c r="H9" s="489">
        <f>Расчёт!G198</f>
        <v>0</v>
      </c>
      <c r="I9" s="490">
        <f>Расчёт!H198</f>
        <v>0</v>
      </c>
      <c r="J9" s="491">
        <f>Расчёт!I198</f>
        <v>0</v>
      </c>
      <c r="K9" s="492">
        <f>SUM(E9:J9)-K66</f>
        <v>0</v>
      </c>
      <c r="L9" s="2"/>
      <c r="M9" s="253"/>
      <c r="N9" s="254"/>
      <c r="O9" s="2"/>
      <c r="P9" s="2"/>
      <c r="Q9" s="2"/>
      <c r="R9" s="80"/>
      <c r="S9" s="80"/>
      <c r="T9" s="80"/>
      <c r="U9" s="80" t="b">
        <v>0</v>
      </c>
      <c r="V9" s="154">
        <f t="shared" ref="V9:V70" si="0">IF(K9&gt;0,1,0)</f>
        <v>0</v>
      </c>
      <c r="W9" s="80"/>
      <c r="X9" s="80"/>
      <c r="Y9" s="80"/>
      <c r="Z9" s="155">
        <f>D9*K9</f>
        <v>0</v>
      </c>
      <c r="AA9" s="80"/>
      <c r="AB9" s="80"/>
      <c r="AC9" s="80"/>
      <c r="AD9" s="80"/>
      <c r="AE9" s="80"/>
      <c r="AF9" s="80"/>
      <c r="AG9" s="80"/>
      <c r="AH9" s="80"/>
      <c r="AI9" s="80"/>
    </row>
    <row r="10" spans="1:35" ht="15" customHeight="1" x14ac:dyDescent="0.25">
      <c r="A10" s="2"/>
      <c r="B10" s="659" t="str">
        <f>Расчёт!B199</f>
        <v>ХЛЕБ ИЗ МУКИ ПШ. 1 С.</v>
      </c>
      <c r="C10" s="647" t="s">
        <v>163</v>
      </c>
      <c r="D10" s="640">
        <f>Цены!D10</f>
        <v>0</v>
      </c>
      <c r="E10" s="662">
        <v>0</v>
      </c>
      <c r="F10" s="614">
        <v>0</v>
      </c>
      <c r="G10" s="615">
        <v>0</v>
      </c>
      <c r="H10" s="494">
        <f>Расчёт!G199</f>
        <v>0</v>
      </c>
      <c r="I10" s="495">
        <f>Расчёт!H199</f>
        <v>0</v>
      </c>
      <c r="J10" s="496">
        <f>Расчёт!I199</f>
        <v>0</v>
      </c>
      <c r="K10" s="497">
        <f>SUM(E10:J10)-K67</f>
        <v>0</v>
      </c>
      <c r="L10" s="2"/>
      <c r="M10" s="253"/>
      <c r="N10" s="254"/>
      <c r="O10" s="2"/>
      <c r="P10" s="2"/>
      <c r="Q10" s="2"/>
      <c r="R10" s="80"/>
      <c r="S10" s="80"/>
      <c r="T10" s="80"/>
      <c r="U10" s="80" t="b">
        <v>1</v>
      </c>
      <c r="V10" s="154">
        <f t="shared" si="0"/>
        <v>0</v>
      </c>
      <c r="W10" s="80"/>
      <c r="X10" s="80"/>
      <c r="Y10" s="80"/>
      <c r="Z10" s="155">
        <f t="shared" ref="Z10:Z71" si="1">D10*K10</f>
        <v>0</v>
      </c>
      <c r="AA10" s="80"/>
      <c r="AB10" s="80"/>
      <c r="AC10" s="80"/>
      <c r="AD10" s="80"/>
      <c r="AE10" s="80"/>
      <c r="AF10" s="80"/>
      <c r="AG10" s="80"/>
      <c r="AH10" s="80"/>
      <c r="AI10" s="80"/>
    </row>
    <row r="11" spans="1:35" ht="15" customHeight="1" thickBot="1" x14ac:dyDescent="0.3">
      <c r="A11" s="2"/>
      <c r="B11" s="659" t="str">
        <f>Расчёт!B200</f>
        <v>СУХАРИ (ХЛЕБЦЫ) ИЗ ПШ. МУКИ 1 С.</v>
      </c>
      <c r="C11" s="1236" t="s">
        <v>163</v>
      </c>
      <c r="D11" s="1244">
        <f>Цены!D11</f>
        <v>0</v>
      </c>
      <c r="E11" s="663">
        <v>0</v>
      </c>
      <c r="F11" s="621">
        <v>0</v>
      </c>
      <c r="G11" s="622">
        <v>0</v>
      </c>
      <c r="H11" s="501">
        <f>Расчёт!G200</f>
        <v>0</v>
      </c>
      <c r="I11" s="502">
        <f>Расчёт!H200</f>
        <v>0</v>
      </c>
      <c r="J11" s="503">
        <f>Расчёт!I200</f>
        <v>0</v>
      </c>
      <c r="K11" s="504">
        <f t="shared" ref="K11:K63" si="2">SUM(E11:J11)</f>
        <v>0</v>
      </c>
      <c r="L11" s="2"/>
      <c r="M11" s="253"/>
      <c r="N11" s="254"/>
      <c r="O11" s="2"/>
      <c r="P11" s="2"/>
      <c r="Q11" s="2"/>
      <c r="R11" s="80"/>
      <c r="S11" s="80"/>
      <c r="T11" s="80"/>
      <c r="U11" s="80"/>
      <c r="V11" s="154"/>
      <c r="W11" s="80"/>
      <c r="X11" s="80"/>
      <c r="Y11" s="80"/>
      <c r="Z11" s="155">
        <f t="shared" si="1"/>
        <v>0</v>
      </c>
      <c r="AA11" s="80"/>
      <c r="AB11" s="80"/>
      <c r="AC11" s="80"/>
      <c r="AD11" s="80"/>
      <c r="AE11" s="80"/>
      <c r="AF11" s="80"/>
      <c r="AG11" s="80"/>
      <c r="AH11" s="80"/>
      <c r="AI11" s="80"/>
    </row>
    <row r="12" spans="1:35" ht="15" customHeight="1" x14ac:dyDescent="0.2">
      <c r="A12" s="2"/>
      <c r="B12" s="505" t="s">
        <v>130</v>
      </c>
      <c r="C12" s="610" t="s">
        <v>163</v>
      </c>
      <c r="D12" s="506">
        <f>Цены!D12</f>
        <v>0</v>
      </c>
      <c r="E12" s="604">
        <v>0</v>
      </c>
      <c r="F12" s="611">
        <v>0</v>
      </c>
      <c r="G12" s="612">
        <v>0</v>
      </c>
      <c r="H12" s="488">
        <f>Расчёт!G201</f>
        <v>0</v>
      </c>
      <c r="I12" s="510">
        <f>Расчёт!H201</f>
        <v>0</v>
      </c>
      <c r="J12" s="511">
        <f>Расчёт!I201</f>
        <v>0</v>
      </c>
      <c r="K12" s="512">
        <f t="shared" si="2"/>
        <v>0</v>
      </c>
      <c r="L12" s="2"/>
      <c r="M12" s="2"/>
      <c r="N12" s="2"/>
      <c r="O12" s="2"/>
      <c r="P12" s="2"/>
      <c r="Q12" s="2"/>
      <c r="R12" s="80"/>
      <c r="S12" s="80"/>
      <c r="T12" s="80"/>
      <c r="U12" s="80"/>
      <c r="V12" s="154">
        <f t="shared" si="0"/>
        <v>0</v>
      </c>
      <c r="W12" s="80"/>
      <c r="X12" s="80"/>
      <c r="Y12" s="80"/>
      <c r="Z12" s="155">
        <f t="shared" si="1"/>
        <v>0</v>
      </c>
      <c r="AA12" s="80"/>
      <c r="AB12" s="80"/>
      <c r="AC12" s="80"/>
      <c r="AD12" s="80"/>
      <c r="AE12" s="80"/>
      <c r="AF12" s="80"/>
      <c r="AG12" s="80"/>
      <c r="AH12" s="80"/>
      <c r="AI12" s="80"/>
    </row>
    <row r="13" spans="1:35" ht="15" customHeight="1" thickBot="1" x14ac:dyDescent="0.25">
      <c r="A13" s="2"/>
      <c r="B13" s="513" t="s">
        <v>131</v>
      </c>
      <c r="C13" s="620" t="s">
        <v>163</v>
      </c>
      <c r="D13" s="1244">
        <f>Цены!D13</f>
        <v>0</v>
      </c>
      <c r="E13" s="663">
        <v>0</v>
      </c>
      <c r="F13" s="621">
        <v>0</v>
      </c>
      <c r="G13" s="622">
        <v>0</v>
      </c>
      <c r="H13" s="516">
        <f>Расчёт!G202</f>
        <v>0</v>
      </c>
      <c r="I13" s="518">
        <f>Расчёт!H202</f>
        <v>0</v>
      </c>
      <c r="J13" s="519">
        <f>Расчёт!I202</f>
        <v>0</v>
      </c>
      <c r="K13" s="520">
        <f t="shared" si="2"/>
        <v>0</v>
      </c>
      <c r="L13" s="2"/>
      <c r="M13" s="255"/>
      <c r="N13" s="2"/>
      <c r="O13" s="2"/>
      <c r="P13" s="2"/>
      <c r="Q13" s="2"/>
      <c r="R13" s="80"/>
      <c r="S13" s="80"/>
      <c r="T13" s="80"/>
      <c r="U13" s="80"/>
      <c r="V13" s="154">
        <f t="shared" si="0"/>
        <v>0</v>
      </c>
      <c r="W13" s="80"/>
      <c r="X13" s="80"/>
      <c r="Y13" s="80"/>
      <c r="Z13" s="155">
        <f t="shared" si="1"/>
        <v>0</v>
      </c>
      <c r="AA13" s="80"/>
      <c r="AB13" s="80"/>
      <c r="AC13" s="80"/>
      <c r="AD13" s="80"/>
      <c r="AE13" s="80"/>
      <c r="AF13" s="80"/>
      <c r="AG13" s="80"/>
      <c r="AH13" s="80"/>
      <c r="AI13" s="80"/>
    </row>
    <row r="14" spans="1:35" ht="15" customHeight="1" x14ac:dyDescent="0.2">
      <c r="A14" s="2"/>
      <c r="B14" s="521" t="str">
        <f>Расчёт!B203</f>
        <v>РИС</v>
      </c>
      <c r="C14" s="610" t="s">
        <v>163</v>
      </c>
      <c r="D14" s="506">
        <f>Цены!D14</f>
        <v>0</v>
      </c>
      <c r="E14" s="604">
        <v>0</v>
      </c>
      <c r="F14" s="611">
        <v>0</v>
      </c>
      <c r="G14" s="612">
        <v>0</v>
      </c>
      <c r="H14" s="507">
        <f>Расчёт!G203</f>
        <v>0</v>
      </c>
      <c r="I14" s="490">
        <f>Расчёт!H203</f>
        <v>0</v>
      </c>
      <c r="J14" s="491">
        <f>Расчёт!I203</f>
        <v>0</v>
      </c>
      <c r="K14" s="522">
        <f t="shared" si="2"/>
        <v>0</v>
      </c>
      <c r="L14" s="2"/>
      <c r="M14" s="2"/>
      <c r="N14" s="2"/>
      <c r="O14" s="2"/>
      <c r="P14" s="2"/>
      <c r="Q14" s="2"/>
      <c r="R14" s="80"/>
      <c r="S14" s="80"/>
      <c r="T14" s="2" t="str">
        <f>'Блок ввода'!O15</f>
        <v>Ю.АРТЕМОВ</v>
      </c>
      <c r="U14" s="80"/>
      <c r="V14" s="154">
        <f t="shared" si="0"/>
        <v>0</v>
      </c>
      <c r="W14" s="80"/>
      <c r="X14" s="80"/>
      <c r="Y14" s="80"/>
      <c r="Z14" s="155">
        <f t="shared" si="1"/>
        <v>0</v>
      </c>
      <c r="AA14" s="80"/>
      <c r="AB14" s="80"/>
      <c r="AC14" s="80"/>
      <c r="AD14" s="80"/>
      <c r="AE14" s="80"/>
      <c r="AF14" s="80"/>
      <c r="AG14" s="80"/>
      <c r="AH14" s="80"/>
      <c r="AI14" s="80"/>
    </row>
    <row r="15" spans="1:35" ht="15" customHeight="1" x14ac:dyDescent="0.2">
      <c r="A15" s="256"/>
      <c r="B15" s="523" t="str">
        <f>Расчёт!B204</f>
        <v>КРУПА ГРЕЧНЕВАЯ</v>
      </c>
      <c r="C15" s="613" t="s">
        <v>163</v>
      </c>
      <c r="D15" s="640">
        <f>Цены!D15</f>
        <v>0</v>
      </c>
      <c r="E15" s="662">
        <v>0</v>
      </c>
      <c r="F15" s="614">
        <v>0</v>
      </c>
      <c r="G15" s="615">
        <v>0</v>
      </c>
      <c r="H15" s="532">
        <f>Расчёт!G204</f>
        <v>0</v>
      </c>
      <c r="I15" s="533">
        <f>Расчёт!H204</f>
        <v>0</v>
      </c>
      <c r="J15" s="569">
        <f>Расчёт!I204</f>
        <v>0</v>
      </c>
      <c r="K15" s="512">
        <f t="shared" si="2"/>
        <v>0</v>
      </c>
      <c r="L15" s="2"/>
      <c r="M15" s="2"/>
      <c r="N15" s="2"/>
      <c r="O15" s="2"/>
      <c r="P15" s="2"/>
      <c r="Q15" s="2">
        <f>'Раскладка продуктов'!A37</f>
        <v>2075</v>
      </c>
      <c r="R15" s="80"/>
      <c r="S15" s="80"/>
      <c r="T15" s="2" t="str">
        <f>'Блок ввода'!O16</f>
        <v>Е.КАЛУГИН</v>
      </c>
      <c r="U15" s="80"/>
      <c r="V15" s="154">
        <f t="shared" si="0"/>
        <v>0</v>
      </c>
      <c r="W15" s="80"/>
      <c r="X15" s="80"/>
      <c r="Y15" s="80"/>
      <c r="Z15" s="155">
        <f t="shared" si="1"/>
        <v>0</v>
      </c>
      <c r="AA15" s="80"/>
      <c r="AB15" s="80"/>
      <c r="AC15" s="80"/>
      <c r="AD15" s="80"/>
      <c r="AE15" s="80"/>
      <c r="AF15" s="80"/>
      <c r="AG15" s="80"/>
      <c r="AH15" s="80"/>
      <c r="AI15" s="80"/>
    </row>
    <row r="16" spans="1:35" ht="15" customHeight="1" x14ac:dyDescent="0.2">
      <c r="A16" s="2"/>
      <c r="B16" s="523" t="str">
        <f>Расчёт!B205</f>
        <v>КРУПА ПЕРЛОВАЯ</v>
      </c>
      <c r="C16" s="613" t="s">
        <v>163</v>
      </c>
      <c r="D16" s="640">
        <f>Цены!D16</f>
        <v>0</v>
      </c>
      <c r="E16" s="662">
        <v>0</v>
      </c>
      <c r="F16" s="614">
        <v>0</v>
      </c>
      <c r="G16" s="615">
        <v>0</v>
      </c>
      <c r="H16" s="532">
        <f>Расчёт!G205</f>
        <v>0</v>
      </c>
      <c r="I16" s="533">
        <f>Расчёт!H205</f>
        <v>0</v>
      </c>
      <c r="J16" s="569">
        <f>Расчёт!I205</f>
        <v>0</v>
      </c>
      <c r="K16" s="512">
        <f t="shared" si="2"/>
        <v>0</v>
      </c>
      <c r="L16" s="2"/>
      <c r="M16" s="2"/>
      <c r="N16" s="2"/>
      <c r="O16" s="2"/>
      <c r="P16" s="2"/>
      <c r="Q16" s="290" t="str">
        <f>MID(B2,13,6)</f>
        <v/>
      </c>
      <c r="R16" s="80"/>
      <c r="S16" s="80"/>
      <c r="T16" s="80"/>
      <c r="U16" s="80"/>
      <c r="V16" s="154">
        <f t="shared" si="0"/>
        <v>0</v>
      </c>
      <c r="W16" s="80"/>
      <c r="X16" s="80"/>
      <c r="Y16" s="80"/>
      <c r="Z16" s="155">
        <f t="shared" si="1"/>
        <v>0</v>
      </c>
      <c r="AA16" s="80"/>
      <c r="AB16" s="80"/>
      <c r="AC16" s="80"/>
      <c r="AD16" s="80"/>
      <c r="AE16" s="80"/>
      <c r="AF16" s="80"/>
      <c r="AG16" s="80"/>
      <c r="AH16" s="80"/>
      <c r="AI16" s="80"/>
    </row>
    <row r="17" spans="1:35" ht="15" customHeight="1" x14ac:dyDescent="0.2">
      <c r="A17" s="2"/>
      <c r="B17" s="523" t="str">
        <f>Расчёт!B206</f>
        <v>КРУПА ГОРОХ</v>
      </c>
      <c r="C17" s="613" t="s">
        <v>163</v>
      </c>
      <c r="D17" s="640">
        <f>Цены!D17</f>
        <v>0</v>
      </c>
      <c r="E17" s="662">
        <v>0</v>
      </c>
      <c r="F17" s="614">
        <v>0</v>
      </c>
      <c r="G17" s="615">
        <v>0</v>
      </c>
      <c r="H17" s="532">
        <f>Расчёт!G206</f>
        <v>0</v>
      </c>
      <c r="I17" s="533">
        <f>Расчёт!H206</f>
        <v>0</v>
      </c>
      <c r="J17" s="569">
        <f>Расчёт!I206</f>
        <v>0</v>
      </c>
      <c r="K17" s="512">
        <f t="shared" si="2"/>
        <v>0</v>
      </c>
      <c r="L17" s="2"/>
      <c r="M17" s="2"/>
      <c r="N17" s="2"/>
      <c r="O17" s="2"/>
      <c r="P17" s="2"/>
      <c r="Q17" s="296" t="b">
        <v>1</v>
      </c>
      <c r="R17" s="80"/>
      <c r="S17" s="80"/>
      <c r="T17" s="80"/>
      <c r="U17" s="80"/>
      <c r="V17" s="154">
        <f t="shared" si="0"/>
        <v>0</v>
      </c>
      <c r="W17" s="80"/>
      <c r="X17" s="80"/>
      <c r="Y17" s="80"/>
      <c r="Z17" s="155">
        <f t="shared" si="1"/>
        <v>0</v>
      </c>
      <c r="AA17" s="80"/>
      <c r="AB17" s="80"/>
      <c r="AC17" s="80"/>
      <c r="AD17" s="80"/>
      <c r="AE17" s="80"/>
      <c r="AF17" s="80"/>
      <c r="AG17" s="80"/>
      <c r="AH17" s="80"/>
      <c r="AI17" s="80"/>
    </row>
    <row r="18" spans="1:35" ht="15" customHeight="1" x14ac:dyDescent="0.2">
      <c r="A18" s="2"/>
      <c r="B18" s="523" t="str">
        <f>Расчёт!B207</f>
        <v>КРУПА ПШЕНО</v>
      </c>
      <c r="C18" s="613" t="s">
        <v>163</v>
      </c>
      <c r="D18" s="640">
        <f>Цены!D18</f>
        <v>0</v>
      </c>
      <c r="E18" s="662">
        <v>0</v>
      </c>
      <c r="F18" s="614">
        <v>0</v>
      </c>
      <c r="G18" s="615">
        <v>0</v>
      </c>
      <c r="H18" s="532">
        <f>Расчёт!G207</f>
        <v>0</v>
      </c>
      <c r="I18" s="533">
        <f>Расчёт!H207</f>
        <v>0</v>
      </c>
      <c r="J18" s="569">
        <f>Расчёт!I207</f>
        <v>0</v>
      </c>
      <c r="K18" s="512">
        <f t="shared" si="2"/>
        <v>0</v>
      </c>
      <c r="L18" s="2"/>
      <c r="M18" s="2"/>
      <c r="N18" s="2"/>
      <c r="O18" s="2"/>
      <c r="P18" s="2"/>
      <c r="Q18" s="2"/>
      <c r="R18" s="80"/>
      <c r="S18" s="80"/>
      <c r="T18" s="80"/>
      <c r="U18" s="80"/>
      <c r="V18" s="154">
        <f t="shared" si="0"/>
        <v>0</v>
      </c>
      <c r="W18" s="80"/>
      <c r="X18" s="80"/>
      <c r="Y18" s="80"/>
      <c r="Z18" s="155">
        <f t="shared" si="1"/>
        <v>0</v>
      </c>
      <c r="AA18" s="80"/>
      <c r="AB18" s="80"/>
      <c r="AC18" s="80"/>
      <c r="AD18" s="80"/>
      <c r="AE18" s="80"/>
      <c r="AF18" s="80"/>
      <c r="AG18" s="80"/>
      <c r="AH18" s="80"/>
      <c r="AI18" s="80"/>
    </row>
    <row r="19" spans="1:35" ht="15" customHeight="1" x14ac:dyDescent="0.2">
      <c r="A19" s="2"/>
      <c r="B19" s="523" t="str">
        <f>Расчёт!B208</f>
        <v>КРУПА ПШЕНИЧНАЯ</v>
      </c>
      <c r="C19" s="613" t="s">
        <v>163</v>
      </c>
      <c r="D19" s="640">
        <f>Цены!D19</f>
        <v>0</v>
      </c>
      <c r="E19" s="662">
        <v>0</v>
      </c>
      <c r="F19" s="614">
        <v>0</v>
      </c>
      <c r="G19" s="615">
        <v>0</v>
      </c>
      <c r="H19" s="532">
        <f>Расчёт!G208</f>
        <v>0</v>
      </c>
      <c r="I19" s="533">
        <f>Расчёт!H208</f>
        <v>0</v>
      </c>
      <c r="J19" s="569">
        <f>Расчёт!I208</f>
        <v>0</v>
      </c>
      <c r="K19" s="512">
        <f t="shared" si="2"/>
        <v>0</v>
      </c>
      <c r="L19" s="2"/>
      <c r="M19" s="2"/>
      <c r="N19" s="2"/>
      <c r="O19" s="2"/>
      <c r="P19" s="2"/>
      <c r="Q19" s="2"/>
      <c r="R19" s="80"/>
      <c r="S19" s="80"/>
      <c r="T19" s="80"/>
      <c r="U19" s="80"/>
      <c r="V19" s="154">
        <f t="shared" si="0"/>
        <v>0</v>
      </c>
      <c r="W19" s="80"/>
      <c r="X19" s="80"/>
      <c r="Y19" s="80"/>
      <c r="Z19" s="155">
        <f t="shared" si="1"/>
        <v>0</v>
      </c>
      <c r="AA19" s="80"/>
      <c r="AB19" s="80"/>
      <c r="AC19" s="80"/>
      <c r="AD19" s="80"/>
      <c r="AE19" s="80"/>
      <c r="AF19" s="80"/>
      <c r="AG19" s="80"/>
      <c r="AH19" s="80"/>
      <c r="AI19" s="80"/>
    </row>
    <row r="20" spans="1:35" ht="15" customHeight="1" x14ac:dyDescent="0.2">
      <c r="A20" s="2"/>
      <c r="B20" s="523" t="str">
        <f>Расчёт!B209</f>
        <v>КРУПА ОВСЯНАЯ</v>
      </c>
      <c r="C20" s="613" t="s">
        <v>163</v>
      </c>
      <c r="D20" s="640">
        <f>Цены!D20</f>
        <v>0</v>
      </c>
      <c r="E20" s="662">
        <v>0</v>
      </c>
      <c r="F20" s="614">
        <v>0</v>
      </c>
      <c r="G20" s="615">
        <v>0</v>
      </c>
      <c r="H20" s="532">
        <f>Расчёт!G209</f>
        <v>0</v>
      </c>
      <c r="I20" s="533">
        <f>Расчёт!H209</f>
        <v>0</v>
      </c>
      <c r="J20" s="569">
        <f>Расчёт!I209</f>
        <v>0</v>
      </c>
      <c r="K20" s="512">
        <f t="shared" si="2"/>
        <v>0</v>
      </c>
      <c r="L20" s="2"/>
      <c r="M20" s="268"/>
      <c r="N20" s="2"/>
      <c r="O20" s="2"/>
      <c r="P20" s="2"/>
      <c r="Q20" s="2"/>
      <c r="R20" s="80"/>
      <c r="S20" s="80"/>
      <c r="T20" s="80"/>
      <c r="U20" s="80"/>
      <c r="V20" s="154">
        <f t="shared" si="0"/>
        <v>0</v>
      </c>
      <c r="W20" s="80"/>
      <c r="X20" s="80"/>
      <c r="Y20" s="80"/>
      <c r="Z20" s="155">
        <f t="shared" si="1"/>
        <v>0</v>
      </c>
      <c r="AA20" s="80"/>
      <c r="AB20" s="80"/>
      <c r="AC20" s="80"/>
      <c r="AD20" s="80"/>
      <c r="AE20" s="80"/>
      <c r="AF20" s="80"/>
      <c r="AG20" s="80"/>
      <c r="AH20" s="80"/>
      <c r="AI20" s="80"/>
    </row>
    <row r="21" spans="1:35" ht="15" customHeight="1" x14ac:dyDescent="0.2">
      <c r="A21" s="2"/>
      <c r="B21" s="523" t="str">
        <f>Расчёт!B210</f>
        <v>КРУПА ЯЧНЕВАЯ</v>
      </c>
      <c r="C21" s="613" t="s">
        <v>163</v>
      </c>
      <c r="D21" s="640">
        <f>Цены!D21</f>
        <v>0</v>
      </c>
      <c r="E21" s="662">
        <v>0</v>
      </c>
      <c r="F21" s="614">
        <v>0</v>
      </c>
      <c r="G21" s="615">
        <v>0</v>
      </c>
      <c r="H21" s="532">
        <f>Расчёт!G210</f>
        <v>0</v>
      </c>
      <c r="I21" s="533">
        <f>Расчёт!H210</f>
        <v>0</v>
      </c>
      <c r="J21" s="569">
        <f>Расчёт!I210</f>
        <v>0</v>
      </c>
      <c r="K21" s="512">
        <f t="shared" si="2"/>
        <v>0</v>
      </c>
      <c r="L21" s="2"/>
      <c r="M21" s="2"/>
      <c r="N21" s="2"/>
      <c r="O21" s="2"/>
      <c r="P21" s="2"/>
      <c r="Q21" s="2"/>
      <c r="R21" s="80"/>
      <c r="S21" s="80"/>
      <c r="T21" s="80"/>
      <c r="U21" s="80"/>
      <c r="V21" s="154">
        <f t="shared" si="0"/>
        <v>0</v>
      </c>
      <c r="W21" s="80"/>
      <c r="X21" s="80"/>
      <c r="Y21" s="80"/>
      <c r="Z21" s="155">
        <f t="shared" si="1"/>
        <v>0</v>
      </c>
      <c r="AA21" s="80"/>
      <c r="AB21" s="80"/>
      <c r="AC21" s="80"/>
      <c r="AD21" s="80"/>
      <c r="AE21" s="80"/>
      <c r="AF21" s="80"/>
      <c r="AG21" s="80"/>
      <c r="AH21" s="80"/>
      <c r="AI21" s="80"/>
    </row>
    <row r="22" spans="1:35" ht="15" customHeight="1" thickBot="1" x14ac:dyDescent="0.25">
      <c r="A22" s="2"/>
      <c r="B22" s="525" t="str">
        <f>Расчёт!B211</f>
        <v>МАКАРОННЫЕ ИЗДЕЛИЯ</v>
      </c>
      <c r="C22" s="620" t="s">
        <v>163</v>
      </c>
      <c r="D22" s="1244">
        <f>Цены!D22</f>
        <v>0</v>
      </c>
      <c r="E22" s="663">
        <v>0</v>
      </c>
      <c r="F22" s="621">
        <v>0</v>
      </c>
      <c r="G22" s="622">
        <v>0</v>
      </c>
      <c r="H22" s="660">
        <f>Расчёт!G211</f>
        <v>0</v>
      </c>
      <c r="I22" s="661">
        <f>Расчёт!H211</f>
        <v>0</v>
      </c>
      <c r="J22" s="574">
        <f>Расчёт!I211</f>
        <v>0</v>
      </c>
      <c r="K22" s="520">
        <f t="shared" si="2"/>
        <v>0</v>
      </c>
      <c r="L22" s="2"/>
      <c r="M22" s="2"/>
      <c r="N22" s="2"/>
      <c r="O22" s="2"/>
      <c r="P22" s="2"/>
      <c r="Q22" s="2"/>
      <c r="R22" s="80"/>
      <c r="S22" s="80"/>
      <c r="T22" s="80"/>
      <c r="U22" s="80"/>
      <c r="V22" s="154">
        <f t="shared" si="0"/>
        <v>0</v>
      </c>
      <c r="W22" s="80"/>
      <c r="X22" s="80"/>
      <c r="Y22" s="80"/>
      <c r="Z22" s="155">
        <f t="shared" si="1"/>
        <v>0</v>
      </c>
      <c r="AA22" s="80"/>
      <c r="AB22" s="80"/>
      <c r="AC22" s="80"/>
      <c r="AD22" s="80"/>
      <c r="AE22" s="80"/>
      <c r="AF22" s="80"/>
      <c r="AG22" s="80"/>
      <c r="AH22" s="80"/>
      <c r="AI22" s="80"/>
    </row>
    <row r="23" spans="1:35" ht="15" customHeight="1" x14ac:dyDescent="0.2">
      <c r="A23" s="2"/>
      <c r="B23" s="486" t="str">
        <f>Расчёт!B212</f>
        <v>МЯСО  ГОВЯДИНА</v>
      </c>
      <c r="C23" s="610" t="s">
        <v>163</v>
      </c>
      <c r="D23" s="506">
        <f>Цены!D23</f>
        <v>0</v>
      </c>
      <c r="E23" s="604">
        <v>0</v>
      </c>
      <c r="F23" s="611">
        <v>0</v>
      </c>
      <c r="G23" s="612">
        <v>0</v>
      </c>
      <c r="H23" s="507">
        <f>Расчёт!G212</f>
        <v>0</v>
      </c>
      <c r="I23" s="490">
        <f>Расчёт!H212</f>
        <v>0</v>
      </c>
      <c r="J23" s="584">
        <f>Расчёт!I212</f>
        <v>0</v>
      </c>
      <c r="K23" s="522">
        <f t="shared" si="2"/>
        <v>0</v>
      </c>
      <c r="L23" s="2"/>
      <c r="M23" s="2"/>
      <c r="N23" s="2"/>
      <c r="O23" s="2"/>
      <c r="P23" s="2"/>
      <c r="Q23" s="2"/>
      <c r="R23" s="80"/>
      <c r="S23" s="80"/>
      <c r="T23" s="80"/>
      <c r="U23" s="80"/>
      <c r="V23" s="154">
        <f t="shared" si="0"/>
        <v>0</v>
      </c>
      <c r="W23" s="80"/>
      <c r="X23" s="80"/>
      <c r="Y23" s="80"/>
      <c r="Z23" s="155">
        <f t="shared" si="1"/>
        <v>0</v>
      </c>
      <c r="AA23" s="80"/>
      <c r="AB23" s="80"/>
      <c r="AC23" s="80"/>
      <c r="AD23" s="80"/>
      <c r="AE23" s="80"/>
      <c r="AF23" s="80"/>
      <c r="AG23" s="80"/>
      <c r="AH23" s="80"/>
      <c r="AI23" s="80"/>
    </row>
    <row r="24" spans="1:35" ht="15" customHeight="1" x14ac:dyDescent="0.2">
      <c r="A24" s="2"/>
      <c r="B24" s="493" t="str">
        <f>Расчёт!B213</f>
        <v>МЯСО ПТИЦЫ</v>
      </c>
      <c r="C24" s="613" t="s">
        <v>163</v>
      </c>
      <c r="D24" s="640">
        <f>Цены!D24</f>
        <v>0</v>
      </c>
      <c r="E24" s="662">
        <v>0</v>
      </c>
      <c r="F24" s="614">
        <v>0</v>
      </c>
      <c r="G24" s="615">
        <v>0</v>
      </c>
      <c r="H24" s="532">
        <f>Расчёт!G213</f>
        <v>0</v>
      </c>
      <c r="I24" s="510">
        <f>Расчёт!H213</f>
        <v>0</v>
      </c>
      <c r="J24" s="511">
        <f>Расчёт!I213</f>
        <v>0</v>
      </c>
      <c r="K24" s="512">
        <f t="shared" si="2"/>
        <v>0</v>
      </c>
      <c r="L24" s="2"/>
      <c r="M24" s="2"/>
      <c r="N24" s="2"/>
      <c r="O24" s="2"/>
      <c r="P24" s="2"/>
      <c r="Q24" s="2"/>
      <c r="R24" s="80"/>
      <c r="S24" s="80"/>
      <c r="T24" s="80"/>
      <c r="U24" s="80"/>
      <c r="V24" s="154">
        <f t="shared" si="0"/>
        <v>0</v>
      </c>
      <c r="W24" s="80"/>
      <c r="X24" s="80"/>
      <c r="Y24" s="80"/>
      <c r="Z24" s="155">
        <f t="shared" si="1"/>
        <v>0</v>
      </c>
      <c r="AA24" s="80"/>
      <c r="AB24" s="80"/>
      <c r="AC24" s="80"/>
      <c r="AD24" s="80"/>
      <c r="AE24" s="80"/>
      <c r="AF24" s="80"/>
      <c r="AG24" s="80"/>
      <c r="AH24" s="80"/>
      <c r="AI24" s="80"/>
    </row>
    <row r="25" spans="1:35" ht="15" customHeight="1" x14ac:dyDescent="0.2">
      <c r="A25" s="2"/>
      <c r="B25" s="493" t="str">
        <f>Расчёт!B214</f>
        <v>КОЛБАСА</v>
      </c>
      <c r="C25" s="613" t="s">
        <v>163</v>
      </c>
      <c r="D25" s="640">
        <f>Цены!D25</f>
        <v>0</v>
      </c>
      <c r="E25" s="662">
        <v>0</v>
      </c>
      <c r="F25" s="614">
        <v>0</v>
      </c>
      <c r="G25" s="615">
        <v>0</v>
      </c>
      <c r="H25" s="488">
        <f>Расчёт!G214</f>
        <v>0</v>
      </c>
      <c r="I25" s="533">
        <f>Расчёт!H214</f>
        <v>0</v>
      </c>
      <c r="J25" s="511">
        <f>Расчёт!I214</f>
        <v>0</v>
      </c>
      <c r="K25" s="512">
        <f t="shared" si="2"/>
        <v>0</v>
      </c>
      <c r="L25" s="2"/>
      <c r="M25" s="2"/>
      <c r="N25" s="2"/>
      <c r="O25" s="2"/>
      <c r="P25" s="2"/>
      <c r="Q25" s="2"/>
      <c r="R25" s="80"/>
      <c r="S25" s="80"/>
      <c r="T25" s="80"/>
      <c r="U25" s="80"/>
      <c r="V25" s="154">
        <f t="shared" si="0"/>
        <v>0</v>
      </c>
      <c r="W25" s="80"/>
      <c r="X25" s="80"/>
      <c r="Y25" s="80"/>
      <c r="Z25" s="155">
        <f t="shared" si="1"/>
        <v>0</v>
      </c>
      <c r="AA25" s="80"/>
      <c r="AB25" s="80"/>
      <c r="AC25" s="80"/>
      <c r="AD25" s="80"/>
      <c r="AE25" s="80"/>
      <c r="AF25" s="80"/>
      <c r="AG25" s="80"/>
      <c r="AH25" s="80"/>
      <c r="AI25" s="80"/>
    </row>
    <row r="26" spans="1:35" ht="15" customHeight="1" x14ac:dyDescent="0.2">
      <c r="A26" s="2"/>
      <c r="B26" s="493" t="str">
        <f>Расчёт!B215</f>
        <v>КОНСЕРВЫ МЯСНЫЕ</v>
      </c>
      <c r="C26" s="613" t="s">
        <v>163</v>
      </c>
      <c r="D26" s="640">
        <f>Цены!D26</f>
        <v>0</v>
      </c>
      <c r="E26" s="662">
        <v>0</v>
      </c>
      <c r="F26" s="614">
        <v>0</v>
      </c>
      <c r="G26" s="615">
        <v>0</v>
      </c>
      <c r="H26" s="488">
        <f>Расчёт!G215</f>
        <v>0</v>
      </c>
      <c r="I26" s="510">
        <f>Расчёт!H215</f>
        <v>0</v>
      </c>
      <c r="J26" s="511">
        <f>Расчёт!I215</f>
        <v>0</v>
      </c>
      <c r="K26" s="512">
        <f t="shared" si="2"/>
        <v>0</v>
      </c>
      <c r="L26" s="2"/>
      <c r="M26" s="2"/>
      <c r="N26" s="2"/>
      <c r="O26" s="2"/>
      <c r="P26" s="2"/>
      <c r="Q26" s="2"/>
      <c r="R26" s="80"/>
      <c r="S26" s="80"/>
      <c r="T26" s="80"/>
      <c r="U26" s="80"/>
      <c r="V26" s="154">
        <f t="shared" si="0"/>
        <v>0</v>
      </c>
      <c r="W26" s="80"/>
      <c r="X26" s="80"/>
      <c r="Y26" s="80"/>
      <c r="Z26" s="155">
        <f t="shared" si="1"/>
        <v>0</v>
      </c>
      <c r="AA26" s="80"/>
      <c r="AB26" s="80"/>
      <c r="AC26" s="80"/>
      <c r="AD26" s="80"/>
      <c r="AE26" s="80"/>
      <c r="AF26" s="80"/>
      <c r="AG26" s="80"/>
      <c r="AH26" s="80"/>
      <c r="AI26" s="80"/>
    </row>
    <row r="27" spans="1:35" ht="15" customHeight="1" x14ac:dyDescent="0.2">
      <c r="A27" s="2"/>
      <c r="B27" s="493" t="str">
        <f>Расчёт!B216</f>
        <v>РЫБА БЕЗ ГОЛОВЫ/СЕЛЬДЬ С ГОЛ.</v>
      </c>
      <c r="C27" s="613" t="s">
        <v>163</v>
      </c>
      <c r="D27" s="640">
        <f>Цены!D27</f>
        <v>0</v>
      </c>
      <c r="E27" s="662">
        <v>0</v>
      </c>
      <c r="F27" s="614">
        <v>0</v>
      </c>
      <c r="G27" s="615">
        <v>0</v>
      </c>
      <c r="H27" s="488">
        <f>Расчёт!G216</f>
        <v>0</v>
      </c>
      <c r="I27" s="510">
        <f>Расчёт!H216</f>
        <v>0</v>
      </c>
      <c r="J27" s="511">
        <f>Расчёт!I216</f>
        <v>0</v>
      </c>
      <c r="K27" s="512">
        <f t="shared" si="2"/>
        <v>0</v>
      </c>
      <c r="L27" s="2"/>
      <c r="M27" s="2"/>
      <c r="N27" s="2"/>
      <c r="O27" s="2"/>
      <c r="P27" s="2"/>
      <c r="Q27" s="2"/>
      <c r="R27" s="80"/>
      <c r="S27" s="80"/>
      <c r="T27" s="80"/>
      <c r="U27" s="80"/>
      <c r="V27" s="154">
        <f t="shared" si="0"/>
        <v>0</v>
      </c>
      <c r="W27" s="80"/>
      <c r="X27" s="80"/>
      <c r="Y27" s="80"/>
      <c r="Z27" s="155">
        <f t="shared" si="1"/>
        <v>0</v>
      </c>
      <c r="AA27" s="80"/>
      <c r="AB27" s="80"/>
      <c r="AC27" s="80"/>
      <c r="AD27" s="80"/>
      <c r="AE27" s="80"/>
      <c r="AF27" s="80"/>
      <c r="AG27" s="80"/>
      <c r="AH27" s="80"/>
      <c r="AI27" s="80"/>
    </row>
    <row r="28" spans="1:35" ht="15" customHeight="1" x14ac:dyDescent="0.2">
      <c r="A28" s="2"/>
      <c r="B28" s="531" t="str">
        <f>Расчёт!B217</f>
        <v xml:space="preserve">КОНС. РЫБНЫЕ - КИЛЬКА В ТОМ. СОУСЕ  </v>
      </c>
      <c r="C28" s="613" t="s">
        <v>163</v>
      </c>
      <c r="D28" s="640">
        <f>Цены!D28</f>
        <v>0</v>
      </c>
      <c r="E28" s="662">
        <v>0</v>
      </c>
      <c r="F28" s="614">
        <v>0</v>
      </c>
      <c r="G28" s="615">
        <v>0</v>
      </c>
      <c r="H28" s="488">
        <f>Расчёт!G217</f>
        <v>0</v>
      </c>
      <c r="I28" s="510">
        <f>Расчёт!H217</f>
        <v>0</v>
      </c>
      <c r="J28" s="511">
        <f>Расчёт!I217</f>
        <v>0</v>
      </c>
      <c r="K28" s="512">
        <f t="shared" si="2"/>
        <v>0</v>
      </c>
      <c r="L28" s="2"/>
      <c r="M28" s="2"/>
      <c r="N28" s="2"/>
      <c r="O28" s="2"/>
      <c r="P28" s="2"/>
      <c r="Q28" s="2"/>
      <c r="R28" s="80"/>
      <c r="S28" s="80"/>
      <c r="T28" s="80"/>
      <c r="U28" s="80"/>
      <c r="V28" s="154">
        <f t="shared" si="0"/>
        <v>0</v>
      </c>
      <c r="W28" s="80"/>
      <c r="X28" s="80"/>
      <c r="Y28" s="80"/>
      <c r="Z28" s="155">
        <f t="shared" si="1"/>
        <v>0</v>
      </c>
      <c r="AA28" s="80"/>
      <c r="AB28" s="80"/>
      <c r="AC28" s="80"/>
      <c r="AD28" s="80"/>
      <c r="AE28" s="80"/>
      <c r="AF28" s="80"/>
      <c r="AG28" s="80"/>
      <c r="AH28" s="80"/>
      <c r="AI28" s="80"/>
    </row>
    <row r="29" spans="1:35" ht="15" customHeight="1" x14ac:dyDescent="0.2">
      <c r="A29" s="2"/>
      <c r="B29" s="493" t="str">
        <f>Расчёт!B218</f>
        <v>МАСЛО РАСТИТЕЛЬНОЕ</v>
      </c>
      <c r="C29" s="613" t="s">
        <v>163</v>
      </c>
      <c r="D29" s="640">
        <f>Цены!D29</f>
        <v>0</v>
      </c>
      <c r="E29" s="662">
        <v>0</v>
      </c>
      <c r="F29" s="614">
        <v>0</v>
      </c>
      <c r="G29" s="615">
        <v>0</v>
      </c>
      <c r="H29" s="488">
        <f>Расчёт!G218</f>
        <v>0</v>
      </c>
      <c r="I29" s="510">
        <f>Расчёт!H218</f>
        <v>0</v>
      </c>
      <c r="J29" s="511">
        <f>Расчёт!I218</f>
        <v>0</v>
      </c>
      <c r="K29" s="512">
        <f t="shared" si="2"/>
        <v>0</v>
      </c>
      <c r="L29" s="2"/>
      <c r="M29" s="2"/>
      <c r="N29" s="2"/>
      <c r="O29" s="2"/>
      <c r="P29" s="2"/>
      <c r="Q29" s="2"/>
      <c r="R29" s="80"/>
      <c r="S29" s="80"/>
      <c r="T29" s="80"/>
      <c r="U29" s="80"/>
      <c r="V29" s="154">
        <f t="shared" si="0"/>
        <v>0</v>
      </c>
      <c r="W29" s="80"/>
      <c r="X29" s="80"/>
      <c r="Y29" s="80"/>
      <c r="Z29" s="155">
        <f t="shared" si="1"/>
        <v>0</v>
      </c>
      <c r="AA29" s="80"/>
      <c r="AB29" s="80"/>
      <c r="AC29" s="80"/>
      <c r="AD29" s="80"/>
      <c r="AE29" s="80"/>
      <c r="AF29" s="80"/>
      <c r="AG29" s="80"/>
      <c r="AH29" s="80"/>
      <c r="AI29" s="80"/>
    </row>
    <row r="30" spans="1:35" ht="15" customHeight="1" x14ac:dyDescent="0.2">
      <c r="A30" s="2"/>
      <c r="B30" s="493" t="str">
        <f>Расчёт!B219</f>
        <v>МАСЛО КОРОВЬЕ</v>
      </c>
      <c r="C30" s="613" t="s">
        <v>163</v>
      </c>
      <c r="D30" s="640">
        <f>Цены!D30</f>
        <v>0</v>
      </c>
      <c r="E30" s="662">
        <v>0</v>
      </c>
      <c r="F30" s="614">
        <v>0</v>
      </c>
      <c r="G30" s="615">
        <v>0</v>
      </c>
      <c r="H30" s="488">
        <f>Расчёт!G219</f>
        <v>0</v>
      </c>
      <c r="I30" s="510">
        <f>Расчёт!H219</f>
        <v>0</v>
      </c>
      <c r="J30" s="511">
        <f>Расчёт!I219</f>
        <v>0</v>
      </c>
      <c r="K30" s="512">
        <f t="shared" si="2"/>
        <v>0</v>
      </c>
      <c r="L30" s="2"/>
      <c r="M30" s="2"/>
      <c r="N30" s="2"/>
      <c r="O30" s="2"/>
      <c r="P30" s="2"/>
      <c r="Q30" s="2"/>
      <c r="R30" s="80"/>
      <c r="S30" s="80"/>
      <c r="T30" s="80"/>
      <c r="U30" s="80"/>
      <c r="V30" s="154">
        <f t="shared" si="0"/>
        <v>0</v>
      </c>
      <c r="W30" s="80"/>
      <c r="X30" s="80"/>
      <c r="Y30" s="80"/>
      <c r="Z30" s="155">
        <f t="shared" si="1"/>
        <v>0</v>
      </c>
      <c r="AA30" s="80"/>
      <c r="AB30" s="80"/>
      <c r="AC30" s="80"/>
      <c r="AD30" s="80"/>
      <c r="AE30" s="80"/>
      <c r="AF30" s="80"/>
      <c r="AG30" s="80"/>
      <c r="AH30" s="80"/>
      <c r="AI30" s="80"/>
    </row>
    <row r="31" spans="1:35" ht="15" customHeight="1" x14ac:dyDescent="0.2">
      <c r="A31" s="2"/>
      <c r="B31" s="493" t="str">
        <f>Расчёт!B220</f>
        <v>ЖИРЫ ЖИВОТНЫЕ</v>
      </c>
      <c r="C31" s="613" t="s">
        <v>163</v>
      </c>
      <c r="D31" s="640">
        <f>Цены!D31</f>
        <v>0</v>
      </c>
      <c r="E31" s="662">
        <v>0</v>
      </c>
      <c r="F31" s="614">
        <v>0</v>
      </c>
      <c r="G31" s="615">
        <v>0</v>
      </c>
      <c r="H31" s="488">
        <f>Расчёт!G220</f>
        <v>0</v>
      </c>
      <c r="I31" s="510">
        <f>Расчёт!H220</f>
        <v>0</v>
      </c>
      <c r="J31" s="511">
        <f>Расчёт!I220</f>
        <v>0</v>
      </c>
      <c r="K31" s="512">
        <f t="shared" si="2"/>
        <v>0</v>
      </c>
      <c r="L31" s="2"/>
      <c r="M31" s="2"/>
      <c r="N31" s="2"/>
      <c r="O31" s="2"/>
      <c r="P31" s="2"/>
      <c r="Q31" s="2"/>
      <c r="R31" s="80"/>
      <c r="S31" s="80"/>
      <c r="T31" s="80"/>
      <c r="U31" s="80"/>
      <c r="V31" s="154">
        <f t="shared" si="0"/>
        <v>0</v>
      </c>
      <c r="W31" s="80"/>
      <c r="X31" s="80"/>
      <c r="Y31" s="80"/>
      <c r="Z31" s="155">
        <f t="shared" si="1"/>
        <v>0</v>
      </c>
      <c r="AA31" s="80"/>
      <c r="AB31" s="80"/>
      <c r="AC31" s="80"/>
      <c r="AD31" s="80"/>
      <c r="AE31" s="80"/>
      <c r="AF31" s="80"/>
      <c r="AG31" s="80"/>
      <c r="AH31" s="80"/>
      <c r="AI31" s="80"/>
    </row>
    <row r="32" spans="1:35" ht="15" customHeight="1" x14ac:dyDescent="0.2">
      <c r="A32" s="2"/>
      <c r="B32" s="493" t="str">
        <f>Расчёт!B221</f>
        <v>МОЛОКО СВЕЖЕЕ</v>
      </c>
      <c r="C32" s="613" t="s">
        <v>163</v>
      </c>
      <c r="D32" s="640">
        <f>Цены!D32</f>
        <v>0</v>
      </c>
      <c r="E32" s="662">
        <v>0</v>
      </c>
      <c r="F32" s="614">
        <v>0</v>
      </c>
      <c r="G32" s="615">
        <v>0</v>
      </c>
      <c r="H32" s="488">
        <f>Расчёт!G221</f>
        <v>0</v>
      </c>
      <c r="I32" s="510">
        <f>Расчёт!H221</f>
        <v>0</v>
      </c>
      <c r="J32" s="511">
        <f>Расчёт!I221</f>
        <v>0</v>
      </c>
      <c r="K32" s="512">
        <f t="shared" si="2"/>
        <v>0</v>
      </c>
      <c r="L32" s="2"/>
      <c r="M32" s="2"/>
      <c r="N32" s="2"/>
      <c r="O32" s="2"/>
      <c r="P32" s="2"/>
      <c r="Q32" s="2"/>
      <c r="R32" s="80"/>
      <c r="S32" s="80"/>
      <c r="T32" s="80"/>
      <c r="U32" s="80"/>
      <c r="V32" s="154">
        <f t="shared" si="0"/>
        <v>0</v>
      </c>
      <c r="W32" s="80"/>
      <c r="X32" s="80"/>
      <c r="Y32" s="80"/>
      <c r="Z32" s="155">
        <f t="shared" si="1"/>
        <v>0</v>
      </c>
      <c r="AA32" s="80"/>
      <c r="AB32" s="80"/>
      <c r="AC32" s="80"/>
      <c r="AD32" s="80"/>
      <c r="AE32" s="80"/>
      <c r="AF32" s="80"/>
      <c r="AG32" s="80"/>
      <c r="AH32" s="80"/>
      <c r="AI32" s="80"/>
    </row>
    <row r="33" spans="1:35" ht="15" customHeight="1" x14ac:dyDescent="0.2">
      <c r="A33" s="2"/>
      <c r="B33" s="493" t="str">
        <f>Расчёт!B222</f>
        <v>СМЕТАНА</v>
      </c>
      <c r="C33" s="613" t="s">
        <v>163</v>
      </c>
      <c r="D33" s="640">
        <f>Цены!D33</f>
        <v>0</v>
      </c>
      <c r="E33" s="662">
        <v>0</v>
      </c>
      <c r="F33" s="614">
        <v>0</v>
      </c>
      <c r="G33" s="615">
        <v>0</v>
      </c>
      <c r="H33" s="488">
        <f>Расчёт!G222</f>
        <v>0</v>
      </c>
      <c r="I33" s="510">
        <f>Расчёт!H222</f>
        <v>0</v>
      </c>
      <c r="J33" s="511">
        <f>Расчёт!I222</f>
        <v>0</v>
      </c>
      <c r="K33" s="512">
        <f t="shared" si="2"/>
        <v>0</v>
      </c>
      <c r="L33" s="2"/>
      <c r="M33" s="2"/>
      <c r="N33" s="2"/>
      <c r="O33" s="2"/>
      <c r="P33" s="2"/>
      <c r="Q33" s="2"/>
      <c r="R33" s="80"/>
      <c r="S33" s="80"/>
      <c r="T33" s="80"/>
      <c r="U33" s="80"/>
      <c r="V33" s="154">
        <f t="shared" si="0"/>
        <v>0</v>
      </c>
      <c r="W33" s="80"/>
      <c r="X33" s="80"/>
      <c r="Y33" s="80"/>
      <c r="Z33" s="155">
        <f t="shared" si="1"/>
        <v>0</v>
      </c>
      <c r="AA33" s="80"/>
      <c r="AB33" s="80"/>
      <c r="AC33" s="80"/>
      <c r="AD33" s="80"/>
      <c r="AE33" s="80"/>
      <c r="AF33" s="80"/>
      <c r="AG33" s="80"/>
      <c r="AH33" s="80"/>
      <c r="AI33" s="80"/>
    </row>
    <row r="34" spans="1:35" ht="15" customHeight="1" x14ac:dyDescent="0.2">
      <c r="A34" s="2"/>
      <c r="B34" s="493" t="str">
        <f>Расчёт!B223</f>
        <v>ТВОРОГ</v>
      </c>
      <c r="C34" s="613" t="s">
        <v>163</v>
      </c>
      <c r="D34" s="640">
        <f>Цены!D34</f>
        <v>0</v>
      </c>
      <c r="E34" s="662">
        <v>0</v>
      </c>
      <c r="F34" s="614">
        <v>0</v>
      </c>
      <c r="G34" s="615">
        <v>0</v>
      </c>
      <c r="H34" s="488">
        <f>Расчёт!G223</f>
        <v>0</v>
      </c>
      <c r="I34" s="510">
        <f>Расчёт!H223</f>
        <v>0</v>
      </c>
      <c r="J34" s="511">
        <f>Расчёт!I223</f>
        <v>0</v>
      </c>
      <c r="K34" s="512">
        <f t="shared" si="2"/>
        <v>0</v>
      </c>
      <c r="L34" s="2"/>
      <c r="M34" s="2"/>
      <c r="N34" s="2"/>
      <c r="O34" s="2"/>
      <c r="P34" s="2"/>
      <c r="Q34" s="2"/>
      <c r="R34" s="80"/>
      <c r="S34" s="80"/>
      <c r="T34" s="80"/>
      <c r="U34" s="80"/>
      <c r="V34" s="154">
        <f t="shared" si="0"/>
        <v>0</v>
      </c>
      <c r="W34" s="80"/>
      <c r="X34" s="80"/>
      <c r="Y34" s="80"/>
      <c r="Z34" s="155">
        <f t="shared" si="1"/>
        <v>0</v>
      </c>
      <c r="AA34" s="80"/>
      <c r="AB34" s="80"/>
      <c r="AC34" s="80"/>
      <c r="AD34" s="80"/>
      <c r="AE34" s="80"/>
      <c r="AF34" s="80"/>
      <c r="AG34" s="80"/>
      <c r="AH34" s="80"/>
      <c r="AI34" s="80"/>
    </row>
    <row r="35" spans="1:35" ht="15" customHeight="1" x14ac:dyDescent="0.2">
      <c r="A35" s="2"/>
      <c r="B35" s="493" t="str">
        <f>Расчёт!B224</f>
        <v>МОЛОКО СУХОЕ</v>
      </c>
      <c r="C35" s="613" t="s">
        <v>164</v>
      </c>
      <c r="D35" s="640">
        <f>Цены!D35</f>
        <v>0</v>
      </c>
      <c r="E35" s="662">
        <v>0</v>
      </c>
      <c r="F35" s="614">
        <v>0</v>
      </c>
      <c r="G35" s="615">
        <v>0</v>
      </c>
      <c r="H35" s="488">
        <f>Расчёт!G224</f>
        <v>0</v>
      </c>
      <c r="I35" s="510">
        <f>Расчёт!H224</f>
        <v>0</v>
      </c>
      <c r="J35" s="511">
        <f>Расчёт!I224</f>
        <v>0</v>
      </c>
      <c r="K35" s="512">
        <f t="shared" si="2"/>
        <v>0</v>
      </c>
      <c r="L35" s="2"/>
      <c r="M35" s="2"/>
      <c r="N35" s="2"/>
      <c r="O35" s="2"/>
      <c r="P35" s="2"/>
      <c r="Q35" s="2"/>
      <c r="R35" s="80"/>
      <c r="S35" s="80"/>
      <c r="T35" s="80"/>
      <c r="U35" s="80"/>
      <c r="V35" s="154">
        <f t="shared" si="0"/>
        <v>0</v>
      </c>
      <c r="W35" s="80"/>
      <c r="X35" s="80"/>
      <c r="Y35" s="80"/>
      <c r="Z35" s="155">
        <f t="shared" si="1"/>
        <v>0</v>
      </c>
      <c r="AA35" s="80"/>
      <c r="AB35" s="80"/>
      <c r="AC35" s="80"/>
      <c r="AD35" s="80"/>
      <c r="AE35" s="80"/>
      <c r="AF35" s="80"/>
      <c r="AG35" s="80"/>
      <c r="AH35" s="80"/>
      <c r="AI35" s="80"/>
    </row>
    <row r="36" spans="1:35" ht="15" customHeight="1" x14ac:dyDescent="0.2">
      <c r="A36" s="2"/>
      <c r="B36" s="493" t="str">
        <f>Расчёт!B225</f>
        <v>СЫР ПЛАВЛЕНЫЙ</v>
      </c>
      <c r="C36" s="613" t="s">
        <v>163</v>
      </c>
      <c r="D36" s="640">
        <f>Цены!D36</f>
        <v>0</v>
      </c>
      <c r="E36" s="662">
        <v>0</v>
      </c>
      <c r="F36" s="614">
        <v>0</v>
      </c>
      <c r="G36" s="615">
        <v>0</v>
      </c>
      <c r="H36" s="488">
        <f>Расчёт!G225</f>
        <v>0</v>
      </c>
      <c r="I36" s="510">
        <f>Расчёт!H225</f>
        <v>0</v>
      </c>
      <c r="J36" s="511">
        <f>Расчёт!I225</f>
        <v>0</v>
      </c>
      <c r="K36" s="512">
        <f t="shared" si="2"/>
        <v>0</v>
      </c>
      <c r="L36" s="2"/>
      <c r="M36" s="2"/>
      <c r="N36" s="2"/>
      <c r="O36" s="2"/>
      <c r="P36" s="2"/>
      <c r="Q36" s="2"/>
      <c r="R36" s="80"/>
      <c r="S36" s="80"/>
      <c r="T36" s="80"/>
      <c r="U36" s="80"/>
      <c r="V36" s="154">
        <f t="shared" si="0"/>
        <v>0</v>
      </c>
      <c r="W36" s="80"/>
      <c r="X36" s="80"/>
      <c r="Y36" s="80"/>
      <c r="Z36" s="155">
        <f t="shared" si="1"/>
        <v>0</v>
      </c>
      <c r="AA36" s="80"/>
      <c r="AB36" s="80"/>
      <c r="AC36" s="80"/>
      <c r="AD36" s="80"/>
      <c r="AE36" s="80"/>
      <c r="AF36" s="80"/>
      <c r="AG36" s="80"/>
      <c r="AH36" s="80"/>
      <c r="AI36" s="80"/>
    </row>
    <row r="37" spans="1:35" ht="15" customHeight="1" x14ac:dyDescent="0.2">
      <c r="A37" s="239"/>
      <c r="B37" s="493" t="str">
        <f>Расчёт!B226</f>
        <v>ЯЙЦА КУРИНЫЕ</v>
      </c>
      <c r="C37" s="613" t="str">
        <f>IF('Блок ввода'!G32=TRUE,"кг.","шт.")</f>
        <v>шт.</v>
      </c>
      <c r="D37" s="640">
        <f>Цены!D37</f>
        <v>0</v>
      </c>
      <c r="E37" s="662">
        <v>0</v>
      </c>
      <c r="F37" s="614">
        <v>0</v>
      </c>
      <c r="G37" s="615">
        <v>0</v>
      </c>
      <c r="H37" s="535">
        <f>Расчёт!G226</f>
        <v>0</v>
      </c>
      <c r="I37" s="536">
        <f>Расчёт!H226</f>
        <v>0</v>
      </c>
      <c r="J37" s="616">
        <f>Расчёт!I226</f>
        <v>0</v>
      </c>
      <c r="K37" s="642">
        <f t="shared" si="2"/>
        <v>0</v>
      </c>
      <c r="L37" s="2"/>
      <c r="M37" s="2"/>
      <c r="N37" s="2"/>
      <c r="O37" s="2"/>
      <c r="P37" s="2"/>
      <c r="Q37" s="2"/>
      <c r="R37" s="80"/>
      <c r="S37" s="80"/>
      <c r="T37" s="80"/>
      <c r="U37" s="80"/>
      <c r="V37" s="154">
        <f t="shared" si="0"/>
        <v>0</v>
      </c>
      <c r="W37" s="80"/>
      <c r="X37" s="80"/>
      <c r="Y37" s="80"/>
      <c r="Z37" s="155">
        <f t="shared" si="1"/>
        <v>0</v>
      </c>
      <c r="AA37" s="80"/>
      <c r="AB37" s="80"/>
      <c r="AC37" s="80"/>
      <c r="AD37" s="80"/>
      <c r="AE37" s="80"/>
      <c r="AF37" s="80"/>
      <c r="AG37" s="80"/>
      <c r="AH37" s="80"/>
      <c r="AI37" s="80"/>
    </row>
    <row r="38" spans="1:35" ht="15" customHeight="1" x14ac:dyDescent="0.2">
      <c r="A38" s="2"/>
      <c r="B38" s="493" t="str">
        <f>Расчёт!B227</f>
        <v>САХАР</v>
      </c>
      <c r="C38" s="613" t="s">
        <v>163</v>
      </c>
      <c r="D38" s="640">
        <f>Цены!D38</f>
        <v>0</v>
      </c>
      <c r="E38" s="662">
        <v>0</v>
      </c>
      <c r="F38" s="614">
        <v>0</v>
      </c>
      <c r="G38" s="615">
        <v>0</v>
      </c>
      <c r="H38" s="488">
        <f>Расчёт!G227</f>
        <v>0</v>
      </c>
      <c r="I38" s="510">
        <f>Расчёт!H227</f>
        <v>0</v>
      </c>
      <c r="J38" s="511">
        <f>Расчёт!I227</f>
        <v>0</v>
      </c>
      <c r="K38" s="512">
        <f t="shared" si="2"/>
        <v>0</v>
      </c>
      <c r="L38" s="2"/>
      <c r="M38" s="2"/>
      <c r="N38" s="2"/>
      <c r="O38" s="2"/>
      <c r="P38" s="2"/>
      <c r="Q38" s="2"/>
      <c r="R38" s="80"/>
      <c r="S38" s="80"/>
      <c r="T38" s="80"/>
      <c r="U38" s="80"/>
      <c r="V38" s="154">
        <f t="shared" si="0"/>
        <v>0</v>
      </c>
      <c r="W38" s="80"/>
      <c r="X38" s="80"/>
      <c r="Y38" s="80"/>
      <c r="Z38" s="155">
        <f t="shared" si="1"/>
        <v>0</v>
      </c>
      <c r="AA38" s="80"/>
      <c r="AB38" s="80"/>
      <c r="AC38" s="80"/>
      <c r="AD38" s="80"/>
      <c r="AE38" s="80"/>
      <c r="AF38" s="80"/>
      <c r="AG38" s="80"/>
      <c r="AH38" s="80"/>
      <c r="AI38" s="80"/>
    </row>
    <row r="39" spans="1:35" ht="15" customHeight="1" x14ac:dyDescent="0.2">
      <c r="A39" s="2"/>
      <c r="B39" s="493" t="str">
        <f>Расчёт!B228</f>
        <v>СОЛЬ ПИЩЕВАЯ</v>
      </c>
      <c r="C39" s="613" t="s">
        <v>163</v>
      </c>
      <c r="D39" s="640">
        <f>Цены!D39</f>
        <v>0</v>
      </c>
      <c r="E39" s="662">
        <v>0</v>
      </c>
      <c r="F39" s="614">
        <v>0</v>
      </c>
      <c r="G39" s="615">
        <v>0</v>
      </c>
      <c r="H39" s="488">
        <f>Расчёт!G228</f>
        <v>0</v>
      </c>
      <c r="I39" s="510">
        <f>Расчёт!H228</f>
        <v>0</v>
      </c>
      <c r="J39" s="511">
        <f>Расчёт!I228</f>
        <v>0</v>
      </c>
      <c r="K39" s="512">
        <f t="shared" si="2"/>
        <v>0</v>
      </c>
      <c r="L39" s="2"/>
      <c r="M39" s="2"/>
      <c r="N39" s="2"/>
      <c r="O39" s="2"/>
      <c r="P39" s="2"/>
      <c r="Q39" s="2"/>
      <c r="R39" s="80"/>
      <c r="S39" s="80"/>
      <c r="T39" s="80"/>
      <c r="U39" s="80"/>
      <c r="V39" s="154">
        <f t="shared" si="0"/>
        <v>0</v>
      </c>
      <c r="W39" s="80"/>
      <c r="X39" s="80"/>
      <c r="Y39" s="80"/>
      <c r="Z39" s="155">
        <f t="shared" si="1"/>
        <v>0</v>
      </c>
      <c r="AA39" s="80"/>
      <c r="AB39" s="80"/>
      <c r="AC39" s="80"/>
      <c r="AD39" s="80"/>
      <c r="AE39" s="80"/>
      <c r="AF39" s="80"/>
      <c r="AG39" s="80"/>
      <c r="AH39" s="80"/>
      <c r="AI39" s="80"/>
    </row>
    <row r="40" spans="1:35" ht="15" customHeight="1" x14ac:dyDescent="0.2">
      <c r="A40" s="2"/>
      <c r="B40" s="493" t="str">
        <f>Расчёт!B229</f>
        <v>ЧАЙ</v>
      </c>
      <c r="C40" s="613" t="s">
        <v>163</v>
      </c>
      <c r="D40" s="640">
        <f>Цены!D40</f>
        <v>0</v>
      </c>
      <c r="E40" s="662">
        <v>0</v>
      </c>
      <c r="F40" s="614">
        <v>0</v>
      </c>
      <c r="G40" s="615">
        <v>0</v>
      </c>
      <c r="H40" s="539">
        <f>Расчёт!G229</f>
        <v>0</v>
      </c>
      <c r="I40" s="540">
        <f>Расчёт!H229</f>
        <v>0</v>
      </c>
      <c r="J40" s="617">
        <f>Расчёт!I229</f>
        <v>0</v>
      </c>
      <c r="K40" s="644">
        <f>ROUND(SUM(E40:J40),3)</f>
        <v>0</v>
      </c>
      <c r="L40" s="2"/>
      <c r="M40" s="2"/>
      <c r="N40" s="2"/>
      <c r="O40" s="2"/>
      <c r="P40" s="2"/>
      <c r="Q40" s="2"/>
      <c r="R40" s="80"/>
      <c r="S40" s="80"/>
      <c r="T40" s="80"/>
      <c r="U40" s="80"/>
      <c r="V40" s="154">
        <f t="shared" si="0"/>
        <v>0</v>
      </c>
      <c r="W40" s="80"/>
      <c r="X40" s="80"/>
      <c r="Y40" s="80"/>
      <c r="Z40" s="155">
        <f t="shared" si="1"/>
        <v>0</v>
      </c>
      <c r="AA40" s="80"/>
      <c r="AB40" s="80"/>
      <c r="AC40" s="80"/>
      <c r="AD40" s="80"/>
      <c r="AE40" s="80"/>
      <c r="AF40" s="80"/>
      <c r="AG40" s="80"/>
      <c r="AH40" s="80"/>
      <c r="AI40" s="80"/>
    </row>
    <row r="41" spans="1:35" ht="15" customHeight="1" x14ac:dyDescent="0.2">
      <c r="A41" s="2"/>
      <c r="B41" s="493" t="str">
        <f>Расчёт!B230</f>
        <v>КОФЕ НАТУРАЛЬНЫЙ</v>
      </c>
      <c r="C41" s="613" t="s">
        <v>163</v>
      </c>
      <c r="D41" s="640">
        <f>Цены!D41</f>
        <v>0</v>
      </c>
      <c r="E41" s="662">
        <v>0</v>
      </c>
      <c r="F41" s="614">
        <v>0</v>
      </c>
      <c r="G41" s="615">
        <v>0</v>
      </c>
      <c r="H41" s="539">
        <f>Расчёт!G230</f>
        <v>0</v>
      </c>
      <c r="I41" s="540">
        <f>Расчёт!H230</f>
        <v>0</v>
      </c>
      <c r="J41" s="617">
        <f>Расчёт!I230</f>
        <v>0</v>
      </c>
      <c r="K41" s="644">
        <f t="shared" ref="K41:K49" si="3">ROUND(SUM(E41:J41),3)</f>
        <v>0</v>
      </c>
      <c r="L41" s="2"/>
      <c r="M41" s="2"/>
      <c r="N41" s="2"/>
      <c r="O41" s="2"/>
      <c r="P41" s="2"/>
      <c r="Q41" s="2"/>
      <c r="R41" s="80"/>
      <c r="S41" s="80"/>
      <c r="T41" s="80"/>
      <c r="U41" s="80"/>
      <c r="V41" s="154">
        <f t="shared" si="0"/>
        <v>0</v>
      </c>
      <c r="W41" s="80"/>
      <c r="X41" s="80"/>
      <c r="Y41" s="80"/>
      <c r="Z41" s="155">
        <f t="shared" si="1"/>
        <v>0</v>
      </c>
      <c r="AA41" s="80"/>
      <c r="AB41" s="80"/>
      <c r="AC41" s="80"/>
      <c r="AD41" s="80"/>
      <c r="AE41" s="80"/>
      <c r="AF41" s="80"/>
      <c r="AG41" s="80"/>
      <c r="AH41" s="80"/>
      <c r="AI41" s="80"/>
    </row>
    <row r="42" spans="1:35" ht="15" customHeight="1" x14ac:dyDescent="0.2">
      <c r="A42" s="2"/>
      <c r="B42" s="493" t="str">
        <f>Расчёт!B231</f>
        <v>КОФЕЙНЫЙ НАПИТОК</v>
      </c>
      <c r="C42" s="613" t="s">
        <v>163</v>
      </c>
      <c r="D42" s="640">
        <f>Цены!D42</f>
        <v>0</v>
      </c>
      <c r="E42" s="662">
        <v>0</v>
      </c>
      <c r="F42" s="614">
        <v>0</v>
      </c>
      <c r="G42" s="615">
        <v>0</v>
      </c>
      <c r="H42" s="539">
        <f>Расчёт!G231</f>
        <v>0</v>
      </c>
      <c r="I42" s="540">
        <f>Расчёт!H231</f>
        <v>0</v>
      </c>
      <c r="J42" s="617">
        <f>Расчёт!I231</f>
        <v>0</v>
      </c>
      <c r="K42" s="644">
        <f>ROUND(SUM(E42:J42),3)</f>
        <v>0</v>
      </c>
      <c r="L42" s="2"/>
      <c r="M42" s="2"/>
      <c r="N42" s="2"/>
      <c r="O42" s="2"/>
      <c r="P42" s="2"/>
      <c r="Q42" s="2"/>
      <c r="R42" s="80"/>
      <c r="S42" s="80"/>
      <c r="T42" s="80"/>
      <c r="U42" s="80"/>
      <c r="V42" s="154"/>
      <c r="W42" s="80"/>
      <c r="X42" s="80"/>
      <c r="Y42" s="80"/>
      <c r="Z42" s="155">
        <f t="shared" si="1"/>
        <v>0</v>
      </c>
      <c r="AA42" s="80"/>
      <c r="AB42" s="80"/>
      <c r="AC42" s="80"/>
      <c r="AD42" s="80"/>
      <c r="AE42" s="80"/>
      <c r="AF42" s="80"/>
      <c r="AG42" s="80"/>
      <c r="AH42" s="80"/>
      <c r="AI42" s="80"/>
    </row>
    <row r="43" spans="1:35" ht="15" customHeight="1" x14ac:dyDescent="0.2">
      <c r="A43" s="2"/>
      <c r="B43" s="493" t="str">
        <f>Расчёт!B232</f>
        <v>ЛАВРОВЫЙ ЛИСТ</v>
      </c>
      <c r="C43" s="613" t="s">
        <v>163</v>
      </c>
      <c r="D43" s="640">
        <f>Цены!D43</f>
        <v>0</v>
      </c>
      <c r="E43" s="662">
        <v>0</v>
      </c>
      <c r="F43" s="614">
        <v>0</v>
      </c>
      <c r="G43" s="615">
        <v>0</v>
      </c>
      <c r="H43" s="539">
        <f>Расчёт!G232</f>
        <v>0</v>
      </c>
      <c r="I43" s="540">
        <f>Расчёт!H232</f>
        <v>0</v>
      </c>
      <c r="J43" s="617">
        <f>Расчёт!I232</f>
        <v>0</v>
      </c>
      <c r="K43" s="644">
        <f t="shared" si="3"/>
        <v>0</v>
      </c>
      <c r="L43" s="2"/>
      <c r="M43" s="2"/>
      <c r="N43" s="2"/>
      <c r="O43" s="2"/>
      <c r="P43" s="2"/>
      <c r="Q43" s="2"/>
      <c r="R43" s="80"/>
      <c r="S43" s="80"/>
      <c r="T43" s="80"/>
      <c r="U43" s="80"/>
      <c r="V43" s="154">
        <f t="shared" si="0"/>
        <v>0</v>
      </c>
      <c r="W43" s="80"/>
      <c r="X43" s="80"/>
      <c r="Y43" s="80"/>
      <c r="Z43" s="155">
        <f t="shared" si="1"/>
        <v>0</v>
      </c>
      <c r="AA43" s="80"/>
      <c r="AB43" s="80"/>
      <c r="AC43" s="80"/>
      <c r="AD43" s="80"/>
      <c r="AE43" s="80"/>
      <c r="AF43" s="80"/>
      <c r="AG43" s="80"/>
      <c r="AH43" s="80"/>
      <c r="AI43" s="80"/>
    </row>
    <row r="44" spans="1:35" ht="15" customHeight="1" x14ac:dyDescent="0.2">
      <c r="A44" s="2"/>
      <c r="B44" s="493" t="str">
        <f>Расчёт!B233</f>
        <v>ПЕРЕЦ</v>
      </c>
      <c r="C44" s="618" t="s">
        <v>163</v>
      </c>
      <c r="D44" s="640">
        <f>Цены!D44</f>
        <v>0</v>
      </c>
      <c r="E44" s="662">
        <v>0</v>
      </c>
      <c r="F44" s="614">
        <v>0</v>
      </c>
      <c r="G44" s="615">
        <v>0</v>
      </c>
      <c r="H44" s="544">
        <f>Расчёт!G233</f>
        <v>0</v>
      </c>
      <c r="I44" s="545">
        <f>Расчёт!H233</f>
        <v>0</v>
      </c>
      <c r="J44" s="619">
        <f>Расчёт!I233</f>
        <v>0</v>
      </c>
      <c r="K44" s="646">
        <f t="shared" si="3"/>
        <v>0</v>
      </c>
      <c r="L44" s="2"/>
      <c r="M44" s="2"/>
      <c r="N44" s="2"/>
      <c r="O44" s="2"/>
      <c r="P44" s="2"/>
      <c r="Q44" s="2"/>
      <c r="R44" s="80"/>
      <c r="S44" s="80"/>
      <c r="T44" s="80"/>
      <c r="U44" s="80"/>
      <c r="V44" s="154">
        <f t="shared" si="0"/>
        <v>0</v>
      </c>
      <c r="W44" s="80"/>
      <c r="X44" s="80"/>
      <c r="Y44" s="80"/>
      <c r="Z44" s="155">
        <f t="shared" si="1"/>
        <v>0</v>
      </c>
      <c r="AA44" s="80"/>
      <c r="AB44" s="80"/>
      <c r="AC44" s="80"/>
      <c r="AD44" s="80"/>
      <c r="AE44" s="80"/>
      <c r="AF44" s="80"/>
      <c r="AG44" s="80"/>
      <c r="AH44" s="80"/>
      <c r="AI44" s="80"/>
    </row>
    <row r="45" spans="1:35" ht="15" customHeight="1" x14ac:dyDescent="0.2">
      <c r="A45" s="2"/>
      <c r="B45" s="493" t="str">
        <f>Расчёт!B234</f>
        <v>ГОРЧИЧНЫЙ ПОРОШОК</v>
      </c>
      <c r="C45" s="618" t="s">
        <v>163</v>
      </c>
      <c r="D45" s="640">
        <f>Цены!D45</f>
        <v>0</v>
      </c>
      <c r="E45" s="662">
        <v>0</v>
      </c>
      <c r="F45" s="614">
        <v>0</v>
      </c>
      <c r="G45" s="615">
        <v>0</v>
      </c>
      <c r="H45" s="544">
        <f>Расчёт!G234</f>
        <v>0</v>
      </c>
      <c r="I45" s="545">
        <f>Расчёт!H234</f>
        <v>0</v>
      </c>
      <c r="J45" s="619">
        <f>Расчёт!I234</f>
        <v>0</v>
      </c>
      <c r="K45" s="646">
        <f t="shared" si="3"/>
        <v>0</v>
      </c>
      <c r="L45" s="2"/>
      <c r="M45" s="2"/>
      <c r="N45" s="2"/>
      <c r="O45" s="2"/>
      <c r="P45" s="2"/>
      <c r="Q45" s="2"/>
      <c r="R45" s="80"/>
      <c r="S45" s="80"/>
      <c r="T45" s="80"/>
      <c r="U45" s="80"/>
      <c r="V45" s="154">
        <f t="shared" si="0"/>
        <v>0</v>
      </c>
      <c r="W45" s="80"/>
      <c r="X45" s="80"/>
      <c r="Y45" s="80"/>
      <c r="Z45" s="155">
        <f t="shared" si="1"/>
        <v>0</v>
      </c>
      <c r="AA45" s="80"/>
      <c r="AB45" s="80"/>
      <c r="AC45" s="80"/>
      <c r="AD45" s="80"/>
      <c r="AE45" s="80"/>
      <c r="AF45" s="80"/>
      <c r="AG45" s="80"/>
      <c r="AH45" s="80"/>
      <c r="AI45" s="80"/>
    </row>
    <row r="46" spans="1:35" ht="15" customHeight="1" x14ac:dyDescent="0.2">
      <c r="A46" s="2"/>
      <c r="B46" s="493" t="str">
        <f>Расчёт!B235</f>
        <v>УКСУС</v>
      </c>
      <c r="C46" s="618" t="s">
        <v>163</v>
      </c>
      <c r="D46" s="640">
        <f>Цены!D46</f>
        <v>0</v>
      </c>
      <c r="E46" s="662">
        <v>0</v>
      </c>
      <c r="F46" s="614">
        <v>0</v>
      </c>
      <c r="G46" s="615">
        <v>0</v>
      </c>
      <c r="H46" s="544">
        <f>Расчёт!G235</f>
        <v>0</v>
      </c>
      <c r="I46" s="545">
        <f>Расчёт!H235</f>
        <v>0</v>
      </c>
      <c r="J46" s="619">
        <f>Расчёт!I235</f>
        <v>0</v>
      </c>
      <c r="K46" s="646">
        <f t="shared" si="3"/>
        <v>0</v>
      </c>
      <c r="L46" s="2"/>
      <c r="M46" s="2"/>
      <c r="N46" s="2"/>
      <c r="O46" s="2"/>
      <c r="P46" s="2"/>
      <c r="Q46" s="2"/>
      <c r="R46" s="80"/>
      <c r="S46" s="80"/>
      <c r="T46" s="80"/>
      <c r="U46" s="80"/>
      <c r="V46" s="154">
        <f t="shared" si="0"/>
        <v>0</v>
      </c>
      <c r="W46" s="80"/>
      <c r="X46" s="80"/>
      <c r="Y46" s="80"/>
      <c r="Z46" s="155">
        <f t="shared" si="1"/>
        <v>0</v>
      </c>
      <c r="AA46" s="80"/>
      <c r="AB46" s="80"/>
      <c r="AC46" s="80"/>
      <c r="AD46" s="80"/>
      <c r="AE46" s="80"/>
      <c r="AF46" s="80"/>
      <c r="AG46" s="80"/>
      <c r="AH46" s="80"/>
      <c r="AI46" s="80"/>
    </row>
    <row r="47" spans="1:35" ht="15" customHeight="1" x14ac:dyDescent="0.2">
      <c r="A47" s="2"/>
      <c r="B47" s="493" t="str">
        <f>Расчёт!B236</f>
        <v>ТОМАТНАЯ ПАСТА</v>
      </c>
      <c r="C47" s="613" t="s">
        <v>163</v>
      </c>
      <c r="D47" s="640">
        <f>Цены!D47</f>
        <v>0</v>
      </c>
      <c r="E47" s="662">
        <v>0</v>
      </c>
      <c r="F47" s="614">
        <v>0</v>
      </c>
      <c r="G47" s="615">
        <v>0</v>
      </c>
      <c r="H47" s="539">
        <f>Расчёт!G236</f>
        <v>0</v>
      </c>
      <c r="I47" s="540">
        <f>Расчёт!H236</f>
        <v>0</v>
      </c>
      <c r="J47" s="617">
        <f>Расчёт!I236</f>
        <v>0</v>
      </c>
      <c r="K47" s="644">
        <f t="shared" si="3"/>
        <v>0</v>
      </c>
      <c r="L47" s="2"/>
      <c r="M47" s="2"/>
      <c r="N47" s="2"/>
      <c r="O47" s="2"/>
      <c r="P47" s="2"/>
      <c r="Q47" s="2"/>
      <c r="R47" s="80"/>
      <c r="S47" s="80"/>
      <c r="T47" s="80"/>
      <c r="U47" s="80"/>
      <c r="V47" s="154">
        <f t="shared" si="0"/>
        <v>0</v>
      </c>
      <c r="W47" s="80"/>
      <c r="X47" s="80"/>
      <c r="Y47" s="80"/>
      <c r="Z47" s="155">
        <f t="shared" si="1"/>
        <v>0</v>
      </c>
      <c r="AA47" s="80"/>
      <c r="AB47" s="80"/>
      <c r="AC47" s="80"/>
      <c r="AD47" s="80"/>
      <c r="AE47" s="80"/>
      <c r="AF47" s="80"/>
      <c r="AG47" s="80"/>
      <c r="AH47" s="80"/>
      <c r="AI47" s="80"/>
    </row>
    <row r="48" spans="1:35" ht="15" customHeight="1" x14ac:dyDescent="0.2">
      <c r="A48" s="2"/>
      <c r="B48" s="493" t="str">
        <f>Расчёт!B237</f>
        <v>КАРАМЕЛЬ</v>
      </c>
      <c r="C48" s="613" t="s">
        <v>163</v>
      </c>
      <c r="D48" s="640">
        <f>Цены!D48</f>
        <v>0</v>
      </c>
      <c r="E48" s="662">
        <v>0</v>
      </c>
      <c r="F48" s="614">
        <v>0</v>
      </c>
      <c r="G48" s="615">
        <v>0</v>
      </c>
      <c r="H48" s="539">
        <f>Расчёт!G237+IF(AND(X1=7,'Блок ввода'!Z26=1),X2,0)</f>
        <v>0</v>
      </c>
      <c r="I48" s="540">
        <f>Расчёт!H237</f>
        <v>0</v>
      </c>
      <c r="J48" s="617">
        <f>Расчёт!I237+IF(AND(X1=8,'Блок ввода'!Z26=1),X2,0)</f>
        <v>0</v>
      </c>
      <c r="K48" s="644">
        <f t="shared" si="3"/>
        <v>0</v>
      </c>
      <c r="L48" s="2"/>
      <c r="M48" s="2"/>
      <c r="N48" s="2"/>
      <c r="O48" s="2"/>
      <c r="P48" s="2"/>
      <c r="Q48" s="2"/>
      <c r="R48" s="80"/>
      <c r="S48" s="80"/>
      <c r="T48" s="80"/>
      <c r="U48" s="80"/>
      <c r="V48" s="154">
        <f t="shared" si="0"/>
        <v>0</v>
      </c>
      <c r="W48" s="80"/>
      <c r="X48" s="80"/>
      <c r="Y48" s="80"/>
      <c r="Z48" s="155">
        <f t="shared" si="1"/>
        <v>0</v>
      </c>
      <c r="AA48" s="80"/>
      <c r="AB48" s="80"/>
      <c r="AC48" s="80"/>
      <c r="AD48" s="80"/>
      <c r="AE48" s="80"/>
      <c r="AF48" s="80"/>
      <c r="AG48" s="80"/>
      <c r="AH48" s="80"/>
      <c r="AI48" s="80"/>
    </row>
    <row r="49" spans="1:35" ht="15" customHeight="1" x14ac:dyDescent="0.2">
      <c r="A49" s="2"/>
      <c r="B49" s="493" t="str">
        <f>Расчёт!B238</f>
        <v>ЖЕЛАТИН</v>
      </c>
      <c r="C49" s="618" t="s">
        <v>163</v>
      </c>
      <c r="D49" s="640">
        <f>Цены!D49</f>
        <v>0</v>
      </c>
      <c r="E49" s="662">
        <v>0</v>
      </c>
      <c r="F49" s="614">
        <v>0</v>
      </c>
      <c r="G49" s="615">
        <v>0</v>
      </c>
      <c r="H49" s="539">
        <f>Расчёт!G238</f>
        <v>0</v>
      </c>
      <c r="I49" s="540">
        <f>Расчёт!H238</f>
        <v>0</v>
      </c>
      <c r="J49" s="617">
        <f>Расчёт!I238</f>
        <v>0</v>
      </c>
      <c r="K49" s="644">
        <f t="shared" si="3"/>
        <v>0</v>
      </c>
      <c r="L49" s="2"/>
      <c r="M49" s="2"/>
      <c r="N49" s="2"/>
      <c r="O49" s="2"/>
      <c r="P49" s="2"/>
      <c r="Q49" s="2"/>
      <c r="R49" s="80"/>
      <c r="S49" s="80"/>
      <c r="T49" s="80"/>
      <c r="U49" s="80"/>
      <c r="V49" s="154">
        <f t="shared" si="0"/>
        <v>0</v>
      </c>
      <c r="W49" s="80"/>
      <c r="X49" s="80"/>
      <c r="Y49" s="80"/>
      <c r="Z49" s="155">
        <f t="shared" si="1"/>
        <v>0</v>
      </c>
      <c r="AA49" s="80"/>
      <c r="AB49" s="80"/>
      <c r="AC49" s="80"/>
      <c r="AD49" s="80"/>
      <c r="AE49" s="80"/>
      <c r="AF49" s="80"/>
      <c r="AG49" s="80"/>
      <c r="AH49" s="80"/>
      <c r="AI49" s="80"/>
    </row>
    <row r="50" spans="1:35" ht="15" customHeight="1" thickBot="1" x14ac:dyDescent="0.25">
      <c r="A50" s="2"/>
      <c r="B50" s="548" t="str">
        <f>Расчёт!B239</f>
        <v>ДРОЖЖИ ПРЕСОВАННЫЕ</v>
      </c>
      <c r="C50" s="620" t="s">
        <v>163</v>
      </c>
      <c r="D50" s="1244">
        <f>Цены!D50</f>
        <v>0</v>
      </c>
      <c r="E50" s="663">
        <v>0</v>
      </c>
      <c r="F50" s="621">
        <v>0</v>
      </c>
      <c r="G50" s="622">
        <v>0</v>
      </c>
      <c r="H50" s="623">
        <f>Расчёт!G239</f>
        <v>0</v>
      </c>
      <c r="I50" s="624">
        <f>Расчёт!H239</f>
        <v>0</v>
      </c>
      <c r="J50" s="625">
        <f>Расчёт!I239</f>
        <v>0</v>
      </c>
      <c r="K50" s="651">
        <f t="shared" si="2"/>
        <v>0</v>
      </c>
      <c r="L50" s="2"/>
      <c r="M50" s="2"/>
      <c r="N50" s="2"/>
      <c r="O50" s="2"/>
      <c r="P50" s="2"/>
      <c r="Q50" s="2"/>
      <c r="R50" s="80"/>
      <c r="S50" s="80"/>
      <c r="T50" s="80"/>
      <c r="U50" s="80"/>
      <c r="V50" s="154">
        <f t="shared" si="0"/>
        <v>0</v>
      </c>
      <c r="W50" s="80"/>
      <c r="X50" s="80"/>
      <c r="Y50" s="80"/>
      <c r="Z50" s="155">
        <f t="shared" si="1"/>
        <v>0</v>
      </c>
      <c r="AA50" s="80"/>
      <c r="AB50" s="80"/>
      <c r="AC50" s="80"/>
      <c r="AD50" s="80"/>
      <c r="AE50" s="80"/>
      <c r="AF50" s="80"/>
      <c r="AG50" s="80"/>
      <c r="AH50" s="80"/>
      <c r="AI50" s="80"/>
    </row>
    <row r="51" spans="1:35" ht="15" customHeight="1" x14ac:dyDescent="0.2">
      <c r="A51" s="2"/>
      <c r="B51" s="521" t="str">
        <f>Расчёт!B240</f>
        <v>КАРТОФЕЛЬ</v>
      </c>
      <c r="C51" s="610" t="s">
        <v>163</v>
      </c>
      <c r="D51" s="506">
        <f>Цены!D51</f>
        <v>0</v>
      </c>
      <c r="E51" s="604">
        <v>0</v>
      </c>
      <c r="F51" s="611">
        <v>0</v>
      </c>
      <c r="G51" s="612">
        <v>0</v>
      </c>
      <c r="H51" s="664">
        <f>Расчёт!G240</f>
        <v>0</v>
      </c>
      <c r="I51" s="628">
        <f>Расчёт!H240</f>
        <v>0</v>
      </c>
      <c r="J51" s="629">
        <f>Расчёт!I240</f>
        <v>0</v>
      </c>
      <c r="K51" s="652">
        <f t="shared" si="2"/>
        <v>0</v>
      </c>
      <c r="L51" s="2"/>
      <c r="M51" s="2"/>
      <c r="N51" s="2"/>
      <c r="O51" s="2"/>
      <c r="P51" s="2"/>
      <c r="Q51" s="2"/>
      <c r="R51" s="80"/>
      <c r="S51" s="80"/>
      <c r="T51" s="80"/>
      <c r="U51" s="80"/>
      <c r="V51" s="154">
        <f t="shared" si="0"/>
        <v>0</v>
      </c>
      <c r="W51" s="80"/>
      <c r="X51" s="80"/>
      <c r="Y51" s="80"/>
      <c r="Z51" s="155">
        <f t="shared" si="1"/>
        <v>0</v>
      </c>
      <c r="AA51" s="80"/>
      <c r="AB51" s="80"/>
      <c r="AC51" s="80"/>
      <c r="AD51" s="80"/>
      <c r="AE51" s="80"/>
      <c r="AF51" s="80"/>
      <c r="AG51" s="80"/>
      <c r="AH51" s="80"/>
      <c r="AI51" s="80"/>
    </row>
    <row r="52" spans="1:35" ht="15" customHeight="1" x14ac:dyDescent="0.2">
      <c r="A52" s="2"/>
      <c r="B52" s="523" t="str">
        <f>Расчёт!B241</f>
        <v xml:space="preserve">КАПУСТА  </v>
      </c>
      <c r="C52" s="613" t="s">
        <v>163</v>
      </c>
      <c r="D52" s="640">
        <f>Цены!D52</f>
        <v>0</v>
      </c>
      <c r="E52" s="662">
        <v>0</v>
      </c>
      <c r="F52" s="614">
        <v>0</v>
      </c>
      <c r="G52" s="615">
        <v>0</v>
      </c>
      <c r="H52" s="665">
        <f>Расчёт!G241</f>
        <v>0</v>
      </c>
      <c r="I52" s="562">
        <f>Расчёт!H241</f>
        <v>0</v>
      </c>
      <c r="J52" s="630">
        <f>Расчёт!I241</f>
        <v>0</v>
      </c>
      <c r="K52" s="653">
        <f t="shared" si="2"/>
        <v>0</v>
      </c>
      <c r="L52" s="2"/>
      <c r="M52" s="2"/>
      <c r="N52" s="2"/>
      <c r="O52" s="2"/>
      <c r="P52" s="2"/>
      <c r="Q52" s="2"/>
      <c r="R52" s="80"/>
      <c r="S52" s="80"/>
      <c r="T52" s="80"/>
      <c r="U52" s="80"/>
      <c r="V52" s="154">
        <f t="shared" si="0"/>
        <v>0</v>
      </c>
      <c r="W52" s="80"/>
      <c r="X52" s="80"/>
      <c r="Y52" s="80"/>
      <c r="Z52" s="155">
        <f t="shared" si="1"/>
        <v>0</v>
      </c>
      <c r="AA52" s="80"/>
      <c r="AB52" s="80"/>
      <c r="AC52" s="80"/>
      <c r="AD52" s="80"/>
      <c r="AE52" s="80"/>
      <c r="AF52" s="80"/>
      <c r="AG52" s="80"/>
      <c r="AH52" s="80"/>
      <c r="AI52" s="80"/>
    </row>
    <row r="53" spans="1:35" ht="15" customHeight="1" x14ac:dyDescent="0.2">
      <c r="A53" s="2"/>
      <c r="B53" s="523" t="str">
        <f>Расчёт!B242</f>
        <v>СВЕКЛА</v>
      </c>
      <c r="C53" s="613" t="s">
        <v>163</v>
      </c>
      <c r="D53" s="640">
        <f>Цены!D53</f>
        <v>0</v>
      </c>
      <c r="E53" s="662">
        <v>0</v>
      </c>
      <c r="F53" s="614">
        <v>0</v>
      </c>
      <c r="G53" s="615">
        <v>0</v>
      </c>
      <c r="H53" s="665">
        <f>Расчёт!G242</f>
        <v>0</v>
      </c>
      <c r="I53" s="562">
        <f>Расчёт!H242</f>
        <v>0</v>
      </c>
      <c r="J53" s="630">
        <f>Расчёт!I242</f>
        <v>0</v>
      </c>
      <c r="K53" s="653">
        <f t="shared" si="2"/>
        <v>0</v>
      </c>
      <c r="L53" s="2"/>
      <c r="M53" s="2"/>
      <c r="N53" s="2"/>
      <c r="O53" s="2"/>
      <c r="P53" s="2"/>
      <c r="Q53" s="2"/>
      <c r="R53" s="80"/>
      <c r="S53" s="80"/>
      <c r="T53" s="80"/>
      <c r="U53" s="80"/>
      <c r="V53" s="154">
        <f t="shared" si="0"/>
        <v>0</v>
      </c>
      <c r="W53" s="80"/>
      <c r="X53" s="80"/>
      <c r="Y53" s="80"/>
      <c r="Z53" s="155">
        <f t="shared" si="1"/>
        <v>0</v>
      </c>
      <c r="AA53" s="80"/>
      <c r="AB53" s="80"/>
      <c r="AC53" s="80"/>
      <c r="AD53" s="80"/>
      <c r="AE53" s="80"/>
      <c r="AF53" s="80"/>
      <c r="AG53" s="80"/>
      <c r="AH53" s="80"/>
      <c r="AI53" s="80"/>
    </row>
    <row r="54" spans="1:35" ht="15" customHeight="1" x14ac:dyDescent="0.2">
      <c r="A54" s="2"/>
      <c r="B54" s="523" t="str">
        <f>Расчёт!B243</f>
        <v>МОРКОВЬ</v>
      </c>
      <c r="C54" s="613" t="s">
        <v>163</v>
      </c>
      <c r="D54" s="640">
        <f>Цены!D54</f>
        <v>0</v>
      </c>
      <c r="E54" s="662">
        <v>0</v>
      </c>
      <c r="F54" s="614">
        <v>0</v>
      </c>
      <c r="G54" s="615">
        <v>0</v>
      </c>
      <c r="H54" s="665">
        <f>Расчёт!G243</f>
        <v>0</v>
      </c>
      <c r="I54" s="562">
        <f>Расчёт!H243</f>
        <v>0</v>
      </c>
      <c r="J54" s="630">
        <f>Расчёт!I243</f>
        <v>0</v>
      </c>
      <c r="K54" s="653">
        <f t="shared" si="2"/>
        <v>0</v>
      </c>
      <c r="L54" s="2"/>
      <c r="M54" s="2"/>
      <c r="N54" s="2"/>
      <c r="O54" s="2"/>
      <c r="P54" s="2"/>
      <c r="Q54" s="2"/>
      <c r="R54" s="80"/>
      <c r="S54" s="80"/>
      <c r="T54" s="80"/>
      <c r="U54" s="80"/>
      <c r="V54" s="154">
        <f t="shared" si="0"/>
        <v>0</v>
      </c>
      <c r="W54" s="80"/>
      <c r="X54" s="80"/>
      <c r="Y54" s="80"/>
      <c r="Z54" s="155">
        <f t="shared" si="1"/>
        <v>0</v>
      </c>
      <c r="AA54" s="80"/>
      <c r="AB54" s="80"/>
      <c r="AC54" s="80"/>
      <c r="AD54" s="80"/>
      <c r="AE54" s="80"/>
      <c r="AF54" s="80"/>
      <c r="AG54" s="80"/>
      <c r="AH54" s="80"/>
      <c r="AI54" s="80"/>
    </row>
    <row r="55" spans="1:35" ht="15" customHeight="1" x14ac:dyDescent="0.2">
      <c r="A55" s="2"/>
      <c r="B55" s="523" t="str">
        <f>Расчёт!B244</f>
        <v>ЛУК РЕПЧАТЫЙ</v>
      </c>
      <c r="C55" s="613" t="s">
        <v>163</v>
      </c>
      <c r="D55" s="640">
        <f>Цены!D55</f>
        <v>0</v>
      </c>
      <c r="E55" s="662">
        <v>0</v>
      </c>
      <c r="F55" s="614">
        <v>0</v>
      </c>
      <c r="G55" s="615">
        <v>0</v>
      </c>
      <c r="H55" s="665">
        <f>Расчёт!G244</f>
        <v>0</v>
      </c>
      <c r="I55" s="562">
        <f>Расчёт!H244</f>
        <v>0</v>
      </c>
      <c r="J55" s="630">
        <f>Расчёт!I244</f>
        <v>0</v>
      </c>
      <c r="K55" s="653">
        <f t="shared" si="2"/>
        <v>0</v>
      </c>
      <c r="L55" s="2"/>
      <c r="M55" s="2"/>
      <c r="N55" s="2"/>
      <c r="O55" s="2"/>
      <c r="P55" s="2"/>
      <c r="Q55" s="2"/>
      <c r="R55" s="80"/>
      <c r="S55" s="80"/>
      <c r="T55" s="80"/>
      <c r="U55" s="80"/>
      <c r="V55" s="154">
        <f t="shared" si="0"/>
        <v>0</v>
      </c>
      <c r="W55" s="80"/>
      <c r="X55" s="80"/>
      <c r="Y55" s="80"/>
      <c r="Z55" s="155">
        <f t="shared" si="1"/>
        <v>0</v>
      </c>
      <c r="AA55" s="80"/>
      <c r="AB55" s="80"/>
      <c r="AC55" s="80"/>
      <c r="AD55" s="80"/>
      <c r="AE55" s="80"/>
      <c r="AF55" s="80"/>
      <c r="AG55" s="80"/>
      <c r="AH55" s="80"/>
      <c r="AI55" s="80"/>
    </row>
    <row r="56" spans="1:35" ht="15" customHeight="1" x14ac:dyDescent="0.2">
      <c r="A56" s="2"/>
      <c r="B56" s="523" t="str">
        <f>Расчёт!B245</f>
        <v>ОГУРЦЫ СОЛЕНЫЕ</v>
      </c>
      <c r="C56" s="613" t="s">
        <v>163</v>
      </c>
      <c r="D56" s="640">
        <f>Цены!D56</f>
        <v>0</v>
      </c>
      <c r="E56" s="662">
        <v>0</v>
      </c>
      <c r="F56" s="614">
        <v>0</v>
      </c>
      <c r="G56" s="615">
        <v>0</v>
      </c>
      <c r="H56" s="665">
        <f>Расчёт!G245</f>
        <v>0</v>
      </c>
      <c r="I56" s="510">
        <f>Расчёт!H245</f>
        <v>0</v>
      </c>
      <c r="J56" s="630">
        <f>Расчёт!I245</f>
        <v>0</v>
      </c>
      <c r="K56" s="512">
        <f t="shared" si="2"/>
        <v>0</v>
      </c>
      <c r="L56" s="2"/>
      <c r="M56" s="2"/>
      <c r="N56" s="2"/>
      <c r="O56" s="2"/>
      <c r="P56" s="2"/>
      <c r="Q56" s="2"/>
      <c r="R56" s="80"/>
      <c r="S56" s="80"/>
      <c r="T56" s="80"/>
      <c r="U56" s="80"/>
      <c r="V56" s="154">
        <f t="shared" si="0"/>
        <v>0</v>
      </c>
      <c r="W56" s="80"/>
      <c r="X56" s="80"/>
      <c r="Y56" s="80"/>
      <c r="Z56" s="155">
        <f t="shared" si="1"/>
        <v>0</v>
      </c>
      <c r="AA56" s="80"/>
      <c r="AB56" s="80"/>
      <c r="AC56" s="80"/>
      <c r="AD56" s="80"/>
      <c r="AE56" s="80"/>
      <c r="AF56" s="80"/>
      <c r="AG56" s="80"/>
      <c r="AH56" s="80"/>
      <c r="AI56" s="80"/>
    </row>
    <row r="57" spans="1:35" ht="15" customHeight="1" x14ac:dyDescent="0.2">
      <c r="A57" s="2"/>
      <c r="B57" s="523" t="str">
        <f>Расчёт!B246</f>
        <v>ПОМИДОРЫ СОЛЁНЫЕ</v>
      </c>
      <c r="C57" s="613" t="s">
        <v>163</v>
      </c>
      <c r="D57" s="640">
        <f>Цены!D57</f>
        <v>0</v>
      </c>
      <c r="E57" s="662">
        <v>0</v>
      </c>
      <c r="F57" s="614">
        <v>0</v>
      </c>
      <c r="G57" s="615">
        <v>0</v>
      </c>
      <c r="H57" s="665">
        <f>Расчёт!G246</f>
        <v>0</v>
      </c>
      <c r="I57" s="510">
        <f>Расчёт!H246</f>
        <v>0</v>
      </c>
      <c r="J57" s="630">
        <f>Расчёт!I246</f>
        <v>0</v>
      </c>
      <c r="K57" s="512">
        <f t="shared" si="2"/>
        <v>0</v>
      </c>
      <c r="L57" s="2"/>
      <c r="M57" s="2"/>
      <c r="N57" s="2"/>
      <c r="O57" s="2"/>
      <c r="P57" s="2"/>
      <c r="Q57" s="2"/>
      <c r="R57" s="80"/>
      <c r="S57" s="80"/>
      <c r="T57" s="80"/>
      <c r="U57" s="80"/>
      <c r="V57" s="154">
        <f t="shared" si="0"/>
        <v>0</v>
      </c>
      <c r="W57" s="80"/>
      <c r="X57" s="80"/>
      <c r="Y57" s="80"/>
      <c r="Z57" s="155">
        <f t="shared" si="1"/>
        <v>0</v>
      </c>
      <c r="AA57" s="80"/>
      <c r="AB57" s="80"/>
      <c r="AC57" s="80"/>
      <c r="AD57" s="80"/>
      <c r="AE57" s="80"/>
      <c r="AF57" s="80"/>
      <c r="AG57" s="80"/>
      <c r="AH57" s="80"/>
      <c r="AI57" s="80"/>
    </row>
    <row r="58" spans="1:35" ht="15" customHeight="1" thickBot="1" x14ac:dyDescent="0.25">
      <c r="A58" s="2"/>
      <c r="B58" s="525" t="str">
        <f>Расчёт!B247</f>
        <v>КАБАЧКИ</v>
      </c>
      <c r="C58" s="620" t="s">
        <v>163</v>
      </c>
      <c r="D58" s="1244">
        <f>Цены!D58</f>
        <v>0</v>
      </c>
      <c r="E58" s="663">
        <v>0</v>
      </c>
      <c r="F58" s="621">
        <v>0</v>
      </c>
      <c r="G58" s="622">
        <v>0</v>
      </c>
      <c r="H58" s="666">
        <f>Расчёт!G247</f>
        <v>0</v>
      </c>
      <c r="I58" s="565">
        <f>Расчёт!H247</f>
        <v>0</v>
      </c>
      <c r="J58" s="632">
        <f>Расчёт!I247</f>
        <v>0</v>
      </c>
      <c r="K58" s="654">
        <f>SUM(E58:J58)</f>
        <v>0</v>
      </c>
      <c r="L58" s="2"/>
      <c r="M58" s="2"/>
      <c r="N58" s="2"/>
      <c r="O58" s="2"/>
      <c r="P58" s="2"/>
      <c r="Q58" s="2"/>
      <c r="R58" s="80"/>
      <c r="S58" s="80"/>
      <c r="T58" s="80"/>
      <c r="U58" s="80"/>
      <c r="V58" s="154"/>
      <c r="W58" s="80"/>
      <c r="X58" s="80"/>
      <c r="Y58" s="80"/>
      <c r="Z58" s="155">
        <f t="shared" si="1"/>
        <v>0</v>
      </c>
      <c r="AA58" s="80"/>
      <c r="AB58" s="80"/>
      <c r="AC58" s="80"/>
      <c r="AD58" s="80"/>
      <c r="AE58" s="80"/>
      <c r="AF58" s="80"/>
      <c r="AG58" s="80"/>
      <c r="AH58" s="80"/>
      <c r="AI58" s="80"/>
    </row>
    <row r="59" spans="1:35" ht="15" customHeight="1" x14ac:dyDescent="0.2">
      <c r="A59" s="2"/>
      <c r="B59" s="505" t="str">
        <f>Расчёт!B248</f>
        <v>ФРУКТЫ СУШЁНЫЕ</v>
      </c>
      <c r="C59" s="610" t="s">
        <v>163</v>
      </c>
      <c r="D59" s="506">
        <f>Цены!D59</f>
        <v>0</v>
      </c>
      <c r="E59" s="604">
        <v>0</v>
      </c>
      <c r="F59" s="611">
        <v>0</v>
      </c>
      <c r="G59" s="612">
        <v>0</v>
      </c>
      <c r="H59" s="507">
        <f>Расчёт!G248</f>
        <v>0</v>
      </c>
      <c r="I59" s="490">
        <f>Расчёт!H248</f>
        <v>0</v>
      </c>
      <c r="J59" s="491">
        <f>Расчёт!I248</f>
        <v>0</v>
      </c>
      <c r="K59" s="522">
        <f t="shared" si="2"/>
        <v>0</v>
      </c>
      <c r="L59" s="2"/>
      <c r="M59" s="2"/>
      <c r="N59" s="2"/>
      <c r="O59" s="2"/>
      <c r="P59" s="2"/>
      <c r="Q59" s="2"/>
      <c r="R59" s="80"/>
      <c r="S59" s="80"/>
      <c r="T59" s="80"/>
      <c r="U59" s="80"/>
      <c r="V59" s="154">
        <f t="shared" si="0"/>
        <v>0</v>
      </c>
      <c r="W59" s="80"/>
      <c r="X59" s="80"/>
      <c r="Y59" s="80"/>
      <c r="Z59" s="155">
        <f t="shared" si="1"/>
        <v>0</v>
      </c>
      <c r="AA59" s="80"/>
      <c r="AB59" s="80"/>
      <c r="AC59" s="80"/>
      <c r="AD59" s="80"/>
      <c r="AE59" s="80"/>
      <c r="AF59" s="80"/>
      <c r="AG59" s="80"/>
      <c r="AH59" s="80"/>
      <c r="AI59" s="80"/>
    </row>
    <row r="60" spans="1:35" ht="15" customHeight="1" x14ac:dyDescent="0.2">
      <c r="A60" s="2"/>
      <c r="B60" s="570" t="str">
        <f>Расчёт!B249</f>
        <v>КИСЕЛЬ ПЛОДОВЫЙ ИЛИ ЯГОДНЫЙ</v>
      </c>
      <c r="C60" s="613" t="s">
        <v>163</v>
      </c>
      <c r="D60" s="640">
        <f>Цены!D60</f>
        <v>0</v>
      </c>
      <c r="E60" s="662">
        <v>0</v>
      </c>
      <c r="F60" s="614">
        <v>0</v>
      </c>
      <c r="G60" s="615">
        <v>0</v>
      </c>
      <c r="H60" s="488">
        <f>Расчёт!G249</f>
        <v>0</v>
      </c>
      <c r="I60" s="510">
        <f>Расчёт!H249</f>
        <v>0</v>
      </c>
      <c r="J60" s="511">
        <f>Расчёт!I249</f>
        <v>0</v>
      </c>
      <c r="K60" s="512">
        <f t="shared" si="2"/>
        <v>0</v>
      </c>
      <c r="L60" s="2"/>
      <c r="M60" s="2"/>
      <c r="N60" s="2"/>
      <c r="O60" s="2"/>
      <c r="P60" s="2"/>
      <c r="Q60" s="2"/>
      <c r="R60" s="80"/>
      <c r="S60" s="80"/>
      <c r="T60" s="80"/>
      <c r="U60" s="80"/>
      <c r="V60" s="154">
        <f t="shared" si="0"/>
        <v>0</v>
      </c>
      <c r="W60" s="80"/>
      <c r="X60" s="80"/>
      <c r="Y60" s="80"/>
      <c r="Z60" s="155">
        <f t="shared" si="1"/>
        <v>0</v>
      </c>
      <c r="AA60" s="80"/>
      <c r="AB60" s="80"/>
      <c r="AC60" s="80"/>
      <c r="AD60" s="80"/>
      <c r="AE60" s="80"/>
      <c r="AF60" s="80"/>
      <c r="AG60" s="80"/>
      <c r="AH60" s="80"/>
      <c r="AI60" s="80"/>
    </row>
    <row r="61" spans="1:35" ht="15" customHeight="1" x14ac:dyDescent="0.2">
      <c r="A61" s="2"/>
      <c r="B61" s="570" t="str">
        <f>Расчёт!B250</f>
        <v>АПЕЛЬСИНЫ</v>
      </c>
      <c r="C61" s="613" t="s">
        <v>163</v>
      </c>
      <c r="D61" s="640">
        <f>Цены!D61</f>
        <v>0</v>
      </c>
      <c r="E61" s="662">
        <v>0</v>
      </c>
      <c r="F61" s="614">
        <v>0</v>
      </c>
      <c r="G61" s="615">
        <v>0</v>
      </c>
      <c r="H61" s="488">
        <f>Расчёт!G250</f>
        <v>0</v>
      </c>
      <c r="I61" s="510">
        <f>Расчёт!H250</f>
        <v>0</v>
      </c>
      <c r="J61" s="511">
        <f>Расчёт!I250</f>
        <v>0</v>
      </c>
      <c r="K61" s="512">
        <f t="shared" si="2"/>
        <v>0</v>
      </c>
      <c r="L61" s="2"/>
      <c r="M61" s="2"/>
      <c r="N61" s="2"/>
      <c r="O61" s="2"/>
      <c r="P61" s="2"/>
      <c r="Q61" s="2"/>
      <c r="R61" s="80"/>
      <c r="S61" s="80"/>
      <c r="T61" s="80"/>
      <c r="U61" s="80"/>
      <c r="V61" s="154">
        <f t="shared" si="0"/>
        <v>0</v>
      </c>
      <c r="W61" s="80"/>
      <c r="X61" s="80"/>
      <c r="Y61" s="80"/>
      <c r="Z61" s="155">
        <f t="shared" si="1"/>
        <v>0</v>
      </c>
      <c r="AA61" s="80"/>
      <c r="AB61" s="80"/>
      <c r="AC61" s="80"/>
      <c r="AD61" s="80"/>
      <c r="AE61" s="80"/>
      <c r="AF61" s="80"/>
      <c r="AG61" s="80"/>
      <c r="AH61" s="80"/>
      <c r="AI61" s="80"/>
    </row>
    <row r="62" spans="1:35" ht="15" customHeight="1" x14ac:dyDescent="0.2">
      <c r="A62" s="2"/>
      <c r="B62" s="570" t="str">
        <f>Расчёт!B251</f>
        <v>СОК</v>
      </c>
      <c r="C62" s="613" t="s">
        <v>163</v>
      </c>
      <c r="D62" s="640">
        <f>Цены!D62</f>
        <v>0</v>
      </c>
      <c r="E62" s="662">
        <v>0</v>
      </c>
      <c r="F62" s="614">
        <v>0</v>
      </c>
      <c r="G62" s="615">
        <v>0</v>
      </c>
      <c r="H62" s="488">
        <f>Расчёт!G251</f>
        <v>0</v>
      </c>
      <c r="I62" s="510">
        <f>Расчёт!H251</f>
        <v>0</v>
      </c>
      <c r="J62" s="511">
        <f>Расчёт!I251</f>
        <v>0</v>
      </c>
      <c r="K62" s="512">
        <f t="shared" si="2"/>
        <v>0</v>
      </c>
      <c r="L62" s="2"/>
      <c r="M62" s="2"/>
      <c r="N62" s="2"/>
      <c r="O62" s="2"/>
      <c r="P62" s="2"/>
      <c r="Q62" s="2"/>
      <c r="R62" s="80"/>
      <c r="S62" s="80"/>
      <c r="T62" s="80"/>
      <c r="U62" s="80"/>
      <c r="V62" s="154">
        <f t="shared" si="0"/>
        <v>0</v>
      </c>
      <c r="W62" s="80"/>
      <c r="X62" s="80"/>
      <c r="Y62" s="80"/>
      <c r="Z62" s="155">
        <f t="shared" si="1"/>
        <v>0</v>
      </c>
      <c r="AA62" s="80"/>
      <c r="AB62" s="80"/>
      <c r="AC62" s="80"/>
      <c r="AD62" s="80"/>
      <c r="AE62" s="80"/>
      <c r="AF62" s="80"/>
      <c r="AG62" s="80"/>
      <c r="AH62" s="80"/>
      <c r="AI62" s="80"/>
    </row>
    <row r="63" spans="1:35" ht="15" customHeight="1" x14ac:dyDescent="0.2">
      <c r="A63" s="2"/>
      <c r="B63" s="570" t="str">
        <f>Расчёт!B252</f>
        <v>ПОВИДЛО, ВАРЕНЬЕ</v>
      </c>
      <c r="C63" s="613" t="s">
        <v>163</v>
      </c>
      <c r="D63" s="640">
        <f>Цены!D63</f>
        <v>0</v>
      </c>
      <c r="E63" s="662">
        <v>0</v>
      </c>
      <c r="F63" s="614">
        <v>0</v>
      </c>
      <c r="G63" s="615">
        <v>0</v>
      </c>
      <c r="H63" s="488">
        <f>Расчёт!G252</f>
        <v>0</v>
      </c>
      <c r="I63" s="510">
        <f>Расчёт!H252</f>
        <v>0</v>
      </c>
      <c r="J63" s="511">
        <f>Расчёт!I252</f>
        <v>0</v>
      </c>
      <c r="K63" s="512">
        <f t="shared" si="2"/>
        <v>0</v>
      </c>
      <c r="L63" s="2"/>
      <c r="M63" s="2"/>
      <c r="N63" s="2"/>
      <c r="O63" s="2"/>
      <c r="P63" s="2"/>
      <c r="Q63" s="2"/>
      <c r="R63" s="80"/>
      <c r="S63" s="80"/>
      <c r="T63" s="80"/>
      <c r="U63" s="80"/>
      <c r="V63" s="154">
        <f t="shared" si="0"/>
        <v>0</v>
      </c>
      <c r="W63" s="80"/>
      <c r="X63" s="80"/>
      <c r="Y63" s="80"/>
      <c r="Z63" s="155">
        <f t="shared" si="1"/>
        <v>0</v>
      </c>
      <c r="AA63" s="80"/>
      <c r="AB63" s="80"/>
      <c r="AC63" s="80"/>
      <c r="AD63" s="80"/>
      <c r="AE63" s="80"/>
      <c r="AF63" s="80"/>
      <c r="AG63" s="80"/>
      <c r="AH63" s="80"/>
      <c r="AI63" s="80"/>
    </row>
    <row r="64" spans="1:35" ht="15" customHeight="1" x14ac:dyDescent="0.2">
      <c r="A64" s="2"/>
      <c r="B64" s="659" t="str">
        <f>Расчёт!B253</f>
        <v>КОМПОТ КОНС.</v>
      </c>
      <c r="C64" s="613" t="s">
        <v>163</v>
      </c>
      <c r="D64" s="640">
        <f>Цены!D64</f>
        <v>0</v>
      </c>
      <c r="E64" s="662">
        <v>0</v>
      </c>
      <c r="F64" s="614">
        <v>0</v>
      </c>
      <c r="G64" s="615">
        <v>0</v>
      </c>
      <c r="H64" s="488">
        <f>Расчёт!G253</f>
        <v>0</v>
      </c>
      <c r="I64" s="510">
        <f>Расчёт!H253</f>
        <v>0</v>
      </c>
      <c r="J64" s="511">
        <f>Расчёт!I253</f>
        <v>0</v>
      </c>
      <c r="K64" s="512">
        <f>SUM(E64:J64)</f>
        <v>0</v>
      </c>
      <c r="L64" s="2"/>
      <c r="M64" s="2"/>
      <c r="N64" s="2"/>
      <c r="O64" s="2"/>
      <c r="P64" s="2"/>
      <c r="Q64" s="2"/>
      <c r="R64" s="80"/>
      <c r="S64" s="80"/>
      <c r="T64" s="80"/>
      <c r="U64" s="80"/>
      <c r="V64" s="154">
        <f t="shared" si="0"/>
        <v>0</v>
      </c>
      <c r="W64" s="80"/>
      <c r="X64" s="80"/>
      <c r="Y64" s="80"/>
      <c r="Z64" s="155">
        <f t="shared" si="1"/>
        <v>0</v>
      </c>
      <c r="AA64" s="80"/>
      <c r="AB64" s="80"/>
      <c r="AC64" s="80"/>
      <c r="AD64" s="80"/>
      <c r="AE64" s="80"/>
      <c r="AF64" s="80"/>
      <c r="AG64" s="80"/>
      <c r="AH64" s="80"/>
      <c r="AI64" s="80"/>
    </row>
    <row r="65" spans="1:35" ht="15" customHeight="1" thickBot="1" x14ac:dyDescent="0.25">
      <c r="A65" s="2"/>
      <c r="B65" s="513" t="str">
        <f>Расчёт!B254</f>
        <v>КОНСЕРВЫ ОВ. ЗАКУС.</v>
      </c>
      <c r="C65" s="620" t="s">
        <v>163</v>
      </c>
      <c r="D65" s="1244">
        <f>Цены!D65</f>
        <v>0</v>
      </c>
      <c r="E65" s="663">
        <v>0</v>
      </c>
      <c r="F65" s="621">
        <v>0</v>
      </c>
      <c r="G65" s="622">
        <v>0</v>
      </c>
      <c r="H65" s="516">
        <f>Расчёт!G254</f>
        <v>0</v>
      </c>
      <c r="I65" s="518">
        <f>Расчёт!H254</f>
        <v>0</v>
      </c>
      <c r="J65" s="519">
        <f>Расчёт!I254</f>
        <v>0</v>
      </c>
      <c r="K65" s="520">
        <f>SUM(E65:J65)</f>
        <v>0</v>
      </c>
      <c r="L65" s="2"/>
      <c r="M65" s="2"/>
      <c r="N65" s="2"/>
      <c r="O65" s="2"/>
      <c r="P65" s="2"/>
      <c r="Q65" s="2"/>
      <c r="R65" s="80"/>
      <c r="S65" s="80"/>
      <c r="T65" s="80"/>
      <c r="U65" s="80"/>
      <c r="V65" s="154">
        <f t="shared" si="0"/>
        <v>0</v>
      </c>
      <c r="W65" s="80"/>
      <c r="X65" s="80"/>
      <c r="Y65" s="80"/>
      <c r="Z65" s="155">
        <f t="shared" si="1"/>
        <v>0</v>
      </c>
      <c r="AA65" s="80"/>
      <c r="AB65" s="80"/>
      <c r="AC65" s="80"/>
      <c r="AD65" s="80"/>
      <c r="AE65" s="80"/>
      <c r="AF65" s="80"/>
      <c r="AG65" s="80"/>
      <c r="AH65" s="80"/>
      <c r="AI65" s="80"/>
    </row>
    <row r="66" spans="1:35" ht="15" customHeight="1" x14ac:dyDescent="0.2">
      <c r="A66" s="2"/>
      <c r="B66" s="575" t="str">
        <f>IF(K66&gt;0,B9,"")</f>
        <v/>
      </c>
      <c r="C66" s="610" t="s">
        <v>163</v>
      </c>
      <c r="D66" s="506">
        <f>Цены!D66</f>
        <v>0</v>
      </c>
      <c r="E66" s="1616" t="str">
        <f>IF(K66&gt;0,"ЭКОНОМИЯ","")</f>
        <v/>
      </c>
      <c r="F66" s="1616"/>
      <c r="G66" s="1616"/>
      <c r="H66" s="1561"/>
      <c r="I66" s="1561"/>
      <c r="J66" s="1609"/>
      <c r="K66" s="655">
        <v>0</v>
      </c>
      <c r="L66" s="2"/>
      <c r="M66" s="2"/>
      <c r="N66" s="2"/>
      <c r="O66" s="2"/>
      <c r="P66" s="2"/>
      <c r="Q66" s="2"/>
      <c r="R66" s="80"/>
      <c r="S66" s="80"/>
      <c r="T66" s="80"/>
      <c r="U66" s="80"/>
      <c r="V66" s="154">
        <f t="shared" si="0"/>
        <v>0</v>
      </c>
      <c r="W66" s="80"/>
      <c r="X66" s="80"/>
      <c r="Y66" s="80"/>
      <c r="Z66" s="155">
        <f t="shared" si="1"/>
        <v>0</v>
      </c>
      <c r="AA66" s="80"/>
      <c r="AB66" s="80"/>
      <c r="AC66" s="80"/>
      <c r="AD66" s="80"/>
      <c r="AE66" s="80"/>
      <c r="AF66" s="80"/>
      <c r="AG66" s="80"/>
      <c r="AH66" s="80"/>
      <c r="AI66" s="80"/>
    </row>
    <row r="67" spans="1:35" ht="15" customHeight="1" thickBot="1" x14ac:dyDescent="0.25">
      <c r="A67" s="2"/>
      <c r="B67" s="577" t="str">
        <f>IF(K67&gt;0,B10,"")</f>
        <v/>
      </c>
      <c r="C67" s="647" t="s">
        <v>163</v>
      </c>
      <c r="D67" s="1244">
        <f>Цены!D67</f>
        <v>0</v>
      </c>
      <c r="E67" s="1564" t="str">
        <f>IF(K67&gt;0,"ЭКОНОМИЯ","")</f>
        <v/>
      </c>
      <c r="F67" s="1564"/>
      <c r="G67" s="1564"/>
      <c r="H67" s="1565"/>
      <c r="I67" s="1565"/>
      <c r="J67" s="1566"/>
      <c r="K67" s="656">
        <v>0</v>
      </c>
      <c r="L67" s="2"/>
      <c r="M67" s="2"/>
      <c r="N67" s="2"/>
      <c r="O67" s="2"/>
      <c r="P67" s="2"/>
      <c r="Q67" s="2"/>
      <c r="R67" s="80"/>
      <c r="S67" s="80"/>
      <c r="T67" s="80"/>
      <c r="U67" s="80"/>
      <c r="V67" s="154">
        <f t="shared" si="0"/>
        <v>0</v>
      </c>
      <c r="W67" s="80"/>
      <c r="X67" s="80"/>
      <c r="Y67" s="80"/>
      <c r="Z67" s="155">
        <f t="shared" si="1"/>
        <v>0</v>
      </c>
      <c r="AA67" s="80"/>
      <c r="AB67" s="80"/>
      <c r="AC67" s="80"/>
      <c r="AD67" s="80"/>
      <c r="AE67" s="80"/>
      <c r="AF67" s="80"/>
      <c r="AG67" s="80"/>
      <c r="AH67" s="80"/>
      <c r="AI67" s="80"/>
    </row>
    <row r="68" spans="1:35" ht="15" customHeight="1" x14ac:dyDescent="0.2">
      <c r="A68" s="2"/>
      <c r="B68" s="505" t="str">
        <f>Расчёт!B257</f>
        <v>ЧЕСНОК</v>
      </c>
      <c r="C68" s="610" t="s">
        <v>163</v>
      </c>
      <c r="D68" s="506">
        <f>Цены!D68</f>
        <v>0</v>
      </c>
      <c r="E68" s="635">
        <v>0</v>
      </c>
      <c r="F68" s="636">
        <v>0</v>
      </c>
      <c r="G68" s="637">
        <v>0</v>
      </c>
      <c r="H68" s="489">
        <f>Расчёт!G254</f>
        <v>0</v>
      </c>
      <c r="I68" s="490">
        <f>Расчёт!H257</f>
        <v>0</v>
      </c>
      <c r="J68" s="491">
        <f>Расчёт!I254</f>
        <v>0</v>
      </c>
      <c r="K68" s="492">
        <f>SUM(E68:J68)</f>
        <v>0</v>
      </c>
      <c r="L68" s="2"/>
      <c r="M68" s="2"/>
      <c r="N68" s="2"/>
      <c r="O68" s="2"/>
      <c r="P68" s="2"/>
      <c r="Q68" s="2"/>
      <c r="R68" s="80"/>
      <c r="S68" s="80"/>
      <c r="T68" s="80"/>
      <c r="U68" s="80"/>
      <c r="V68" s="154">
        <f t="shared" si="0"/>
        <v>0</v>
      </c>
      <c r="W68" s="80"/>
      <c r="X68" s="80"/>
      <c r="Y68" s="80"/>
      <c r="Z68" s="155">
        <f t="shared" si="1"/>
        <v>0</v>
      </c>
      <c r="AA68" s="80"/>
      <c r="AB68" s="80"/>
      <c r="AC68" s="80"/>
      <c r="AD68" s="80"/>
      <c r="AE68" s="80"/>
      <c r="AF68" s="80"/>
      <c r="AG68" s="80"/>
      <c r="AH68" s="80"/>
      <c r="AI68" s="80"/>
    </row>
    <row r="69" spans="1:35" ht="15" customHeight="1" x14ac:dyDescent="0.2">
      <c r="A69" s="2"/>
      <c r="B69" s="570" t="str">
        <f>Расчёт!B258</f>
        <v>ДРАЖЕ "ГЕКСАВИТ"</v>
      </c>
      <c r="C69" s="618" t="s">
        <v>163</v>
      </c>
      <c r="D69" s="640">
        <f>Цены!D69</f>
        <v>0</v>
      </c>
      <c r="E69" s="586"/>
      <c r="F69" s="639">
        <v>0</v>
      </c>
      <c r="G69" s="588"/>
      <c r="H69" s="494">
        <f>Расчёт!G255</f>
        <v>0</v>
      </c>
      <c r="I69" s="495">
        <f>Расчёт!H258</f>
        <v>0</v>
      </c>
      <c r="J69" s="496">
        <f>Расчёт!I255</f>
        <v>0</v>
      </c>
      <c r="K69" s="592">
        <f>SUM(E69:J69)</f>
        <v>0</v>
      </c>
      <c r="L69" s="2"/>
      <c r="M69" s="2"/>
      <c r="N69" s="2"/>
      <c r="O69" s="2"/>
      <c r="P69" s="2"/>
      <c r="Q69" s="2"/>
      <c r="R69" s="80"/>
      <c r="S69" s="80"/>
      <c r="T69" s="80"/>
      <c r="U69" s="80"/>
      <c r="V69" s="154">
        <f t="shared" si="0"/>
        <v>0</v>
      </c>
      <c r="W69" s="80"/>
      <c r="X69" s="80"/>
      <c r="Y69" s="80"/>
      <c r="Z69" s="155">
        <f t="shared" si="1"/>
        <v>0</v>
      </c>
      <c r="AA69" s="80"/>
      <c r="AB69" s="80"/>
      <c r="AC69" s="80"/>
      <c r="AD69" s="80"/>
      <c r="AE69" s="80"/>
      <c r="AF69" s="80"/>
      <c r="AG69" s="80"/>
      <c r="AH69" s="80"/>
      <c r="AI69" s="80"/>
    </row>
    <row r="70" spans="1:35" ht="15" customHeight="1" x14ac:dyDescent="0.2">
      <c r="A70" s="2"/>
      <c r="B70" s="570" t="str">
        <f>Расчёт!B259</f>
        <v>КОНСЕРВЫ МЯСОРАСТИТЕЛЬНЫЕ</v>
      </c>
      <c r="C70" s="618" t="s">
        <v>163</v>
      </c>
      <c r="D70" s="640">
        <f>Цены!D70</f>
        <v>0</v>
      </c>
      <c r="E70" s="586">
        <v>0</v>
      </c>
      <c r="F70" s="639">
        <v>0</v>
      </c>
      <c r="G70" s="588"/>
      <c r="H70" s="494">
        <f>Расчёт!G256</f>
        <v>0</v>
      </c>
      <c r="I70" s="495">
        <f>Расчёт!H259</f>
        <v>0</v>
      </c>
      <c r="J70" s="496">
        <f>Расчёт!I256</f>
        <v>0</v>
      </c>
      <c r="K70" s="497">
        <f>SUM(E70:J70)</f>
        <v>0</v>
      </c>
      <c r="L70" s="2"/>
      <c r="M70" s="2"/>
      <c r="N70" s="2"/>
      <c r="O70" s="2"/>
      <c r="P70" s="2"/>
      <c r="Q70" s="2"/>
      <c r="R70" s="80"/>
      <c r="S70" s="80"/>
      <c r="T70" s="80"/>
      <c r="U70" s="80"/>
      <c r="V70" s="154">
        <f t="shared" si="0"/>
        <v>0</v>
      </c>
      <c r="W70" s="80"/>
      <c r="X70" s="80"/>
      <c r="Y70" s="80"/>
      <c r="Z70" s="155">
        <f t="shared" si="1"/>
        <v>0</v>
      </c>
      <c r="AA70" s="80"/>
      <c r="AB70" s="80"/>
      <c r="AC70" s="80"/>
      <c r="AD70" s="80"/>
      <c r="AE70" s="80"/>
      <c r="AF70" s="80"/>
      <c r="AG70" s="80"/>
      <c r="AH70" s="80"/>
      <c r="AI70" s="80"/>
    </row>
    <row r="71" spans="1:35" ht="15" customHeight="1" thickBot="1" x14ac:dyDescent="0.25">
      <c r="A71" s="2"/>
      <c r="B71" s="513" t="str">
        <f>Расчёт!B260</f>
        <v>КОНСЕРВЫ 1 ОБ. БЛЮДА</v>
      </c>
      <c r="C71" s="719" t="s">
        <v>163</v>
      </c>
      <c r="D71" s="648">
        <f>Цены!D71</f>
        <v>0</v>
      </c>
      <c r="E71" s="593">
        <v>0</v>
      </c>
      <c r="F71" s="667">
        <v>0</v>
      </c>
      <c r="G71" s="594"/>
      <c r="H71" s="501">
        <f>Расчёт!G257</f>
        <v>0</v>
      </c>
      <c r="I71" s="502">
        <f>Расчёт!H260</f>
        <v>0</v>
      </c>
      <c r="J71" s="503">
        <f>Расчёт!I257</f>
        <v>0</v>
      </c>
      <c r="K71" s="504">
        <f>SUM(E71:J71)</f>
        <v>0</v>
      </c>
      <c r="L71" s="2"/>
      <c r="M71" s="2"/>
      <c r="N71" s="2"/>
      <c r="O71" s="2"/>
      <c r="P71" s="2"/>
      <c r="Q71" s="2"/>
      <c r="R71" s="80"/>
      <c r="S71" s="80"/>
      <c r="T71" s="80"/>
      <c r="U71" s="80"/>
      <c r="V71" s="10">
        <f>SUM(V9:V70)</f>
        <v>0</v>
      </c>
      <c r="W71" s="80"/>
      <c r="X71" s="80"/>
      <c r="Y71" s="80"/>
      <c r="Z71" s="155">
        <f t="shared" si="1"/>
        <v>0</v>
      </c>
      <c r="AA71" s="80"/>
      <c r="AB71" s="80"/>
      <c r="AC71" s="80"/>
      <c r="AD71" s="80"/>
      <c r="AE71" s="80"/>
      <c r="AF71" s="80"/>
      <c r="AG71" s="80"/>
      <c r="AH71" s="80"/>
      <c r="AI71" s="80"/>
    </row>
    <row r="72" spans="1:35" ht="18" x14ac:dyDescent="0.25">
      <c r="A72" s="2"/>
      <c r="B72" s="185" t="s">
        <v>280</v>
      </c>
      <c r="C72" s="269"/>
      <c r="D72" s="187">
        <f>V71</f>
        <v>0</v>
      </c>
      <c r="E72" s="1617" t="str">
        <f>IF(Чт!$C$72&lt;&gt;31,CONCATENATE("(",Примеры!A96),CONCATENATE("(",Примеры!D21))</f>
        <v>( Ноль ) наименований</v>
      </c>
      <c r="F72" s="1617"/>
      <c r="G72" s="1617"/>
      <c r="H72" s="1617"/>
      <c r="I72" s="1617"/>
      <c r="J72" s="1568" t="str">
        <f>CONCATENATE("на сумму ",ROUND(Z72,2)," р.")</f>
        <v>на сумму 0 р.</v>
      </c>
      <c r="K72" s="1568"/>
      <c r="L72" s="2"/>
      <c r="M72" s="2"/>
      <c r="N72" s="2"/>
      <c r="O72" s="2"/>
      <c r="P72" s="2"/>
      <c r="Q72" s="2"/>
      <c r="R72" s="80"/>
      <c r="S72" s="80"/>
      <c r="T72" s="80"/>
      <c r="U72" s="80"/>
      <c r="V72" s="80"/>
      <c r="W72" s="80"/>
      <c r="X72" s="80"/>
      <c r="Y72" s="80"/>
      <c r="Z72" s="188">
        <f>SUM(Z9:Z71)</f>
        <v>0</v>
      </c>
      <c r="AA72" s="80"/>
      <c r="AB72" s="80"/>
      <c r="AC72" s="80"/>
      <c r="AD72" s="80"/>
      <c r="AE72" s="80"/>
      <c r="AF72" s="80"/>
      <c r="AG72" s="80"/>
      <c r="AH72" s="80"/>
      <c r="AI72" s="80"/>
    </row>
    <row r="73" spans="1:35" ht="18" x14ac:dyDescent="0.25">
      <c r="A73" s="2"/>
      <c r="B73" s="1560" t="s">
        <v>364</v>
      </c>
      <c r="C73" s="1560"/>
      <c r="D73" s="1560"/>
      <c r="E73" s="1560"/>
      <c r="F73" s="1560"/>
      <c r="G73" s="1560"/>
      <c r="H73" s="1560"/>
      <c r="I73" s="1560"/>
      <c r="J73" s="1560"/>
      <c r="K73" s="1560"/>
      <c r="L73" s="2"/>
      <c r="M73" s="2"/>
      <c r="N73" s="2"/>
      <c r="O73" s="2"/>
      <c r="P73" s="2"/>
      <c r="Q73" s="2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</row>
    <row r="74" spans="1:35" ht="18" x14ac:dyDescent="0.25">
      <c r="A74" s="2"/>
      <c r="B74" s="1567" t="str">
        <f>'Блок ввода'!M10</f>
        <v>ст. лейтенант</v>
      </c>
      <c r="C74" s="1567"/>
      <c r="D74" s="1567"/>
      <c r="E74" s="191"/>
      <c r="F74" s="191"/>
      <c r="G74" s="191"/>
      <c r="H74" s="1567"/>
      <c r="I74" s="1567"/>
      <c r="J74" s="1567"/>
      <c r="K74" s="191"/>
      <c r="L74" s="2"/>
      <c r="M74" s="2"/>
      <c r="N74" s="2"/>
      <c r="O74" s="2"/>
      <c r="P74" s="2"/>
      <c r="Q74" s="2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</row>
    <row r="75" spans="1:35" ht="17.45" customHeight="1" x14ac:dyDescent="0.25">
      <c r="A75" s="2"/>
      <c r="B75" s="1218" t="str">
        <f>CONCATENATE("ДЕЛОПРОИЗВОДИТЕЛЬ: ",'Блок ввода'!M13)</f>
        <v>ДЕЛОПРОИЗВОДИТЕЛЬ: служащая РА</v>
      </c>
      <c r="C75" s="1218"/>
      <c r="D75" s="1218"/>
      <c r="E75" s="189"/>
      <c r="F75" s="189"/>
      <c r="G75" s="189"/>
      <c r="I75" s="189"/>
      <c r="J75" s="189" t="str">
        <f>'Блок ввода'!O13</f>
        <v>С.ФЕДОРОВА</v>
      </c>
      <c r="K75" s="189"/>
      <c r="L75" s="2"/>
      <c r="M75" s="2"/>
      <c r="N75" s="2"/>
      <c r="O75" s="2"/>
      <c r="P75" s="2"/>
      <c r="Q75" s="2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</row>
    <row r="76" spans="1:35" ht="18" x14ac:dyDescent="0.25">
      <c r="A76" s="2"/>
      <c r="B76" s="1559">
        <f>C4-1</f>
        <v>40093</v>
      </c>
      <c r="C76" s="1559"/>
      <c r="D76" s="1559"/>
      <c r="E76" s="1559"/>
      <c r="F76" s="1559"/>
      <c r="G76" s="1559"/>
      <c r="H76" s="1559"/>
      <c r="I76" s="1559"/>
      <c r="J76" s="1559"/>
      <c r="K76" s="1559"/>
      <c r="L76" s="2"/>
      <c r="M76" s="2"/>
      <c r="N76" s="2"/>
      <c r="O76" s="2"/>
      <c r="P76" s="2"/>
      <c r="Q76" s="2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</row>
    <row r="77" spans="1:35" ht="15.75" thickBot="1" x14ac:dyDescent="0.25">
      <c r="A77" s="2"/>
      <c r="B77" s="80"/>
      <c r="C77" s="80"/>
      <c r="D77" s="80"/>
      <c r="E77" s="80"/>
      <c r="F77" s="80"/>
      <c r="G77" s="80"/>
      <c r="H77" s="80"/>
      <c r="I77" s="80"/>
      <c r="J77" s="261"/>
      <c r="K77" s="261"/>
      <c r="L77" s="2"/>
      <c r="M77" s="2"/>
      <c r="N77" s="2"/>
      <c r="O77" s="2"/>
      <c r="P77" s="2"/>
      <c r="Q77" s="2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</row>
    <row r="78" spans="1:35" ht="15.75" thickBot="1" x14ac:dyDescent="0.25">
      <c r="A78" s="2"/>
      <c r="B78" s="262"/>
      <c r="C78" s="263"/>
      <c r="D78" s="263"/>
      <c r="E78" s="263"/>
      <c r="F78" s="263"/>
      <c r="G78" s="264"/>
      <c r="H78" s="192" t="s">
        <v>203</v>
      </c>
      <c r="I78" s="192" t="s">
        <v>204</v>
      </c>
      <c r="J78" s="193" t="s">
        <v>205</v>
      </c>
      <c r="K78" s="192" t="s">
        <v>276</v>
      </c>
      <c r="L78" s="2"/>
      <c r="M78" s="2"/>
      <c r="N78" s="2"/>
      <c r="O78" s="2"/>
      <c r="P78" s="2"/>
      <c r="Q78" s="2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</row>
    <row r="79" spans="1:35" ht="15" x14ac:dyDescent="0.2">
      <c r="A79" s="2"/>
      <c r="B79" s="194" t="s">
        <v>165</v>
      </c>
      <c r="C79" s="195"/>
      <c r="D79" s="195"/>
      <c r="E79" s="195"/>
      <c r="F79" s="195"/>
      <c r="G79" s="195"/>
      <c r="H79" s="1556"/>
      <c r="I79" s="1556"/>
      <c r="J79" s="1556"/>
      <c r="K79" s="1548"/>
      <c r="L79" s="2"/>
      <c r="M79" s="2"/>
      <c r="N79" s="2"/>
      <c r="O79" s="2"/>
      <c r="P79" s="2"/>
      <c r="Q79" s="2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</row>
    <row r="80" spans="1:35" ht="15" x14ac:dyDescent="0.2">
      <c r="A80" s="2"/>
      <c r="B80" s="196" t="str">
        <f>CONCATENATE('Блок ввода'!M12,'Блок ввода'!O12)</f>
        <v>прапорщик  К.МИХАЙЛОВА</v>
      </c>
      <c r="C80" s="197"/>
      <c r="D80" s="195"/>
      <c r="E80" s="195"/>
      <c r="F80" s="195"/>
      <c r="G80" s="195"/>
      <c r="H80" s="1546"/>
      <c r="I80" s="1546"/>
      <c r="J80" s="1546"/>
      <c r="K80" s="1549"/>
      <c r="L80" s="2"/>
      <c r="M80" s="2"/>
      <c r="N80" s="2"/>
      <c r="O80" s="2"/>
      <c r="P80" s="2"/>
      <c r="Q80" s="2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</row>
    <row r="81" spans="1:35" ht="15" x14ac:dyDescent="0.2">
      <c r="A81" s="2"/>
      <c r="B81" s="198" t="s">
        <v>166</v>
      </c>
      <c r="C81" s="199"/>
      <c r="D81" s="199"/>
      <c r="E81" s="199"/>
      <c r="F81" s="199"/>
      <c r="G81" s="199"/>
      <c r="H81" s="1545"/>
      <c r="I81" s="1545"/>
      <c r="J81" s="1545"/>
      <c r="K81" s="1550"/>
      <c r="L81" s="2"/>
      <c r="M81" s="2"/>
      <c r="N81" s="2"/>
      <c r="O81" s="2"/>
      <c r="P81" s="2"/>
      <c r="Q81" s="2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</row>
    <row r="82" spans="1:35" ht="15" x14ac:dyDescent="0.2">
      <c r="A82" s="2"/>
      <c r="B82" s="225" t="s">
        <v>352</v>
      </c>
      <c r="C82" s="195"/>
      <c r="D82" s="195"/>
      <c r="E82" s="195"/>
      <c r="F82" s="195"/>
      <c r="G82" s="195"/>
      <c r="H82" s="1546"/>
      <c r="I82" s="1546"/>
      <c r="J82" s="1546"/>
      <c r="K82" s="1551"/>
      <c r="L82" s="2"/>
      <c r="M82" s="2"/>
      <c r="N82" s="2"/>
      <c r="O82" s="2"/>
      <c r="P82" s="2"/>
      <c r="Q82" s="2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</row>
    <row r="83" spans="1:35" ht="15" x14ac:dyDescent="0.2">
      <c r="A83" s="200"/>
      <c r="B83" s="201" t="s">
        <v>275</v>
      </c>
      <c r="C83" s="199"/>
      <c r="D83" s="199"/>
      <c r="E83" s="199"/>
      <c r="F83" s="199"/>
      <c r="G83" s="199"/>
      <c r="H83" s="1545"/>
      <c r="I83" s="1545"/>
      <c r="J83" s="1545"/>
      <c r="K83" s="1550"/>
      <c r="L83" s="2"/>
      <c r="M83" s="2"/>
      <c r="N83" s="2"/>
      <c r="O83" s="2"/>
      <c r="P83" s="2"/>
      <c r="Q83" s="2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</row>
    <row r="84" spans="1:35" ht="15.75" thickBot="1" x14ac:dyDescent="0.25">
      <c r="A84" s="200"/>
      <c r="B84" s="202" t="str">
        <f>CONCATENATE('Блок ввода'!M11," ",'Блок ввода'!O11)</f>
        <v>ст. лейтенант М.СОКОЛОВ</v>
      </c>
      <c r="C84" s="203"/>
      <c r="D84" s="203"/>
      <c r="E84" s="203"/>
      <c r="F84" s="203"/>
      <c r="G84" s="203"/>
      <c r="H84" s="1557"/>
      <c r="I84" s="1557"/>
      <c r="J84" s="1557"/>
      <c r="K84" s="1552"/>
      <c r="L84" s="2"/>
      <c r="M84" s="2"/>
      <c r="N84" s="2"/>
      <c r="O84" s="2"/>
      <c r="P84" s="2"/>
      <c r="Q84" s="2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</row>
    <row r="85" spans="1:35" x14ac:dyDescent="0.2">
      <c r="A85" s="200"/>
      <c r="B85" s="259"/>
      <c r="C85" s="80"/>
      <c r="D85" s="80"/>
      <c r="E85" s="80"/>
      <c r="F85" s="80"/>
      <c r="G85" s="80"/>
      <c r="H85" s="80"/>
      <c r="I85" s="80"/>
      <c r="J85" s="80"/>
      <c r="K85" s="206">
        <f>M2</f>
        <v>0</v>
      </c>
      <c r="L85" s="2"/>
      <c r="M85" s="2"/>
      <c r="N85" s="2"/>
      <c r="O85" s="2"/>
      <c r="P85" s="2"/>
      <c r="Q85" s="2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</row>
    <row r="86" spans="1:35" x14ac:dyDescent="0.2">
      <c r="A86" s="200"/>
      <c r="B86" s="207" t="s">
        <v>354</v>
      </c>
      <c r="C86" s="208"/>
      <c r="D86" s="207" t="s">
        <v>355</v>
      </c>
      <c r="E86" s="207" t="s">
        <v>356</v>
      </c>
      <c r="F86" s="207" t="s">
        <v>357</v>
      </c>
      <c r="G86" s="80"/>
      <c r="H86" s="80"/>
      <c r="I86" s="80"/>
      <c r="J86" s="80"/>
      <c r="K86" s="206">
        <f>M4</f>
        <v>0</v>
      </c>
      <c r="L86" s="2"/>
      <c r="M86" s="2"/>
      <c r="N86" s="2"/>
      <c r="O86" s="2"/>
      <c r="P86" s="2"/>
      <c r="Q86" s="2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</row>
    <row r="87" spans="1:35" x14ac:dyDescent="0.2">
      <c r="A87" s="2"/>
      <c r="B87" s="789" t="str">
        <f>'Блок ввода'!AI4</f>
        <v>ПОДРАЗДЕЛЕНИЕ № 1</v>
      </c>
      <c r="C87" s="790" t="s">
        <v>546</v>
      </c>
      <c r="D87" s="224"/>
      <c r="E87" s="224"/>
      <c r="F87" s="224"/>
      <c r="G87" s="80"/>
      <c r="H87" s="80"/>
      <c r="I87" s="80"/>
      <c r="J87" s="1600" t="str">
        <f>CONCATENATE("ОКГ = ",'Раскладка продуктов'!A76)</f>
        <v>ОКГ = 1650</v>
      </c>
      <c r="K87" s="1600"/>
      <c r="L87" s="2"/>
      <c r="M87" s="2"/>
      <c r="N87" s="2"/>
      <c r="O87" s="2"/>
      <c r="P87" s="2"/>
      <c r="Q87" s="2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</row>
    <row r="88" spans="1:35" x14ac:dyDescent="0.2">
      <c r="A88" s="2"/>
      <c r="B88" s="789" t="str">
        <f>'Блок ввода'!AI5</f>
        <v>ПОДРАЗДЕЛЕНИЕ № 2</v>
      </c>
      <c r="C88" s="790" t="s">
        <v>546</v>
      </c>
      <c r="D88" s="224"/>
      <c r="E88" s="224"/>
      <c r="F88" s="224"/>
      <c r="G88" s="80"/>
      <c r="H88" s="80"/>
      <c r="I88" s="80"/>
      <c r="J88" s="80"/>
      <c r="K88" s="80"/>
      <c r="L88" s="2"/>
      <c r="M88" s="2"/>
      <c r="N88" s="2"/>
      <c r="O88" s="2"/>
      <c r="P88" s="2"/>
      <c r="Q88" s="2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</row>
    <row r="89" spans="1:35" x14ac:dyDescent="0.2">
      <c r="A89" s="2"/>
      <c r="B89" s="789" t="str">
        <f>'Блок ввода'!AI6</f>
        <v>ПОДРАЗДЕЛЕНИЕ № 3</v>
      </c>
      <c r="C89" s="790" t="s">
        <v>546</v>
      </c>
      <c r="D89" s="224"/>
      <c r="E89" s="224"/>
      <c r="F89" s="224"/>
      <c r="G89" s="80"/>
      <c r="H89" s="80"/>
      <c r="I89" s="80"/>
      <c r="J89" s="80"/>
      <c r="K89" s="80"/>
      <c r="L89" s="2"/>
      <c r="M89" s="2"/>
      <c r="N89" s="2"/>
      <c r="O89" s="2"/>
      <c r="P89" s="2"/>
      <c r="Q89" s="2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</row>
    <row r="90" spans="1:35" x14ac:dyDescent="0.2">
      <c r="A90" s="2"/>
      <c r="B90" s="789" t="str">
        <f>'Блок ввода'!AI7</f>
        <v>ПОДРАЗДЕЛЕНИЕ № 4</v>
      </c>
      <c r="C90" s="790" t="s">
        <v>546</v>
      </c>
      <c r="D90" s="224"/>
      <c r="E90" s="224"/>
      <c r="F90" s="224"/>
      <c r="G90" s="80"/>
      <c r="H90" s="80"/>
      <c r="I90" s="80"/>
      <c r="J90" s="80"/>
      <c r="K90" s="80"/>
      <c r="L90" s="2"/>
      <c r="M90" s="2"/>
      <c r="N90" s="2"/>
      <c r="O90" s="2"/>
      <c r="P90" s="2"/>
      <c r="Q90" s="2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</row>
    <row r="91" spans="1:35" x14ac:dyDescent="0.2">
      <c r="A91" s="2"/>
      <c r="B91" s="789" t="str">
        <f>'Блок ввода'!AI8</f>
        <v>ПОДРАЗДЕЛЕНИЕ № 5</v>
      </c>
      <c r="C91" s="790" t="s">
        <v>546</v>
      </c>
      <c r="D91" s="224"/>
      <c r="E91" s="224"/>
      <c r="F91" s="224"/>
      <c r="G91" s="80"/>
      <c r="H91" s="80"/>
      <c r="I91" s="80"/>
      <c r="J91" s="80"/>
      <c r="K91" s="80"/>
      <c r="L91" s="2"/>
      <c r="M91" s="2"/>
      <c r="N91" s="2"/>
      <c r="O91" s="2"/>
      <c r="P91" s="2"/>
      <c r="Q91" s="2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</row>
    <row r="92" spans="1:35" x14ac:dyDescent="0.2">
      <c r="A92" s="2"/>
      <c r="B92" s="789" t="str">
        <f>'Блок ввода'!AI9</f>
        <v>ПОДРАЗДЕЛЕНИЕ № 6</v>
      </c>
      <c r="C92" s="790" t="s">
        <v>546</v>
      </c>
      <c r="D92" s="224"/>
      <c r="E92" s="224"/>
      <c r="F92" s="224"/>
      <c r="G92" s="80"/>
      <c r="H92" s="80"/>
      <c r="I92" s="80"/>
      <c r="J92" s="80"/>
      <c r="K92" s="80"/>
      <c r="L92" s="2" t="s">
        <v>259</v>
      </c>
      <c r="M92" s="2"/>
      <c r="N92" s="2"/>
      <c r="O92" s="2"/>
      <c r="P92" s="2"/>
      <c r="Q92" s="2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</row>
    <row r="93" spans="1:35" x14ac:dyDescent="0.2">
      <c r="A93" s="2"/>
      <c r="B93" s="789" t="str">
        <f>'Блок ввода'!AI10</f>
        <v>ПОДРАЗДЕЛЕНИЕ № 7</v>
      </c>
      <c r="C93" s="790" t="s">
        <v>546</v>
      </c>
      <c r="D93" s="224"/>
      <c r="E93" s="224"/>
      <c r="F93" s="224"/>
      <c r="G93" s="80"/>
      <c r="H93" s="80"/>
      <c r="I93" s="80"/>
      <c r="J93" s="80"/>
      <c r="K93" s="80"/>
      <c r="L93" s="2"/>
      <c r="M93" s="2"/>
      <c r="N93" s="2"/>
      <c r="O93" s="2"/>
      <c r="P93" s="2"/>
      <c r="Q93" s="2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</row>
    <row r="94" spans="1:35" x14ac:dyDescent="0.2">
      <c r="A94" s="2"/>
      <c r="B94" s="789" t="str">
        <f>'Блок ввода'!AI11</f>
        <v>ПОДРАЗДЕЛЕНИЕ № 8</v>
      </c>
      <c r="C94" s="790" t="s">
        <v>546</v>
      </c>
      <c r="D94" s="224"/>
      <c r="E94" s="224"/>
      <c r="F94" s="224"/>
      <c r="G94" s="80"/>
      <c r="H94" s="80"/>
      <c r="I94" s="80"/>
      <c r="J94" s="80"/>
      <c r="K94" s="80"/>
      <c r="L94" s="2"/>
      <c r="M94" s="2"/>
      <c r="N94" s="2"/>
      <c r="O94" s="2"/>
      <c r="P94" s="2"/>
      <c r="Q94" s="2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</row>
    <row r="95" spans="1:35" x14ac:dyDescent="0.2">
      <c r="A95" s="2"/>
      <c r="B95" s="789" t="str">
        <f>'Блок ввода'!AI12</f>
        <v>ПОДРАЗДЕЛЕНИЕ № 9</v>
      </c>
      <c r="C95" s="790" t="s">
        <v>546</v>
      </c>
      <c r="D95" s="5"/>
      <c r="E95" s="5"/>
      <c r="F95" s="5"/>
      <c r="G95" s="80"/>
      <c r="H95" s="80"/>
      <c r="I95" s="80"/>
      <c r="J95" s="80"/>
      <c r="K95" s="80"/>
      <c r="L95" s="2"/>
      <c r="M95" s="2"/>
      <c r="N95" s="2"/>
      <c r="O95" s="2"/>
      <c r="P95" s="2"/>
      <c r="Q95" s="2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</row>
    <row r="96" spans="1:35" x14ac:dyDescent="0.2">
      <c r="A96" s="2"/>
      <c r="B96" s="789" t="str">
        <f>'Блок ввода'!AI13</f>
        <v>ПОДРАЗДЕЛЕНИЕ № 10</v>
      </c>
      <c r="C96" s="790" t="s">
        <v>546</v>
      </c>
      <c r="D96" s="5"/>
      <c r="E96" s="5"/>
      <c r="F96" s="5"/>
      <c r="G96" s="80"/>
      <c r="H96" s="80"/>
      <c r="I96" s="80"/>
      <c r="J96" s="80"/>
      <c r="K96" s="80"/>
      <c r="L96" s="2"/>
      <c r="M96" s="2"/>
      <c r="N96" s="2"/>
      <c r="O96" s="2"/>
      <c r="P96" s="2"/>
      <c r="Q96" s="2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</row>
    <row r="97" spans="1:35" x14ac:dyDescent="0.2">
      <c r="A97" s="2"/>
      <c r="B97" s="132" t="s">
        <v>358</v>
      </c>
      <c r="C97" s="790" t="s">
        <v>546</v>
      </c>
      <c r="D97" s="209">
        <f>SUM(D87:D96)</f>
        <v>0</v>
      </c>
      <c r="E97" s="209">
        <f>SUM(E87:E96)</f>
        <v>0</v>
      </c>
      <c r="F97" s="209">
        <f>SUM(F87:F96)</f>
        <v>0</v>
      </c>
      <c r="G97" s="80"/>
      <c r="H97" s="80"/>
      <c r="I97" s="80"/>
      <c r="J97" s="80"/>
      <c r="K97" s="80"/>
      <c r="L97" s="2"/>
      <c r="M97" s="2"/>
      <c r="N97" s="2"/>
      <c r="O97" s="2"/>
      <c r="P97" s="2"/>
      <c r="Q97" s="2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</row>
    <row r="98" spans="1:35" ht="13.5" thickBot="1" x14ac:dyDescent="0.25">
      <c r="A98" s="2"/>
      <c r="B98" s="1554" t="s">
        <v>236</v>
      </c>
      <c r="C98" s="1554"/>
      <c r="D98" s="1554"/>
      <c r="E98" s="1554"/>
      <c r="F98" s="1554"/>
      <c r="G98" s="1554"/>
      <c r="H98" s="1554"/>
      <c r="I98" s="1554"/>
      <c r="J98" s="1554"/>
      <c r="K98" s="1554"/>
      <c r="L98" s="2"/>
      <c r="M98" s="2"/>
      <c r="N98" s="2"/>
      <c r="O98" s="2"/>
      <c r="P98" s="2"/>
      <c r="Q98" s="2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</row>
    <row r="99" spans="1:35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</row>
    <row r="100" spans="1:35" x14ac:dyDescent="0.2">
      <c r="A100" s="2"/>
      <c r="B100" s="210" t="s">
        <v>235</v>
      </c>
      <c r="C100" s="210"/>
      <c r="D100" s="210"/>
      <c r="E100" s="1555">
        <f>C4</f>
        <v>40094</v>
      </c>
      <c r="F100" s="1555"/>
      <c r="G100" s="1555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</row>
    <row r="101" spans="1:35" ht="13.5" thickBo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80"/>
      <c r="S101" s="80"/>
      <c r="T101" s="80"/>
      <c r="U101" s="302">
        <v>2</v>
      </c>
      <c r="V101" s="479">
        <v>100</v>
      </c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</row>
    <row r="102" spans="1:35" ht="16.5" thickBot="1" x14ac:dyDescent="0.3">
      <c r="A102" s="2"/>
      <c r="B102" s="211" t="s">
        <v>162</v>
      </c>
      <c r="C102" s="212" t="s">
        <v>163</v>
      </c>
      <c r="D102" s="213"/>
      <c r="E102" s="214"/>
      <c r="F102" s="215"/>
      <c r="G102" s="216">
        <f>J102/('Блок ввода'!$H$22/1000)</f>
        <v>0</v>
      </c>
      <c r="H102" s="215" t="s">
        <v>545</v>
      </c>
      <c r="I102" s="217"/>
      <c r="J102" s="218">
        <f>IF(U101=1,U102,K9)</f>
        <v>0</v>
      </c>
      <c r="K102" s="219" t="s">
        <v>163</v>
      </c>
      <c r="L102" s="2"/>
      <c r="M102" s="2"/>
      <c r="N102" s="2"/>
      <c r="O102" s="2"/>
      <c r="P102" s="2"/>
      <c r="Q102" s="2"/>
      <c r="R102" s="80"/>
      <c r="S102" s="80"/>
      <c r="T102" s="80"/>
      <c r="U102" s="302">
        <f>0</f>
        <v>0</v>
      </c>
      <c r="V102" s="479">
        <v>0</v>
      </c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</row>
    <row r="103" spans="1:35" ht="16.5" thickBot="1" x14ac:dyDescent="0.3">
      <c r="A103" s="2"/>
      <c r="B103" s="220" t="str">
        <f>IF('Блок ввода'!H120=TRUE,"ХЛЕБ ИЗ ПШЕНИЧНОЙ МУКИ В\С","ХЛЕБ ПШЕНИЧНЫЙ ИЗ МУКИ 1 С.")</f>
        <v>ХЛЕБ ПШЕНИЧНЫЙ ИЗ МУКИ 1 С.</v>
      </c>
      <c r="C103" s="212" t="s">
        <v>163</v>
      </c>
      <c r="D103" s="221"/>
      <c r="E103" s="214"/>
      <c r="F103" s="215"/>
      <c r="G103" s="216">
        <f>J103/('Блок ввода'!$H$23/1000)</f>
        <v>0</v>
      </c>
      <c r="H103" s="215" t="s">
        <v>545</v>
      </c>
      <c r="I103" s="217"/>
      <c r="J103" s="218">
        <f>IF(U101=1,U103,K10)</f>
        <v>0</v>
      </c>
      <c r="K103" s="219" t="s">
        <v>163</v>
      </c>
      <c r="L103" s="2"/>
      <c r="M103" s="2"/>
      <c r="N103" s="2"/>
      <c r="O103" s="2"/>
      <c r="P103" s="2"/>
      <c r="Q103" s="2"/>
      <c r="R103" s="80"/>
      <c r="S103" s="80"/>
      <c r="T103" s="80"/>
      <c r="U103" s="302" t="s">
        <v>527</v>
      </c>
      <c r="V103" s="302">
        <v>2</v>
      </c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</row>
    <row r="104" spans="1:35" ht="15" x14ac:dyDescent="0.2">
      <c r="A104" s="2"/>
      <c r="B104" s="222" t="s">
        <v>237</v>
      </c>
      <c r="C104" s="80"/>
      <c r="D104" s="80"/>
      <c r="E104" s="223"/>
      <c r="F104" s="223"/>
      <c r="G104" s="1553" t="str">
        <f>J75</f>
        <v>С.ФЕДОРОВА</v>
      </c>
      <c r="H104" s="1553"/>
      <c r="I104" s="1553"/>
      <c r="J104" s="80"/>
      <c r="K104" s="80"/>
      <c r="L104" s="2"/>
      <c r="M104" s="2"/>
      <c r="N104" s="2"/>
      <c r="O104" s="2"/>
      <c r="P104" s="2"/>
      <c r="Q104" s="2"/>
      <c r="R104" s="80"/>
      <c r="S104" s="80"/>
      <c r="T104" s="80"/>
      <c r="U104" s="302"/>
      <c r="V104" s="302">
        <v>2</v>
      </c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</row>
    <row r="105" spans="1:35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</row>
    <row r="106" spans="1:35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</row>
    <row r="107" spans="1:35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</row>
    <row r="108" spans="1:35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</row>
    <row r="109" spans="1:35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</row>
    <row r="110" spans="1:35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</row>
    <row r="111" spans="1:35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</row>
    <row r="112" spans="1:35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</row>
    <row r="113" spans="1:35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</row>
    <row r="114" spans="1:35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</row>
    <row r="115" spans="1:35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</row>
    <row r="116" spans="1:35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</row>
    <row r="117" spans="1:35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</row>
    <row r="118" spans="1:35" x14ac:dyDescent="0.2">
      <c r="A118" s="2"/>
      <c r="B118" s="80"/>
      <c r="C118" s="80"/>
      <c r="D118" s="80"/>
      <c r="E118" s="80"/>
      <c r="F118" s="80"/>
      <c r="G118" s="80"/>
      <c r="H118" s="80"/>
      <c r="I118" s="80"/>
      <c r="J118" s="80"/>
      <c r="K118" s="80"/>
      <c r="L118" s="2"/>
      <c r="M118" s="2"/>
      <c r="N118" s="2"/>
      <c r="O118" s="2"/>
      <c r="P118" s="2"/>
      <c r="Q118" s="2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</row>
    <row r="119" spans="1:35" x14ac:dyDescent="0.2">
      <c r="A119" s="2"/>
      <c r="B119" s="80"/>
      <c r="C119" s="80"/>
      <c r="D119" s="80"/>
      <c r="E119" s="80"/>
      <c r="F119" s="80"/>
      <c r="G119" s="80"/>
      <c r="H119" s="80"/>
      <c r="I119" s="80"/>
      <c r="J119" s="80"/>
      <c r="K119" s="80"/>
      <c r="L119" s="2"/>
      <c r="M119" s="2"/>
      <c r="N119" s="2"/>
      <c r="O119" s="2"/>
      <c r="P119" s="2"/>
      <c r="Q119" s="2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</row>
    <row r="120" spans="1:35" x14ac:dyDescent="0.2">
      <c r="A120" s="2"/>
      <c r="B120" s="80"/>
      <c r="C120" s="80"/>
      <c r="D120" s="80"/>
      <c r="E120" s="80"/>
      <c r="F120" s="80"/>
      <c r="G120" s="80"/>
      <c r="H120" s="80"/>
      <c r="I120" s="80"/>
      <c r="J120" s="80"/>
      <c r="K120" s="80"/>
      <c r="L120" s="2"/>
      <c r="M120" s="2"/>
      <c r="N120" s="2"/>
      <c r="O120" s="2"/>
      <c r="P120" s="2"/>
      <c r="Q120" s="2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</row>
    <row r="121" spans="1:35" x14ac:dyDescent="0.2">
      <c r="A121" s="2"/>
      <c r="B121" s="80"/>
      <c r="C121" s="80"/>
      <c r="D121" s="80"/>
      <c r="E121" s="80"/>
      <c r="F121" s="80"/>
      <c r="G121" s="80"/>
      <c r="H121" s="80"/>
      <c r="I121" s="80"/>
      <c r="J121" s="80"/>
      <c r="K121" s="80"/>
      <c r="L121" s="2"/>
      <c r="M121" s="2"/>
      <c r="N121" s="2"/>
      <c r="O121" s="2"/>
      <c r="P121" s="2"/>
      <c r="Q121" s="2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</row>
    <row r="122" spans="1:35" x14ac:dyDescent="0.2">
      <c r="A122" s="2"/>
      <c r="B122" s="80"/>
      <c r="C122" s="80"/>
      <c r="D122" s="80"/>
      <c r="E122" s="80"/>
      <c r="F122" s="80"/>
      <c r="G122" s="80"/>
      <c r="H122" s="80"/>
      <c r="I122" s="80"/>
      <c r="J122" s="80"/>
      <c r="K122" s="80"/>
      <c r="L122" s="2"/>
      <c r="M122" s="2"/>
      <c r="N122" s="2"/>
      <c r="O122" s="2"/>
      <c r="P122" s="2"/>
      <c r="Q122" s="2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</row>
    <row r="123" spans="1:35" x14ac:dyDescent="0.2">
      <c r="A123" s="2"/>
      <c r="B123" s="80"/>
      <c r="C123" s="80"/>
      <c r="D123" s="80"/>
      <c r="E123" s="80"/>
      <c r="F123" s="80"/>
      <c r="G123" s="80"/>
      <c r="H123" s="80"/>
      <c r="I123" s="80"/>
      <c r="J123" s="80"/>
      <c r="K123" s="80"/>
      <c r="L123" s="2"/>
      <c r="M123" s="2"/>
      <c r="N123" s="2"/>
      <c r="O123" s="2"/>
      <c r="P123" s="2"/>
      <c r="Q123" s="2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</row>
    <row r="124" spans="1:35" x14ac:dyDescent="0.2">
      <c r="A124" s="2"/>
      <c r="B124" s="80"/>
      <c r="C124" s="80"/>
      <c r="D124" s="80"/>
      <c r="E124" s="80"/>
      <c r="F124" s="80"/>
      <c r="G124" s="80"/>
      <c r="H124" s="80"/>
      <c r="I124" s="80"/>
      <c r="J124" s="80"/>
      <c r="K124" s="80"/>
      <c r="L124" s="2"/>
      <c r="M124" s="2"/>
      <c r="N124" s="2"/>
      <c r="O124" s="2"/>
      <c r="P124" s="2"/>
      <c r="Q124" s="2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</row>
    <row r="125" spans="1:35" x14ac:dyDescent="0.2">
      <c r="A125" s="2"/>
      <c r="B125" s="80"/>
      <c r="C125" s="80"/>
      <c r="D125" s="80"/>
      <c r="E125" s="80"/>
      <c r="F125" s="80"/>
      <c r="G125" s="80"/>
      <c r="H125" s="80"/>
      <c r="I125" s="80"/>
      <c r="J125" s="80"/>
      <c r="K125" s="80"/>
      <c r="L125" s="2"/>
      <c r="M125" s="2"/>
      <c r="N125" s="2"/>
      <c r="O125" s="2"/>
      <c r="P125" s="2"/>
      <c r="Q125" s="2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</row>
    <row r="126" spans="1:35" x14ac:dyDescent="0.2">
      <c r="A126" s="2"/>
      <c r="B126" s="80"/>
      <c r="C126" s="80"/>
      <c r="D126" s="80"/>
      <c r="E126" s="80"/>
      <c r="F126" s="80"/>
      <c r="G126" s="80"/>
      <c r="H126" s="80"/>
      <c r="I126" s="80"/>
      <c r="J126" s="80"/>
      <c r="K126" s="80"/>
      <c r="L126" s="2"/>
      <c r="M126" s="2"/>
      <c r="N126" s="2"/>
      <c r="O126" s="2"/>
      <c r="P126" s="2"/>
      <c r="Q126" s="2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</row>
    <row r="127" spans="1:35" x14ac:dyDescent="0.2">
      <c r="A127" s="2"/>
      <c r="B127" s="80"/>
      <c r="C127" s="80"/>
      <c r="D127" s="80"/>
      <c r="E127" s="80"/>
      <c r="F127" s="80"/>
      <c r="G127" s="80"/>
      <c r="H127" s="80"/>
      <c r="I127" s="80"/>
      <c r="J127" s="80"/>
      <c r="K127" s="80"/>
      <c r="L127" s="2"/>
      <c r="M127" s="2"/>
      <c r="N127" s="2"/>
      <c r="O127" s="2"/>
      <c r="P127" s="2"/>
      <c r="Q127" s="2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</row>
    <row r="128" spans="1:35" x14ac:dyDescent="0.2">
      <c r="A128" s="2"/>
      <c r="B128" s="80"/>
      <c r="C128" s="80"/>
      <c r="D128" s="80"/>
      <c r="E128" s="80"/>
      <c r="F128" s="80"/>
      <c r="G128" s="80"/>
      <c r="H128" s="80"/>
      <c r="I128" s="80"/>
      <c r="J128" s="80"/>
      <c r="K128" s="80"/>
      <c r="L128" s="2"/>
      <c r="M128" s="2"/>
      <c r="N128" s="2"/>
      <c r="O128" s="2"/>
      <c r="P128" s="2"/>
      <c r="Q128" s="2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</row>
    <row r="129" spans="1:35" x14ac:dyDescent="0.2">
      <c r="A129" s="2"/>
      <c r="B129" s="80"/>
      <c r="C129" s="80"/>
      <c r="D129" s="80"/>
      <c r="E129" s="80"/>
      <c r="F129" s="80"/>
      <c r="G129" s="80"/>
      <c r="H129" s="80"/>
      <c r="I129" s="80"/>
      <c r="J129" s="80"/>
      <c r="K129" s="80"/>
      <c r="L129" s="2"/>
      <c r="M129" s="2"/>
      <c r="N129" s="2"/>
      <c r="O129" s="2"/>
      <c r="P129" s="2"/>
      <c r="Q129" s="2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</row>
    <row r="130" spans="1:35" x14ac:dyDescent="0.2">
      <c r="A130" s="2"/>
      <c r="B130" s="80"/>
      <c r="C130" s="80"/>
      <c r="D130" s="80"/>
      <c r="E130" s="80"/>
      <c r="F130" s="80"/>
      <c r="G130" s="80"/>
      <c r="H130" s="80"/>
      <c r="I130" s="80"/>
      <c r="J130" s="80"/>
      <c r="K130" s="80"/>
      <c r="L130" s="2"/>
      <c r="M130" s="2"/>
      <c r="N130" s="2"/>
      <c r="O130" s="2"/>
      <c r="P130" s="2"/>
      <c r="Q130" s="2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</row>
    <row r="131" spans="1:35" x14ac:dyDescent="0.2">
      <c r="A131" s="2"/>
      <c r="B131" s="80"/>
      <c r="C131" s="80"/>
      <c r="D131" s="80"/>
      <c r="E131" s="80"/>
      <c r="F131" s="80"/>
      <c r="G131" s="80"/>
      <c r="H131" s="80"/>
      <c r="I131" s="80"/>
      <c r="J131" s="80"/>
      <c r="K131" s="80"/>
      <c r="L131" s="2"/>
      <c r="M131" s="2"/>
      <c r="N131" s="2"/>
      <c r="O131" s="2"/>
      <c r="P131" s="2"/>
      <c r="Q131" s="2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</row>
    <row r="132" spans="1:35" x14ac:dyDescent="0.2">
      <c r="A132" s="2"/>
      <c r="B132" s="80"/>
      <c r="C132" s="80"/>
      <c r="D132" s="80"/>
      <c r="E132" s="80"/>
      <c r="F132" s="80"/>
      <c r="G132" s="80"/>
      <c r="H132" s="80"/>
      <c r="I132" s="80"/>
      <c r="J132" s="80"/>
      <c r="K132" s="80"/>
      <c r="L132" s="2"/>
      <c r="M132" s="2"/>
      <c r="N132" s="2"/>
      <c r="O132" s="2"/>
      <c r="P132" s="2"/>
      <c r="Q132" s="2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</row>
    <row r="133" spans="1:35" x14ac:dyDescent="0.2">
      <c r="A133" s="2"/>
      <c r="B133" s="80"/>
      <c r="C133" s="80"/>
      <c r="D133" s="80"/>
      <c r="E133" s="80"/>
      <c r="F133" s="80"/>
      <c r="G133" s="80"/>
      <c r="H133" s="80"/>
      <c r="I133" s="80"/>
      <c r="J133" s="80"/>
      <c r="K133" s="80"/>
      <c r="L133" s="2"/>
      <c r="M133" s="2"/>
      <c r="N133" s="2"/>
      <c r="O133" s="2"/>
      <c r="P133" s="2"/>
      <c r="Q133" s="2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</row>
    <row r="134" spans="1:35" x14ac:dyDescent="0.2">
      <c r="A134" s="2"/>
      <c r="B134" s="80"/>
      <c r="C134" s="80"/>
      <c r="D134" s="80"/>
      <c r="E134" s="80"/>
      <c r="F134" s="80"/>
      <c r="G134" s="80"/>
      <c r="H134" s="80"/>
      <c r="I134" s="80"/>
      <c r="J134" s="80"/>
      <c r="K134" s="80"/>
      <c r="L134" s="2"/>
      <c r="M134" s="2"/>
      <c r="N134" s="2"/>
      <c r="O134" s="2"/>
      <c r="P134" s="2"/>
      <c r="Q134" s="2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</row>
    <row r="135" spans="1:35" x14ac:dyDescent="0.2">
      <c r="A135" s="2"/>
      <c r="B135" s="80"/>
      <c r="C135" s="80"/>
      <c r="D135" s="80"/>
      <c r="E135" s="80"/>
      <c r="F135" s="80"/>
      <c r="G135" s="80"/>
      <c r="H135" s="80"/>
      <c r="I135" s="80"/>
      <c r="J135" s="80"/>
      <c r="K135" s="80"/>
      <c r="L135" s="2"/>
      <c r="M135" s="2"/>
      <c r="N135" s="2"/>
      <c r="O135" s="2"/>
      <c r="P135" s="2"/>
      <c r="Q135" s="2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</row>
    <row r="136" spans="1:35" x14ac:dyDescent="0.2">
      <c r="A136" s="2"/>
      <c r="B136" s="80"/>
      <c r="C136" s="80"/>
      <c r="D136" s="80"/>
      <c r="E136" s="80"/>
      <c r="F136" s="80"/>
      <c r="G136" s="80"/>
      <c r="H136" s="80"/>
      <c r="I136" s="80"/>
      <c r="J136" s="80"/>
      <c r="K136" s="80"/>
      <c r="L136" s="2"/>
      <c r="M136" s="2"/>
      <c r="N136" s="2"/>
      <c r="O136" s="2"/>
      <c r="P136" s="2"/>
      <c r="Q136" s="2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</row>
    <row r="137" spans="1:35" x14ac:dyDescent="0.2">
      <c r="A137" s="2"/>
      <c r="B137" s="80"/>
      <c r="C137" s="80"/>
      <c r="D137" s="80"/>
      <c r="E137" s="80"/>
      <c r="F137" s="80"/>
      <c r="G137" s="80"/>
      <c r="H137" s="80"/>
      <c r="I137" s="80"/>
      <c r="J137" s="80"/>
      <c r="K137" s="80"/>
      <c r="L137" s="2"/>
      <c r="M137" s="2"/>
      <c r="N137" s="2"/>
      <c r="O137" s="2"/>
      <c r="P137" s="2"/>
      <c r="Q137" s="2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</row>
    <row r="138" spans="1:35" x14ac:dyDescent="0.2">
      <c r="A138" s="2"/>
      <c r="B138" s="80"/>
      <c r="C138" s="80"/>
      <c r="D138" s="80"/>
      <c r="E138" s="80"/>
      <c r="F138" s="80"/>
      <c r="G138" s="80"/>
      <c r="H138" s="80"/>
      <c r="I138" s="80"/>
      <c r="J138" s="80"/>
      <c r="K138" s="80"/>
      <c r="L138" s="2"/>
      <c r="M138" s="2"/>
      <c r="N138" s="2"/>
      <c r="O138" s="2"/>
      <c r="P138" s="2"/>
      <c r="Q138" s="2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</row>
    <row r="139" spans="1:35" x14ac:dyDescent="0.2">
      <c r="A139" s="2"/>
      <c r="B139" s="80"/>
      <c r="C139" s="80"/>
      <c r="D139" s="80"/>
      <c r="E139" s="80"/>
      <c r="F139" s="80"/>
      <c r="G139" s="80"/>
      <c r="H139" s="80"/>
      <c r="I139" s="80"/>
      <c r="J139" s="80"/>
      <c r="K139" s="80"/>
      <c r="L139" s="2"/>
      <c r="M139" s="2"/>
      <c r="N139" s="2"/>
      <c r="O139" s="2"/>
      <c r="P139" s="2"/>
      <c r="Q139" s="2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</row>
    <row r="140" spans="1:35" x14ac:dyDescent="0.2">
      <c r="A140" s="2"/>
      <c r="B140" s="80"/>
      <c r="C140" s="80"/>
      <c r="D140" s="80"/>
      <c r="E140" s="80"/>
      <c r="F140" s="80"/>
      <c r="G140" s="80"/>
      <c r="H140" s="80"/>
      <c r="I140" s="80"/>
      <c r="J140" s="80"/>
      <c r="K140" s="80"/>
      <c r="L140" s="2"/>
      <c r="M140" s="2"/>
      <c r="N140" s="2"/>
      <c r="O140" s="2"/>
      <c r="P140" s="2"/>
      <c r="Q140" s="2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</row>
    <row r="141" spans="1:35" x14ac:dyDescent="0.2">
      <c r="A141" s="2"/>
      <c r="B141" s="80"/>
      <c r="C141" s="80"/>
      <c r="D141" s="80"/>
      <c r="E141" s="80"/>
      <c r="F141" s="80"/>
      <c r="G141" s="80"/>
      <c r="H141" s="80"/>
      <c r="I141" s="80"/>
      <c r="J141" s="80"/>
      <c r="K141" s="80"/>
      <c r="L141" s="2"/>
      <c r="M141" s="2"/>
      <c r="N141" s="2"/>
      <c r="O141" s="2"/>
      <c r="P141" s="2"/>
      <c r="Q141" s="2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</row>
    <row r="142" spans="1:35" x14ac:dyDescent="0.2">
      <c r="A142" s="2"/>
      <c r="B142" s="80"/>
      <c r="C142" s="80"/>
      <c r="D142" s="80"/>
      <c r="E142" s="80"/>
      <c r="F142" s="80"/>
      <c r="G142" s="80"/>
      <c r="H142" s="80"/>
      <c r="I142" s="80"/>
      <c r="J142" s="80"/>
      <c r="K142" s="80"/>
      <c r="L142" s="2"/>
      <c r="M142" s="2"/>
      <c r="N142" s="2"/>
      <c r="O142" s="2"/>
      <c r="P142" s="2"/>
      <c r="Q142" s="2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</row>
    <row r="143" spans="1:35" x14ac:dyDescent="0.2">
      <c r="A143" s="2"/>
      <c r="B143" s="80"/>
      <c r="C143" s="80"/>
      <c r="D143" s="80"/>
      <c r="E143" s="80"/>
      <c r="F143" s="80"/>
      <c r="G143" s="80"/>
      <c r="H143" s="80"/>
      <c r="I143" s="80"/>
      <c r="J143" s="80"/>
      <c r="K143" s="80"/>
      <c r="L143" s="2"/>
      <c r="M143" s="2"/>
      <c r="N143" s="2"/>
      <c r="O143" s="2"/>
      <c r="P143" s="2"/>
      <c r="Q143" s="2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</row>
    <row r="144" spans="1:35" x14ac:dyDescent="0.2">
      <c r="A144" s="2"/>
      <c r="B144" s="80"/>
      <c r="C144" s="80"/>
      <c r="D144" s="80"/>
      <c r="E144" s="80"/>
      <c r="F144" s="80"/>
      <c r="G144" s="80"/>
      <c r="H144" s="80"/>
      <c r="I144" s="80"/>
      <c r="J144" s="80"/>
      <c r="K144" s="80"/>
      <c r="L144" s="2"/>
      <c r="M144" s="2"/>
      <c r="N144" s="2"/>
      <c r="O144" s="2"/>
      <c r="P144" s="2"/>
      <c r="Q144" s="2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</row>
    <row r="145" spans="1:35" x14ac:dyDescent="0.2">
      <c r="A145" s="2"/>
      <c r="B145" s="80"/>
      <c r="C145" s="80"/>
      <c r="D145" s="80"/>
      <c r="E145" s="80"/>
      <c r="F145" s="80"/>
      <c r="G145" s="80"/>
      <c r="H145" s="80"/>
      <c r="I145" s="80"/>
      <c r="J145" s="80"/>
      <c r="K145" s="80"/>
      <c r="L145" s="2"/>
      <c r="M145" s="2"/>
      <c r="N145" s="2"/>
      <c r="O145" s="2"/>
      <c r="P145" s="2"/>
      <c r="Q145" s="2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</row>
    <row r="146" spans="1:35" x14ac:dyDescent="0.2">
      <c r="A146" s="2"/>
      <c r="B146" s="80"/>
      <c r="C146" s="80"/>
      <c r="D146" s="80"/>
      <c r="E146" s="80"/>
      <c r="F146" s="80"/>
      <c r="G146" s="80"/>
      <c r="H146" s="80"/>
      <c r="I146" s="80"/>
      <c r="J146" s="80"/>
      <c r="K146" s="80"/>
      <c r="L146" s="2"/>
      <c r="M146" s="2"/>
      <c r="N146" s="2"/>
      <c r="O146" s="2"/>
      <c r="P146" s="2"/>
      <c r="Q146" s="2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</row>
    <row r="147" spans="1:35" x14ac:dyDescent="0.2">
      <c r="A147" s="2"/>
      <c r="B147" s="80"/>
      <c r="C147" s="80"/>
      <c r="D147" s="80"/>
      <c r="E147" s="80"/>
      <c r="F147" s="80"/>
      <c r="G147" s="80"/>
      <c r="H147" s="80"/>
      <c r="I147" s="80"/>
      <c r="J147" s="80"/>
      <c r="K147" s="80"/>
      <c r="L147" s="2"/>
      <c r="M147" s="2"/>
      <c r="N147" s="2"/>
      <c r="O147" s="2"/>
      <c r="P147" s="2"/>
      <c r="Q147" s="2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</row>
    <row r="148" spans="1:35" x14ac:dyDescent="0.2">
      <c r="A148" s="2"/>
      <c r="B148" s="80"/>
      <c r="C148" s="80"/>
      <c r="D148" s="80"/>
      <c r="E148" s="80"/>
      <c r="F148" s="80"/>
      <c r="G148" s="80"/>
      <c r="H148" s="80"/>
      <c r="I148" s="80"/>
      <c r="J148" s="80"/>
      <c r="K148" s="80"/>
      <c r="L148" s="2"/>
      <c r="M148" s="2"/>
      <c r="N148" s="2"/>
      <c r="O148" s="2"/>
      <c r="P148" s="2"/>
      <c r="Q148" s="2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</row>
    <row r="149" spans="1:35" x14ac:dyDescent="0.2">
      <c r="A149" s="2"/>
      <c r="B149" s="80"/>
      <c r="C149" s="80"/>
      <c r="D149" s="80"/>
      <c r="E149" s="80"/>
      <c r="F149" s="80"/>
      <c r="G149" s="80"/>
      <c r="H149" s="80"/>
      <c r="I149" s="80"/>
      <c r="J149" s="80"/>
      <c r="K149" s="80"/>
      <c r="L149" s="2"/>
      <c r="M149" s="2"/>
      <c r="N149" s="2"/>
      <c r="O149" s="2"/>
      <c r="P149" s="2"/>
      <c r="Q149" s="2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</row>
    <row r="150" spans="1:35" x14ac:dyDescent="0.2">
      <c r="A150" s="2"/>
      <c r="B150" s="80"/>
      <c r="C150" s="80"/>
      <c r="D150" s="80"/>
      <c r="E150" s="80"/>
      <c r="F150" s="80"/>
      <c r="G150" s="80"/>
      <c r="H150" s="80"/>
      <c r="I150" s="80"/>
      <c r="J150" s="80"/>
      <c r="K150" s="80"/>
      <c r="L150" s="2"/>
      <c r="M150" s="2"/>
      <c r="N150" s="2"/>
      <c r="O150" s="2"/>
      <c r="P150" s="2"/>
      <c r="Q150" s="2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</row>
    <row r="151" spans="1:35" x14ac:dyDescent="0.2">
      <c r="A151" s="2"/>
      <c r="B151" s="80"/>
      <c r="C151" s="80"/>
      <c r="D151" s="80"/>
      <c r="E151" s="80"/>
      <c r="F151" s="80"/>
      <c r="G151" s="80"/>
      <c r="H151" s="80"/>
      <c r="I151" s="80"/>
      <c r="J151" s="80"/>
      <c r="K151" s="80"/>
      <c r="L151" s="2"/>
      <c r="M151" s="2"/>
      <c r="N151" s="2"/>
      <c r="O151" s="2"/>
      <c r="P151" s="2"/>
      <c r="Q151" s="2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</row>
    <row r="152" spans="1:35" x14ac:dyDescent="0.2">
      <c r="A152" s="2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2"/>
      <c r="M152" s="2"/>
      <c r="N152" s="2"/>
      <c r="O152" s="2"/>
      <c r="P152" s="2"/>
      <c r="Q152" s="2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</row>
    <row r="153" spans="1:35" x14ac:dyDescent="0.2">
      <c r="A153" s="2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2"/>
      <c r="M153" s="2"/>
      <c r="N153" s="2"/>
      <c r="O153" s="2"/>
      <c r="P153" s="2"/>
      <c r="Q153" s="2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</row>
    <row r="154" spans="1:35" x14ac:dyDescent="0.2">
      <c r="A154" s="2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2"/>
      <c r="M154" s="2"/>
      <c r="N154" s="2"/>
      <c r="O154" s="2"/>
      <c r="P154" s="2"/>
      <c r="Q154" s="2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</row>
    <row r="155" spans="1:35" x14ac:dyDescent="0.2">
      <c r="A155" s="2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2"/>
      <c r="M155" s="2"/>
      <c r="N155" s="2"/>
      <c r="O155" s="2"/>
      <c r="P155" s="2"/>
      <c r="Q155" s="2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</row>
    <row r="156" spans="1:35" x14ac:dyDescent="0.2">
      <c r="A156" s="2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2"/>
      <c r="M156" s="2"/>
      <c r="N156" s="2"/>
      <c r="O156" s="2"/>
      <c r="P156" s="2"/>
      <c r="Q156" s="2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</row>
    <row r="157" spans="1:35" x14ac:dyDescent="0.2">
      <c r="A157" s="2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2"/>
      <c r="M157" s="2"/>
      <c r="N157" s="2"/>
      <c r="O157" s="2"/>
      <c r="P157" s="2"/>
      <c r="Q157" s="2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</row>
    <row r="158" spans="1:35" x14ac:dyDescent="0.2">
      <c r="A158" s="2"/>
      <c r="B158" s="80"/>
      <c r="C158" s="80"/>
      <c r="D158" s="80"/>
      <c r="E158" s="80"/>
      <c r="F158" s="80"/>
      <c r="G158" s="80"/>
      <c r="H158" s="80"/>
      <c r="I158" s="80"/>
      <c r="J158" s="80"/>
      <c r="K158" s="80"/>
      <c r="L158" s="2"/>
      <c r="M158" s="2"/>
      <c r="N158" s="2"/>
      <c r="O158" s="2"/>
      <c r="P158" s="2"/>
      <c r="Q158" s="2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80"/>
      <c r="AC158" s="80"/>
      <c r="AD158" s="80"/>
      <c r="AE158" s="80"/>
      <c r="AF158" s="80"/>
      <c r="AG158" s="80"/>
      <c r="AH158" s="80"/>
      <c r="AI158" s="80"/>
    </row>
    <row r="159" spans="1:35" x14ac:dyDescent="0.2">
      <c r="A159" s="2"/>
      <c r="B159" s="80"/>
      <c r="C159" s="80"/>
      <c r="D159" s="80"/>
      <c r="E159" s="80"/>
      <c r="F159" s="80"/>
      <c r="G159" s="80"/>
      <c r="H159" s="80"/>
      <c r="I159" s="80"/>
      <c r="J159" s="80"/>
      <c r="K159" s="80"/>
      <c r="L159" s="2"/>
      <c r="M159" s="2"/>
      <c r="N159" s="2"/>
      <c r="O159" s="2"/>
      <c r="P159" s="2"/>
      <c r="Q159" s="2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  <c r="AH159" s="80"/>
      <c r="AI159" s="80"/>
    </row>
    <row r="160" spans="1:35" x14ac:dyDescent="0.2">
      <c r="A160" s="2"/>
      <c r="B160" s="80"/>
      <c r="C160" s="80"/>
      <c r="D160" s="80"/>
      <c r="E160" s="80"/>
      <c r="F160" s="80"/>
      <c r="G160" s="80"/>
      <c r="H160" s="80"/>
      <c r="I160" s="80"/>
      <c r="J160" s="80"/>
      <c r="K160" s="80"/>
      <c r="L160" s="2"/>
      <c r="M160" s="2"/>
      <c r="N160" s="2"/>
      <c r="O160" s="2"/>
      <c r="P160" s="2"/>
      <c r="Q160" s="2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</row>
    <row r="161" spans="1:35" x14ac:dyDescent="0.2">
      <c r="A161" s="2"/>
      <c r="B161" s="80"/>
      <c r="C161" s="80"/>
      <c r="D161" s="80"/>
      <c r="E161" s="80"/>
      <c r="F161" s="80"/>
      <c r="G161" s="80"/>
      <c r="H161" s="80"/>
      <c r="I161" s="80"/>
      <c r="J161" s="80"/>
      <c r="K161" s="80"/>
      <c r="L161" s="2"/>
      <c r="M161" s="2"/>
      <c r="N161" s="2"/>
      <c r="O161" s="2"/>
      <c r="P161" s="2"/>
      <c r="Q161" s="2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</row>
    <row r="162" spans="1:35" x14ac:dyDescent="0.2">
      <c r="A162" s="2"/>
      <c r="B162" s="80"/>
      <c r="C162" s="80"/>
      <c r="D162" s="80"/>
      <c r="E162" s="80"/>
      <c r="F162" s="80"/>
      <c r="G162" s="80"/>
      <c r="H162" s="80"/>
      <c r="I162" s="80"/>
      <c r="J162" s="80"/>
      <c r="K162" s="80"/>
      <c r="L162" s="2"/>
      <c r="M162" s="2"/>
      <c r="N162" s="2"/>
      <c r="O162" s="2"/>
      <c r="P162" s="2"/>
      <c r="Q162" s="2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</row>
    <row r="163" spans="1:35" x14ac:dyDescent="0.2">
      <c r="A163" s="2"/>
      <c r="B163" s="80"/>
      <c r="C163" s="80"/>
      <c r="D163" s="80"/>
      <c r="E163" s="80"/>
      <c r="F163" s="80"/>
      <c r="G163" s="80"/>
      <c r="H163" s="80"/>
      <c r="I163" s="80"/>
      <c r="J163" s="80"/>
      <c r="K163" s="80"/>
      <c r="L163" s="2"/>
      <c r="M163" s="2"/>
      <c r="N163" s="2"/>
      <c r="O163" s="2"/>
      <c r="P163" s="2"/>
      <c r="Q163" s="2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</row>
    <row r="164" spans="1:35" x14ac:dyDescent="0.2">
      <c r="A164" s="2"/>
      <c r="B164" s="80"/>
      <c r="C164" s="80"/>
      <c r="D164" s="80"/>
      <c r="E164" s="80"/>
      <c r="F164" s="80"/>
      <c r="G164" s="80"/>
      <c r="H164" s="80"/>
      <c r="I164" s="80"/>
      <c r="J164" s="80"/>
      <c r="K164" s="80"/>
      <c r="L164" s="2"/>
      <c r="M164" s="2"/>
      <c r="N164" s="2"/>
      <c r="O164" s="2"/>
      <c r="P164" s="2"/>
      <c r="Q164" s="2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</row>
    <row r="165" spans="1:35" x14ac:dyDescent="0.2">
      <c r="A165" s="2"/>
      <c r="B165" s="80"/>
      <c r="C165" s="80"/>
      <c r="D165" s="80"/>
      <c r="E165" s="80"/>
      <c r="F165" s="80"/>
      <c r="G165" s="80"/>
      <c r="H165" s="80"/>
      <c r="I165" s="80"/>
      <c r="J165" s="80"/>
      <c r="K165" s="80"/>
      <c r="L165" s="2"/>
      <c r="M165" s="2"/>
      <c r="N165" s="2"/>
      <c r="O165" s="2"/>
      <c r="P165" s="2"/>
      <c r="Q165" s="2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</row>
    <row r="166" spans="1:35" x14ac:dyDescent="0.2">
      <c r="A166" s="2"/>
      <c r="B166" s="80"/>
      <c r="C166" s="80"/>
      <c r="D166" s="80"/>
      <c r="E166" s="80"/>
      <c r="F166" s="80"/>
      <c r="G166" s="80"/>
      <c r="H166" s="80"/>
      <c r="I166" s="80"/>
      <c r="J166" s="80"/>
      <c r="K166" s="80"/>
      <c r="L166" s="2"/>
      <c r="M166" s="2"/>
      <c r="N166" s="2"/>
      <c r="O166" s="2"/>
      <c r="P166" s="2"/>
      <c r="Q166" s="2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</row>
    <row r="167" spans="1:35" x14ac:dyDescent="0.2">
      <c r="A167" s="2"/>
      <c r="B167" s="80"/>
      <c r="C167" s="80"/>
      <c r="D167" s="80"/>
      <c r="E167" s="80"/>
      <c r="F167" s="80"/>
      <c r="G167" s="80"/>
      <c r="H167" s="80"/>
      <c r="I167" s="80"/>
      <c r="J167" s="80"/>
      <c r="K167" s="80"/>
      <c r="L167" s="2"/>
      <c r="M167" s="2"/>
      <c r="N167" s="2"/>
      <c r="O167" s="2"/>
      <c r="P167" s="2"/>
      <c r="Q167" s="2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</row>
    <row r="168" spans="1:35" x14ac:dyDescent="0.2">
      <c r="A168" s="2"/>
      <c r="B168" s="80"/>
      <c r="C168" s="80"/>
      <c r="D168" s="80"/>
      <c r="E168" s="80"/>
      <c r="F168" s="80"/>
      <c r="G168" s="80"/>
      <c r="H168" s="80"/>
      <c r="I168" s="80"/>
      <c r="J168" s="80"/>
      <c r="K168" s="80"/>
      <c r="L168" s="2"/>
      <c r="M168" s="2"/>
      <c r="N168" s="2"/>
      <c r="O168" s="2"/>
      <c r="P168" s="2"/>
      <c r="Q168" s="2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</row>
    <row r="169" spans="1:35" x14ac:dyDescent="0.2">
      <c r="A169" s="2"/>
      <c r="B169" s="80"/>
      <c r="C169" s="80"/>
      <c r="D169" s="80"/>
      <c r="E169" s="80"/>
      <c r="F169" s="80"/>
      <c r="G169" s="80"/>
      <c r="H169" s="80"/>
      <c r="I169" s="80"/>
      <c r="J169" s="80"/>
      <c r="K169" s="80"/>
      <c r="L169" s="2"/>
      <c r="M169" s="2"/>
      <c r="N169" s="2"/>
      <c r="O169" s="2"/>
      <c r="P169" s="2"/>
      <c r="Q169" s="2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</row>
    <row r="170" spans="1:35" x14ac:dyDescent="0.2">
      <c r="A170" s="2"/>
      <c r="B170" s="80"/>
      <c r="C170" s="80"/>
      <c r="D170" s="80"/>
      <c r="E170" s="80"/>
      <c r="F170" s="80"/>
      <c r="G170" s="80"/>
      <c r="H170" s="80"/>
      <c r="I170" s="80"/>
      <c r="J170" s="80"/>
      <c r="K170" s="80"/>
      <c r="L170" s="2"/>
      <c r="M170" s="2"/>
      <c r="N170" s="2"/>
      <c r="O170" s="2"/>
      <c r="P170" s="2"/>
      <c r="Q170" s="2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</row>
    <row r="171" spans="1:35" x14ac:dyDescent="0.2">
      <c r="A171" s="2"/>
      <c r="B171" s="80"/>
      <c r="C171" s="80"/>
      <c r="D171" s="80"/>
      <c r="E171" s="80"/>
      <c r="F171" s="80"/>
      <c r="G171" s="80"/>
      <c r="H171" s="80"/>
      <c r="I171" s="80"/>
      <c r="J171" s="80"/>
      <c r="K171" s="80"/>
      <c r="L171" s="2"/>
      <c r="M171" s="2"/>
      <c r="N171" s="2"/>
      <c r="O171" s="2"/>
      <c r="P171" s="2"/>
      <c r="Q171" s="2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</row>
    <row r="172" spans="1:35" x14ac:dyDescent="0.2">
      <c r="A172" s="2"/>
      <c r="B172" s="80"/>
      <c r="C172" s="80"/>
      <c r="D172" s="80"/>
      <c r="E172" s="80"/>
      <c r="F172" s="80"/>
      <c r="G172" s="80"/>
      <c r="H172" s="80"/>
      <c r="I172" s="80"/>
      <c r="J172" s="80"/>
      <c r="K172" s="80"/>
      <c r="L172" s="2"/>
      <c r="M172" s="2"/>
      <c r="N172" s="2"/>
      <c r="O172" s="2"/>
      <c r="P172" s="2"/>
      <c r="Q172" s="2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</row>
    <row r="173" spans="1:35" x14ac:dyDescent="0.2">
      <c r="A173" s="2"/>
      <c r="B173" s="80"/>
      <c r="C173" s="80"/>
      <c r="D173" s="80"/>
      <c r="E173" s="80"/>
      <c r="F173" s="80"/>
      <c r="G173" s="80"/>
      <c r="H173" s="80"/>
      <c r="I173" s="80"/>
      <c r="J173" s="80"/>
      <c r="K173" s="80"/>
      <c r="L173" s="2"/>
      <c r="M173" s="2"/>
      <c r="N173" s="2"/>
      <c r="O173" s="2"/>
      <c r="P173" s="2"/>
      <c r="Q173" s="2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</row>
    <row r="174" spans="1:35" x14ac:dyDescent="0.2">
      <c r="A174" s="2"/>
      <c r="B174" s="80"/>
      <c r="C174" s="80"/>
      <c r="D174" s="80"/>
      <c r="E174" s="80"/>
      <c r="F174" s="80"/>
      <c r="G174" s="80"/>
      <c r="H174" s="80"/>
      <c r="I174" s="80"/>
      <c r="J174" s="80"/>
      <c r="K174" s="80"/>
      <c r="L174" s="2"/>
      <c r="M174" s="2"/>
      <c r="N174" s="2"/>
      <c r="O174" s="2"/>
      <c r="P174" s="2"/>
      <c r="Q174" s="2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</row>
    <row r="175" spans="1:35" x14ac:dyDescent="0.2">
      <c r="A175" s="2"/>
      <c r="B175" s="80"/>
      <c r="C175" s="80"/>
      <c r="D175" s="80"/>
      <c r="E175" s="80"/>
      <c r="F175" s="80"/>
      <c r="G175" s="80"/>
      <c r="H175" s="80"/>
      <c r="I175" s="80"/>
      <c r="J175" s="80"/>
      <c r="K175" s="80"/>
      <c r="L175" s="2"/>
      <c r="M175" s="2"/>
      <c r="N175" s="2"/>
      <c r="O175" s="2"/>
      <c r="P175" s="2"/>
      <c r="Q175" s="2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</row>
    <row r="176" spans="1:35" x14ac:dyDescent="0.2">
      <c r="A176" s="2"/>
      <c r="B176" s="80"/>
      <c r="C176" s="80"/>
      <c r="D176" s="80"/>
      <c r="E176" s="80"/>
      <c r="F176" s="80"/>
      <c r="G176" s="80"/>
      <c r="H176" s="80"/>
      <c r="I176" s="80"/>
      <c r="J176" s="80"/>
      <c r="K176" s="80"/>
      <c r="L176" s="2"/>
      <c r="M176" s="2"/>
      <c r="N176" s="2"/>
      <c r="O176" s="2"/>
      <c r="P176" s="2"/>
      <c r="Q176" s="2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</row>
    <row r="177" spans="1:35" x14ac:dyDescent="0.2">
      <c r="A177" s="2"/>
      <c r="B177" s="80"/>
      <c r="C177" s="80"/>
      <c r="D177" s="80"/>
      <c r="E177" s="80"/>
      <c r="F177" s="80"/>
      <c r="G177" s="80"/>
      <c r="H177" s="80"/>
      <c r="I177" s="80"/>
      <c r="J177" s="80"/>
      <c r="K177" s="80"/>
      <c r="L177" s="2"/>
      <c r="M177" s="2"/>
      <c r="N177" s="2"/>
      <c r="O177" s="2"/>
      <c r="P177" s="2"/>
      <c r="Q177" s="2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</row>
    <row r="178" spans="1:35" x14ac:dyDescent="0.2">
      <c r="A178" s="2"/>
      <c r="B178" s="80"/>
      <c r="C178" s="80"/>
      <c r="D178" s="80"/>
      <c r="E178" s="80"/>
      <c r="F178" s="80"/>
      <c r="G178" s="80"/>
      <c r="H178" s="80"/>
      <c r="I178" s="80"/>
      <c r="J178" s="80"/>
      <c r="K178" s="80"/>
      <c r="L178" s="2"/>
      <c r="M178" s="2"/>
      <c r="N178" s="2"/>
      <c r="O178" s="2"/>
      <c r="P178" s="2"/>
      <c r="Q178" s="2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</row>
    <row r="179" spans="1:35" x14ac:dyDescent="0.2">
      <c r="A179" s="2"/>
      <c r="B179" s="80"/>
      <c r="C179" s="80"/>
      <c r="D179" s="80"/>
      <c r="E179" s="80"/>
      <c r="F179" s="80"/>
      <c r="G179" s="80"/>
      <c r="H179" s="80"/>
      <c r="I179" s="80"/>
      <c r="J179" s="80"/>
      <c r="K179" s="80"/>
      <c r="L179" s="2"/>
      <c r="M179" s="2"/>
      <c r="N179" s="2"/>
      <c r="O179" s="2"/>
      <c r="P179" s="2"/>
      <c r="Q179" s="2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</row>
    <row r="180" spans="1:35" x14ac:dyDescent="0.2">
      <c r="A180" s="2"/>
      <c r="B180" s="80"/>
      <c r="C180" s="80"/>
      <c r="D180" s="80"/>
      <c r="E180" s="80"/>
      <c r="F180" s="80"/>
      <c r="G180" s="80"/>
      <c r="H180" s="80"/>
      <c r="I180" s="80"/>
      <c r="J180" s="80"/>
      <c r="K180" s="80"/>
      <c r="L180" s="2"/>
      <c r="M180" s="2"/>
      <c r="N180" s="2"/>
      <c r="O180" s="2"/>
      <c r="P180" s="2"/>
      <c r="Q180" s="2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</row>
    <row r="181" spans="1:35" x14ac:dyDescent="0.2">
      <c r="A181" s="2"/>
      <c r="B181" s="80"/>
      <c r="C181" s="80"/>
      <c r="D181" s="80"/>
      <c r="E181" s="80"/>
      <c r="F181" s="80"/>
      <c r="G181" s="80"/>
      <c r="H181" s="80"/>
      <c r="I181" s="80"/>
      <c r="J181" s="80"/>
      <c r="K181" s="80"/>
      <c r="L181" s="2"/>
      <c r="M181" s="2"/>
      <c r="N181" s="2"/>
      <c r="O181" s="2"/>
      <c r="P181" s="2"/>
      <c r="Q181" s="2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</row>
    <row r="182" spans="1:35" x14ac:dyDescent="0.2">
      <c r="A182" s="2"/>
      <c r="B182" s="80"/>
      <c r="C182" s="80"/>
      <c r="D182" s="80"/>
      <c r="E182" s="80"/>
      <c r="F182" s="80"/>
      <c r="G182" s="80"/>
      <c r="H182" s="80"/>
      <c r="I182" s="80"/>
      <c r="J182" s="80"/>
      <c r="K182" s="80"/>
      <c r="L182" s="2"/>
      <c r="M182" s="2"/>
      <c r="N182" s="2"/>
      <c r="O182" s="2"/>
      <c r="P182" s="2"/>
      <c r="Q182" s="2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</row>
    <row r="183" spans="1:35" x14ac:dyDescent="0.2">
      <c r="A183" s="2"/>
      <c r="B183" s="80"/>
      <c r="C183" s="80"/>
      <c r="D183" s="80"/>
      <c r="E183" s="80"/>
      <c r="F183" s="80"/>
      <c r="G183" s="80"/>
      <c r="H183" s="80"/>
      <c r="I183" s="80"/>
      <c r="J183" s="80"/>
      <c r="K183" s="80"/>
      <c r="L183" s="2"/>
      <c r="M183" s="2"/>
      <c r="N183" s="2"/>
      <c r="O183" s="2"/>
      <c r="P183" s="2"/>
      <c r="Q183" s="2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</row>
    <row r="184" spans="1:35" x14ac:dyDescent="0.2">
      <c r="A184" s="2"/>
      <c r="B184" s="80"/>
      <c r="C184" s="80"/>
      <c r="D184" s="80"/>
      <c r="E184" s="80"/>
      <c r="F184" s="80"/>
      <c r="G184" s="80"/>
      <c r="H184" s="80"/>
      <c r="I184" s="80"/>
      <c r="J184" s="80"/>
      <c r="K184" s="80"/>
      <c r="L184" s="2"/>
      <c r="M184" s="2"/>
      <c r="N184" s="2"/>
      <c r="O184" s="2"/>
      <c r="P184" s="2"/>
      <c r="Q184" s="2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</row>
    <row r="185" spans="1:35" x14ac:dyDescent="0.2">
      <c r="A185" s="2"/>
      <c r="B185" s="80"/>
      <c r="C185" s="80"/>
      <c r="D185" s="80"/>
      <c r="E185" s="80"/>
      <c r="F185" s="80"/>
      <c r="G185" s="80"/>
      <c r="H185" s="80"/>
      <c r="I185" s="80"/>
      <c r="J185" s="80"/>
      <c r="K185" s="80"/>
      <c r="L185" s="2"/>
      <c r="M185" s="2"/>
      <c r="N185" s="2"/>
      <c r="O185" s="2"/>
      <c r="P185" s="2"/>
      <c r="Q185" s="2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</row>
    <row r="186" spans="1:35" x14ac:dyDescent="0.2">
      <c r="A186" s="2"/>
      <c r="B186" s="80"/>
      <c r="C186" s="80"/>
      <c r="D186" s="80"/>
      <c r="E186" s="80"/>
      <c r="F186" s="80"/>
      <c r="G186" s="80"/>
      <c r="H186" s="80"/>
      <c r="I186" s="80"/>
      <c r="J186" s="80"/>
      <c r="K186" s="80"/>
      <c r="L186" s="2"/>
      <c r="M186" s="2"/>
      <c r="N186" s="2"/>
      <c r="O186" s="2"/>
      <c r="P186" s="2"/>
      <c r="Q186" s="2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</row>
    <row r="187" spans="1:35" x14ac:dyDescent="0.2">
      <c r="A187" s="2"/>
      <c r="B187" s="80"/>
      <c r="C187" s="80"/>
      <c r="D187" s="80"/>
      <c r="E187" s="80"/>
      <c r="F187" s="80"/>
      <c r="G187" s="80"/>
      <c r="H187" s="80"/>
      <c r="I187" s="80"/>
      <c r="J187" s="80"/>
      <c r="K187" s="80"/>
      <c r="L187" s="2"/>
      <c r="M187" s="2"/>
      <c r="N187" s="2"/>
      <c r="O187" s="2"/>
      <c r="P187" s="2"/>
      <c r="Q187" s="2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</row>
    <row r="188" spans="1:35" x14ac:dyDescent="0.2">
      <c r="A188" s="2"/>
      <c r="B188" s="80"/>
      <c r="C188" s="80"/>
      <c r="D188" s="80"/>
      <c r="E188" s="80"/>
      <c r="F188" s="80"/>
      <c r="G188" s="80"/>
      <c r="H188" s="80"/>
      <c r="I188" s="80"/>
      <c r="J188" s="80"/>
      <c r="K188" s="80"/>
      <c r="L188" s="2"/>
      <c r="M188" s="2"/>
      <c r="N188" s="2"/>
      <c r="O188" s="2"/>
      <c r="P188" s="2"/>
      <c r="Q188" s="2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</row>
    <row r="189" spans="1:35" x14ac:dyDescent="0.2">
      <c r="A189" s="2"/>
      <c r="B189" s="80"/>
      <c r="C189" s="80"/>
      <c r="D189" s="80"/>
      <c r="E189" s="80"/>
      <c r="F189" s="80"/>
      <c r="G189" s="80"/>
      <c r="H189" s="80"/>
      <c r="I189" s="80"/>
      <c r="J189" s="80"/>
      <c r="K189" s="80"/>
      <c r="L189" s="2"/>
      <c r="M189" s="2"/>
      <c r="N189" s="2"/>
      <c r="O189" s="2"/>
      <c r="P189" s="2"/>
      <c r="Q189" s="2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</row>
    <row r="190" spans="1:35" x14ac:dyDescent="0.2">
      <c r="A190" s="2"/>
      <c r="B190" s="80"/>
      <c r="C190" s="80"/>
      <c r="D190" s="80"/>
      <c r="E190" s="80"/>
      <c r="F190" s="80"/>
      <c r="G190" s="80"/>
      <c r="H190" s="80"/>
      <c r="I190" s="80"/>
      <c r="J190" s="80"/>
      <c r="K190" s="80"/>
      <c r="L190" s="2"/>
      <c r="M190" s="2"/>
      <c r="N190" s="2"/>
      <c r="O190" s="2"/>
      <c r="P190" s="2"/>
      <c r="Q190" s="2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</row>
    <row r="191" spans="1:35" x14ac:dyDescent="0.2">
      <c r="A191" s="2"/>
      <c r="B191" s="80"/>
      <c r="C191" s="80"/>
      <c r="D191" s="80"/>
      <c r="E191" s="80"/>
      <c r="F191" s="80"/>
      <c r="G191" s="80"/>
      <c r="H191" s="80"/>
      <c r="I191" s="80"/>
      <c r="J191" s="80"/>
      <c r="K191" s="80"/>
      <c r="L191" s="2"/>
      <c r="M191" s="2"/>
      <c r="N191" s="2"/>
      <c r="O191" s="2"/>
      <c r="P191" s="2"/>
      <c r="Q191" s="2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</row>
    <row r="192" spans="1:35" x14ac:dyDescent="0.2">
      <c r="A192" s="2"/>
      <c r="B192" s="80"/>
      <c r="C192" s="80"/>
      <c r="D192" s="80"/>
      <c r="E192" s="80"/>
      <c r="F192" s="80"/>
      <c r="G192" s="80"/>
      <c r="H192" s="80"/>
      <c r="I192" s="80"/>
      <c r="J192" s="80"/>
      <c r="K192" s="80"/>
      <c r="L192" s="2"/>
      <c r="M192" s="2"/>
      <c r="N192" s="2"/>
      <c r="O192" s="2"/>
      <c r="P192" s="2"/>
      <c r="Q192" s="2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</row>
    <row r="193" spans="1:35" x14ac:dyDescent="0.2">
      <c r="A193" s="2"/>
      <c r="B193" s="80"/>
      <c r="C193" s="80"/>
      <c r="D193" s="80"/>
      <c r="E193" s="80"/>
      <c r="F193" s="80"/>
      <c r="G193" s="80"/>
      <c r="H193" s="80"/>
      <c r="I193" s="80"/>
      <c r="J193" s="80"/>
      <c r="K193" s="80"/>
      <c r="L193" s="2"/>
      <c r="M193" s="2"/>
      <c r="N193" s="2"/>
      <c r="O193" s="2"/>
      <c r="P193" s="2"/>
      <c r="Q193" s="2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</row>
    <row r="194" spans="1:35" x14ac:dyDescent="0.2">
      <c r="A194" s="2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2"/>
      <c r="M194" s="2"/>
      <c r="N194" s="2"/>
      <c r="O194" s="2"/>
      <c r="P194" s="2"/>
      <c r="Q194" s="2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</row>
    <row r="195" spans="1:35" x14ac:dyDescent="0.2">
      <c r="A195" s="2"/>
      <c r="B195" s="80"/>
      <c r="C195" s="80"/>
      <c r="D195" s="80"/>
      <c r="E195" s="80"/>
      <c r="F195" s="80"/>
      <c r="G195" s="80"/>
      <c r="H195" s="80"/>
      <c r="I195" s="80"/>
      <c r="J195" s="80"/>
      <c r="K195" s="80"/>
      <c r="L195" s="2"/>
      <c r="M195" s="2"/>
      <c r="N195" s="2"/>
      <c r="O195" s="2"/>
      <c r="P195" s="2"/>
      <c r="Q195" s="2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80"/>
      <c r="AI195" s="80"/>
    </row>
    <row r="196" spans="1:35" x14ac:dyDescent="0.2">
      <c r="A196" s="2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2"/>
      <c r="M196" s="2"/>
      <c r="N196" s="2"/>
      <c r="O196" s="2"/>
      <c r="P196" s="2"/>
      <c r="Q196" s="2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</row>
    <row r="197" spans="1:35" x14ac:dyDescent="0.2">
      <c r="A197" s="2"/>
      <c r="B197" s="80"/>
      <c r="C197" s="80"/>
      <c r="D197" s="80"/>
      <c r="E197" s="80"/>
      <c r="F197" s="80"/>
      <c r="G197" s="80"/>
      <c r="H197" s="80"/>
      <c r="I197" s="80"/>
      <c r="J197" s="80"/>
      <c r="K197" s="80"/>
      <c r="L197" s="2"/>
      <c r="M197" s="2"/>
      <c r="N197" s="2"/>
      <c r="O197" s="2"/>
      <c r="P197" s="2"/>
      <c r="Q197" s="2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  <c r="AH197" s="80"/>
      <c r="AI197" s="80"/>
    </row>
    <row r="198" spans="1:35" x14ac:dyDescent="0.2">
      <c r="A198" s="2"/>
      <c r="B198" s="80"/>
      <c r="C198" s="80"/>
      <c r="D198" s="80"/>
      <c r="E198" s="80"/>
      <c r="F198" s="80"/>
      <c r="G198" s="80"/>
      <c r="H198" s="80"/>
      <c r="I198" s="80"/>
      <c r="J198" s="80"/>
      <c r="K198" s="80"/>
      <c r="L198" s="2"/>
      <c r="M198" s="2"/>
      <c r="N198" s="2"/>
      <c r="O198" s="2"/>
      <c r="P198" s="2"/>
      <c r="Q198" s="2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80"/>
      <c r="AF198" s="80"/>
      <c r="AG198" s="80"/>
      <c r="AH198" s="80"/>
      <c r="AI198" s="80"/>
    </row>
    <row r="199" spans="1:35" x14ac:dyDescent="0.2">
      <c r="A199" s="2"/>
      <c r="B199" s="80"/>
      <c r="C199" s="80"/>
      <c r="D199" s="80"/>
      <c r="E199" s="80"/>
      <c r="F199" s="80"/>
      <c r="G199" s="80"/>
      <c r="H199" s="80"/>
      <c r="I199" s="80"/>
      <c r="J199" s="80"/>
      <c r="K199" s="80"/>
      <c r="L199" s="2"/>
      <c r="M199" s="2"/>
      <c r="N199" s="2"/>
      <c r="O199" s="2"/>
      <c r="P199" s="2"/>
      <c r="Q199" s="2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80"/>
      <c r="AI199" s="80"/>
    </row>
    <row r="200" spans="1:35" x14ac:dyDescent="0.2">
      <c r="A200" s="2"/>
      <c r="B200" s="80"/>
      <c r="C200" s="80"/>
      <c r="D200" s="80"/>
      <c r="E200" s="80"/>
      <c r="F200" s="80"/>
      <c r="G200" s="80"/>
      <c r="H200" s="80"/>
      <c r="I200" s="80"/>
      <c r="J200" s="80"/>
      <c r="K200" s="80"/>
      <c r="L200" s="2"/>
      <c r="M200" s="2"/>
      <c r="N200" s="2"/>
      <c r="O200" s="2"/>
      <c r="P200" s="2"/>
      <c r="Q200" s="2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80"/>
      <c r="AC200" s="80"/>
      <c r="AD200" s="80"/>
      <c r="AE200" s="80"/>
      <c r="AF200" s="80"/>
      <c r="AG200" s="80"/>
      <c r="AH200" s="80"/>
      <c r="AI200" s="80"/>
    </row>
    <row r="201" spans="1:35" x14ac:dyDescent="0.2">
      <c r="A201" s="2"/>
      <c r="B201" s="80"/>
      <c r="C201" s="80"/>
      <c r="D201" s="80"/>
      <c r="E201" s="80"/>
      <c r="F201" s="80"/>
      <c r="G201" s="80"/>
      <c r="H201" s="80"/>
      <c r="I201" s="80"/>
      <c r="J201" s="80"/>
      <c r="K201" s="80"/>
      <c r="L201" s="2"/>
      <c r="M201" s="2"/>
      <c r="N201" s="2"/>
      <c r="O201" s="2"/>
      <c r="P201" s="2"/>
      <c r="Q201" s="2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80"/>
      <c r="AC201" s="80"/>
      <c r="AD201" s="80"/>
      <c r="AE201" s="80"/>
      <c r="AF201" s="80"/>
      <c r="AG201" s="80"/>
      <c r="AH201" s="80"/>
      <c r="AI201" s="80"/>
    </row>
    <row r="202" spans="1:35" x14ac:dyDescent="0.2">
      <c r="A202" s="2"/>
      <c r="B202" s="80"/>
      <c r="C202" s="80"/>
      <c r="D202" s="80"/>
      <c r="E202" s="80"/>
      <c r="F202" s="80"/>
      <c r="G202" s="80"/>
      <c r="H202" s="80"/>
      <c r="I202" s="80"/>
      <c r="J202" s="80"/>
      <c r="K202" s="80"/>
      <c r="L202" s="2"/>
      <c r="M202" s="2"/>
      <c r="N202" s="2"/>
      <c r="O202" s="2"/>
      <c r="P202" s="2"/>
      <c r="Q202" s="2"/>
      <c r="R202" s="80"/>
      <c r="S202" s="80"/>
      <c r="T202" s="80"/>
      <c r="U202" s="80"/>
      <c r="V202" s="80"/>
      <c r="W202" s="80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</row>
    <row r="203" spans="1:35" x14ac:dyDescent="0.2">
      <c r="A203" s="2"/>
      <c r="B203" s="80"/>
      <c r="C203" s="80"/>
      <c r="D203" s="80"/>
      <c r="E203" s="80"/>
      <c r="F203" s="80"/>
      <c r="G203" s="80"/>
      <c r="H203" s="80"/>
      <c r="I203" s="80"/>
      <c r="J203" s="80"/>
      <c r="K203" s="80"/>
      <c r="L203" s="2"/>
      <c r="M203" s="2"/>
      <c r="N203" s="2"/>
      <c r="O203" s="2"/>
      <c r="P203" s="2"/>
      <c r="Q203" s="2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80"/>
      <c r="AI203" s="80"/>
    </row>
    <row r="204" spans="1:35" x14ac:dyDescent="0.2">
      <c r="A204" s="2"/>
      <c r="B204" s="80"/>
      <c r="C204" s="80"/>
      <c r="D204" s="80"/>
      <c r="E204" s="80"/>
      <c r="F204" s="80"/>
      <c r="G204" s="80"/>
      <c r="H204" s="80"/>
      <c r="I204" s="80"/>
      <c r="J204" s="80"/>
      <c r="K204" s="80"/>
      <c r="L204" s="2"/>
      <c r="M204" s="2"/>
      <c r="N204" s="2"/>
      <c r="O204" s="2"/>
      <c r="P204" s="2"/>
      <c r="Q204" s="2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80"/>
      <c r="AC204" s="80"/>
      <c r="AD204" s="80"/>
      <c r="AE204" s="80"/>
      <c r="AF204" s="80"/>
      <c r="AG204" s="80"/>
      <c r="AH204" s="80"/>
      <c r="AI204" s="80"/>
    </row>
    <row r="205" spans="1:35" x14ac:dyDescent="0.2">
      <c r="A205" s="2"/>
      <c r="B205" s="80"/>
      <c r="C205" s="80"/>
      <c r="D205" s="80"/>
      <c r="E205" s="80"/>
      <c r="F205" s="80"/>
      <c r="G205" s="80"/>
      <c r="H205" s="80"/>
      <c r="I205" s="80"/>
      <c r="J205" s="80"/>
      <c r="K205" s="80"/>
      <c r="L205" s="2"/>
      <c r="M205" s="2"/>
      <c r="N205" s="2"/>
      <c r="O205" s="2"/>
      <c r="P205" s="2"/>
      <c r="Q205" s="2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80"/>
      <c r="AC205" s="80"/>
      <c r="AD205" s="80"/>
      <c r="AE205" s="80"/>
      <c r="AF205" s="80"/>
      <c r="AG205" s="80"/>
      <c r="AH205" s="80"/>
      <c r="AI205" s="80"/>
    </row>
    <row r="206" spans="1:35" x14ac:dyDescent="0.2">
      <c r="A206" s="2"/>
      <c r="B206" s="80"/>
      <c r="C206" s="80"/>
      <c r="D206" s="80"/>
      <c r="E206" s="80"/>
      <c r="F206" s="80"/>
      <c r="G206" s="80"/>
      <c r="H206" s="80"/>
      <c r="I206" s="80"/>
      <c r="J206" s="80"/>
      <c r="K206" s="80"/>
      <c r="L206" s="2"/>
      <c r="M206" s="2"/>
      <c r="N206" s="2"/>
      <c r="O206" s="2"/>
      <c r="P206" s="2"/>
      <c r="Q206" s="2"/>
      <c r="R206" s="80"/>
      <c r="S206" s="80"/>
      <c r="T206" s="80"/>
      <c r="U206" s="80"/>
      <c r="V206" s="80"/>
      <c r="W206" s="80"/>
      <c r="X206" s="80"/>
      <c r="Y206" s="80"/>
      <c r="Z206" s="80"/>
      <c r="AA206" s="80"/>
      <c r="AB206" s="80"/>
      <c r="AC206" s="80"/>
      <c r="AD206" s="80"/>
      <c r="AE206" s="80"/>
      <c r="AF206" s="80"/>
      <c r="AG206" s="80"/>
      <c r="AH206" s="80"/>
      <c r="AI206" s="80"/>
    </row>
    <row r="207" spans="1:35" x14ac:dyDescent="0.2">
      <c r="A207" s="2"/>
      <c r="B207" s="80"/>
      <c r="C207" s="80"/>
      <c r="D207" s="80"/>
      <c r="E207" s="80"/>
      <c r="F207" s="80"/>
      <c r="G207" s="80"/>
      <c r="H207" s="80"/>
      <c r="I207" s="80"/>
      <c r="J207" s="80"/>
      <c r="K207" s="80"/>
      <c r="L207" s="2"/>
      <c r="M207" s="2"/>
      <c r="N207" s="2"/>
      <c r="O207" s="2"/>
      <c r="P207" s="2"/>
      <c r="Q207" s="2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</row>
    <row r="208" spans="1:35" x14ac:dyDescent="0.2">
      <c r="A208" s="2"/>
      <c r="B208" s="80"/>
      <c r="C208" s="80"/>
      <c r="D208" s="80"/>
      <c r="E208" s="80"/>
      <c r="F208" s="80"/>
      <c r="G208" s="80"/>
      <c r="H208" s="80"/>
      <c r="I208" s="80"/>
      <c r="J208" s="80"/>
      <c r="K208" s="80"/>
      <c r="L208" s="2"/>
      <c r="M208" s="2"/>
      <c r="N208" s="2"/>
      <c r="O208" s="2"/>
      <c r="P208" s="2"/>
      <c r="Q208" s="2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</row>
    <row r="209" spans="1:35" x14ac:dyDescent="0.2">
      <c r="A209" s="2"/>
      <c r="B209" s="80"/>
      <c r="C209" s="80"/>
      <c r="D209" s="80"/>
      <c r="E209" s="80"/>
      <c r="F209" s="80"/>
      <c r="G209" s="80"/>
      <c r="H209" s="80"/>
      <c r="I209" s="80"/>
      <c r="J209" s="80"/>
      <c r="K209" s="80"/>
      <c r="L209" s="2"/>
      <c r="M209" s="2"/>
      <c r="N209" s="2"/>
      <c r="O209" s="2"/>
      <c r="P209" s="2"/>
      <c r="Q209" s="2"/>
      <c r="R209" s="80"/>
      <c r="S209" s="80"/>
      <c r="T209" s="80"/>
      <c r="U209" s="80"/>
      <c r="V209" s="80"/>
      <c r="W209" s="80"/>
      <c r="X209" s="80"/>
      <c r="Y209" s="80"/>
      <c r="Z209" s="80"/>
      <c r="AA209" s="80"/>
      <c r="AB209" s="80"/>
      <c r="AC209" s="80"/>
      <c r="AD209" s="80"/>
      <c r="AE209" s="80"/>
      <c r="AF209" s="80"/>
      <c r="AG209" s="80"/>
      <c r="AH209" s="80"/>
      <c r="AI209" s="80"/>
    </row>
    <row r="210" spans="1:35" x14ac:dyDescent="0.2">
      <c r="A210" s="2"/>
      <c r="B210" s="80"/>
      <c r="C210" s="80"/>
      <c r="D210" s="80"/>
      <c r="E210" s="80"/>
      <c r="F210" s="80"/>
      <c r="G210" s="80"/>
      <c r="H210" s="80"/>
      <c r="I210" s="80"/>
      <c r="J210" s="80"/>
      <c r="K210" s="80"/>
      <c r="L210" s="2"/>
      <c r="M210" s="2"/>
      <c r="N210" s="2"/>
      <c r="O210" s="2"/>
      <c r="P210" s="2"/>
      <c r="Q210" s="2"/>
      <c r="R210" s="80"/>
      <c r="S210" s="80"/>
      <c r="T210" s="80"/>
      <c r="U210" s="80"/>
      <c r="V210" s="80"/>
      <c r="W210" s="80"/>
      <c r="X210" s="80"/>
      <c r="Y210" s="80"/>
      <c r="Z210" s="80"/>
      <c r="AA210" s="80"/>
      <c r="AB210" s="80"/>
      <c r="AC210" s="80"/>
      <c r="AD210" s="80"/>
      <c r="AE210" s="80"/>
      <c r="AF210" s="80"/>
      <c r="AG210" s="80"/>
      <c r="AH210" s="80"/>
      <c r="AI210" s="80"/>
    </row>
    <row r="211" spans="1:35" x14ac:dyDescent="0.2">
      <c r="A211" s="2"/>
      <c r="B211" s="80"/>
      <c r="C211" s="80"/>
      <c r="D211" s="80"/>
      <c r="E211" s="80"/>
      <c r="F211" s="80"/>
      <c r="G211" s="80"/>
      <c r="H211" s="80"/>
      <c r="I211" s="80"/>
      <c r="J211" s="80"/>
      <c r="K211" s="80"/>
      <c r="L211" s="2"/>
      <c r="M211" s="2"/>
      <c r="N211" s="2"/>
      <c r="O211" s="2"/>
      <c r="P211" s="2"/>
      <c r="Q211" s="2"/>
      <c r="R211" s="80"/>
      <c r="S211" s="80"/>
      <c r="T211" s="80"/>
      <c r="U211" s="80"/>
      <c r="V211" s="80"/>
      <c r="W211" s="80"/>
      <c r="X211" s="80"/>
      <c r="Y211" s="80"/>
      <c r="Z211" s="80"/>
      <c r="AA211" s="80"/>
      <c r="AB211" s="80"/>
      <c r="AC211" s="80"/>
      <c r="AD211" s="80"/>
      <c r="AE211" s="80"/>
      <c r="AF211" s="80"/>
      <c r="AG211" s="80"/>
      <c r="AH211" s="80"/>
      <c r="AI211" s="80"/>
    </row>
    <row r="212" spans="1:35" x14ac:dyDescent="0.2">
      <c r="A212" s="2"/>
      <c r="B212" s="80"/>
      <c r="C212" s="80"/>
      <c r="D212" s="80"/>
      <c r="E212" s="80"/>
      <c r="F212" s="80"/>
      <c r="G212" s="80"/>
      <c r="H212" s="80"/>
      <c r="I212" s="80"/>
      <c r="J212" s="80"/>
      <c r="K212" s="80"/>
      <c r="L212" s="2"/>
      <c r="M212" s="2"/>
      <c r="N212" s="2"/>
      <c r="O212" s="2"/>
      <c r="P212" s="2"/>
      <c r="Q212" s="2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80"/>
      <c r="AC212" s="80"/>
      <c r="AD212" s="80"/>
      <c r="AE212" s="80"/>
      <c r="AF212" s="80"/>
      <c r="AG212" s="80"/>
      <c r="AH212" s="80"/>
      <c r="AI212" s="80"/>
    </row>
    <row r="213" spans="1:35" x14ac:dyDescent="0.2">
      <c r="A213" s="2"/>
      <c r="B213" s="80"/>
      <c r="C213" s="80"/>
      <c r="D213" s="80"/>
      <c r="E213" s="80"/>
      <c r="F213" s="80"/>
      <c r="G213" s="80"/>
      <c r="H213" s="80"/>
      <c r="I213" s="80"/>
      <c r="J213" s="80"/>
      <c r="K213" s="80"/>
      <c r="L213" s="2"/>
      <c r="M213" s="2"/>
      <c r="N213" s="2"/>
      <c r="O213" s="2"/>
      <c r="P213" s="2"/>
      <c r="Q213" s="2"/>
      <c r="R213" s="80"/>
      <c r="S213" s="80"/>
      <c r="T213" s="80"/>
      <c r="U213" s="80"/>
      <c r="V213" s="80"/>
      <c r="W213" s="80"/>
      <c r="X213" s="80"/>
      <c r="Y213" s="80"/>
      <c r="Z213" s="80"/>
      <c r="AA213" s="80"/>
      <c r="AB213" s="80"/>
      <c r="AC213" s="80"/>
      <c r="AD213" s="80"/>
      <c r="AE213" s="80"/>
      <c r="AF213" s="80"/>
      <c r="AG213" s="80"/>
      <c r="AH213" s="80"/>
      <c r="AI213" s="80"/>
    </row>
    <row r="214" spans="1:35" x14ac:dyDescent="0.2">
      <c r="A214" s="2"/>
      <c r="B214" s="80"/>
      <c r="C214" s="80"/>
      <c r="D214" s="80"/>
      <c r="E214" s="80"/>
      <c r="F214" s="80"/>
      <c r="G214" s="80"/>
      <c r="H214" s="80"/>
      <c r="I214" s="80"/>
      <c r="J214" s="80"/>
      <c r="K214" s="80"/>
      <c r="L214" s="2"/>
      <c r="M214" s="2"/>
      <c r="N214" s="2"/>
      <c r="O214" s="2"/>
      <c r="P214" s="2"/>
      <c r="Q214" s="2"/>
      <c r="R214" s="80"/>
      <c r="S214" s="80"/>
      <c r="T214" s="80"/>
      <c r="U214" s="80"/>
      <c r="V214" s="80"/>
      <c r="W214" s="80"/>
      <c r="X214" s="80"/>
      <c r="Y214" s="80"/>
      <c r="Z214" s="80"/>
      <c r="AA214" s="80"/>
      <c r="AB214" s="80"/>
      <c r="AC214" s="80"/>
      <c r="AD214" s="80"/>
      <c r="AE214" s="80"/>
      <c r="AF214" s="80"/>
      <c r="AG214" s="80"/>
      <c r="AH214" s="80"/>
      <c r="AI214" s="80"/>
    </row>
    <row r="215" spans="1:35" x14ac:dyDescent="0.2">
      <c r="A215" s="2"/>
      <c r="B215" s="80"/>
      <c r="C215" s="80"/>
      <c r="D215" s="80"/>
      <c r="E215" s="80"/>
      <c r="F215" s="80"/>
      <c r="G215" s="80"/>
      <c r="H215" s="80"/>
      <c r="I215" s="80"/>
      <c r="J215" s="80"/>
      <c r="K215" s="80"/>
      <c r="L215" s="2"/>
      <c r="M215" s="2"/>
      <c r="N215" s="2"/>
      <c r="O215" s="2"/>
      <c r="P215" s="2"/>
      <c r="Q215" s="2"/>
      <c r="R215" s="80"/>
      <c r="S215" s="80"/>
      <c r="T215" s="80"/>
      <c r="U215" s="80"/>
      <c r="V215" s="80"/>
      <c r="W215" s="80"/>
      <c r="X215" s="80"/>
      <c r="Y215" s="80"/>
      <c r="Z215" s="80"/>
      <c r="AA215" s="80"/>
      <c r="AB215" s="80"/>
      <c r="AC215" s="80"/>
      <c r="AD215" s="80"/>
      <c r="AE215" s="80"/>
      <c r="AF215" s="80"/>
      <c r="AG215" s="80"/>
      <c r="AH215" s="80"/>
      <c r="AI215" s="80"/>
    </row>
    <row r="216" spans="1:35" x14ac:dyDescent="0.2">
      <c r="A216" s="2"/>
      <c r="B216" s="80"/>
      <c r="C216" s="80"/>
      <c r="D216" s="80"/>
      <c r="E216" s="80"/>
      <c r="F216" s="80"/>
      <c r="G216" s="80"/>
      <c r="H216" s="80"/>
      <c r="I216" s="80"/>
      <c r="J216" s="80"/>
      <c r="K216" s="80"/>
      <c r="L216" s="2"/>
      <c r="M216" s="2"/>
      <c r="N216" s="2"/>
      <c r="O216" s="2"/>
      <c r="P216" s="2"/>
      <c r="Q216" s="2"/>
      <c r="R216" s="80"/>
      <c r="S216" s="80"/>
      <c r="T216" s="80"/>
      <c r="U216" s="80"/>
      <c r="V216" s="80"/>
      <c r="W216" s="80"/>
      <c r="X216" s="80"/>
      <c r="Y216" s="80"/>
      <c r="Z216" s="80"/>
      <c r="AA216" s="80"/>
      <c r="AB216" s="80"/>
      <c r="AC216" s="80"/>
      <c r="AD216" s="80"/>
      <c r="AE216" s="80"/>
      <c r="AF216" s="80"/>
      <c r="AG216" s="80"/>
      <c r="AH216" s="80"/>
      <c r="AI216" s="80"/>
    </row>
    <row r="217" spans="1:35" x14ac:dyDescent="0.2">
      <c r="A217" s="2"/>
      <c r="B217" s="80"/>
      <c r="C217" s="80"/>
      <c r="D217" s="80"/>
      <c r="E217" s="80"/>
      <c r="F217" s="80"/>
      <c r="G217" s="80"/>
      <c r="H217" s="80"/>
      <c r="I217" s="80"/>
      <c r="J217" s="80"/>
      <c r="K217" s="80"/>
      <c r="L217" s="2"/>
      <c r="M217" s="2"/>
      <c r="N217" s="2"/>
      <c r="O217" s="2"/>
      <c r="P217" s="2"/>
      <c r="Q217" s="2"/>
      <c r="R217" s="80"/>
      <c r="S217" s="80"/>
      <c r="T217" s="80"/>
      <c r="U217" s="80"/>
      <c r="V217" s="80"/>
      <c r="W217" s="80"/>
      <c r="X217" s="80"/>
      <c r="Y217" s="80"/>
      <c r="Z217" s="80"/>
      <c r="AA217" s="80"/>
      <c r="AB217" s="80"/>
      <c r="AC217" s="80"/>
      <c r="AD217" s="80"/>
      <c r="AE217" s="80"/>
      <c r="AF217" s="80"/>
      <c r="AG217" s="80"/>
      <c r="AH217" s="80"/>
      <c r="AI217" s="80"/>
    </row>
    <row r="218" spans="1:35" x14ac:dyDescent="0.2">
      <c r="A218" s="2"/>
      <c r="B218" s="80"/>
      <c r="C218" s="80"/>
      <c r="D218" s="80"/>
      <c r="E218" s="80"/>
      <c r="F218" s="80"/>
      <c r="G218" s="80"/>
      <c r="H218" s="80"/>
      <c r="I218" s="80"/>
      <c r="J218" s="80"/>
      <c r="K218" s="80"/>
      <c r="L218" s="2"/>
      <c r="M218" s="2"/>
      <c r="N218" s="2"/>
      <c r="O218" s="2"/>
      <c r="P218" s="2"/>
      <c r="Q218" s="2"/>
      <c r="R218" s="80"/>
      <c r="S218" s="80"/>
      <c r="T218" s="80"/>
      <c r="U218" s="80"/>
      <c r="V218" s="80"/>
      <c r="W218" s="80"/>
      <c r="X218" s="80"/>
      <c r="Y218" s="80"/>
      <c r="Z218" s="80"/>
      <c r="AA218" s="80"/>
      <c r="AB218" s="80"/>
      <c r="AC218" s="80"/>
      <c r="AD218" s="80"/>
      <c r="AE218" s="80"/>
      <c r="AF218" s="80"/>
      <c r="AG218" s="80"/>
      <c r="AH218" s="80"/>
      <c r="AI218" s="80"/>
    </row>
    <row r="219" spans="1:35" x14ac:dyDescent="0.2">
      <c r="A219" s="2"/>
      <c r="B219" s="80"/>
      <c r="C219" s="80"/>
      <c r="D219" s="80"/>
      <c r="E219" s="80"/>
      <c r="F219" s="80"/>
      <c r="G219" s="80"/>
      <c r="H219" s="80"/>
      <c r="I219" s="80"/>
      <c r="J219" s="80"/>
      <c r="K219" s="80"/>
      <c r="L219" s="2"/>
      <c r="M219" s="2"/>
      <c r="N219" s="2"/>
      <c r="O219" s="2"/>
      <c r="P219" s="2"/>
      <c r="Q219" s="2"/>
      <c r="R219" s="80"/>
      <c r="S219" s="80"/>
      <c r="T219" s="80"/>
      <c r="U219" s="80"/>
      <c r="V219" s="80"/>
      <c r="W219" s="80"/>
      <c r="X219" s="80"/>
      <c r="Y219" s="80"/>
      <c r="Z219" s="80"/>
      <c r="AA219" s="80"/>
      <c r="AB219" s="80"/>
      <c r="AC219" s="80"/>
      <c r="AD219" s="80"/>
      <c r="AE219" s="80"/>
      <c r="AF219" s="80"/>
      <c r="AG219" s="80"/>
      <c r="AH219" s="80"/>
      <c r="AI219" s="80"/>
    </row>
    <row r="220" spans="1:35" x14ac:dyDescent="0.2">
      <c r="A220" s="2"/>
      <c r="B220" s="80"/>
      <c r="C220" s="80"/>
      <c r="D220" s="80"/>
      <c r="E220" s="80"/>
      <c r="F220" s="80"/>
      <c r="G220" s="80"/>
      <c r="H220" s="80"/>
      <c r="I220" s="80"/>
      <c r="J220" s="80"/>
      <c r="K220" s="80"/>
      <c r="L220" s="2"/>
      <c r="M220" s="2"/>
      <c r="N220" s="2"/>
      <c r="O220" s="2"/>
      <c r="P220" s="2"/>
      <c r="Q220" s="2"/>
      <c r="R220" s="80"/>
      <c r="S220" s="80"/>
      <c r="T220" s="80"/>
      <c r="U220" s="80"/>
      <c r="V220" s="80"/>
      <c r="W220" s="80"/>
      <c r="X220" s="80"/>
      <c r="Y220" s="80"/>
      <c r="Z220" s="80"/>
      <c r="AA220" s="80"/>
      <c r="AB220" s="80"/>
      <c r="AC220" s="80"/>
      <c r="AD220" s="80"/>
      <c r="AE220" s="80"/>
      <c r="AF220" s="80"/>
      <c r="AG220" s="80"/>
      <c r="AH220" s="80"/>
      <c r="AI220" s="80"/>
    </row>
    <row r="221" spans="1:35" x14ac:dyDescent="0.2">
      <c r="A221" s="2"/>
      <c r="B221" s="80"/>
      <c r="C221" s="80"/>
      <c r="D221" s="80"/>
      <c r="E221" s="80"/>
      <c r="F221" s="80"/>
      <c r="G221" s="80"/>
      <c r="H221" s="80"/>
      <c r="I221" s="80"/>
      <c r="J221" s="80"/>
      <c r="K221" s="80"/>
      <c r="L221" s="2"/>
      <c r="M221" s="2"/>
      <c r="N221" s="2"/>
      <c r="O221" s="2"/>
      <c r="P221" s="2"/>
      <c r="Q221" s="2"/>
      <c r="R221" s="80"/>
      <c r="S221" s="80"/>
      <c r="T221" s="80"/>
      <c r="U221" s="80"/>
      <c r="V221" s="80"/>
      <c r="W221" s="80"/>
      <c r="X221" s="80"/>
      <c r="Y221" s="80"/>
      <c r="Z221" s="80"/>
      <c r="AA221" s="80"/>
      <c r="AB221" s="80"/>
      <c r="AC221" s="80"/>
      <c r="AD221" s="80"/>
      <c r="AE221" s="80"/>
      <c r="AF221" s="80"/>
      <c r="AG221" s="80"/>
      <c r="AH221" s="80"/>
      <c r="AI221" s="80"/>
    </row>
    <row r="222" spans="1:35" x14ac:dyDescent="0.2">
      <c r="A222" s="2"/>
      <c r="B222" s="80"/>
      <c r="C222" s="80"/>
      <c r="D222" s="80"/>
      <c r="E222" s="80"/>
      <c r="F222" s="80"/>
      <c r="G222" s="80"/>
      <c r="H222" s="80"/>
      <c r="I222" s="80"/>
      <c r="J222" s="80"/>
      <c r="K222" s="80"/>
      <c r="L222" s="2"/>
      <c r="M222" s="2"/>
      <c r="N222" s="2"/>
      <c r="O222" s="2"/>
      <c r="P222" s="2"/>
      <c r="Q222" s="2"/>
      <c r="R222" s="80"/>
      <c r="S222" s="80"/>
      <c r="T222" s="80"/>
      <c r="U222" s="80"/>
      <c r="V222" s="80"/>
      <c r="W222" s="80"/>
      <c r="X222" s="80"/>
      <c r="Y222" s="80"/>
      <c r="Z222" s="80"/>
      <c r="AA222" s="80"/>
      <c r="AB222" s="80"/>
      <c r="AC222" s="80"/>
      <c r="AD222" s="80"/>
      <c r="AE222" s="80"/>
      <c r="AF222" s="80"/>
      <c r="AG222" s="80"/>
      <c r="AH222" s="80"/>
      <c r="AI222" s="80"/>
    </row>
    <row r="223" spans="1:35" x14ac:dyDescent="0.2">
      <c r="A223" s="2"/>
      <c r="B223" s="80"/>
      <c r="C223" s="80"/>
      <c r="D223" s="80"/>
      <c r="E223" s="80"/>
      <c r="F223" s="80"/>
      <c r="G223" s="80"/>
      <c r="H223" s="80"/>
      <c r="I223" s="80"/>
      <c r="J223" s="80"/>
      <c r="K223" s="80"/>
      <c r="L223" s="2"/>
      <c r="M223" s="2"/>
      <c r="N223" s="2"/>
      <c r="O223" s="2"/>
      <c r="P223" s="2"/>
      <c r="Q223" s="2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80"/>
      <c r="AC223" s="80"/>
      <c r="AD223" s="80"/>
      <c r="AE223" s="80"/>
      <c r="AF223" s="80"/>
      <c r="AG223" s="80"/>
      <c r="AH223" s="80"/>
      <c r="AI223" s="80"/>
    </row>
    <row r="224" spans="1:35" x14ac:dyDescent="0.2">
      <c r="A224" s="2"/>
      <c r="B224" s="80"/>
      <c r="C224" s="80"/>
      <c r="D224" s="80"/>
      <c r="E224" s="80"/>
      <c r="F224" s="80"/>
      <c r="G224" s="80"/>
      <c r="H224" s="80"/>
      <c r="I224" s="80"/>
      <c r="J224" s="80"/>
      <c r="K224" s="80"/>
      <c r="L224" s="2"/>
      <c r="M224" s="2"/>
      <c r="N224" s="2"/>
      <c r="O224" s="2"/>
      <c r="P224" s="2"/>
      <c r="Q224" s="2"/>
      <c r="R224" s="80"/>
      <c r="S224" s="80"/>
      <c r="T224" s="80"/>
      <c r="U224" s="80"/>
      <c r="V224" s="80"/>
      <c r="W224" s="80"/>
      <c r="X224" s="80"/>
      <c r="Y224" s="80"/>
      <c r="Z224" s="80"/>
      <c r="AA224" s="80"/>
      <c r="AB224" s="80"/>
      <c r="AC224" s="80"/>
      <c r="AD224" s="80"/>
      <c r="AE224" s="80"/>
      <c r="AF224" s="80"/>
      <c r="AG224" s="80"/>
      <c r="AH224" s="80"/>
      <c r="AI224" s="80"/>
    </row>
    <row r="225" spans="1:35" x14ac:dyDescent="0.2">
      <c r="A225" s="2"/>
      <c r="B225" s="80"/>
      <c r="C225" s="80"/>
      <c r="D225" s="80"/>
      <c r="E225" s="80"/>
      <c r="F225" s="80"/>
      <c r="G225" s="80"/>
      <c r="H225" s="80"/>
      <c r="I225" s="80"/>
      <c r="J225" s="80"/>
      <c r="K225" s="80"/>
      <c r="L225" s="2"/>
      <c r="M225" s="2"/>
      <c r="N225" s="2"/>
      <c r="O225" s="2"/>
      <c r="P225" s="2"/>
      <c r="Q225" s="2"/>
      <c r="R225" s="80"/>
      <c r="S225" s="80"/>
      <c r="T225" s="80"/>
      <c r="U225" s="80"/>
      <c r="V225" s="80"/>
      <c r="W225" s="80"/>
      <c r="X225" s="80"/>
      <c r="Y225" s="80"/>
      <c r="Z225" s="80"/>
      <c r="AA225" s="80"/>
      <c r="AB225" s="80"/>
      <c r="AC225" s="80"/>
      <c r="AD225" s="80"/>
      <c r="AE225" s="80"/>
      <c r="AF225" s="80"/>
      <c r="AG225" s="80"/>
      <c r="AH225" s="80"/>
      <c r="AI225" s="80"/>
    </row>
    <row r="226" spans="1:35" x14ac:dyDescent="0.2">
      <c r="A226" s="2"/>
      <c r="B226" s="80"/>
      <c r="C226" s="80"/>
      <c r="D226" s="80"/>
      <c r="E226" s="80"/>
      <c r="F226" s="80"/>
      <c r="G226" s="80"/>
      <c r="H226" s="80"/>
      <c r="I226" s="80"/>
      <c r="J226" s="80"/>
      <c r="K226" s="80"/>
      <c r="L226" s="2"/>
      <c r="M226" s="2"/>
      <c r="N226" s="2"/>
      <c r="O226" s="2"/>
      <c r="P226" s="2"/>
      <c r="Q226" s="2"/>
      <c r="R226" s="80"/>
      <c r="S226" s="80"/>
      <c r="T226" s="80"/>
      <c r="U226" s="80"/>
      <c r="V226" s="80"/>
      <c r="W226" s="80"/>
      <c r="X226" s="80"/>
      <c r="Y226" s="80"/>
      <c r="Z226" s="80"/>
      <c r="AA226" s="80"/>
      <c r="AB226" s="80"/>
      <c r="AC226" s="80"/>
      <c r="AD226" s="80"/>
      <c r="AE226" s="80"/>
      <c r="AF226" s="80"/>
      <c r="AG226" s="80"/>
      <c r="AH226" s="80"/>
      <c r="AI226" s="80"/>
    </row>
    <row r="227" spans="1:35" x14ac:dyDescent="0.2">
      <c r="A227" s="2"/>
      <c r="B227" s="80"/>
      <c r="C227" s="80"/>
      <c r="D227" s="80"/>
      <c r="E227" s="80"/>
      <c r="F227" s="80"/>
      <c r="G227" s="80"/>
      <c r="H227" s="80"/>
      <c r="I227" s="80"/>
      <c r="J227" s="80"/>
      <c r="K227" s="80"/>
      <c r="L227" s="2"/>
      <c r="M227" s="2"/>
      <c r="N227" s="2"/>
      <c r="O227" s="2"/>
      <c r="P227" s="2"/>
      <c r="Q227" s="2"/>
      <c r="R227" s="80"/>
      <c r="S227" s="80"/>
      <c r="T227" s="80"/>
      <c r="U227" s="80"/>
      <c r="V227" s="80"/>
      <c r="W227" s="80"/>
      <c r="X227" s="80"/>
      <c r="Y227" s="80"/>
      <c r="Z227" s="80"/>
      <c r="AA227" s="80"/>
      <c r="AB227" s="80"/>
      <c r="AC227" s="80"/>
      <c r="AD227" s="80"/>
      <c r="AE227" s="80"/>
      <c r="AF227" s="80"/>
      <c r="AG227" s="80"/>
      <c r="AH227" s="80"/>
      <c r="AI227" s="80"/>
    </row>
    <row r="228" spans="1:35" x14ac:dyDescent="0.2">
      <c r="A228" s="2"/>
      <c r="B228" s="80"/>
      <c r="C228" s="80"/>
      <c r="D228" s="80"/>
      <c r="E228" s="80"/>
      <c r="F228" s="80"/>
      <c r="G228" s="80"/>
      <c r="H228" s="80"/>
      <c r="I228" s="80"/>
      <c r="J228" s="80"/>
      <c r="K228" s="80"/>
      <c r="L228" s="2"/>
      <c r="M228" s="2"/>
      <c r="N228" s="2"/>
      <c r="O228" s="2"/>
      <c r="P228" s="2"/>
      <c r="Q228" s="2"/>
      <c r="R228" s="80"/>
      <c r="S228" s="80"/>
      <c r="T228" s="80"/>
      <c r="U228" s="80"/>
      <c r="V228" s="80"/>
      <c r="W228" s="80"/>
      <c r="X228" s="80"/>
      <c r="Y228" s="80"/>
      <c r="Z228" s="80"/>
      <c r="AA228" s="80"/>
      <c r="AB228" s="80"/>
      <c r="AC228" s="80"/>
      <c r="AD228" s="80"/>
      <c r="AE228" s="80"/>
      <c r="AF228" s="80"/>
      <c r="AG228" s="80"/>
      <c r="AH228" s="80"/>
      <c r="AI228" s="80"/>
    </row>
    <row r="229" spans="1:35" x14ac:dyDescent="0.2">
      <c r="A229" s="2"/>
      <c r="B229" s="80"/>
      <c r="C229" s="80"/>
      <c r="D229" s="80"/>
      <c r="E229" s="80"/>
      <c r="F229" s="80"/>
      <c r="G229" s="80"/>
      <c r="H229" s="80"/>
      <c r="I229" s="80"/>
      <c r="J229" s="80"/>
      <c r="K229" s="80"/>
      <c r="L229" s="2"/>
      <c r="M229" s="2"/>
      <c r="N229" s="2"/>
      <c r="O229" s="2"/>
      <c r="P229" s="2"/>
      <c r="Q229" s="2"/>
      <c r="R229" s="80"/>
      <c r="S229" s="80"/>
      <c r="T229" s="80"/>
      <c r="U229" s="80"/>
      <c r="V229" s="80"/>
      <c r="W229" s="80"/>
      <c r="X229" s="80"/>
      <c r="Y229" s="80"/>
      <c r="Z229" s="80"/>
      <c r="AA229" s="80"/>
      <c r="AB229" s="80"/>
      <c r="AC229" s="80"/>
      <c r="AD229" s="80"/>
      <c r="AE229" s="80"/>
      <c r="AF229" s="80"/>
      <c r="AG229" s="80"/>
      <c r="AH229" s="80"/>
      <c r="AI229" s="80"/>
    </row>
    <row r="230" spans="1:35" x14ac:dyDescent="0.2">
      <c r="A230" s="2"/>
      <c r="B230" s="80"/>
      <c r="C230" s="80"/>
      <c r="D230" s="80"/>
      <c r="E230" s="80"/>
      <c r="F230" s="80"/>
      <c r="G230" s="80"/>
      <c r="H230" s="80"/>
      <c r="I230" s="80"/>
      <c r="J230" s="80"/>
      <c r="K230" s="80"/>
      <c r="L230" s="2"/>
      <c r="M230" s="2"/>
      <c r="N230" s="2"/>
      <c r="O230" s="2"/>
      <c r="P230" s="2"/>
      <c r="Q230" s="2"/>
      <c r="R230" s="80"/>
      <c r="S230" s="80"/>
      <c r="T230" s="80"/>
      <c r="U230" s="80"/>
      <c r="V230" s="80"/>
      <c r="W230" s="80"/>
      <c r="X230" s="80"/>
      <c r="Y230" s="80"/>
      <c r="Z230" s="80"/>
      <c r="AA230" s="80"/>
      <c r="AB230" s="80"/>
      <c r="AC230" s="80"/>
      <c r="AD230" s="80"/>
      <c r="AE230" s="80"/>
      <c r="AF230" s="80"/>
      <c r="AG230" s="80"/>
      <c r="AH230" s="80"/>
      <c r="AI230" s="80"/>
    </row>
    <row r="231" spans="1:35" x14ac:dyDescent="0.2">
      <c r="A231" s="2"/>
      <c r="B231" s="80"/>
      <c r="C231" s="80"/>
      <c r="D231" s="80"/>
      <c r="E231" s="80"/>
      <c r="F231" s="80"/>
      <c r="G231" s="80"/>
      <c r="H231" s="80"/>
      <c r="I231" s="80"/>
      <c r="J231" s="80"/>
      <c r="K231" s="80"/>
      <c r="L231" s="2"/>
      <c r="M231" s="2"/>
      <c r="N231" s="2"/>
      <c r="O231" s="2"/>
      <c r="P231" s="2"/>
      <c r="Q231" s="2"/>
      <c r="R231" s="80"/>
      <c r="S231" s="80"/>
      <c r="T231" s="80"/>
      <c r="U231" s="80"/>
      <c r="V231" s="80"/>
      <c r="W231" s="80"/>
      <c r="X231" s="80"/>
      <c r="Y231" s="80"/>
      <c r="Z231" s="80"/>
      <c r="AA231" s="80"/>
      <c r="AB231" s="80"/>
      <c r="AC231" s="80"/>
      <c r="AD231" s="80"/>
      <c r="AE231" s="80"/>
      <c r="AF231" s="80"/>
      <c r="AG231" s="80"/>
      <c r="AH231" s="80"/>
      <c r="AI231" s="80"/>
    </row>
    <row r="232" spans="1:35" x14ac:dyDescent="0.2">
      <c r="A232" s="2"/>
      <c r="B232" s="80"/>
      <c r="C232" s="80"/>
      <c r="D232" s="80"/>
      <c r="E232" s="80"/>
      <c r="F232" s="80"/>
      <c r="G232" s="80"/>
      <c r="H232" s="80"/>
      <c r="I232" s="80"/>
      <c r="J232" s="80"/>
      <c r="K232" s="80"/>
      <c r="L232" s="2"/>
      <c r="M232" s="2"/>
      <c r="N232" s="2"/>
      <c r="O232" s="2"/>
      <c r="P232" s="2"/>
      <c r="Q232" s="2"/>
      <c r="R232" s="80"/>
      <c r="S232" s="80"/>
      <c r="T232" s="80"/>
      <c r="U232" s="80"/>
      <c r="V232" s="80"/>
      <c r="W232" s="80"/>
      <c r="X232" s="80"/>
      <c r="Y232" s="80"/>
      <c r="Z232" s="80"/>
      <c r="AA232" s="80"/>
      <c r="AB232" s="80"/>
      <c r="AC232" s="80"/>
      <c r="AD232" s="80"/>
      <c r="AE232" s="80"/>
      <c r="AF232" s="80"/>
      <c r="AG232" s="80"/>
      <c r="AH232" s="80"/>
      <c r="AI232" s="80"/>
    </row>
    <row r="233" spans="1:35" x14ac:dyDescent="0.2">
      <c r="A233" s="2"/>
      <c r="B233" s="80"/>
      <c r="C233" s="80"/>
      <c r="D233" s="80"/>
      <c r="E233" s="80"/>
      <c r="F233" s="80"/>
      <c r="G233" s="80"/>
      <c r="H233" s="80"/>
      <c r="I233" s="80"/>
      <c r="J233" s="80"/>
      <c r="K233" s="80"/>
      <c r="L233" s="2"/>
      <c r="M233" s="2"/>
      <c r="N233" s="2"/>
      <c r="O233" s="2"/>
      <c r="P233" s="2"/>
      <c r="Q233" s="2"/>
      <c r="R233" s="80"/>
      <c r="S233" s="80"/>
      <c r="T233" s="80"/>
      <c r="U233" s="80"/>
      <c r="V233" s="80"/>
      <c r="W233" s="80"/>
      <c r="X233" s="80"/>
      <c r="Y233" s="80"/>
      <c r="Z233" s="80"/>
      <c r="AA233" s="80"/>
      <c r="AB233" s="80"/>
      <c r="AC233" s="80"/>
      <c r="AD233" s="80"/>
      <c r="AE233" s="80"/>
      <c r="AF233" s="80"/>
      <c r="AG233" s="80"/>
      <c r="AH233" s="80"/>
      <c r="AI233" s="80"/>
    </row>
    <row r="234" spans="1:35" x14ac:dyDescent="0.2">
      <c r="A234" s="2"/>
      <c r="B234" s="80"/>
      <c r="C234" s="80"/>
      <c r="D234" s="80"/>
      <c r="E234" s="80"/>
      <c r="F234" s="80"/>
      <c r="G234" s="80"/>
      <c r="H234" s="80"/>
      <c r="I234" s="80"/>
      <c r="J234" s="80"/>
      <c r="K234" s="80"/>
      <c r="L234" s="2"/>
      <c r="M234" s="2"/>
      <c r="N234" s="2"/>
      <c r="O234" s="2"/>
      <c r="P234" s="2"/>
      <c r="Q234" s="2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80"/>
      <c r="AC234" s="80"/>
      <c r="AD234" s="80"/>
      <c r="AE234" s="80"/>
      <c r="AF234" s="80"/>
      <c r="AG234" s="80"/>
      <c r="AH234" s="80"/>
      <c r="AI234" s="80"/>
    </row>
    <row r="235" spans="1:35" x14ac:dyDescent="0.2">
      <c r="A235" s="2"/>
      <c r="B235" s="80"/>
      <c r="C235" s="80"/>
      <c r="D235" s="80"/>
      <c r="E235" s="80"/>
      <c r="F235" s="80"/>
      <c r="G235" s="80"/>
      <c r="H235" s="80"/>
      <c r="I235" s="80"/>
      <c r="J235" s="80"/>
      <c r="K235" s="80"/>
      <c r="L235" s="2"/>
      <c r="M235" s="2"/>
      <c r="N235" s="2"/>
      <c r="O235" s="2"/>
      <c r="P235" s="2"/>
      <c r="Q235" s="2"/>
      <c r="R235" s="80"/>
      <c r="S235" s="80"/>
      <c r="T235" s="80"/>
      <c r="U235" s="80"/>
      <c r="V235" s="80"/>
      <c r="W235" s="80"/>
      <c r="X235" s="80"/>
      <c r="Y235" s="80"/>
      <c r="Z235" s="80"/>
      <c r="AA235" s="80"/>
      <c r="AB235" s="80"/>
      <c r="AC235" s="80"/>
      <c r="AD235" s="80"/>
      <c r="AE235" s="80"/>
      <c r="AF235" s="80"/>
      <c r="AG235" s="80"/>
      <c r="AH235" s="80"/>
      <c r="AI235" s="80"/>
    </row>
    <row r="236" spans="1:35" x14ac:dyDescent="0.2">
      <c r="A236" s="2"/>
      <c r="B236" s="80"/>
      <c r="C236" s="80"/>
      <c r="D236" s="80"/>
      <c r="E236" s="80"/>
      <c r="F236" s="80"/>
      <c r="G236" s="80"/>
      <c r="H236" s="80"/>
      <c r="I236" s="80"/>
      <c r="J236" s="80"/>
      <c r="K236" s="80"/>
      <c r="L236" s="2"/>
      <c r="M236" s="2"/>
      <c r="N236" s="2"/>
      <c r="O236" s="2"/>
      <c r="P236" s="2"/>
      <c r="Q236" s="2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80"/>
      <c r="AC236" s="80"/>
      <c r="AD236" s="80"/>
      <c r="AE236" s="80"/>
      <c r="AF236" s="80"/>
      <c r="AG236" s="80"/>
      <c r="AH236" s="80"/>
      <c r="AI236" s="80"/>
    </row>
    <row r="237" spans="1:35" x14ac:dyDescent="0.2">
      <c r="A237" s="2"/>
      <c r="B237" s="80"/>
      <c r="C237" s="80"/>
      <c r="D237" s="80"/>
      <c r="E237" s="80"/>
      <c r="F237" s="80"/>
      <c r="G237" s="80"/>
      <c r="H237" s="80"/>
      <c r="I237" s="80"/>
      <c r="J237" s="80"/>
      <c r="K237" s="80"/>
      <c r="L237" s="2"/>
      <c r="M237" s="2"/>
      <c r="N237" s="2"/>
      <c r="O237" s="2"/>
      <c r="P237" s="2"/>
      <c r="Q237" s="2"/>
      <c r="R237" s="80"/>
      <c r="S237" s="80"/>
      <c r="T237" s="80"/>
      <c r="U237" s="80"/>
      <c r="V237" s="80"/>
      <c r="W237" s="80"/>
      <c r="X237" s="80"/>
      <c r="Y237" s="80"/>
      <c r="Z237" s="80"/>
      <c r="AA237" s="80"/>
      <c r="AB237" s="80"/>
      <c r="AC237" s="80"/>
      <c r="AD237" s="80"/>
      <c r="AE237" s="80"/>
      <c r="AF237" s="80"/>
      <c r="AG237" s="80"/>
      <c r="AH237" s="80"/>
      <c r="AI237" s="80"/>
    </row>
    <row r="238" spans="1:35" x14ac:dyDescent="0.2">
      <c r="A238" s="2"/>
      <c r="B238" s="80"/>
      <c r="C238" s="80"/>
      <c r="D238" s="80"/>
      <c r="E238" s="80"/>
      <c r="F238" s="80"/>
      <c r="G238" s="80"/>
      <c r="H238" s="80"/>
      <c r="I238" s="80"/>
      <c r="J238" s="80"/>
      <c r="K238" s="80"/>
      <c r="L238" s="2"/>
      <c r="M238" s="2"/>
      <c r="N238" s="2"/>
      <c r="O238" s="2"/>
      <c r="P238" s="2"/>
      <c r="Q238" s="2"/>
      <c r="R238" s="80"/>
      <c r="S238" s="80"/>
      <c r="T238" s="80"/>
      <c r="U238" s="80"/>
      <c r="V238" s="80"/>
      <c r="W238" s="80"/>
      <c r="X238" s="80"/>
      <c r="Y238" s="80"/>
      <c r="Z238" s="80"/>
      <c r="AA238" s="80"/>
      <c r="AB238" s="80"/>
      <c r="AC238" s="80"/>
      <c r="AD238" s="80"/>
      <c r="AE238" s="80"/>
      <c r="AF238" s="80"/>
      <c r="AG238" s="80"/>
      <c r="AH238" s="80"/>
      <c r="AI238" s="80"/>
    </row>
    <row r="239" spans="1:35" x14ac:dyDescent="0.2">
      <c r="A239" s="2"/>
      <c r="B239" s="80"/>
      <c r="C239" s="80"/>
      <c r="D239" s="80"/>
      <c r="E239" s="80"/>
      <c r="F239" s="80"/>
      <c r="G239" s="80"/>
      <c r="H239" s="80"/>
      <c r="I239" s="80"/>
      <c r="J239" s="80"/>
      <c r="K239" s="80"/>
      <c r="L239" s="2"/>
      <c r="M239" s="2"/>
      <c r="N239" s="2"/>
      <c r="O239" s="2"/>
      <c r="P239" s="2"/>
      <c r="Q239" s="2"/>
      <c r="R239" s="80"/>
      <c r="S239" s="80"/>
      <c r="T239" s="80"/>
      <c r="U239" s="80"/>
      <c r="V239" s="80"/>
      <c r="W239" s="80"/>
      <c r="X239" s="80"/>
      <c r="Y239" s="80"/>
      <c r="Z239" s="80"/>
      <c r="AA239" s="80"/>
      <c r="AB239" s="80"/>
      <c r="AC239" s="80"/>
      <c r="AD239" s="80"/>
      <c r="AE239" s="80"/>
      <c r="AF239" s="80"/>
      <c r="AG239" s="80"/>
      <c r="AH239" s="80"/>
      <c r="AI239" s="80"/>
    </row>
    <row r="240" spans="1:35" x14ac:dyDescent="0.2">
      <c r="A240" s="2"/>
      <c r="B240" s="80"/>
      <c r="C240" s="80"/>
      <c r="D240" s="80"/>
      <c r="E240" s="80"/>
      <c r="F240" s="80"/>
      <c r="G240" s="80"/>
      <c r="H240" s="80"/>
      <c r="I240" s="80"/>
      <c r="J240" s="80"/>
      <c r="K240" s="80"/>
      <c r="L240" s="2"/>
      <c r="M240" s="2"/>
      <c r="N240" s="2"/>
      <c r="O240" s="2"/>
      <c r="P240" s="2"/>
      <c r="Q240" s="2"/>
      <c r="R240" s="80"/>
      <c r="S240" s="80"/>
      <c r="T240" s="80"/>
      <c r="U240" s="80"/>
      <c r="V240" s="80"/>
      <c r="W240" s="80"/>
      <c r="X240" s="80"/>
      <c r="Y240" s="80"/>
      <c r="Z240" s="80"/>
      <c r="AA240" s="80"/>
      <c r="AB240" s="80"/>
      <c r="AC240" s="80"/>
      <c r="AD240" s="80"/>
      <c r="AE240" s="80"/>
      <c r="AF240" s="80"/>
      <c r="AG240" s="80"/>
      <c r="AH240" s="80"/>
      <c r="AI240" s="80"/>
    </row>
    <row r="241" spans="1:35" x14ac:dyDescent="0.2">
      <c r="A241" s="2"/>
      <c r="B241" s="80"/>
      <c r="C241" s="80"/>
      <c r="D241" s="80"/>
      <c r="E241" s="80"/>
      <c r="F241" s="80"/>
      <c r="G241" s="80"/>
      <c r="H241" s="80"/>
      <c r="I241" s="80"/>
      <c r="J241" s="80"/>
      <c r="K241" s="80"/>
      <c r="L241" s="2"/>
      <c r="M241" s="2"/>
      <c r="N241" s="2"/>
      <c r="O241" s="2"/>
      <c r="P241" s="2"/>
      <c r="Q241" s="2"/>
      <c r="R241" s="80"/>
      <c r="S241" s="80"/>
      <c r="T241" s="80"/>
      <c r="U241" s="80"/>
      <c r="V241" s="80"/>
      <c r="W241" s="80"/>
      <c r="X241" s="80"/>
      <c r="Y241" s="80"/>
      <c r="Z241" s="80"/>
      <c r="AA241" s="80"/>
      <c r="AB241" s="80"/>
      <c r="AC241" s="80"/>
      <c r="AD241" s="80"/>
      <c r="AE241" s="80"/>
      <c r="AF241" s="80"/>
      <c r="AG241" s="80"/>
      <c r="AH241" s="80"/>
      <c r="AI241" s="80"/>
    </row>
    <row r="242" spans="1:35" x14ac:dyDescent="0.2">
      <c r="A242" s="2"/>
      <c r="B242" s="80"/>
      <c r="C242" s="80"/>
      <c r="D242" s="80"/>
      <c r="E242" s="80"/>
      <c r="F242" s="80"/>
      <c r="G242" s="80"/>
      <c r="H242" s="80"/>
      <c r="I242" s="80"/>
      <c r="J242" s="80"/>
      <c r="K242" s="80"/>
      <c r="L242" s="2"/>
      <c r="M242" s="2"/>
      <c r="N242" s="2"/>
      <c r="O242" s="2"/>
      <c r="P242" s="2"/>
      <c r="Q242" s="2"/>
      <c r="R242" s="80"/>
      <c r="S242" s="80"/>
      <c r="T242" s="80"/>
      <c r="U242" s="80"/>
      <c r="V242" s="80"/>
      <c r="W242" s="80"/>
      <c r="X242" s="80"/>
      <c r="Y242" s="80"/>
      <c r="Z242" s="80"/>
      <c r="AA242" s="80"/>
      <c r="AB242" s="80"/>
      <c r="AC242" s="80"/>
      <c r="AD242" s="80"/>
      <c r="AE242" s="80"/>
      <c r="AF242" s="80"/>
      <c r="AG242" s="80"/>
      <c r="AH242" s="80"/>
      <c r="AI242" s="80"/>
    </row>
    <row r="243" spans="1:35" x14ac:dyDescent="0.2">
      <c r="A243" s="2"/>
      <c r="B243" s="80"/>
      <c r="C243" s="80"/>
      <c r="D243" s="80"/>
      <c r="E243" s="80"/>
      <c r="F243" s="80"/>
      <c r="G243" s="80"/>
      <c r="H243" s="80"/>
      <c r="I243" s="80"/>
      <c r="J243" s="80"/>
      <c r="K243" s="80"/>
      <c r="L243" s="2"/>
      <c r="M243" s="2"/>
      <c r="N243" s="2"/>
      <c r="O243" s="2"/>
      <c r="P243" s="2"/>
      <c r="Q243" s="2"/>
      <c r="R243" s="80"/>
      <c r="S243" s="80"/>
      <c r="T243" s="80"/>
      <c r="U243" s="80"/>
      <c r="V243" s="80"/>
      <c r="W243" s="80"/>
      <c r="X243" s="80"/>
      <c r="Y243" s="80"/>
      <c r="Z243" s="80"/>
      <c r="AA243" s="80"/>
      <c r="AB243" s="80"/>
      <c r="AC243" s="80"/>
      <c r="AD243" s="80"/>
      <c r="AE243" s="80"/>
      <c r="AF243" s="80"/>
      <c r="AG243" s="80"/>
      <c r="AH243" s="80"/>
      <c r="AI243" s="80"/>
    </row>
    <row r="244" spans="1:35" x14ac:dyDescent="0.2">
      <c r="A244" s="2"/>
      <c r="B244" s="80"/>
      <c r="C244" s="80"/>
      <c r="D244" s="80"/>
      <c r="E244" s="80"/>
      <c r="F244" s="80"/>
      <c r="G244" s="80"/>
      <c r="H244" s="80"/>
      <c r="I244" s="80"/>
      <c r="J244" s="80"/>
      <c r="K244" s="80"/>
      <c r="L244" s="2"/>
      <c r="M244" s="2"/>
      <c r="N244" s="2"/>
      <c r="O244" s="2"/>
      <c r="P244" s="2"/>
      <c r="Q244" s="2"/>
      <c r="R244" s="80"/>
      <c r="S244" s="80"/>
      <c r="T244" s="80"/>
      <c r="U244" s="80"/>
      <c r="V244" s="80"/>
      <c r="W244" s="80"/>
      <c r="X244" s="80"/>
      <c r="Y244" s="80"/>
      <c r="Z244" s="80"/>
      <c r="AA244" s="80"/>
      <c r="AB244" s="80"/>
      <c r="AC244" s="80"/>
      <c r="AD244" s="80"/>
      <c r="AE244" s="80"/>
      <c r="AF244" s="80"/>
      <c r="AG244" s="80"/>
      <c r="AH244" s="80"/>
      <c r="AI244" s="80"/>
    </row>
    <row r="245" spans="1:35" x14ac:dyDescent="0.2">
      <c r="A245" s="2"/>
      <c r="B245" s="80"/>
      <c r="C245" s="80"/>
      <c r="D245" s="80"/>
      <c r="E245" s="80"/>
      <c r="F245" s="80"/>
      <c r="G245" s="80"/>
      <c r="H245" s="80"/>
      <c r="I245" s="80"/>
      <c r="J245" s="80"/>
      <c r="K245" s="80"/>
      <c r="L245" s="2"/>
      <c r="M245" s="2"/>
      <c r="N245" s="2"/>
      <c r="O245" s="2"/>
      <c r="P245" s="2"/>
      <c r="Q245" s="2"/>
      <c r="R245" s="80"/>
      <c r="S245" s="80"/>
      <c r="T245" s="80"/>
      <c r="U245" s="80"/>
      <c r="V245" s="80"/>
      <c r="W245" s="80"/>
      <c r="X245" s="80"/>
      <c r="Y245" s="80"/>
      <c r="Z245" s="80"/>
      <c r="AA245" s="80"/>
      <c r="AB245" s="80"/>
      <c r="AC245" s="80"/>
      <c r="AD245" s="80"/>
      <c r="AE245" s="80"/>
      <c r="AF245" s="80"/>
      <c r="AG245" s="80"/>
      <c r="AH245" s="80"/>
      <c r="AI245" s="80"/>
    </row>
    <row r="246" spans="1:35" x14ac:dyDescent="0.2">
      <c r="A246" s="2"/>
      <c r="B246" s="80"/>
      <c r="C246" s="80"/>
      <c r="D246" s="80"/>
      <c r="E246" s="80"/>
      <c r="F246" s="80"/>
      <c r="G246" s="80"/>
      <c r="H246" s="80"/>
      <c r="I246" s="80"/>
      <c r="J246" s="80"/>
      <c r="K246" s="80"/>
      <c r="L246" s="2"/>
      <c r="M246" s="2"/>
      <c r="N246" s="2"/>
      <c r="O246" s="2"/>
      <c r="P246" s="2"/>
      <c r="Q246" s="2"/>
      <c r="R246" s="80"/>
      <c r="S246" s="80"/>
      <c r="T246" s="80"/>
      <c r="U246" s="80"/>
      <c r="V246" s="80"/>
      <c r="W246" s="80"/>
      <c r="X246" s="80"/>
      <c r="Y246" s="80"/>
      <c r="Z246" s="80"/>
      <c r="AA246" s="80"/>
      <c r="AB246" s="80"/>
      <c r="AC246" s="80"/>
      <c r="AD246" s="80"/>
      <c r="AE246" s="80"/>
      <c r="AF246" s="80"/>
      <c r="AG246" s="80"/>
      <c r="AH246" s="80"/>
      <c r="AI246" s="80"/>
    </row>
    <row r="247" spans="1:35" x14ac:dyDescent="0.2">
      <c r="A247" s="2"/>
      <c r="B247" s="80"/>
      <c r="C247" s="80"/>
      <c r="D247" s="80"/>
      <c r="E247" s="80"/>
      <c r="F247" s="80"/>
      <c r="G247" s="80"/>
      <c r="H247" s="80"/>
      <c r="I247" s="80"/>
      <c r="J247" s="80"/>
      <c r="K247" s="80"/>
      <c r="L247" s="2"/>
      <c r="M247" s="2"/>
      <c r="N247" s="2"/>
      <c r="O247" s="2"/>
      <c r="P247" s="2"/>
      <c r="Q247" s="2"/>
      <c r="R247" s="80"/>
      <c r="S247" s="80"/>
      <c r="T247" s="80"/>
      <c r="U247" s="80"/>
      <c r="V247" s="80"/>
      <c r="W247" s="80"/>
      <c r="X247" s="80"/>
      <c r="Y247" s="80"/>
      <c r="Z247" s="80"/>
      <c r="AA247" s="80"/>
      <c r="AB247" s="80"/>
      <c r="AC247" s="80"/>
      <c r="AD247" s="80"/>
      <c r="AE247" s="80"/>
      <c r="AF247" s="80"/>
      <c r="AG247" s="80"/>
      <c r="AH247" s="80"/>
      <c r="AI247" s="80"/>
    </row>
    <row r="248" spans="1:35" x14ac:dyDescent="0.2">
      <c r="A248" s="2"/>
      <c r="B248" s="80"/>
      <c r="C248" s="80"/>
      <c r="D248" s="80"/>
      <c r="E248" s="80"/>
      <c r="F248" s="80"/>
      <c r="G248" s="80"/>
      <c r="H248" s="80"/>
      <c r="I248" s="80"/>
      <c r="J248" s="80"/>
      <c r="K248" s="80"/>
      <c r="L248" s="2"/>
      <c r="M248" s="2"/>
      <c r="N248" s="2"/>
      <c r="O248" s="2"/>
      <c r="P248" s="2"/>
      <c r="Q248" s="2"/>
      <c r="R248" s="80"/>
      <c r="S248" s="80"/>
      <c r="T248" s="80"/>
      <c r="U248" s="80"/>
      <c r="V248" s="80"/>
      <c r="W248" s="80"/>
      <c r="X248" s="80"/>
      <c r="Y248" s="80"/>
      <c r="Z248" s="80"/>
      <c r="AA248" s="80"/>
      <c r="AB248" s="80"/>
      <c r="AC248" s="80"/>
      <c r="AD248" s="80"/>
      <c r="AE248" s="80"/>
      <c r="AF248" s="80"/>
      <c r="AG248" s="80"/>
      <c r="AH248" s="80"/>
      <c r="AI248" s="80"/>
    </row>
    <row r="249" spans="1:35" x14ac:dyDescent="0.2">
      <c r="A249" s="2"/>
      <c r="B249" s="80"/>
      <c r="C249" s="80"/>
      <c r="D249" s="80"/>
      <c r="E249" s="80"/>
      <c r="F249" s="80"/>
      <c r="G249" s="80"/>
      <c r="H249" s="80"/>
      <c r="I249" s="80"/>
      <c r="J249" s="80"/>
      <c r="K249" s="80"/>
      <c r="L249" s="2"/>
      <c r="M249" s="2"/>
      <c r="N249" s="2"/>
      <c r="O249" s="2"/>
      <c r="P249" s="2"/>
      <c r="Q249" s="2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E249" s="80"/>
      <c r="AF249" s="80"/>
      <c r="AG249" s="80"/>
      <c r="AH249" s="80"/>
      <c r="AI249" s="80"/>
    </row>
    <row r="250" spans="1:35" x14ac:dyDescent="0.2">
      <c r="A250" s="2"/>
      <c r="B250" s="80"/>
      <c r="C250" s="80"/>
      <c r="D250" s="80"/>
      <c r="E250" s="80"/>
      <c r="F250" s="80"/>
      <c r="G250" s="80"/>
      <c r="H250" s="80"/>
      <c r="I250" s="80"/>
      <c r="J250" s="80"/>
      <c r="K250" s="80"/>
      <c r="L250" s="2"/>
      <c r="M250" s="2"/>
      <c r="N250" s="2"/>
      <c r="O250" s="2"/>
      <c r="P250" s="2"/>
      <c r="Q250" s="2"/>
      <c r="R250" s="80"/>
      <c r="S250" s="80"/>
      <c r="T250" s="80"/>
      <c r="U250" s="80"/>
      <c r="V250" s="80"/>
      <c r="W250" s="80"/>
      <c r="X250" s="80"/>
      <c r="Y250" s="80"/>
      <c r="Z250" s="80"/>
      <c r="AA250" s="80"/>
      <c r="AB250" s="80"/>
      <c r="AC250" s="80"/>
      <c r="AD250" s="80"/>
      <c r="AE250" s="80"/>
      <c r="AF250" s="80"/>
      <c r="AG250" s="80"/>
      <c r="AH250" s="80"/>
      <c r="AI250" s="80"/>
    </row>
    <row r="251" spans="1:35" x14ac:dyDescent="0.2">
      <c r="A251" s="2"/>
      <c r="B251" s="80"/>
      <c r="C251" s="80"/>
      <c r="D251" s="80"/>
      <c r="E251" s="80"/>
      <c r="F251" s="80"/>
      <c r="G251" s="80"/>
      <c r="H251" s="80"/>
      <c r="I251" s="80"/>
      <c r="J251" s="80"/>
      <c r="K251" s="80"/>
      <c r="L251" s="2"/>
      <c r="M251" s="2"/>
      <c r="N251" s="2"/>
      <c r="O251" s="2"/>
      <c r="P251" s="2"/>
      <c r="Q251" s="2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D251" s="80"/>
      <c r="AE251" s="80"/>
      <c r="AF251" s="80"/>
      <c r="AG251" s="80"/>
      <c r="AH251" s="80"/>
      <c r="AI251" s="80"/>
    </row>
    <row r="252" spans="1:35" x14ac:dyDescent="0.2">
      <c r="A252" s="2"/>
      <c r="B252" s="80"/>
      <c r="C252" s="80"/>
      <c r="D252" s="80"/>
      <c r="E252" s="80"/>
      <c r="F252" s="80"/>
      <c r="G252" s="80"/>
      <c r="H252" s="80"/>
      <c r="I252" s="80"/>
      <c r="J252" s="80"/>
      <c r="K252" s="80"/>
      <c r="L252" s="2"/>
      <c r="M252" s="2"/>
      <c r="N252" s="2"/>
      <c r="O252" s="2"/>
      <c r="P252" s="2"/>
      <c r="Q252" s="2"/>
      <c r="R252" s="80"/>
      <c r="S252" s="80"/>
      <c r="T252" s="80"/>
      <c r="U252" s="80"/>
      <c r="V252" s="80"/>
      <c r="W252" s="80"/>
      <c r="X252" s="80"/>
      <c r="Y252" s="80"/>
      <c r="Z252" s="80"/>
      <c r="AA252" s="80"/>
      <c r="AB252" s="80"/>
      <c r="AC252" s="80"/>
      <c r="AD252" s="80"/>
      <c r="AE252" s="80"/>
      <c r="AF252" s="80"/>
      <c r="AG252" s="80"/>
      <c r="AH252" s="80"/>
      <c r="AI252" s="80"/>
    </row>
    <row r="253" spans="1:35" x14ac:dyDescent="0.2">
      <c r="A253" s="2"/>
      <c r="B253" s="80"/>
      <c r="C253" s="80"/>
      <c r="D253" s="80"/>
      <c r="E253" s="80"/>
      <c r="F253" s="80"/>
      <c r="G253" s="80"/>
      <c r="H253" s="80"/>
      <c r="I253" s="80"/>
      <c r="J253" s="80"/>
      <c r="K253" s="80"/>
      <c r="L253" s="2"/>
      <c r="M253" s="2"/>
      <c r="N253" s="2"/>
      <c r="O253" s="2"/>
      <c r="P253" s="2"/>
      <c r="Q253" s="2"/>
      <c r="R253" s="80"/>
      <c r="S253" s="80"/>
      <c r="T253" s="80"/>
      <c r="U253" s="80"/>
      <c r="V253" s="80"/>
      <c r="W253" s="80"/>
      <c r="X253" s="80"/>
      <c r="Y253" s="80"/>
      <c r="Z253" s="80"/>
      <c r="AA253" s="80"/>
      <c r="AB253" s="80"/>
      <c r="AC253" s="80"/>
      <c r="AD253" s="80"/>
      <c r="AE253" s="80"/>
      <c r="AF253" s="80"/>
      <c r="AG253" s="80"/>
      <c r="AH253" s="80"/>
      <c r="AI253" s="80"/>
    </row>
    <row r="254" spans="1:35" x14ac:dyDescent="0.2">
      <c r="A254" s="2"/>
      <c r="B254" s="80"/>
      <c r="C254" s="80"/>
      <c r="D254" s="80"/>
      <c r="E254" s="80"/>
      <c r="F254" s="80"/>
      <c r="G254" s="80"/>
      <c r="H254" s="80"/>
      <c r="I254" s="80"/>
      <c r="J254" s="80"/>
      <c r="K254" s="80"/>
      <c r="L254" s="2"/>
      <c r="M254" s="2"/>
      <c r="N254" s="2"/>
      <c r="O254" s="2"/>
      <c r="P254" s="2"/>
      <c r="Q254" s="2"/>
      <c r="R254" s="80"/>
      <c r="S254" s="80"/>
      <c r="T254" s="80"/>
      <c r="U254" s="80"/>
      <c r="V254" s="80"/>
      <c r="W254" s="80"/>
      <c r="X254" s="80"/>
      <c r="Y254" s="80"/>
      <c r="Z254" s="80"/>
      <c r="AA254" s="80"/>
      <c r="AB254" s="80"/>
      <c r="AC254" s="80"/>
      <c r="AD254" s="80"/>
      <c r="AE254" s="80"/>
      <c r="AF254" s="80"/>
      <c r="AG254" s="80"/>
      <c r="AH254" s="80"/>
      <c r="AI254" s="80"/>
    </row>
    <row r="255" spans="1:35" x14ac:dyDescent="0.2">
      <c r="A255" s="2"/>
      <c r="B255" s="80"/>
      <c r="C255" s="80"/>
      <c r="D255" s="80"/>
      <c r="E255" s="80"/>
      <c r="F255" s="80"/>
      <c r="G255" s="80"/>
      <c r="H255" s="80"/>
      <c r="I255" s="80"/>
      <c r="J255" s="80"/>
      <c r="K255" s="80"/>
      <c r="L255" s="2"/>
      <c r="M255" s="2"/>
      <c r="N255" s="2"/>
      <c r="O255" s="2"/>
      <c r="P255" s="2"/>
      <c r="Q255" s="2"/>
      <c r="R255" s="80"/>
      <c r="S255" s="80"/>
      <c r="T255" s="80"/>
      <c r="U255" s="80"/>
      <c r="V255" s="80"/>
      <c r="W255" s="80"/>
      <c r="X255" s="80"/>
      <c r="Y255" s="80"/>
      <c r="Z255" s="80"/>
      <c r="AA255" s="80"/>
      <c r="AB255" s="80"/>
      <c r="AC255" s="80"/>
      <c r="AD255" s="80"/>
      <c r="AE255" s="80"/>
      <c r="AF255" s="80"/>
      <c r="AG255" s="80"/>
      <c r="AH255" s="80"/>
      <c r="AI255" s="80"/>
    </row>
    <row r="256" spans="1:35" x14ac:dyDescent="0.2">
      <c r="A256" s="2"/>
      <c r="B256" s="80"/>
      <c r="C256" s="80"/>
      <c r="D256" s="80"/>
      <c r="E256" s="80"/>
      <c r="F256" s="80"/>
      <c r="G256" s="80"/>
      <c r="H256" s="80"/>
      <c r="I256" s="80"/>
      <c r="J256" s="80"/>
      <c r="K256" s="80"/>
      <c r="L256" s="2"/>
      <c r="M256" s="2"/>
      <c r="N256" s="2"/>
      <c r="O256" s="2"/>
      <c r="P256" s="2"/>
      <c r="Q256" s="2"/>
      <c r="R256" s="80"/>
      <c r="S256" s="80"/>
      <c r="T256" s="80"/>
      <c r="U256" s="80"/>
      <c r="V256" s="80"/>
      <c r="W256" s="80"/>
      <c r="X256" s="80"/>
      <c r="Y256" s="80"/>
      <c r="Z256" s="80"/>
      <c r="AA256" s="80"/>
      <c r="AB256" s="80"/>
      <c r="AC256" s="80"/>
      <c r="AD256" s="80"/>
      <c r="AE256" s="80"/>
      <c r="AF256" s="80"/>
      <c r="AG256" s="80"/>
      <c r="AH256" s="80"/>
      <c r="AI256" s="80"/>
    </row>
    <row r="257" spans="1:35" x14ac:dyDescent="0.2">
      <c r="A257" s="2"/>
      <c r="B257" s="80"/>
      <c r="C257" s="80"/>
      <c r="D257" s="80"/>
      <c r="E257" s="80"/>
      <c r="F257" s="80"/>
      <c r="G257" s="80"/>
      <c r="H257" s="80"/>
      <c r="I257" s="80"/>
      <c r="J257" s="80"/>
      <c r="K257" s="80"/>
      <c r="L257" s="2"/>
      <c r="M257" s="2"/>
      <c r="N257" s="2"/>
      <c r="O257" s="2"/>
      <c r="P257" s="2"/>
      <c r="Q257" s="2"/>
      <c r="R257" s="80"/>
      <c r="S257" s="80"/>
      <c r="T257" s="80"/>
      <c r="U257" s="80"/>
      <c r="V257" s="80"/>
      <c r="W257" s="80"/>
      <c r="X257" s="80"/>
      <c r="Y257" s="80"/>
      <c r="Z257" s="80"/>
      <c r="AA257" s="80"/>
      <c r="AB257" s="80"/>
      <c r="AC257" s="80"/>
      <c r="AD257" s="80"/>
      <c r="AE257" s="80"/>
      <c r="AF257" s="80"/>
      <c r="AG257" s="80"/>
      <c r="AH257" s="80"/>
      <c r="AI257" s="80"/>
    </row>
    <row r="258" spans="1:35" x14ac:dyDescent="0.2">
      <c r="A258" s="2"/>
      <c r="B258" s="80"/>
      <c r="C258" s="80"/>
      <c r="D258" s="80"/>
      <c r="E258" s="80"/>
      <c r="F258" s="80"/>
      <c r="G258" s="80"/>
      <c r="H258" s="80"/>
      <c r="I258" s="80"/>
      <c r="J258" s="80"/>
      <c r="K258" s="80"/>
      <c r="L258" s="2"/>
      <c r="M258" s="2"/>
      <c r="N258" s="2"/>
      <c r="O258" s="2"/>
      <c r="P258" s="2"/>
      <c r="Q258" s="2"/>
      <c r="R258" s="80"/>
      <c r="S258" s="80"/>
      <c r="T258" s="80"/>
      <c r="U258" s="80"/>
      <c r="V258" s="80"/>
      <c r="W258" s="80"/>
      <c r="X258" s="80"/>
      <c r="Y258" s="80"/>
      <c r="Z258" s="80"/>
      <c r="AA258" s="80"/>
      <c r="AB258" s="80"/>
      <c r="AC258" s="80"/>
      <c r="AD258" s="80"/>
      <c r="AE258" s="80"/>
      <c r="AF258" s="80"/>
      <c r="AG258" s="80"/>
      <c r="AH258" s="80"/>
      <c r="AI258" s="80"/>
    </row>
    <row r="259" spans="1:35" x14ac:dyDescent="0.2">
      <c r="A259" s="2"/>
      <c r="B259" s="80"/>
      <c r="C259" s="80"/>
      <c r="D259" s="80"/>
      <c r="E259" s="80"/>
      <c r="F259" s="80"/>
      <c r="G259" s="80"/>
      <c r="H259" s="80"/>
      <c r="I259" s="80"/>
      <c r="J259" s="80"/>
      <c r="K259" s="80"/>
      <c r="L259" s="2"/>
      <c r="M259" s="2"/>
      <c r="N259" s="2"/>
      <c r="O259" s="2"/>
      <c r="P259" s="2"/>
      <c r="Q259" s="2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  <c r="AH259" s="80"/>
      <c r="AI259" s="80"/>
    </row>
    <row r="260" spans="1:35" x14ac:dyDescent="0.2">
      <c r="A260" s="2"/>
      <c r="B260" s="80"/>
      <c r="C260" s="80"/>
      <c r="D260" s="80"/>
      <c r="E260" s="80"/>
      <c r="F260" s="80"/>
      <c r="G260" s="80"/>
      <c r="H260" s="80"/>
      <c r="I260" s="80"/>
      <c r="J260" s="80"/>
      <c r="K260" s="80"/>
      <c r="L260" s="2"/>
      <c r="M260" s="2"/>
      <c r="N260" s="2"/>
      <c r="O260" s="2"/>
      <c r="P260" s="2"/>
      <c r="Q260" s="2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80"/>
      <c r="AC260" s="80"/>
      <c r="AD260" s="80"/>
      <c r="AE260" s="80"/>
      <c r="AF260" s="80"/>
      <c r="AG260" s="80"/>
      <c r="AH260" s="80"/>
      <c r="AI260" s="80"/>
    </row>
    <row r="261" spans="1:35" x14ac:dyDescent="0.2">
      <c r="A261" s="2"/>
      <c r="B261" s="80"/>
      <c r="C261" s="80"/>
      <c r="D261" s="80"/>
      <c r="E261" s="80"/>
      <c r="F261" s="80"/>
      <c r="G261" s="80"/>
      <c r="H261" s="80"/>
      <c r="I261" s="80"/>
      <c r="J261" s="80"/>
      <c r="K261" s="80"/>
      <c r="L261" s="2"/>
      <c r="M261" s="2"/>
      <c r="N261" s="2"/>
      <c r="O261" s="2"/>
      <c r="P261" s="2"/>
      <c r="Q261" s="2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80"/>
      <c r="AC261" s="80"/>
      <c r="AD261" s="80"/>
      <c r="AE261" s="80"/>
      <c r="AF261" s="80"/>
      <c r="AG261" s="80"/>
      <c r="AH261" s="80"/>
      <c r="AI261" s="80"/>
    </row>
    <row r="262" spans="1:35" x14ac:dyDescent="0.2">
      <c r="A262" s="2"/>
      <c r="B262" s="80"/>
      <c r="C262" s="80"/>
      <c r="D262" s="80"/>
      <c r="E262" s="80"/>
      <c r="F262" s="80"/>
      <c r="G262" s="80"/>
      <c r="H262" s="80"/>
      <c r="I262" s="80"/>
      <c r="J262" s="80"/>
      <c r="K262" s="80"/>
      <c r="L262" s="2"/>
      <c r="M262" s="2"/>
      <c r="N262" s="2"/>
      <c r="O262" s="2"/>
      <c r="P262" s="2"/>
      <c r="Q262" s="2"/>
      <c r="R262" s="80"/>
      <c r="S262" s="80"/>
      <c r="T262" s="80"/>
      <c r="U262" s="80"/>
      <c r="V262" s="80"/>
      <c r="W262" s="80"/>
      <c r="X262" s="80"/>
      <c r="Y262" s="80"/>
      <c r="Z262" s="80"/>
      <c r="AA262" s="80"/>
      <c r="AB262" s="80"/>
      <c r="AC262" s="80"/>
      <c r="AD262" s="80"/>
      <c r="AE262" s="80"/>
      <c r="AF262" s="80"/>
      <c r="AG262" s="80"/>
      <c r="AH262" s="80"/>
      <c r="AI262" s="80"/>
    </row>
    <row r="263" spans="1:35" x14ac:dyDescent="0.2">
      <c r="A263" s="2"/>
      <c r="B263" s="80"/>
      <c r="C263" s="80"/>
      <c r="D263" s="80"/>
      <c r="E263" s="80"/>
      <c r="F263" s="80"/>
      <c r="G263" s="80"/>
      <c r="H263" s="80"/>
      <c r="I263" s="80"/>
      <c r="J263" s="80"/>
      <c r="K263" s="80"/>
      <c r="L263" s="2"/>
      <c r="M263" s="2"/>
      <c r="N263" s="2"/>
      <c r="O263" s="2"/>
      <c r="P263" s="2"/>
      <c r="Q263" s="2"/>
      <c r="R263" s="80"/>
      <c r="S263" s="80"/>
      <c r="T263" s="80"/>
      <c r="U263" s="80"/>
      <c r="V263" s="80"/>
      <c r="W263" s="80"/>
      <c r="X263" s="80"/>
      <c r="Y263" s="80"/>
      <c r="Z263" s="80"/>
      <c r="AA263" s="80"/>
      <c r="AB263" s="80"/>
      <c r="AC263" s="80"/>
      <c r="AD263" s="80"/>
      <c r="AE263" s="80"/>
      <c r="AF263" s="80"/>
      <c r="AG263" s="80"/>
      <c r="AH263" s="80"/>
      <c r="AI263" s="80"/>
    </row>
    <row r="264" spans="1:35" x14ac:dyDescent="0.2">
      <c r="A264" s="2"/>
      <c r="B264" s="80"/>
      <c r="C264" s="80"/>
      <c r="D264" s="80"/>
      <c r="E264" s="80"/>
      <c r="F264" s="80"/>
      <c r="G264" s="80"/>
      <c r="H264" s="80"/>
      <c r="I264" s="80"/>
      <c r="J264" s="80"/>
      <c r="K264" s="80"/>
      <c r="L264" s="2"/>
      <c r="M264" s="2"/>
      <c r="N264" s="2"/>
      <c r="O264" s="2"/>
      <c r="P264" s="2"/>
      <c r="Q264" s="2"/>
      <c r="R264" s="80"/>
      <c r="S264" s="80"/>
      <c r="T264" s="80"/>
      <c r="U264" s="80"/>
      <c r="V264" s="80"/>
      <c r="W264" s="80"/>
      <c r="X264" s="80"/>
      <c r="Y264" s="80"/>
      <c r="Z264" s="80"/>
      <c r="AA264" s="80"/>
      <c r="AB264" s="80"/>
      <c r="AC264" s="80"/>
      <c r="AD264" s="80"/>
      <c r="AE264" s="80"/>
      <c r="AF264" s="80"/>
      <c r="AG264" s="80"/>
      <c r="AH264" s="80"/>
      <c r="AI264" s="80"/>
    </row>
    <row r="265" spans="1:35" x14ac:dyDescent="0.2">
      <c r="A265" s="2"/>
      <c r="B265" s="80"/>
      <c r="C265" s="80"/>
      <c r="D265" s="80"/>
      <c r="E265" s="80"/>
      <c r="F265" s="80"/>
      <c r="G265" s="80"/>
      <c r="H265" s="80"/>
      <c r="I265" s="80"/>
      <c r="J265" s="80"/>
      <c r="K265" s="80"/>
      <c r="L265" s="2"/>
      <c r="M265" s="2"/>
      <c r="N265" s="2"/>
      <c r="O265" s="2"/>
      <c r="P265" s="2"/>
      <c r="Q265" s="2"/>
      <c r="R265" s="80"/>
      <c r="S265" s="80"/>
      <c r="T265" s="80"/>
      <c r="U265" s="80"/>
      <c r="V265" s="80"/>
      <c r="W265" s="80"/>
      <c r="X265" s="80"/>
      <c r="Y265" s="80"/>
      <c r="Z265" s="80"/>
      <c r="AA265" s="80"/>
      <c r="AB265" s="80"/>
      <c r="AC265" s="80"/>
      <c r="AD265" s="80"/>
      <c r="AE265" s="80"/>
      <c r="AF265" s="80"/>
      <c r="AG265" s="80"/>
      <c r="AH265" s="80"/>
      <c r="AI265" s="80"/>
    </row>
    <row r="266" spans="1:35" x14ac:dyDescent="0.2">
      <c r="A266" s="2"/>
      <c r="B266" s="80"/>
      <c r="C266" s="80"/>
      <c r="D266" s="80"/>
      <c r="E266" s="80"/>
      <c r="F266" s="80"/>
      <c r="G266" s="80"/>
      <c r="H266" s="80"/>
      <c r="I266" s="80"/>
      <c r="J266" s="80"/>
      <c r="K266" s="80"/>
      <c r="L266" s="2"/>
      <c r="M266" s="2"/>
      <c r="N266" s="2"/>
      <c r="O266" s="2"/>
      <c r="P266" s="2"/>
      <c r="Q266" s="2"/>
      <c r="R266" s="80"/>
      <c r="S266" s="80"/>
      <c r="T266" s="80"/>
      <c r="U266" s="80"/>
      <c r="V266" s="80"/>
      <c r="W266" s="80"/>
      <c r="X266" s="80"/>
      <c r="Y266" s="80"/>
      <c r="Z266" s="80"/>
      <c r="AA266" s="80"/>
      <c r="AB266" s="80"/>
      <c r="AC266" s="80"/>
      <c r="AD266" s="80"/>
      <c r="AE266" s="80"/>
      <c r="AF266" s="80"/>
      <c r="AG266" s="80"/>
      <c r="AH266" s="80"/>
      <c r="AI266" s="80"/>
    </row>
    <row r="267" spans="1:35" x14ac:dyDescent="0.2">
      <c r="A267" s="2"/>
      <c r="B267" s="80"/>
      <c r="C267" s="80"/>
      <c r="D267" s="80"/>
      <c r="E267" s="80"/>
      <c r="F267" s="80"/>
      <c r="G267" s="80"/>
      <c r="H267" s="80"/>
      <c r="I267" s="80"/>
      <c r="J267" s="80"/>
      <c r="K267" s="80"/>
      <c r="L267" s="2"/>
      <c r="M267" s="2"/>
      <c r="N267" s="2"/>
      <c r="O267" s="2"/>
      <c r="P267" s="2"/>
      <c r="Q267" s="2"/>
      <c r="R267" s="80"/>
      <c r="S267" s="80"/>
      <c r="T267" s="80"/>
      <c r="U267" s="80"/>
      <c r="V267" s="80"/>
      <c r="W267" s="80"/>
      <c r="X267" s="80"/>
      <c r="Y267" s="80"/>
      <c r="Z267" s="80"/>
      <c r="AA267" s="80"/>
      <c r="AB267" s="80"/>
      <c r="AC267" s="80"/>
      <c r="AD267" s="80"/>
      <c r="AE267" s="80"/>
      <c r="AF267" s="80"/>
      <c r="AG267" s="80"/>
      <c r="AH267" s="80"/>
      <c r="AI267" s="80"/>
    </row>
    <row r="268" spans="1:35" x14ac:dyDescent="0.2">
      <c r="A268" s="2"/>
      <c r="B268" s="80"/>
      <c r="C268" s="80"/>
      <c r="D268" s="80"/>
      <c r="E268" s="80"/>
      <c r="F268" s="80"/>
      <c r="G268" s="80"/>
      <c r="H268" s="80"/>
      <c r="I268" s="80"/>
      <c r="J268" s="80"/>
      <c r="K268" s="80"/>
      <c r="L268" s="2"/>
      <c r="M268" s="2"/>
      <c r="N268" s="2"/>
      <c r="O268" s="2"/>
      <c r="P268" s="2"/>
      <c r="Q268" s="2"/>
      <c r="R268" s="80"/>
      <c r="S268" s="80"/>
      <c r="T268" s="80"/>
      <c r="U268" s="80"/>
      <c r="V268" s="80"/>
      <c r="W268" s="80"/>
      <c r="X268" s="80"/>
      <c r="Y268" s="80"/>
      <c r="Z268" s="80"/>
      <c r="AA268" s="80"/>
      <c r="AB268" s="80"/>
      <c r="AC268" s="80"/>
      <c r="AD268" s="80"/>
      <c r="AE268" s="80"/>
      <c r="AF268" s="80"/>
      <c r="AG268" s="80"/>
      <c r="AH268" s="80"/>
      <c r="AI268" s="80"/>
    </row>
    <row r="269" spans="1:35" x14ac:dyDescent="0.2">
      <c r="A269" s="2"/>
      <c r="B269" s="80"/>
      <c r="C269" s="80"/>
      <c r="D269" s="80"/>
      <c r="E269" s="80"/>
      <c r="F269" s="80"/>
      <c r="G269" s="80"/>
      <c r="H269" s="80"/>
      <c r="I269" s="80"/>
      <c r="J269" s="80"/>
      <c r="K269" s="80"/>
      <c r="L269" s="2"/>
      <c r="M269" s="2"/>
      <c r="N269" s="2"/>
      <c r="O269" s="2"/>
      <c r="P269" s="2"/>
      <c r="Q269" s="2"/>
      <c r="R269" s="80"/>
      <c r="S269" s="80"/>
      <c r="T269" s="80"/>
      <c r="U269" s="80"/>
      <c r="V269" s="80"/>
      <c r="W269" s="80"/>
      <c r="X269" s="80"/>
      <c r="Y269" s="80"/>
      <c r="Z269" s="80"/>
      <c r="AA269" s="80"/>
      <c r="AB269" s="80"/>
      <c r="AC269" s="80"/>
      <c r="AD269" s="80"/>
      <c r="AE269" s="80"/>
      <c r="AF269" s="80"/>
      <c r="AG269" s="80"/>
      <c r="AH269" s="80"/>
      <c r="AI269" s="80"/>
    </row>
    <row r="270" spans="1:35" x14ac:dyDescent="0.2">
      <c r="A270" s="2"/>
      <c r="B270" s="80"/>
      <c r="C270" s="80"/>
      <c r="D270" s="80"/>
      <c r="E270" s="80"/>
      <c r="F270" s="80"/>
      <c r="G270" s="80"/>
      <c r="H270" s="80"/>
      <c r="I270" s="80"/>
      <c r="J270" s="80"/>
      <c r="K270" s="80"/>
      <c r="L270" s="2"/>
      <c r="M270" s="2"/>
      <c r="N270" s="2"/>
      <c r="O270" s="2"/>
      <c r="P270" s="2"/>
      <c r="Q270" s="2"/>
      <c r="R270" s="80"/>
      <c r="S270" s="80"/>
      <c r="T270" s="80"/>
      <c r="U270" s="80"/>
      <c r="V270" s="80"/>
      <c r="W270" s="80"/>
      <c r="X270" s="80"/>
      <c r="Y270" s="80"/>
      <c r="Z270" s="80"/>
      <c r="AA270" s="80"/>
      <c r="AB270" s="80"/>
      <c r="AC270" s="80"/>
      <c r="AD270" s="80"/>
      <c r="AE270" s="80"/>
      <c r="AF270" s="80"/>
      <c r="AG270" s="80"/>
      <c r="AH270" s="80"/>
      <c r="AI270" s="80"/>
    </row>
    <row r="271" spans="1:35" x14ac:dyDescent="0.2">
      <c r="A271" s="2"/>
      <c r="B271" s="80"/>
      <c r="C271" s="80"/>
      <c r="D271" s="80"/>
      <c r="E271" s="80"/>
      <c r="F271" s="80"/>
      <c r="G271" s="80"/>
      <c r="H271" s="80"/>
      <c r="I271" s="80"/>
      <c r="J271" s="80"/>
      <c r="K271" s="80"/>
      <c r="L271" s="2"/>
      <c r="M271" s="2"/>
      <c r="N271" s="2"/>
      <c r="O271" s="2"/>
      <c r="P271" s="2"/>
      <c r="Q271" s="2"/>
      <c r="R271" s="80"/>
      <c r="S271" s="80"/>
      <c r="T271" s="80"/>
      <c r="U271" s="80"/>
      <c r="V271" s="80"/>
      <c r="W271" s="80"/>
      <c r="X271" s="80"/>
      <c r="Y271" s="80"/>
      <c r="Z271" s="80"/>
      <c r="AA271" s="80"/>
      <c r="AB271" s="80"/>
      <c r="AC271" s="80"/>
      <c r="AD271" s="80"/>
      <c r="AE271" s="80"/>
      <c r="AF271" s="80"/>
      <c r="AG271" s="80"/>
      <c r="AH271" s="80"/>
      <c r="AI271" s="80"/>
    </row>
    <row r="272" spans="1:35" x14ac:dyDescent="0.2">
      <c r="A272" s="2"/>
      <c r="B272" s="80"/>
      <c r="C272" s="80"/>
      <c r="D272" s="80"/>
      <c r="E272" s="80"/>
      <c r="F272" s="80"/>
      <c r="G272" s="80"/>
      <c r="H272" s="80"/>
      <c r="I272" s="80"/>
      <c r="J272" s="80"/>
      <c r="K272" s="80"/>
      <c r="L272" s="2"/>
      <c r="M272" s="2"/>
      <c r="N272" s="2"/>
      <c r="O272" s="2"/>
      <c r="P272" s="2"/>
      <c r="Q272" s="2"/>
      <c r="R272" s="80"/>
      <c r="S272" s="80"/>
      <c r="T272" s="80"/>
      <c r="U272" s="80"/>
      <c r="V272" s="80"/>
      <c r="W272" s="80"/>
      <c r="X272" s="80"/>
      <c r="Y272" s="80"/>
      <c r="Z272" s="80"/>
      <c r="AA272" s="80"/>
      <c r="AB272" s="80"/>
      <c r="AC272" s="80"/>
      <c r="AD272" s="80"/>
      <c r="AE272" s="80"/>
      <c r="AF272" s="80"/>
      <c r="AG272" s="80"/>
      <c r="AH272" s="80"/>
      <c r="AI272" s="80"/>
    </row>
    <row r="273" spans="1:35" x14ac:dyDescent="0.2">
      <c r="A273" s="2"/>
      <c r="B273" s="80"/>
      <c r="C273" s="80"/>
      <c r="D273" s="80"/>
      <c r="E273" s="80"/>
      <c r="F273" s="80"/>
      <c r="G273" s="80"/>
      <c r="H273" s="80"/>
      <c r="I273" s="80"/>
      <c r="J273" s="80"/>
      <c r="K273" s="80"/>
      <c r="L273" s="2"/>
      <c r="M273" s="2"/>
      <c r="N273" s="2"/>
      <c r="O273" s="2"/>
      <c r="P273" s="2"/>
      <c r="Q273" s="2"/>
      <c r="R273" s="80"/>
      <c r="S273" s="80"/>
      <c r="T273" s="80"/>
      <c r="U273" s="80"/>
      <c r="V273" s="80"/>
      <c r="W273" s="80"/>
      <c r="X273" s="80"/>
      <c r="Y273" s="80"/>
      <c r="Z273" s="80"/>
      <c r="AA273" s="80"/>
      <c r="AB273" s="80"/>
      <c r="AC273" s="80"/>
      <c r="AD273" s="80"/>
      <c r="AE273" s="80"/>
      <c r="AF273" s="80"/>
      <c r="AG273" s="80"/>
      <c r="AH273" s="80"/>
      <c r="AI273" s="80"/>
    </row>
    <row r="274" spans="1:35" x14ac:dyDescent="0.2">
      <c r="A274" s="2"/>
      <c r="B274" s="80"/>
      <c r="C274" s="80"/>
      <c r="D274" s="80"/>
      <c r="E274" s="80"/>
      <c r="F274" s="80"/>
      <c r="G274" s="80"/>
      <c r="H274" s="80"/>
      <c r="I274" s="80"/>
      <c r="J274" s="80"/>
      <c r="K274" s="80"/>
      <c r="L274" s="2"/>
      <c r="M274" s="2"/>
      <c r="N274" s="2"/>
      <c r="O274" s="2"/>
      <c r="P274" s="2"/>
      <c r="Q274" s="2"/>
      <c r="R274" s="80"/>
      <c r="S274" s="80"/>
      <c r="T274" s="80"/>
      <c r="U274" s="80"/>
      <c r="V274" s="80"/>
      <c r="W274" s="80"/>
      <c r="X274" s="80"/>
      <c r="Y274" s="80"/>
      <c r="Z274" s="80"/>
      <c r="AA274" s="80"/>
      <c r="AB274" s="80"/>
      <c r="AC274" s="80"/>
      <c r="AD274" s="80"/>
      <c r="AE274" s="80"/>
      <c r="AF274" s="80"/>
      <c r="AG274" s="80"/>
      <c r="AH274" s="80"/>
      <c r="AI274" s="80"/>
    </row>
    <row r="275" spans="1:35" x14ac:dyDescent="0.2">
      <c r="A275" s="2"/>
      <c r="B275" s="80"/>
      <c r="C275" s="80"/>
      <c r="D275" s="80"/>
      <c r="E275" s="80"/>
      <c r="F275" s="80"/>
      <c r="G275" s="80"/>
      <c r="H275" s="80"/>
      <c r="I275" s="80"/>
      <c r="J275" s="80"/>
      <c r="K275" s="80"/>
      <c r="L275" s="2"/>
      <c r="M275" s="2"/>
      <c r="N275" s="2"/>
      <c r="O275" s="2"/>
      <c r="P275" s="2"/>
      <c r="Q275" s="2"/>
      <c r="R275" s="80"/>
      <c r="S275" s="80"/>
      <c r="T275" s="80"/>
      <c r="U275" s="80"/>
      <c r="V275" s="80"/>
      <c r="W275" s="80"/>
      <c r="X275" s="80"/>
      <c r="Y275" s="80"/>
      <c r="Z275" s="80"/>
      <c r="AA275" s="80"/>
      <c r="AB275" s="80"/>
      <c r="AC275" s="80"/>
      <c r="AD275" s="80"/>
      <c r="AE275" s="80"/>
      <c r="AF275" s="80"/>
      <c r="AG275" s="80"/>
      <c r="AH275" s="80"/>
      <c r="AI275" s="80"/>
    </row>
    <row r="276" spans="1:35" x14ac:dyDescent="0.2">
      <c r="A276" s="2"/>
      <c r="B276" s="80"/>
      <c r="C276" s="80"/>
      <c r="D276" s="80"/>
      <c r="E276" s="80"/>
      <c r="F276" s="80"/>
      <c r="G276" s="80"/>
      <c r="H276" s="80"/>
      <c r="I276" s="80"/>
      <c r="J276" s="80"/>
      <c r="K276" s="80"/>
      <c r="L276" s="2"/>
      <c r="M276" s="2"/>
      <c r="N276" s="2"/>
      <c r="O276" s="2"/>
      <c r="P276" s="2"/>
      <c r="Q276" s="2"/>
      <c r="R276" s="80"/>
      <c r="S276" s="80"/>
      <c r="T276" s="80"/>
      <c r="U276" s="80"/>
      <c r="V276" s="80"/>
      <c r="W276" s="80"/>
      <c r="X276" s="80"/>
      <c r="Y276" s="80"/>
      <c r="Z276" s="80"/>
      <c r="AA276" s="80"/>
      <c r="AB276" s="80"/>
      <c r="AC276" s="80"/>
      <c r="AD276" s="80"/>
      <c r="AE276" s="80"/>
      <c r="AF276" s="80"/>
      <c r="AG276" s="80"/>
      <c r="AH276" s="80"/>
      <c r="AI276" s="80"/>
    </row>
    <row r="277" spans="1:35" x14ac:dyDescent="0.2">
      <c r="A277" s="2"/>
      <c r="B277" s="80"/>
      <c r="C277" s="80"/>
      <c r="D277" s="80"/>
      <c r="E277" s="80"/>
      <c r="F277" s="80"/>
      <c r="G277" s="80"/>
      <c r="H277" s="80"/>
      <c r="I277" s="80"/>
      <c r="J277" s="80"/>
      <c r="K277" s="80"/>
      <c r="L277" s="2"/>
      <c r="M277" s="2"/>
      <c r="N277" s="2"/>
      <c r="O277" s="2"/>
      <c r="P277" s="2"/>
      <c r="Q277" s="2"/>
      <c r="R277" s="80"/>
      <c r="S277" s="80"/>
      <c r="T277" s="80"/>
      <c r="U277" s="80"/>
      <c r="V277" s="80"/>
      <c r="W277" s="80"/>
      <c r="X277" s="80"/>
      <c r="Y277" s="80"/>
      <c r="Z277" s="80"/>
      <c r="AA277" s="80"/>
      <c r="AB277" s="80"/>
      <c r="AC277" s="80"/>
      <c r="AD277" s="80"/>
      <c r="AE277" s="80"/>
      <c r="AF277" s="80"/>
      <c r="AG277" s="80"/>
      <c r="AH277" s="80"/>
      <c r="AI277" s="80"/>
    </row>
    <row r="278" spans="1:35" x14ac:dyDescent="0.2">
      <c r="A278" s="2"/>
      <c r="B278" s="80"/>
      <c r="C278" s="80"/>
      <c r="D278" s="80"/>
      <c r="E278" s="80"/>
      <c r="F278" s="80"/>
      <c r="G278" s="80"/>
      <c r="H278" s="80"/>
      <c r="I278" s="80"/>
      <c r="J278" s="80"/>
      <c r="K278" s="80"/>
      <c r="L278" s="2"/>
      <c r="M278" s="2"/>
      <c r="N278" s="2"/>
      <c r="O278" s="2"/>
      <c r="P278" s="2"/>
      <c r="Q278" s="2"/>
      <c r="R278" s="80"/>
      <c r="S278" s="80"/>
      <c r="T278" s="80"/>
      <c r="U278" s="80"/>
      <c r="V278" s="80"/>
      <c r="W278" s="80"/>
      <c r="X278" s="80"/>
      <c r="Y278" s="80"/>
      <c r="Z278" s="80"/>
      <c r="AA278" s="80"/>
      <c r="AB278" s="80"/>
      <c r="AC278" s="80"/>
      <c r="AD278" s="80"/>
      <c r="AE278" s="80"/>
      <c r="AF278" s="80"/>
      <c r="AG278" s="80"/>
      <c r="AH278" s="80"/>
      <c r="AI278" s="80"/>
    </row>
    <row r="279" spans="1:35" x14ac:dyDescent="0.2">
      <c r="A279" s="2"/>
      <c r="B279" s="80"/>
      <c r="C279" s="80"/>
      <c r="D279" s="80"/>
      <c r="E279" s="80"/>
      <c r="F279" s="80"/>
      <c r="G279" s="80"/>
      <c r="H279" s="80"/>
      <c r="I279" s="80"/>
      <c r="J279" s="80"/>
      <c r="K279" s="80"/>
      <c r="L279" s="2"/>
      <c r="M279" s="2"/>
      <c r="N279" s="2"/>
      <c r="O279" s="2"/>
      <c r="P279" s="2"/>
      <c r="Q279" s="2"/>
      <c r="R279" s="80"/>
      <c r="S279" s="80"/>
      <c r="T279" s="80"/>
      <c r="U279" s="80"/>
      <c r="V279" s="80"/>
      <c r="W279" s="80"/>
      <c r="X279" s="80"/>
      <c r="Y279" s="80"/>
      <c r="Z279" s="80"/>
      <c r="AA279" s="80"/>
      <c r="AB279" s="80"/>
      <c r="AC279" s="80"/>
      <c r="AD279" s="80"/>
      <c r="AE279" s="80"/>
      <c r="AF279" s="80"/>
      <c r="AG279" s="80"/>
      <c r="AH279" s="80"/>
      <c r="AI279" s="80"/>
    </row>
    <row r="280" spans="1:35" x14ac:dyDescent="0.2">
      <c r="A280" s="2"/>
      <c r="B280" s="80"/>
      <c r="C280" s="80"/>
      <c r="D280" s="80"/>
      <c r="E280" s="80"/>
      <c r="F280" s="80"/>
      <c r="G280" s="80"/>
      <c r="H280" s="80"/>
      <c r="I280" s="80"/>
      <c r="J280" s="80"/>
      <c r="K280" s="80"/>
      <c r="L280" s="2"/>
      <c r="M280" s="2"/>
      <c r="N280" s="2"/>
      <c r="O280" s="2"/>
      <c r="P280" s="2"/>
      <c r="Q280" s="2"/>
      <c r="R280" s="80"/>
      <c r="S280" s="80"/>
      <c r="T280" s="80"/>
      <c r="U280" s="80"/>
      <c r="V280" s="80"/>
      <c r="W280" s="80"/>
      <c r="X280" s="80"/>
      <c r="Y280" s="80"/>
      <c r="Z280" s="80"/>
      <c r="AA280" s="80"/>
      <c r="AB280" s="80"/>
      <c r="AC280" s="80"/>
      <c r="AD280" s="80"/>
      <c r="AE280" s="80"/>
      <c r="AF280" s="80"/>
      <c r="AG280" s="80"/>
      <c r="AH280" s="80"/>
      <c r="AI280" s="80"/>
    </row>
    <row r="281" spans="1:35" x14ac:dyDescent="0.2">
      <c r="A281" s="2"/>
      <c r="B281" s="80"/>
      <c r="C281" s="80"/>
      <c r="D281" s="80"/>
      <c r="E281" s="80"/>
      <c r="F281" s="80"/>
      <c r="G281" s="80"/>
      <c r="H281" s="80"/>
      <c r="I281" s="80"/>
      <c r="J281" s="80"/>
      <c r="K281" s="80"/>
      <c r="L281" s="2"/>
      <c r="M281" s="2"/>
      <c r="N281" s="2"/>
      <c r="O281" s="2"/>
      <c r="P281" s="2"/>
      <c r="Q281" s="2"/>
      <c r="R281" s="80"/>
      <c r="S281" s="80"/>
      <c r="T281" s="80"/>
      <c r="U281" s="80"/>
      <c r="V281" s="80"/>
      <c r="W281" s="80"/>
      <c r="X281" s="80"/>
      <c r="Y281" s="80"/>
      <c r="Z281" s="80"/>
      <c r="AA281" s="80"/>
      <c r="AB281" s="80"/>
      <c r="AC281" s="80"/>
      <c r="AD281" s="80"/>
      <c r="AE281" s="80"/>
      <c r="AF281" s="80"/>
      <c r="AG281" s="80"/>
      <c r="AH281" s="80"/>
      <c r="AI281" s="80"/>
    </row>
    <row r="282" spans="1:35" x14ac:dyDescent="0.2">
      <c r="A282" s="2"/>
      <c r="B282" s="80"/>
      <c r="C282" s="80"/>
      <c r="D282" s="80"/>
      <c r="E282" s="80"/>
      <c r="F282" s="80"/>
      <c r="G282" s="80"/>
      <c r="H282" s="80"/>
      <c r="I282" s="80"/>
      <c r="J282" s="80"/>
      <c r="K282" s="80"/>
      <c r="L282" s="2"/>
      <c r="M282" s="2"/>
      <c r="N282" s="2"/>
      <c r="O282" s="2"/>
      <c r="P282" s="2"/>
      <c r="Q282" s="2"/>
      <c r="R282" s="80"/>
      <c r="S282" s="80"/>
      <c r="T282" s="80"/>
      <c r="U282" s="80"/>
      <c r="V282" s="80"/>
      <c r="W282" s="80"/>
      <c r="X282" s="80"/>
      <c r="Y282" s="80"/>
      <c r="Z282" s="80"/>
      <c r="AA282" s="80"/>
      <c r="AB282" s="80"/>
      <c r="AC282" s="80"/>
      <c r="AD282" s="80"/>
      <c r="AE282" s="80"/>
      <c r="AF282" s="80"/>
      <c r="AG282" s="80"/>
      <c r="AH282" s="80"/>
      <c r="AI282" s="80"/>
    </row>
    <row r="283" spans="1:35" x14ac:dyDescent="0.2">
      <c r="A283" s="2"/>
      <c r="B283" s="80"/>
      <c r="C283" s="80"/>
      <c r="D283" s="80"/>
      <c r="E283" s="80"/>
      <c r="F283" s="80"/>
      <c r="G283" s="80"/>
      <c r="H283" s="80"/>
      <c r="I283" s="80"/>
      <c r="J283" s="80"/>
      <c r="K283" s="80"/>
      <c r="L283" s="2"/>
      <c r="M283" s="2"/>
      <c r="N283" s="2"/>
      <c r="O283" s="2"/>
      <c r="P283" s="2"/>
      <c r="Q283" s="2"/>
      <c r="R283" s="80"/>
      <c r="S283" s="80"/>
      <c r="T283" s="80"/>
      <c r="U283" s="80"/>
      <c r="V283" s="80"/>
      <c r="W283" s="80"/>
      <c r="X283" s="80"/>
      <c r="Y283" s="80"/>
      <c r="Z283" s="80"/>
      <c r="AA283" s="80"/>
      <c r="AB283" s="80"/>
      <c r="AC283" s="80"/>
      <c r="AD283" s="80"/>
      <c r="AE283" s="80"/>
      <c r="AF283" s="80"/>
      <c r="AG283" s="80"/>
      <c r="AH283" s="80"/>
      <c r="AI283" s="80"/>
    </row>
    <row r="284" spans="1:35" x14ac:dyDescent="0.2">
      <c r="A284" s="2"/>
      <c r="B284" s="80"/>
      <c r="C284" s="80"/>
      <c r="D284" s="80"/>
      <c r="E284" s="80"/>
      <c r="F284" s="80"/>
      <c r="G284" s="80"/>
      <c r="H284" s="80"/>
      <c r="I284" s="80"/>
      <c r="J284" s="80"/>
      <c r="K284" s="80"/>
      <c r="L284" s="2"/>
      <c r="M284" s="2"/>
      <c r="N284" s="2"/>
      <c r="O284" s="2"/>
      <c r="P284" s="2"/>
      <c r="Q284" s="2"/>
      <c r="R284" s="80"/>
      <c r="S284" s="80"/>
      <c r="T284" s="80"/>
      <c r="U284" s="80"/>
      <c r="V284" s="80"/>
      <c r="W284" s="80"/>
      <c r="X284" s="80"/>
      <c r="Y284" s="80"/>
      <c r="Z284" s="80"/>
      <c r="AA284" s="80"/>
      <c r="AB284" s="80"/>
      <c r="AC284" s="80"/>
      <c r="AD284" s="80"/>
      <c r="AE284" s="80"/>
      <c r="AF284" s="80"/>
      <c r="AG284" s="80"/>
      <c r="AH284" s="80"/>
      <c r="AI284" s="80"/>
    </row>
    <row r="285" spans="1:35" x14ac:dyDescent="0.2">
      <c r="A285" s="2"/>
      <c r="B285" s="80"/>
      <c r="C285" s="80"/>
      <c r="D285" s="80"/>
      <c r="E285" s="80"/>
      <c r="F285" s="80"/>
      <c r="G285" s="80"/>
      <c r="H285" s="80"/>
      <c r="I285" s="80"/>
      <c r="J285" s="80"/>
      <c r="K285" s="80"/>
      <c r="L285" s="2"/>
      <c r="M285" s="2"/>
      <c r="N285" s="2"/>
      <c r="O285" s="2"/>
      <c r="P285" s="2"/>
      <c r="Q285" s="2"/>
      <c r="R285" s="80"/>
      <c r="S285" s="80"/>
      <c r="T285" s="80"/>
      <c r="U285" s="80"/>
      <c r="V285" s="80"/>
      <c r="W285" s="80"/>
      <c r="X285" s="80"/>
      <c r="Y285" s="80"/>
      <c r="Z285" s="80"/>
      <c r="AA285" s="80"/>
      <c r="AB285" s="80"/>
      <c r="AC285" s="80"/>
      <c r="AD285" s="80"/>
      <c r="AE285" s="80"/>
      <c r="AF285" s="80"/>
      <c r="AG285" s="80"/>
      <c r="AH285" s="80"/>
      <c r="AI285" s="80"/>
    </row>
    <row r="286" spans="1:35" x14ac:dyDescent="0.2">
      <c r="A286" s="2"/>
      <c r="B286" s="80"/>
      <c r="C286" s="80"/>
      <c r="D286" s="80"/>
      <c r="E286" s="80"/>
      <c r="F286" s="80"/>
      <c r="G286" s="80"/>
      <c r="H286" s="80"/>
      <c r="I286" s="80"/>
      <c r="J286" s="80"/>
      <c r="K286" s="80"/>
      <c r="L286" s="2"/>
      <c r="M286" s="2"/>
      <c r="N286" s="2"/>
      <c r="O286" s="2"/>
      <c r="P286" s="2"/>
      <c r="Q286" s="2"/>
      <c r="R286" s="80"/>
      <c r="S286" s="80"/>
      <c r="T286" s="80"/>
      <c r="U286" s="80"/>
      <c r="V286" s="80"/>
      <c r="W286" s="80"/>
      <c r="X286" s="80"/>
      <c r="Y286" s="80"/>
      <c r="Z286" s="80"/>
      <c r="AA286" s="80"/>
      <c r="AB286" s="80"/>
      <c r="AC286" s="80"/>
      <c r="AD286" s="80"/>
      <c r="AE286" s="80"/>
      <c r="AF286" s="80"/>
      <c r="AG286" s="80"/>
      <c r="AH286" s="80"/>
      <c r="AI286" s="80"/>
    </row>
    <row r="287" spans="1:35" x14ac:dyDescent="0.2">
      <c r="A287" s="2"/>
      <c r="B287" s="80"/>
      <c r="C287" s="80"/>
      <c r="D287" s="80"/>
      <c r="E287" s="80"/>
      <c r="F287" s="80"/>
      <c r="G287" s="80"/>
      <c r="H287" s="80"/>
      <c r="I287" s="80"/>
      <c r="J287" s="80"/>
      <c r="K287" s="80"/>
      <c r="L287" s="2"/>
      <c r="M287" s="2"/>
      <c r="N287" s="2"/>
      <c r="O287" s="2"/>
      <c r="P287" s="2"/>
      <c r="Q287" s="2"/>
      <c r="R287" s="80"/>
      <c r="S287" s="80"/>
      <c r="T287" s="80"/>
      <c r="U287" s="80"/>
      <c r="V287" s="80"/>
      <c r="W287" s="80"/>
      <c r="X287" s="80"/>
      <c r="Y287" s="80"/>
      <c r="Z287" s="80"/>
      <c r="AA287" s="80"/>
      <c r="AB287" s="80"/>
      <c r="AC287" s="80"/>
      <c r="AD287" s="80"/>
      <c r="AE287" s="80"/>
      <c r="AF287" s="80"/>
      <c r="AG287" s="80"/>
      <c r="AH287" s="80"/>
      <c r="AI287" s="80"/>
    </row>
    <row r="288" spans="1:35" x14ac:dyDescent="0.2">
      <c r="A288" s="2"/>
      <c r="B288" s="80"/>
      <c r="C288" s="80"/>
      <c r="D288" s="80"/>
      <c r="E288" s="80"/>
      <c r="F288" s="80"/>
      <c r="G288" s="80"/>
      <c r="H288" s="80"/>
      <c r="I288" s="80"/>
      <c r="J288" s="80"/>
      <c r="K288" s="80"/>
      <c r="L288" s="2"/>
      <c r="M288" s="2"/>
      <c r="N288" s="2"/>
      <c r="O288" s="2"/>
      <c r="P288" s="2"/>
      <c r="Q288" s="2"/>
      <c r="R288" s="80"/>
      <c r="S288" s="80"/>
      <c r="T288" s="80"/>
      <c r="U288" s="80"/>
      <c r="V288" s="80"/>
      <c r="W288" s="80"/>
      <c r="X288" s="80"/>
      <c r="Y288" s="80"/>
      <c r="Z288" s="80"/>
      <c r="AA288" s="80"/>
      <c r="AB288" s="80"/>
      <c r="AC288" s="80"/>
      <c r="AD288" s="80"/>
      <c r="AE288" s="80"/>
      <c r="AF288" s="80"/>
      <c r="AG288" s="80"/>
      <c r="AH288" s="80"/>
      <c r="AI288" s="80"/>
    </row>
    <row r="289" spans="1:35" x14ac:dyDescent="0.2">
      <c r="A289" s="2"/>
      <c r="B289" s="80"/>
      <c r="C289" s="80"/>
      <c r="D289" s="80"/>
      <c r="E289" s="80"/>
      <c r="F289" s="80"/>
      <c r="G289" s="80"/>
      <c r="H289" s="80"/>
      <c r="I289" s="80"/>
      <c r="J289" s="80"/>
      <c r="K289" s="80"/>
      <c r="L289" s="2"/>
      <c r="M289" s="2"/>
      <c r="N289" s="2"/>
      <c r="O289" s="2"/>
      <c r="P289" s="2"/>
      <c r="Q289" s="2"/>
      <c r="R289" s="80"/>
      <c r="S289" s="80"/>
      <c r="T289" s="80"/>
      <c r="U289" s="80"/>
      <c r="V289" s="80"/>
      <c r="W289" s="80"/>
      <c r="X289" s="80"/>
      <c r="Y289" s="80"/>
      <c r="Z289" s="80"/>
      <c r="AA289" s="80"/>
      <c r="AB289" s="80"/>
      <c r="AC289" s="80"/>
      <c r="AD289" s="80"/>
      <c r="AE289" s="80"/>
      <c r="AF289" s="80"/>
      <c r="AG289" s="80"/>
      <c r="AH289" s="80"/>
      <c r="AI289" s="80"/>
    </row>
    <row r="290" spans="1:35" x14ac:dyDescent="0.2">
      <c r="A290" s="2"/>
      <c r="B290" s="80"/>
      <c r="C290" s="80"/>
      <c r="D290" s="80"/>
      <c r="E290" s="80"/>
      <c r="F290" s="80"/>
      <c r="G290" s="80"/>
      <c r="H290" s="80"/>
      <c r="I290" s="80"/>
      <c r="J290" s="80"/>
      <c r="K290" s="80"/>
      <c r="L290" s="2"/>
      <c r="M290" s="2"/>
      <c r="N290" s="2"/>
      <c r="O290" s="2"/>
      <c r="P290" s="2"/>
      <c r="Q290" s="2"/>
      <c r="R290" s="80"/>
      <c r="S290" s="80"/>
      <c r="T290" s="80"/>
      <c r="U290" s="80"/>
      <c r="V290" s="80"/>
      <c r="W290" s="80"/>
      <c r="X290" s="80"/>
      <c r="Y290" s="80"/>
      <c r="Z290" s="80"/>
      <c r="AA290" s="80"/>
      <c r="AB290" s="80"/>
      <c r="AC290" s="80"/>
      <c r="AD290" s="80"/>
      <c r="AE290" s="80"/>
      <c r="AF290" s="80"/>
      <c r="AG290" s="80"/>
      <c r="AH290" s="80"/>
      <c r="AI290" s="80"/>
    </row>
    <row r="291" spans="1:35" x14ac:dyDescent="0.2">
      <c r="A291" s="2"/>
      <c r="B291" s="80"/>
      <c r="C291" s="80"/>
      <c r="D291" s="80"/>
      <c r="E291" s="80"/>
      <c r="F291" s="80"/>
      <c r="G291" s="80"/>
      <c r="H291" s="80"/>
      <c r="I291" s="80"/>
      <c r="J291" s="80"/>
      <c r="K291" s="80"/>
      <c r="L291" s="2"/>
      <c r="M291" s="2"/>
      <c r="N291" s="2"/>
      <c r="O291" s="2"/>
      <c r="P291" s="2"/>
      <c r="Q291" s="2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80"/>
      <c r="AC291" s="80"/>
      <c r="AD291" s="80"/>
      <c r="AE291" s="80"/>
      <c r="AF291" s="80"/>
      <c r="AG291" s="80"/>
      <c r="AH291" s="80"/>
      <c r="AI291" s="80"/>
    </row>
    <row r="292" spans="1:35" x14ac:dyDescent="0.2">
      <c r="A292" s="2"/>
      <c r="B292" s="80"/>
      <c r="C292" s="80"/>
      <c r="D292" s="80"/>
      <c r="E292" s="80"/>
      <c r="F292" s="80"/>
      <c r="G292" s="80"/>
      <c r="H292" s="80"/>
      <c r="I292" s="80"/>
      <c r="J292" s="80"/>
      <c r="K292" s="80"/>
      <c r="L292" s="2"/>
      <c r="M292" s="2"/>
      <c r="N292" s="2"/>
      <c r="O292" s="2"/>
      <c r="P292" s="2"/>
      <c r="Q292" s="2"/>
      <c r="R292" s="80"/>
      <c r="S292" s="80"/>
      <c r="T292" s="80"/>
      <c r="U292" s="80"/>
      <c r="V292" s="80"/>
      <c r="W292" s="80"/>
      <c r="X292" s="80"/>
      <c r="Y292" s="80"/>
      <c r="Z292" s="80"/>
      <c r="AA292" s="80"/>
      <c r="AB292" s="80"/>
      <c r="AC292" s="80"/>
      <c r="AD292" s="80"/>
      <c r="AE292" s="80"/>
      <c r="AF292" s="80"/>
      <c r="AG292" s="80"/>
      <c r="AH292" s="80"/>
      <c r="AI292" s="80"/>
    </row>
    <row r="293" spans="1:35" x14ac:dyDescent="0.2">
      <c r="A293" s="2"/>
      <c r="B293" s="80"/>
      <c r="C293" s="80"/>
      <c r="D293" s="80"/>
      <c r="E293" s="80"/>
      <c r="F293" s="80"/>
      <c r="G293" s="80"/>
      <c r="H293" s="80"/>
      <c r="I293" s="80"/>
      <c r="J293" s="80"/>
      <c r="K293" s="80"/>
      <c r="L293" s="2"/>
      <c r="M293" s="2"/>
      <c r="N293" s="2"/>
      <c r="O293" s="2"/>
      <c r="P293" s="2"/>
      <c r="Q293" s="2"/>
      <c r="R293" s="80"/>
      <c r="S293" s="80"/>
      <c r="T293" s="80"/>
      <c r="U293" s="80"/>
      <c r="V293" s="80"/>
      <c r="W293" s="80"/>
      <c r="X293" s="80"/>
      <c r="Y293" s="80"/>
      <c r="Z293" s="80"/>
      <c r="AA293" s="80"/>
      <c r="AB293" s="80"/>
      <c r="AC293" s="80"/>
      <c r="AD293" s="80"/>
      <c r="AE293" s="80"/>
      <c r="AF293" s="80"/>
      <c r="AG293" s="80"/>
      <c r="AH293" s="80"/>
      <c r="AI293" s="80"/>
    </row>
    <row r="294" spans="1:35" x14ac:dyDescent="0.2">
      <c r="A294" s="2"/>
      <c r="B294" s="80"/>
      <c r="C294" s="80"/>
      <c r="D294" s="80"/>
      <c r="E294" s="80"/>
      <c r="F294" s="80"/>
      <c r="G294" s="80"/>
      <c r="H294" s="80"/>
      <c r="I294" s="80"/>
      <c r="J294" s="80"/>
      <c r="K294" s="80"/>
      <c r="L294" s="2"/>
      <c r="M294" s="2"/>
      <c r="N294" s="2"/>
      <c r="O294" s="2"/>
      <c r="P294" s="2"/>
      <c r="Q294" s="2"/>
      <c r="R294" s="80"/>
      <c r="S294" s="80"/>
      <c r="T294" s="80"/>
      <c r="U294" s="80"/>
      <c r="V294" s="80"/>
      <c r="W294" s="80"/>
      <c r="X294" s="80"/>
      <c r="Y294" s="80"/>
      <c r="Z294" s="80"/>
      <c r="AA294" s="80"/>
      <c r="AB294" s="80"/>
      <c r="AC294" s="80"/>
      <c r="AD294" s="80"/>
      <c r="AE294" s="80"/>
      <c r="AF294" s="80"/>
      <c r="AG294" s="80"/>
      <c r="AH294" s="80"/>
      <c r="AI294" s="80"/>
    </row>
    <row r="295" spans="1:35" x14ac:dyDescent="0.2">
      <c r="A295" s="2"/>
      <c r="B295" s="80"/>
      <c r="C295" s="80"/>
      <c r="D295" s="80"/>
      <c r="E295" s="80"/>
      <c r="F295" s="80"/>
      <c r="G295" s="80"/>
      <c r="H295" s="80"/>
      <c r="I295" s="80"/>
      <c r="J295" s="80"/>
      <c r="K295" s="80"/>
      <c r="L295" s="2"/>
      <c r="M295" s="2"/>
      <c r="N295" s="2"/>
      <c r="O295" s="2"/>
      <c r="P295" s="2"/>
      <c r="Q295" s="2"/>
      <c r="R295" s="80"/>
      <c r="S295" s="80"/>
      <c r="T295" s="80"/>
      <c r="U295" s="80"/>
      <c r="V295" s="80"/>
      <c r="W295" s="80"/>
      <c r="X295" s="80"/>
      <c r="Y295" s="80"/>
      <c r="Z295" s="80"/>
      <c r="AA295" s="80"/>
      <c r="AB295" s="80"/>
      <c r="AC295" s="80"/>
      <c r="AD295" s="80"/>
      <c r="AE295" s="80"/>
      <c r="AF295" s="80"/>
      <c r="AG295" s="80"/>
      <c r="AH295" s="80"/>
      <c r="AI295" s="80"/>
    </row>
    <row r="296" spans="1:35" x14ac:dyDescent="0.2">
      <c r="A296" s="2"/>
      <c r="B296" s="80"/>
      <c r="C296" s="80"/>
      <c r="D296" s="80"/>
      <c r="E296" s="80"/>
      <c r="F296" s="80"/>
      <c r="G296" s="80"/>
      <c r="H296" s="80"/>
      <c r="I296" s="80"/>
      <c r="J296" s="80"/>
      <c r="K296" s="80"/>
      <c r="L296" s="2"/>
      <c r="M296" s="2"/>
      <c r="N296" s="2"/>
      <c r="O296" s="2"/>
      <c r="P296" s="2"/>
      <c r="Q296" s="2"/>
      <c r="R296" s="80"/>
      <c r="S296" s="80"/>
      <c r="T296" s="80"/>
      <c r="U296" s="80"/>
      <c r="V296" s="80"/>
      <c r="W296" s="80"/>
      <c r="X296" s="80"/>
      <c r="Y296" s="80"/>
      <c r="Z296" s="80"/>
      <c r="AA296" s="80"/>
      <c r="AB296" s="80"/>
      <c r="AC296" s="80"/>
      <c r="AD296" s="80"/>
      <c r="AE296" s="80"/>
      <c r="AF296" s="80"/>
      <c r="AG296" s="80"/>
      <c r="AH296" s="80"/>
      <c r="AI296" s="80"/>
    </row>
    <row r="297" spans="1:35" x14ac:dyDescent="0.2">
      <c r="A297" s="2"/>
      <c r="B297" s="80"/>
      <c r="C297" s="80"/>
      <c r="D297" s="80"/>
      <c r="E297" s="80"/>
      <c r="F297" s="80"/>
      <c r="G297" s="80"/>
      <c r="H297" s="80"/>
      <c r="I297" s="80"/>
      <c r="J297" s="80"/>
      <c r="K297" s="80"/>
      <c r="L297" s="2"/>
      <c r="M297" s="2"/>
      <c r="N297" s="2"/>
      <c r="O297" s="2"/>
      <c r="P297" s="2"/>
      <c r="Q297" s="2"/>
      <c r="R297" s="80"/>
      <c r="S297" s="80"/>
      <c r="T297" s="80"/>
      <c r="U297" s="80"/>
      <c r="V297" s="80"/>
      <c r="W297" s="80"/>
      <c r="X297" s="80"/>
      <c r="Y297" s="80"/>
      <c r="Z297" s="80"/>
      <c r="AA297" s="80"/>
      <c r="AB297" s="80"/>
      <c r="AC297" s="80"/>
      <c r="AD297" s="80"/>
      <c r="AE297" s="80"/>
      <c r="AF297" s="80"/>
      <c r="AG297" s="80"/>
      <c r="AH297" s="80"/>
      <c r="AI297" s="80"/>
    </row>
    <row r="298" spans="1:35" x14ac:dyDescent="0.2">
      <c r="A298" s="2"/>
      <c r="B298" s="80"/>
      <c r="C298" s="80"/>
      <c r="D298" s="80"/>
      <c r="E298" s="80"/>
      <c r="F298" s="80"/>
      <c r="G298" s="80"/>
      <c r="H298" s="80"/>
      <c r="I298" s="80"/>
      <c r="J298" s="80"/>
      <c r="K298" s="80"/>
      <c r="L298" s="2"/>
      <c r="M298" s="2"/>
      <c r="N298" s="2"/>
      <c r="O298" s="2"/>
      <c r="P298" s="2"/>
      <c r="Q298" s="2"/>
      <c r="R298" s="80"/>
      <c r="S298" s="80"/>
      <c r="T298" s="80"/>
      <c r="U298" s="80"/>
      <c r="V298" s="80"/>
      <c r="W298" s="80"/>
      <c r="X298" s="80"/>
      <c r="Y298" s="80"/>
      <c r="Z298" s="80"/>
      <c r="AA298" s="80"/>
      <c r="AB298" s="80"/>
      <c r="AC298" s="80"/>
      <c r="AD298" s="80"/>
      <c r="AE298" s="80"/>
      <c r="AF298" s="80"/>
      <c r="AG298" s="80"/>
      <c r="AH298" s="80"/>
      <c r="AI298" s="80"/>
    </row>
    <row r="299" spans="1:35" x14ac:dyDescent="0.2">
      <c r="A299" s="2"/>
      <c r="B299" s="80"/>
      <c r="C299" s="80"/>
      <c r="D299" s="80"/>
      <c r="E299" s="80"/>
      <c r="F299" s="80"/>
      <c r="G299" s="80"/>
      <c r="H299" s="80"/>
      <c r="I299" s="80"/>
      <c r="J299" s="80"/>
      <c r="K299" s="80"/>
      <c r="L299" s="2"/>
      <c r="M299" s="2"/>
      <c r="N299" s="2"/>
      <c r="O299" s="2"/>
      <c r="P299" s="2"/>
      <c r="Q299" s="2"/>
      <c r="R299" s="80"/>
      <c r="S299" s="80"/>
      <c r="T299" s="80"/>
      <c r="U299" s="80"/>
      <c r="V299" s="80"/>
      <c r="W299" s="80"/>
      <c r="X299" s="80"/>
      <c r="Y299" s="80"/>
      <c r="Z299" s="80"/>
      <c r="AA299" s="80"/>
      <c r="AB299" s="80"/>
      <c r="AC299" s="80"/>
      <c r="AD299" s="80"/>
      <c r="AE299" s="80"/>
      <c r="AF299" s="80"/>
      <c r="AG299" s="80"/>
      <c r="AH299" s="80"/>
      <c r="AI299" s="80"/>
    </row>
    <row r="300" spans="1:35" x14ac:dyDescent="0.2">
      <c r="A300" s="2"/>
      <c r="B300" s="80"/>
      <c r="C300" s="80"/>
      <c r="D300" s="80"/>
      <c r="E300" s="80"/>
      <c r="F300" s="80"/>
      <c r="G300" s="80"/>
      <c r="H300" s="80"/>
      <c r="I300" s="80"/>
      <c r="J300" s="80"/>
      <c r="K300" s="80"/>
      <c r="L300" s="2"/>
      <c r="M300" s="2"/>
      <c r="N300" s="2"/>
      <c r="O300" s="2"/>
      <c r="P300" s="2"/>
      <c r="Q300" s="2"/>
      <c r="R300" s="80"/>
      <c r="S300" s="80"/>
      <c r="T300" s="80"/>
      <c r="U300" s="80"/>
      <c r="V300" s="80"/>
      <c r="W300" s="80"/>
      <c r="X300" s="80"/>
      <c r="Y300" s="80"/>
      <c r="Z300" s="80"/>
      <c r="AA300" s="80"/>
      <c r="AB300" s="80"/>
      <c r="AC300" s="80"/>
      <c r="AD300" s="80"/>
      <c r="AE300" s="80"/>
      <c r="AF300" s="80"/>
      <c r="AG300" s="80"/>
      <c r="AH300" s="80"/>
      <c r="AI300" s="80"/>
    </row>
    <row r="301" spans="1:35" x14ac:dyDescent="0.2">
      <c r="A301" s="2"/>
      <c r="B301" s="80"/>
      <c r="C301" s="80"/>
      <c r="D301" s="80"/>
      <c r="E301" s="80"/>
      <c r="F301" s="80"/>
      <c r="G301" s="80"/>
      <c r="H301" s="80"/>
      <c r="I301" s="80"/>
      <c r="J301" s="80"/>
      <c r="K301" s="80"/>
      <c r="L301" s="2"/>
      <c r="M301" s="2"/>
      <c r="N301" s="2"/>
      <c r="O301" s="2"/>
      <c r="P301" s="2"/>
      <c r="Q301" s="2"/>
      <c r="R301" s="80"/>
      <c r="S301" s="80"/>
      <c r="T301" s="80"/>
      <c r="U301" s="80"/>
      <c r="V301" s="80"/>
      <c r="W301" s="80"/>
      <c r="X301" s="80"/>
      <c r="Y301" s="80"/>
      <c r="Z301" s="80"/>
      <c r="AA301" s="80"/>
      <c r="AB301" s="80"/>
      <c r="AC301" s="80"/>
      <c r="AD301" s="80"/>
      <c r="AE301" s="80"/>
      <c r="AF301" s="80"/>
      <c r="AG301" s="80"/>
      <c r="AH301" s="80"/>
      <c r="AI301" s="80"/>
    </row>
    <row r="302" spans="1:35" x14ac:dyDescent="0.2">
      <c r="A302" s="2"/>
      <c r="B302" s="80"/>
      <c r="C302" s="80"/>
      <c r="D302" s="80"/>
      <c r="E302" s="80"/>
      <c r="F302" s="80"/>
      <c r="G302" s="80"/>
      <c r="H302" s="80"/>
      <c r="I302" s="80"/>
      <c r="J302" s="80"/>
      <c r="K302" s="80"/>
      <c r="L302" s="2"/>
      <c r="M302" s="2"/>
      <c r="N302" s="2"/>
      <c r="O302" s="2"/>
      <c r="P302" s="2"/>
      <c r="Q302" s="2"/>
      <c r="R302" s="80"/>
      <c r="S302" s="80"/>
      <c r="T302" s="80"/>
      <c r="U302" s="80"/>
      <c r="V302" s="80"/>
      <c r="W302" s="80"/>
      <c r="X302" s="80"/>
      <c r="Y302" s="80"/>
      <c r="Z302" s="80"/>
      <c r="AA302" s="80"/>
      <c r="AB302" s="80"/>
      <c r="AC302" s="80"/>
      <c r="AD302" s="80"/>
      <c r="AE302" s="80"/>
      <c r="AF302" s="80"/>
      <c r="AG302" s="80"/>
      <c r="AH302" s="80"/>
      <c r="AI302" s="80"/>
    </row>
    <row r="303" spans="1:35" x14ac:dyDescent="0.2">
      <c r="A303" s="2"/>
      <c r="B303" s="80"/>
      <c r="C303" s="80"/>
      <c r="D303" s="80"/>
      <c r="E303" s="80"/>
      <c r="F303" s="80"/>
      <c r="G303" s="80"/>
      <c r="H303" s="80"/>
      <c r="I303" s="80"/>
      <c r="J303" s="80"/>
      <c r="K303" s="80"/>
      <c r="L303" s="2"/>
      <c r="M303" s="2"/>
      <c r="N303" s="2"/>
      <c r="O303" s="2"/>
      <c r="P303" s="2"/>
      <c r="Q303" s="2"/>
      <c r="R303" s="80"/>
      <c r="S303" s="80"/>
      <c r="T303" s="80"/>
      <c r="U303" s="80"/>
      <c r="V303" s="80"/>
      <c r="W303" s="80"/>
      <c r="X303" s="80"/>
      <c r="Y303" s="80"/>
      <c r="Z303" s="80"/>
      <c r="AA303" s="80"/>
      <c r="AB303" s="80"/>
      <c r="AC303" s="80"/>
      <c r="AD303" s="80"/>
      <c r="AE303" s="80"/>
      <c r="AF303" s="80"/>
      <c r="AG303" s="80"/>
      <c r="AH303" s="80"/>
      <c r="AI303" s="80"/>
    </row>
    <row r="304" spans="1:35" x14ac:dyDescent="0.2">
      <c r="A304" s="2"/>
      <c r="B304" s="80"/>
      <c r="C304" s="80"/>
      <c r="D304" s="80"/>
      <c r="E304" s="80"/>
      <c r="F304" s="80"/>
      <c r="G304" s="80"/>
      <c r="H304" s="80"/>
      <c r="I304" s="80"/>
      <c r="J304" s="80"/>
      <c r="K304" s="80"/>
      <c r="L304" s="2"/>
      <c r="M304" s="2"/>
      <c r="N304" s="2"/>
      <c r="O304" s="2"/>
      <c r="P304" s="2"/>
      <c r="Q304" s="2"/>
      <c r="R304" s="80"/>
      <c r="S304" s="80"/>
      <c r="T304" s="80"/>
      <c r="U304" s="80"/>
      <c r="V304" s="80"/>
      <c r="W304" s="80"/>
      <c r="X304" s="80"/>
      <c r="Y304" s="80"/>
      <c r="Z304" s="80"/>
      <c r="AA304" s="80"/>
      <c r="AB304" s="80"/>
      <c r="AC304" s="80"/>
      <c r="AD304" s="80"/>
      <c r="AE304" s="80"/>
      <c r="AF304" s="80"/>
      <c r="AG304" s="80"/>
      <c r="AH304" s="80"/>
      <c r="AI304" s="80"/>
    </row>
    <row r="305" spans="1:35" x14ac:dyDescent="0.2">
      <c r="A305" s="2"/>
      <c r="B305" s="80"/>
      <c r="C305" s="80"/>
      <c r="D305" s="80"/>
      <c r="E305" s="80"/>
      <c r="F305" s="80"/>
      <c r="G305" s="80"/>
      <c r="H305" s="80"/>
      <c r="I305" s="80"/>
      <c r="J305" s="80"/>
      <c r="K305" s="80"/>
      <c r="L305" s="2"/>
      <c r="M305" s="2"/>
      <c r="N305" s="2"/>
      <c r="O305" s="2"/>
      <c r="P305" s="2"/>
      <c r="Q305" s="2"/>
      <c r="R305" s="80"/>
      <c r="S305" s="80"/>
      <c r="T305" s="80"/>
      <c r="U305" s="80"/>
      <c r="V305" s="80"/>
      <c r="W305" s="80"/>
      <c r="X305" s="80"/>
      <c r="Y305" s="80"/>
      <c r="Z305" s="80"/>
      <c r="AA305" s="80"/>
      <c r="AB305" s="80"/>
      <c r="AC305" s="80"/>
      <c r="AD305" s="80"/>
      <c r="AE305" s="80"/>
      <c r="AF305" s="80"/>
      <c r="AG305" s="80"/>
      <c r="AH305" s="80"/>
      <c r="AI305" s="80"/>
    </row>
    <row r="306" spans="1:35" x14ac:dyDescent="0.2">
      <c r="A306" s="2"/>
      <c r="B306" s="80"/>
      <c r="C306" s="80"/>
      <c r="D306" s="80"/>
      <c r="E306" s="80"/>
      <c r="F306" s="80"/>
      <c r="G306" s="80"/>
      <c r="H306" s="80"/>
      <c r="I306" s="80"/>
      <c r="J306" s="80"/>
      <c r="K306" s="80"/>
      <c r="L306" s="2"/>
      <c r="M306" s="2"/>
      <c r="N306" s="2"/>
      <c r="O306" s="2"/>
      <c r="P306" s="2"/>
      <c r="Q306" s="2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80"/>
      <c r="AC306" s="80"/>
      <c r="AD306" s="80"/>
      <c r="AE306" s="80"/>
      <c r="AF306" s="80"/>
      <c r="AG306" s="80"/>
      <c r="AH306" s="80"/>
      <c r="AI306" s="80"/>
    </row>
    <row r="307" spans="1:35" x14ac:dyDescent="0.2">
      <c r="A307" s="2"/>
      <c r="B307" s="80"/>
      <c r="C307" s="80"/>
      <c r="D307" s="80"/>
      <c r="E307" s="80"/>
      <c r="F307" s="80"/>
      <c r="G307" s="80"/>
      <c r="H307" s="80"/>
      <c r="I307" s="80"/>
      <c r="J307" s="80"/>
      <c r="K307" s="80"/>
      <c r="L307" s="2"/>
      <c r="M307" s="2"/>
      <c r="N307" s="2"/>
      <c r="O307" s="2"/>
      <c r="P307" s="2"/>
      <c r="Q307" s="2"/>
      <c r="R307" s="80"/>
      <c r="S307" s="80"/>
      <c r="T307" s="80"/>
      <c r="U307" s="80"/>
      <c r="V307" s="80"/>
      <c r="W307" s="80"/>
      <c r="X307" s="80"/>
      <c r="Y307" s="80"/>
      <c r="Z307" s="80"/>
      <c r="AA307" s="80"/>
      <c r="AB307" s="80"/>
      <c r="AC307" s="80"/>
      <c r="AD307" s="80"/>
      <c r="AE307" s="80"/>
      <c r="AF307" s="80"/>
      <c r="AG307" s="80"/>
      <c r="AH307" s="80"/>
      <c r="AI307" s="80"/>
    </row>
    <row r="308" spans="1:35" x14ac:dyDescent="0.2">
      <c r="A308" s="2"/>
      <c r="B308" s="80"/>
      <c r="C308" s="80"/>
      <c r="D308" s="80"/>
      <c r="E308" s="80"/>
      <c r="F308" s="80"/>
      <c r="G308" s="80"/>
      <c r="H308" s="80"/>
      <c r="I308" s="80"/>
      <c r="J308" s="80"/>
      <c r="K308" s="80"/>
      <c r="L308" s="2"/>
      <c r="M308" s="2"/>
      <c r="N308" s="2"/>
      <c r="O308" s="2"/>
      <c r="P308" s="2"/>
      <c r="Q308" s="2"/>
      <c r="R308" s="80"/>
      <c r="S308" s="80"/>
      <c r="T308" s="80"/>
      <c r="U308" s="80"/>
      <c r="V308" s="80"/>
      <c r="W308" s="80"/>
      <c r="X308" s="80"/>
      <c r="Y308" s="80"/>
      <c r="Z308" s="80"/>
      <c r="AA308" s="80"/>
      <c r="AB308" s="80"/>
      <c r="AC308" s="80"/>
      <c r="AD308" s="80"/>
      <c r="AE308" s="80"/>
      <c r="AF308" s="80"/>
      <c r="AG308" s="80"/>
      <c r="AH308" s="80"/>
      <c r="AI308" s="80"/>
    </row>
    <row r="309" spans="1:35" x14ac:dyDescent="0.2">
      <c r="A309" s="2"/>
      <c r="B309" s="80"/>
      <c r="C309" s="80"/>
      <c r="D309" s="80"/>
      <c r="E309" s="80"/>
      <c r="F309" s="80"/>
      <c r="G309" s="80"/>
      <c r="H309" s="80"/>
      <c r="I309" s="80"/>
      <c r="J309" s="80"/>
      <c r="K309" s="80"/>
      <c r="L309" s="2"/>
      <c r="M309" s="2"/>
      <c r="N309" s="2"/>
      <c r="O309" s="2"/>
      <c r="P309" s="2"/>
      <c r="Q309" s="2"/>
      <c r="R309" s="80"/>
      <c r="S309" s="80"/>
      <c r="T309" s="80"/>
      <c r="U309" s="80"/>
      <c r="V309" s="80"/>
      <c r="W309" s="80"/>
      <c r="X309" s="80"/>
      <c r="Y309" s="80"/>
      <c r="Z309" s="80"/>
      <c r="AA309" s="80"/>
      <c r="AB309" s="80"/>
      <c r="AC309" s="80"/>
      <c r="AD309" s="80"/>
      <c r="AE309" s="80"/>
      <c r="AF309" s="80"/>
      <c r="AG309" s="80"/>
      <c r="AH309" s="80"/>
      <c r="AI309" s="80"/>
    </row>
    <row r="310" spans="1:35" x14ac:dyDescent="0.2">
      <c r="A310" s="2"/>
      <c r="B310" s="80"/>
      <c r="C310" s="80"/>
      <c r="D310" s="80"/>
      <c r="E310" s="80"/>
      <c r="F310" s="80"/>
      <c r="G310" s="80"/>
      <c r="H310" s="80"/>
      <c r="I310" s="80"/>
      <c r="J310" s="80"/>
      <c r="K310" s="80"/>
      <c r="L310" s="2"/>
      <c r="M310" s="2"/>
      <c r="N310" s="2"/>
      <c r="O310" s="2"/>
      <c r="P310" s="2"/>
      <c r="Q310" s="2"/>
      <c r="R310" s="80"/>
      <c r="S310" s="80"/>
      <c r="T310" s="80"/>
      <c r="U310" s="80"/>
      <c r="V310" s="80"/>
      <c r="W310" s="80"/>
      <c r="X310" s="80"/>
      <c r="Y310" s="80"/>
      <c r="Z310" s="80"/>
      <c r="AA310" s="80"/>
      <c r="AB310" s="80"/>
      <c r="AC310" s="80"/>
      <c r="AD310" s="80"/>
      <c r="AE310" s="80"/>
      <c r="AF310" s="80"/>
      <c r="AG310" s="80"/>
      <c r="AH310" s="80"/>
      <c r="AI310" s="80"/>
    </row>
    <row r="311" spans="1:35" x14ac:dyDescent="0.2">
      <c r="A311" s="2"/>
      <c r="B311" s="80"/>
      <c r="C311" s="80"/>
      <c r="D311" s="80"/>
      <c r="E311" s="80"/>
      <c r="F311" s="80"/>
      <c r="G311" s="80"/>
      <c r="H311" s="80"/>
      <c r="I311" s="80"/>
      <c r="J311" s="80"/>
      <c r="K311" s="80"/>
      <c r="L311" s="2"/>
      <c r="M311" s="2"/>
      <c r="N311" s="2"/>
      <c r="O311" s="2"/>
      <c r="P311" s="2"/>
      <c r="Q311" s="2"/>
      <c r="R311" s="80"/>
      <c r="S311" s="80"/>
      <c r="T311" s="80"/>
      <c r="U311" s="80"/>
      <c r="V311" s="80"/>
      <c r="W311" s="80"/>
      <c r="X311" s="80"/>
      <c r="Y311" s="80"/>
      <c r="Z311" s="80"/>
      <c r="AA311" s="80"/>
      <c r="AB311" s="80"/>
      <c r="AC311" s="80"/>
      <c r="AD311" s="80"/>
      <c r="AE311" s="80"/>
      <c r="AF311" s="80"/>
      <c r="AG311" s="80"/>
      <c r="AH311" s="80"/>
      <c r="AI311" s="80"/>
    </row>
    <row r="312" spans="1:35" x14ac:dyDescent="0.2">
      <c r="A312" s="2"/>
      <c r="B312" s="80"/>
      <c r="C312" s="80"/>
      <c r="D312" s="80"/>
      <c r="E312" s="80"/>
      <c r="F312" s="80"/>
      <c r="G312" s="80"/>
      <c r="H312" s="80"/>
      <c r="I312" s="80"/>
      <c r="J312" s="80"/>
      <c r="K312" s="80"/>
      <c r="L312" s="2"/>
      <c r="M312" s="2"/>
      <c r="N312" s="2"/>
      <c r="O312" s="2"/>
      <c r="P312" s="2"/>
      <c r="Q312" s="2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80"/>
      <c r="AC312" s="80"/>
      <c r="AD312" s="80"/>
      <c r="AE312" s="80"/>
      <c r="AF312" s="80"/>
      <c r="AG312" s="80"/>
      <c r="AH312" s="80"/>
      <c r="AI312" s="80"/>
    </row>
    <row r="313" spans="1:35" x14ac:dyDescent="0.2">
      <c r="A313" s="2"/>
      <c r="B313" s="80"/>
      <c r="C313" s="80"/>
      <c r="D313" s="80"/>
      <c r="E313" s="80"/>
      <c r="F313" s="80"/>
      <c r="G313" s="80"/>
      <c r="H313" s="80"/>
      <c r="I313" s="80"/>
      <c r="J313" s="80"/>
      <c r="K313" s="80"/>
      <c r="L313" s="2"/>
      <c r="M313" s="2"/>
      <c r="N313" s="2"/>
      <c r="O313" s="2"/>
      <c r="P313" s="2"/>
      <c r="Q313" s="2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80"/>
      <c r="AC313" s="80"/>
      <c r="AD313" s="80"/>
      <c r="AE313" s="80"/>
      <c r="AF313" s="80"/>
      <c r="AG313" s="80"/>
      <c r="AH313" s="80"/>
      <c r="AI313" s="80"/>
    </row>
    <row r="314" spans="1:35" x14ac:dyDescent="0.2">
      <c r="A314" s="2"/>
      <c r="B314" s="80"/>
      <c r="C314" s="80"/>
      <c r="D314" s="80"/>
      <c r="E314" s="80"/>
      <c r="F314" s="80"/>
      <c r="G314" s="80"/>
      <c r="H314" s="80"/>
      <c r="I314" s="80"/>
      <c r="J314" s="80"/>
      <c r="K314" s="80"/>
      <c r="L314" s="2"/>
      <c r="M314" s="2"/>
      <c r="N314" s="2"/>
      <c r="O314" s="2"/>
      <c r="P314" s="2"/>
      <c r="Q314" s="2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80"/>
      <c r="AC314" s="80"/>
      <c r="AD314" s="80"/>
      <c r="AE314" s="80"/>
      <c r="AF314" s="80"/>
      <c r="AG314" s="80"/>
      <c r="AH314" s="80"/>
      <c r="AI314" s="80"/>
    </row>
    <row r="315" spans="1:35" x14ac:dyDescent="0.2">
      <c r="A315" s="2"/>
      <c r="B315" s="80"/>
      <c r="C315" s="80"/>
      <c r="D315" s="80"/>
      <c r="E315" s="80"/>
      <c r="F315" s="80"/>
      <c r="G315" s="80"/>
      <c r="H315" s="80"/>
      <c r="I315" s="80"/>
      <c r="J315" s="80"/>
      <c r="K315" s="80"/>
      <c r="L315" s="2"/>
      <c r="M315" s="2"/>
      <c r="N315" s="2"/>
      <c r="O315" s="2"/>
      <c r="P315" s="2"/>
      <c r="Q315" s="2"/>
      <c r="R315" s="80"/>
      <c r="S315" s="80"/>
      <c r="T315" s="80"/>
      <c r="U315" s="80"/>
      <c r="V315" s="80"/>
      <c r="W315" s="80"/>
      <c r="X315" s="80"/>
      <c r="Y315" s="80"/>
      <c r="Z315" s="80"/>
      <c r="AA315" s="80"/>
      <c r="AB315" s="80"/>
      <c r="AC315" s="80"/>
      <c r="AD315" s="80"/>
      <c r="AE315" s="80"/>
      <c r="AF315" s="80"/>
      <c r="AG315" s="80"/>
      <c r="AH315" s="80"/>
      <c r="AI315" s="80"/>
    </row>
    <row r="316" spans="1:35" x14ac:dyDescent="0.2">
      <c r="A316" s="2"/>
      <c r="B316" s="80"/>
      <c r="C316" s="80"/>
      <c r="D316" s="80"/>
      <c r="E316" s="80"/>
      <c r="F316" s="80"/>
      <c r="G316" s="80"/>
      <c r="H316" s="80"/>
      <c r="I316" s="80"/>
      <c r="J316" s="80"/>
      <c r="K316" s="80"/>
      <c r="L316" s="2"/>
      <c r="M316" s="2"/>
      <c r="N316" s="2"/>
      <c r="O316" s="2"/>
      <c r="P316" s="2"/>
      <c r="Q316" s="2"/>
      <c r="R316" s="80"/>
      <c r="S316" s="80"/>
      <c r="T316" s="80"/>
      <c r="U316" s="80"/>
      <c r="V316" s="80"/>
      <c r="W316" s="80"/>
      <c r="X316" s="80"/>
      <c r="Y316" s="80"/>
      <c r="Z316" s="80"/>
      <c r="AA316" s="80"/>
      <c r="AB316" s="80"/>
      <c r="AC316" s="80"/>
      <c r="AD316" s="80"/>
      <c r="AE316" s="80"/>
      <c r="AF316" s="80"/>
      <c r="AG316" s="80"/>
      <c r="AH316" s="80"/>
      <c r="AI316" s="80"/>
    </row>
    <row r="317" spans="1:35" x14ac:dyDescent="0.2">
      <c r="A317" s="2"/>
      <c r="B317" s="80"/>
      <c r="C317" s="80"/>
      <c r="D317" s="80"/>
      <c r="E317" s="80"/>
      <c r="F317" s="80"/>
      <c r="G317" s="80"/>
      <c r="H317" s="80"/>
      <c r="I317" s="80"/>
      <c r="J317" s="80"/>
      <c r="K317" s="80"/>
      <c r="L317" s="2"/>
      <c r="M317" s="2"/>
      <c r="N317" s="2"/>
      <c r="O317" s="2"/>
      <c r="P317" s="2"/>
      <c r="Q317" s="2"/>
      <c r="R317" s="80"/>
      <c r="S317" s="80"/>
      <c r="T317" s="80"/>
      <c r="U317" s="80"/>
      <c r="V317" s="80"/>
      <c r="W317" s="80"/>
      <c r="X317" s="80"/>
      <c r="Y317" s="80"/>
      <c r="Z317" s="80"/>
      <c r="AA317" s="80"/>
      <c r="AB317" s="80"/>
      <c r="AC317" s="80"/>
      <c r="AD317" s="80"/>
      <c r="AE317" s="80"/>
      <c r="AF317" s="80"/>
      <c r="AG317" s="80"/>
      <c r="AH317" s="80"/>
      <c r="AI317" s="80"/>
    </row>
    <row r="318" spans="1:35" x14ac:dyDescent="0.2">
      <c r="A318" s="2"/>
      <c r="B318" s="80"/>
      <c r="C318" s="80"/>
      <c r="D318" s="80"/>
      <c r="E318" s="80"/>
      <c r="F318" s="80"/>
      <c r="G318" s="80"/>
      <c r="H318" s="80"/>
      <c r="I318" s="80"/>
      <c r="J318" s="80"/>
      <c r="K318" s="80"/>
      <c r="L318" s="2"/>
      <c r="M318" s="2"/>
      <c r="N318" s="2"/>
      <c r="O318" s="2"/>
      <c r="P318" s="2"/>
      <c r="Q318" s="2"/>
      <c r="R318" s="80"/>
      <c r="S318" s="80"/>
      <c r="T318" s="80"/>
      <c r="U318" s="80"/>
      <c r="V318" s="80"/>
      <c r="W318" s="80"/>
      <c r="X318" s="80"/>
      <c r="Y318" s="80"/>
      <c r="Z318" s="80"/>
      <c r="AA318" s="80"/>
      <c r="AB318" s="80"/>
      <c r="AC318" s="80"/>
      <c r="AD318" s="80"/>
      <c r="AE318" s="80"/>
      <c r="AF318" s="80"/>
      <c r="AG318" s="80"/>
      <c r="AH318" s="80"/>
      <c r="AI318" s="80"/>
    </row>
    <row r="319" spans="1:35" x14ac:dyDescent="0.2">
      <c r="A319" s="2"/>
      <c r="B319" s="80"/>
      <c r="C319" s="80"/>
      <c r="D319" s="80"/>
      <c r="E319" s="80"/>
      <c r="F319" s="80"/>
      <c r="G319" s="80"/>
      <c r="H319" s="80"/>
      <c r="I319" s="80"/>
      <c r="J319" s="80"/>
      <c r="K319" s="80"/>
      <c r="L319" s="2"/>
      <c r="M319" s="2"/>
      <c r="N319" s="2"/>
      <c r="O319" s="2"/>
      <c r="P319" s="2"/>
      <c r="Q319" s="2"/>
      <c r="R319" s="80"/>
      <c r="S319" s="80"/>
      <c r="T319" s="80"/>
      <c r="U319" s="80"/>
      <c r="V319" s="80"/>
      <c r="W319" s="80"/>
      <c r="X319" s="80"/>
      <c r="Y319" s="80"/>
      <c r="Z319" s="80"/>
      <c r="AA319" s="80"/>
      <c r="AB319" s="80"/>
      <c r="AC319" s="80"/>
      <c r="AD319" s="80"/>
      <c r="AE319" s="80"/>
      <c r="AF319" s="80"/>
      <c r="AG319" s="80"/>
      <c r="AH319" s="80"/>
      <c r="AI319" s="80"/>
    </row>
    <row r="320" spans="1:35" x14ac:dyDescent="0.2">
      <c r="A320" s="2"/>
      <c r="B320" s="80"/>
      <c r="C320" s="80"/>
      <c r="D320" s="80"/>
      <c r="E320" s="80"/>
      <c r="F320" s="80"/>
      <c r="G320" s="80"/>
      <c r="H320" s="80"/>
      <c r="I320" s="80"/>
      <c r="J320" s="80"/>
      <c r="K320" s="80"/>
      <c r="L320" s="2"/>
      <c r="M320" s="2"/>
      <c r="N320" s="2"/>
      <c r="O320" s="2"/>
      <c r="P320" s="2"/>
      <c r="Q320" s="2"/>
      <c r="R320" s="80"/>
      <c r="S320" s="80"/>
      <c r="T320" s="80"/>
      <c r="U320" s="80"/>
      <c r="V320" s="80"/>
      <c r="W320" s="80"/>
      <c r="X320" s="80"/>
      <c r="Y320" s="80"/>
      <c r="Z320" s="80"/>
      <c r="AA320" s="80"/>
      <c r="AB320" s="80"/>
      <c r="AC320" s="80"/>
      <c r="AD320" s="80"/>
      <c r="AE320" s="80"/>
      <c r="AF320" s="80"/>
      <c r="AG320" s="80"/>
      <c r="AH320" s="80"/>
      <c r="AI320" s="80"/>
    </row>
    <row r="321" spans="1:35" x14ac:dyDescent="0.2">
      <c r="A321" s="2"/>
      <c r="B321" s="80"/>
      <c r="C321" s="80"/>
      <c r="D321" s="80"/>
      <c r="E321" s="80"/>
      <c r="F321" s="80"/>
      <c r="G321" s="80"/>
      <c r="H321" s="80"/>
      <c r="I321" s="80"/>
      <c r="J321" s="80"/>
      <c r="K321" s="80"/>
      <c r="L321" s="2"/>
      <c r="M321" s="2"/>
      <c r="N321" s="2"/>
      <c r="O321" s="2"/>
      <c r="P321" s="2"/>
      <c r="Q321" s="2"/>
      <c r="R321" s="80"/>
      <c r="S321" s="80"/>
      <c r="T321" s="80"/>
      <c r="U321" s="80"/>
      <c r="V321" s="80"/>
      <c r="W321" s="80"/>
      <c r="X321" s="80"/>
      <c r="Y321" s="80"/>
      <c r="Z321" s="80"/>
      <c r="AA321" s="80"/>
      <c r="AB321" s="80"/>
      <c r="AC321" s="80"/>
      <c r="AD321" s="80"/>
      <c r="AE321" s="80"/>
      <c r="AF321" s="80"/>
      <c r="AG321" s="80"/>
      <c r="AH321" s="80"/>
      <c r="AI321" s="80"/>
    </row>
    <row r="322" spans="1:35" x14ac:dyDescent="0.2">
      <c r="A322" s="2"/>
      <c r="B322" s="80"/>
      <c r="C322" s="80"/>
      <c r="D322" s="80"/>
      <c r="E322" s="80"/>
      <c r="F322" s="80"/>
      <c r="G322" s="80"/>
      <c r="H322" s="80"/>
      <c r="I322" s="80"/>
      <c r="J322" s="80"/>
      <c r="K322" s="80"/>
      <c r="L322" s="2"/>
      <c r="M322" s="2"/>
      <c r="N322" s="2"/>
      <c r="O322" s="2"/>
      <c r="P322" s="2"/>
      <c r="Q322" s="2"/>
      <c r="R322" s="80"/>
      <c r="S322" s="80"/>
      <c r="T322" s="80"/>
      <c r="U322" s="80"/>
      <c r="V322" s="80"/>
      <c r="W322" s="80"/>
      <c r="X322" s="80"/>
      <c r="Y322" s="80"/>
      <c r="Z322" s="80"/>
      <c r="AA322" s="80"/>
      <c r="AB322" s="80"/>
      <c r="AC322" s="80"/>
      <c r="AD322" s="80"/>
      <c r="AE322" s="80"/>
      <c r="AF322" s="80"/>
      <c r="AG322" s="80"/>
      <c r="AH322" s="80"/>
      <c r="AI322" s="80"/>
    </row>
    <row r="323" spans="1:35" x14ac:dyDescent="0.2">
      <c r="A323" s="2"/>
      <c r="B323" s="80"/>
      <c r="C323" s="80"/>
      <c r="D323" s="80"/>
      <c r="E323" s="80"/>
      <c r="F323" s="80"/>
      <c r="G323" s="80"/>
      <c r="H323" s="80"/>
      <c r="I323" s="80"/>
      <c r="J323" s="80"/>
      <c r="K323" s="80"/>
      <c r="L323" s="2"/>
      <c r="M323" s="2"/>
      <c r="N323" s="2"/>
      <c r="O323" s="2"/>
      <c r="P323" s="2"/>
      <c r="Q323" s="2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80"/>
      <c r="AC323" s="80"/>
      <c r="AD323" s="80"/>
      <c r="AE323" s="80"/>
      <c r="AF323" s="80"/>
      <c r="AG323" s="80"/>
      <c r="AH323" s="80"/>
      <c r="AI323" s="80"/>
    </row>
    <row r="324" spans="1:35" x14ac:dyDescent="0.2">
      <c r="A324" s="2"/>
      <c r="B324" s="80"/>
      <c r="C324" s="80"/>
      <c r="D324" s="80"/>
      <c r="E324" s="80"/>
      <c r="F324" s="80"/>
      <c r="G324" s="80"/>
      <c r="H324" s="80"/>
      <c r="I324" s="80"/>
      <c r="J324" s="80"/>
      <c r="K324" s="80"/>
      <c r="L324" s="2"/>
      <c r="M324" s="2"/>
      <c r="N324" s="2"/>
      <c r="O324" s="2"/>
      <c r="P324" s="2"/>
      <c r="Q324" s="2"/>
      <c r="R324" s="80"/>
      <c r="S324" s="80"/>
      <c r="T324" s="80"/>
      <c r="U324" s="80"/>
      <c r="V324" s="80"/>
      <c r="W324" s="80"/>
      <c r="X324" s="80"/>
      <c r="Y324" s="80"/>
      <c r="Z324" s="80"/>
      <c r="AA324" s="80"/>
      <c r="AB324" s="80"/>
      <c r="AC324" s="80"/>
      <c r="AD324" s="80"/>
      <c r="AE324" s="80"/>
      <c r="AF324" s="80"/>
      <c r="AG324" s="80"/>
      <c r="AH324" s="80"/>
      <c r="AI324" s="80"/>
    </row>
    <row r="325" spans="1:35" x14ac:dyDescent="0.2">
      <c r="A325" s="2"/>
      <c r="B325" s="80"/>
      <c r="C325" s="80"/>
      <c r="D325" s="80"/>
      <c r="E325" s="80"/>
      <c r="F325" s="80"/>
      <c r="G325" s="80"/>
      <c r="H325" s="80"/>
      <c r="I325" s="80"/>
      <c r="J325" s="80"/>
      <c r="K325" s="80"/>
      <c r="L325" s="2"/>
      <c r="M325" s="2"/>
      <c r="N325" s="2"/>
      <c r="O325" s="2"/>
      <c r="P325" s="2"/>
      <c r="Q325" s="2"/>
      <c r="R325" s="80"/>
      <c r="S325" s="80"/>
      <c r="T325" s="80"/>
      <c r="U325" s="80"/>
      <c r="V325" s="80"/>
      <c r="W325" s="80"/>
      <c r="X325" s="80"/>
      <c r="Y325" s="80"/>
      <c r="Z325" s="80"/>
      <c r="AA325" s="80"/>
      <c r="AB325" s="80"/>
      <c r="AC325" s="80"/>
      <c r="AD325" s="80"/>
      <c r="AE325" s="80"/>
      <c r="AF325" s="80"/>
      <c r="AG325" s="80"/>
      <c r="AH325" s="80"/>
      <c r="AI325" s="80"/>
    </row>
    <row r="326" spans="1:35" x14ac:dyDescent="0.2">
      <c r="A326" s="2"/>
      <c r="B326" s="80"/>
      <c r="C326" s="80"/>
      <c r="D326" s="80"/>
      <c r="E326" s="80"/>
      <c r="F326" s="80"/>
      <c r="G326" s="80"/>
      <c r="H326" s="80"/>
      <c r="I326" s="80"/>
      <c r="J326" s="80"/>
      <c r="K326" s="80"/>
      <c r="L326" s="2"/>
      <c r="M326" s="2"/>
      <c r="N326" s="2"/>
      <c r="O326" s="2"/>
      <c r="P326" s="2"/>
      <c r="Q326" s="2"/>
      <c r="R326" s="80"/>
      <c r="S326" s="80"/>
      <c r="T326" s="80"/>
      <c r="U326" s="80"/>
      <c r="V326" s="80"/>
      <c r="W326" s="80"/>
      <c r="X326" s="80"/>
      <c r="Y326" s="80"/>
      <c r="Z326" s="80"/>
      <c r="AA326" s="80"/>
      <c r="AB326" s="80"/>
      <c r="AC326" s="80"/>
      <c r="AD326" s="80"/>
      <c r="AE326" s="80"/>
      <c r="AF326" s="80"/>
      <c r="AG326" s="80"/>
      <c r="AH326" s="80"/>
      <c r="AI326" s="80"/>
    </row>
    <row r="327" spans="1:35" x14ac:dyDescent="0.2">
      <c r="A327" s="2"/>
      <c r="B327" s="80"/>
      <c r="C327" s="80"/>
      <c r="D327" s="80"/>
      <c r="E327" s="80"/>
      <c r="F327" s="80"/>
      <c r="G327" s="80"/>
      <c r="H327" s="80"/>
      <c r="I327" s="80"/>
      <c r="J327" s="80"/>
      <c r="K327" s="80"/>
      <c r="L327" s="2"/>
      <c r="M327" s="2"/>
      <c r="N327" s="2"/>
      <c r="O327" s="2"/>
      <c r="P327" s="2"/>
      <c r="Q327" s="2"/>
      <c r="R327" s="80"/>
      <c r="S327" s="80"/>
      <c r="T327" s="80"/>
      <c r="U327" s="80"/>
      <c r="V327" s="80"/>
      <c r="W327" s="80"/>
      <c r="X327" s="80"/>
      <c r="Y327" s="80"/>
      <c r="Z327" s="80"/>
      <c r="AA327" s="80"/>
      <c r="AB327" s="80"/>
      <c r="AC327" s="80"/>
      <c r="AD327" s="80"/>
      <c r="AE327" s="80"/>
      <c r="AF327" s="80"/>
      <c r="AG327" s="80"/>
      <c r="AH327" s="80"/>
      <c r="AI327" s="80"/>
    </row>
    <row r="328" spans="1:35" x14ac:dyDescent="0.2">
      <c r="A328" s="2"/>
      <c r="B328" s="80"/>
      <c r="C328" s="80"/>
      <c r="D328" s="80"/>
      <c r="E328" s="80"/>
      <c r="F328" s="80"/>
      <c r="G328" s="80"/>
      <c r="H328" s="80"/>
      <c r="I328" s="80"/>
      <c r="J328" s="80"/>
      <c r="K328" s="80"/>
      <c r="L328" s="2"/>
      <c r="M328" s="2"/>
      <c r="N328" s="2"/>
      <c r="O328" s="2"/>
      <c r="P328" s="2"/>
      <c r="Q328" s="2"/>
      <c r="R328" s="80"/>
      <c r="S328" s="80"/>
      <c r="T328" s="80"/>
      <c r="U328" s="80"/>
      <c r="V328" s="80"/>
      <c r="W328" s="80"/>
      <c r="X328" s="80"/>
      <c r="Y328" s="80"/>
      <c r="Z328" s="80"/>
      <c r="AA328" s="80"/>
      <c r="AB328" s="80"/>
      <c r="AC328" s="80"/>
      <c r="AD328" s="80"/>
      <c r="AE328" s="80"/>
      <c r="AF328" s="80"/>
      <c r="AG328" s="80"/>
      <c r="AH328" s="80"/>
      <c r="AI328" s="80"/>
    </row>
    <row r="329" spans="1:35" x14ac:dyDescent="0.2">
      <c r="A329" s="2"/>
      <c r="B329" s="80"/>
      <c r="C329" s="80"/>
      <c r="D329" s="80"/>
      <c r="E329" s="80"/>
      <c r="F329" s="80"/>
      <c r="G329" s="80"/>
      <c r="H329" s="80"/>
      <c r="I329" s="80"/>
      <c r="J329" s="80"/>
      <c r="K329" s="80"/>
      <c r="L329" s="2"/>
      <c r="M329" s="2"/>
      <c r="N329" s="2"/>
      <c r="O329" s="2"/>
      <c r="P329" s="2"/>
      <c r="Q329" s="2"/>
      <c r="R329" s="80"/>
      <c r="S329" s="80"/>
      <c r="T329" s="80"/>
      <c r="U329" s="80"/>
      <c r="V329" s="80"/>
      <c r="W329" s="80"/>
      <c r="X329" s="80"/>
      <c r="Y329" s="80"/>
      <c r="Z329" s="80"/>
      <c r="AA329" s="80"/>
      <c r="AB329" s="80"/>
      <c r="AC329" s="80"/>
      <c r="AD329" s="80"/>
      <c r="AE329" s="80"/>
      <c r="AF329" s="80"/>
      <c r="AG329" s="80"/>
      <c r="AH329" s="80"/>
      <c r="AI329" s="80"/>
    </row>
    <row r="330" spans="1:35" x14ac:dyDescent="0.2">
      <c r="A330" s="2"/>
      <c r="B330" s="80"/>
      <c r="C330" s="80"/>
      <c r="D330" s="80"/>
      <c r="E330" s="80"/>
      <c r="F330" s="80"/>
      <c r="G330" s="80"/>
      <c r="H330" s="80"/>
      <c r="I330" s="80"/>
      <c r="J330" s="80"/>
      <c r="K330" s="80"/>
      <c r="L330" s="2"/>
      <c r="M330" s="2"/>
      <c r="N330" s="2"/>
      <c r="O330" s="2"/>
      <c r="P330" s="2"/>
      <c r="Q330" s="2"/>
      <c r="R330" s="80"/>
      <c r="S330" s="80"/>
      <c r="T330" s="80"/>
      <c r="U330" s="80"/>
      <c r="V330" s="80"/>
      <c r="W330" s="80"/>
      <c r="X330" s="80"/>
      <c r="Y330" s="80"/>
      <c r="Z330" s="80"/>
      <c r="AA330" s="80"/>
      <c r="AB330" s="80"/>
      <c r="AC330" s="80"/>
      <c r="AD330" s="80"/>
      <c r="AE330" s="80"/>
      <c r="AF330" s="80"/>
      <c r="AG330" s="80"/>
      <c r="AH330" s="80"/>
      <c r="AI330" s="80"/>
    </row>
    <row r="331" spans="1:35" x14ac:dyDescent="0.2">
      <c r="A331" s="2"/>
      <c r="B331" s="80"/>
      <c r="C331" s="80"/>
      <c r="D331" s="80"/>
      <c r="E331" s="80"/>
      <c r="F331" s="80"/>
      <c r="G331" s="80"/>
      <c r="H331" s="80"/>
      <c r="I331" s="80"/>
      <c r="J331" s="80"/>
      <c r="K331" s="80"/>
      <c r="L331" s="2"/>
      <c r="M331" s="2"/>
      <c r="N331" s="2"/>
      <c r="O331" s="2"/>
      <c r="P331" s="2"/>
      <c r="Q331" s="2"/>
      <c r="R331" s="80"/>
      <c r="S331" s="80"/>
      <c r="T331" s="80"/>
      <c r="U331" s="80"/>
      <c r="V331" s="80"/>
      <c r="W331" s="80"/>
      <c r="X331" s="80"/>
      <c r="Y331" s="80"/>
      <c r="Z331" s="80"/>
      <c r="AA331" s="80"/>
      <c r="AB331" s="80"/>
      <c r="AC331" s="80"/>
      <c r="AD331" s="80"/>
      <c r="AE331" s="80"/>
      <c r="AF331" s="80"/>
      <c r="AG331" s="80"/>
      <c r="AH331" s="80"/>
      <c r="AI331" s="80"/>
    </row>
    <row r="332" spans="1:35" x14ac:dyDescent="0.2">
      <c r="A332" s="2"/>
      <c r="B332" s="80"/>
      <c r="C332" s="80"/>
      <c r="D332" s="80"/>
      <c r="E332" s="80"/>
      <c r="F332" s="80"/>
      <c r="G332" s="80"/>
      <c r="H332" s="80"/>
      <c r="I332" s="80"/>
      <c r="J332" s="80"/>
      <c r="K332" s="80"/>
      <c r="L332" s="2"/>
      <c r="M332" s="2"/>
      <c r="N332" s="2"/>
      <c r="O332" s="2"/>
      <c r="P332" s="2"/>
      <c r="Q332" s="2"/>
      <c r="R332" s="80"/>
      <c r="S332" s="80"/>
      <c r="T332" s="80"/>
      <c r="U332" s="80"/>
      <c r="V332" s="80"/>
      <c r="W332" s="80"/>
      <c r="X332" s="80"/>
      <c r="Y332" s="80"/>
      <c r="Z332" s="80"/>
      <c r="AA332" s="80"/>
      <c r="AB332" s="80"/>
      <c r="AC332" s="80"/>
      <c r="AD332" s="80"/>
      <c r="AE332" s="80"/>
      <c r="AF332" s="80"/>
      <c r="AG332" s="80"/>
      <c r="AH332" s="80"/>
      <c r="AI332" s="80"/>
    </row>
    <row r="333" spans="1:35" x14ac:dyDescent="0.2">
      <c r="A333" s="2"/>
      <c r="B333" s="80"/>
      <c r="C333" s="80"/>
      <c r="D333" s="80"/>
      <c r="E333" s="80"/>
      <c r="F333" s="80"/>
      <c r="G333" s="80"/>
      <c r="H333" s="80"/>
      <c r="I333" s="80"/>
      <c r="J333" s="80"/>
      <c r="K333" s="80"/>
      <c r="L333" s="2"/>
      <c r="M333" s="2"/>
      <c r="N333" s="2"/>
      <c r="O333" s="2"/>
      <c r="P333" s="2"/>
      <c r="Q333" s="2"/>
      <c r="R333" s="80"/>
      <c r="S333" s="80"/>
      <c r="T333" s="80"/>
      <c r="U333" s="80"/>
      <c r="V333" s="80"/>
      <c r="W333" s="80"/>
      <c r="X333" s="80"/>
      <c r="Y333" s="80"/>
      <c r="Z333" s="80"/>
      <c r="AA333" s="80"/>
      <c r="AB333" s="80"/>
      <c r="AC333" s="80"/>
      <c r="AD333" s="80"/>
      <c r="AE333" s="80"/>
      <c r="AF333" s="80"/>
      <c r="AG333" s="80"/>
      <c r="AH333" s="80"/>
      <c r="AI333" s="80"/>
    </row>
    <row r="334" spans="1:35" x14ac:dyDescent="0.2">
      <c r="A334" s="2"/>
      <c r="B334" s="80"/>
      <c r="C334" s="80"/>
      <c r="D334" s="80"/>
      <c r="E334" s="80"/>
      <c r="F334" s="80"/>
      <c r="G334" s="80"/>
      <c r="H334" s="80"/>
      <c r="I334" s="80"/>
      <c r="J334" s="80"/>
      <c r="K334" s="80"/>
      <c r="L334" s="2"/>
      <c r="M334" s="2"/>
      <c r="N334" s="2"/>
      <c r="O334" s="2"/>
      <c r="P334" s="2"/>
      <c r="Q334" s="2"/>
      <c r="R334" s="80"/>
      <c r="S334" s="80"/>
      <c r="T334" s="80"/>
      <c r="U334" s="80"/>
      <c r="V334" s="80"/>
      <c r="W334" s="80"/>
      <c r="X334" s="80"/>
      <c r="Y334" s="80"/>
      <c r="Z334" s="80"/>
      <c r="AA334" s="80"/>
      <c r="AB334" s="80"/>
      <c r="AC334" s="80"/>
      <c r="AD334" s="80"/>
      <c r="AE334" s="80"/>
      <c r="AF334" s="80"/>
      <c r="AG334" s="80"/>
      <c r="AH334" s="80"/>
      <c r="AI334" s="80"/>
    </row>
    <row r="335" spans="1:35" x14ac:dyDescent="0.2">
      <c r="A335" s="2"/>
      <c r="B335" s="80"/>
      <c r="C335" s="80"/>
      <c r="D335" s="80"/>
      <c r="E335" s="80"/>
      <c r="F335" s="80"/>
      <c r="G335" s="80"/>
      <c r="H335" s="80"/>
      <c r="I335" s="80"/>
      <c r="J335" s="80"/>
      <c r="K335" s="80"/>
      <c r="L335" s="2"/>
      <c r="M335" s="2"/>
      <c r="N335" s="2"/>
      <c r="O335" s="2"/>
      <c r="P335" s="2"/>
      <c r="Q335" s="2"/>
      <c r="R335" s="80"/>
      <c r="S335" s="80"/>
      <c r="T335" s="80"/>
      <c r="U335" s="80"/>
      <c r="V335" s="80"/>
      <c r="W335" s="80"/>
      <c r="X335" s="80"/>
      <c r="Y335" s="80"/>
      <c r="Z335" s="80"/>
      <c r="AA335" s="80"/>
      <c r="AB335" s="80"/>
      <c r="AC335" s="80"/>
      <c r="AD335" s="80"/>
      <c r="AE335" s="80"/>
      <c r="AF335" s="80"/>
      <c r="AG335" s="80"/>
      <c r="AH335" s="80"/>
      <c r="AI335" s="80"/>
    </row>
    <row r="336" spans="1:35" x14ac:dyDescent="0.2">
      <c r="A336" s="2"/>
      <c r="B336" s="80"/>
      <c r="C336" s="80"/>
      <c r="D336" s="80"/>
      <c r="E336" s="80"/>
      <c r="F336" s="80"/>
      <c r="G336" s="80"/>
      <c r="H336" s="80"/>
      <c r="I336" s="80"/>
      <c r="J336" s="80"/>
      <c r="K336" s="80"/>
      <c r="L336" s="2"/>
      <c r="M336" s="2"/>
      <c r="N336" s="2"/>
      <c r="O336" s="2"/>
      <c r="P336" s="2"/>
      <c r="Q336" s="2"/>
      <c r="R336" s="80"/>
      <c r="S336" s="80"/>
      <c r="T336" s="80"/>
      <c r="U336" s="80"/>
      <c r="V336" s="80"/>
      <c r="W336" s="80"/>
      <c r="X336" s="80"/>
      <c r="Y336" s="80"/>
      <c r="Z336" s="80"/>
      <c r="AA336" s="80"/>
      <c r="AB336" s="80"/>
      <c r="AC336" s="80"/>
      <c r="AD336" s="80"/>
      <c r="AE336" s="80"/>
      <c r="AF336" s="80"/>
      <c r="AG336" s="80"/>
      <c r="AH336" s="80"/>
      <c r="AI336" s="80"/>
    </row>
    <row r="337" spans="1:35" x14ac:dyDescent="0.2">
      <c r="A337" s="2"/>
      <c r="B337" s="80"/>
      <c r="C337" s="80"/>
      <c r="D337" s="80"/>
      <c r="E337" s="80"/>
      <c r="F337" s="80"/>
      <c r="G337" s="80"/>
      <c r="H337" s="80"/>
      <c r="I337" s="80"/>
      <c r="J337" s="80"/>
      <c r="K337" s="80"/>
      <c r="L337" s="2"/>
      <c r="M337" s="2"/>
      <c r="N337" s="2"/>
      <c r="O337" s="2"/>
      <c r="P337" s="2"/>
      <c r="Q337" s="2"/>
      <c r="R337" s="80"/>
      <c r="S337" s="80"/>
      <c r="T337" s="80"/>
      <c r="U337" s="80"/>
      <c r="V337" s="80"/>
      <c r="W337" s="80"/>
      <c r="X337" s="80"/>
      <c r="Y337" s="80"/>
      <c r="Z337" s="80"/>
      <c r="AA337" s="80"/>
      <c r="AB337" s="80"/>
      <c r="AC337" s="80"/>
      <c r="AD337" s="80"/>
      <c r="AE337" s="80"/>
      <c r="AF337" s="80"/>
      <c r="AG337" s="80"/>
      <c r="AH337" s="80"/>
      <c r="AI337" s="80"/>
    </row>
    <row r="338" spans="1:35" x14ac:dyDescent="0.2">
      <c r="A338" s="2"/>
      <c r="B338" s="80"/>
      <c r="C338" s="80"/>
      <c r="D338" s="80"/>
      <c r="E338" s="80"/>
      <c r="F338" s="80"/>
      <c r="G338" s="80"/>
      <c r="H338" s="80"/>
      <c r="I338" s="80"/>
      <c r="J338" s="80"/>
      <c r="K338" s="80"/>
      <c r="L338" s="2"/>
      <c r="M338" s="2"/>
      <c r="N338" s="2"/>
      <c r="O338" s="2"/>
      <c r="P338" s="2"/>
      <c r="Q338" s="2"/>
      <c r="R338" s="80"/>
      <c r="S338" s="80"/>
      <c r="T338" s="80"/>
      <c r="U338" s="80"/>
      <c r="V338" s="80"/>
      <c r="W338" s="80"/>
      <c r="X338" s="80"/>
      <c r="Y338" s="80"/>
      <c r="Z338" s="80"/>
      <c r="AA338" s="80"/>
      <c r="AB338" s="80"/>
      <c r="AC338" s="80"/>
      <c r="AD338" s="80"/>
      <c r="AE338" s="80"/>
      <c r="AF338" s="80"/>
      <c r="AG338" s="80"/>
      <c r="AH338" s="80"/>
      <c r="AI338" s="80"/>
    </row>
    <row r="339" spans="1:35" x14ac:dyDescent="0.2">
      <c r="A339" s="2"/>
      <c r="B339" s="80"/>
      <c r="C339" s="80"/>
      <c r="D339" s="80"/>
      <c r="E339" s="80"/>
      <c r="F339" s="80"/>
      <c r="G339" s="80"/>
      <c r="H339" s="80"/>
      <c r="I339" s="80"/>
      <c r="J339" s="80"/>
      <c r="K339" s="80"/>
      <c r="L339" s="2"/>
      <c r="M339" s="2"/>
      <c r="N339" s="2"/>
      <c r="O339" s="2"/>
      <c r="P339" s="2"/>
      <c r="Q339" s="2"/>
      <c r="R339" s="80"/>
      <c r="S339" s="80"/>
      <c r="T339" s="80"/>
      <c r="U339" s="80"/>
      <c r="V339" s="80"/>
      <c r="W339" s="80"/>
      <c r="X339" s="80"/>
      <c r="Y339" s="80"/>
      <c r="Z339" s="80"/>
      <c r="AA339" s="80"/>
      <c r="AB339" s="80"/>
      <c r="AC339" s="80"/>
      <c r="AD339" s="80"/>
      <c r="AE339" s="80"/>
      <c r="AF339" s="80"/>
      <c r="AG339" s="80"/>
      <c r="AH339" s="80"/>
      <c r="AI339" s="80"/>
    </row>
    <row r="340" spans="1:35" x14ac:dyDescent="0.2">
      <c r="A340" s="2"/>
      <c r="B340" s="80"/>
      <c r="C340" s="80"/>
      <c r="D340" s="80"/>
      <c r="E340" s="80"/>
      <c r="F340" s="80"/>
      <c r="G340" s="80"/>
      <c r="H340" s="80"/>
      <c r="I340" s="80"/>
      <c r="J340" s="80"/>
      <c r="K340" s="80"/>
      <c r="L340" s="2"/>
      <c r="M340" s="2"/>
      <c r="N340" s="2"/>
      <c r="O340" s="2"/>
      <c r="P340" s="2"/>
      <c r="Q340" s="2"/>
      <c r="R340" s="80"/>
      <c r="S340" s="80"/>
      <c r="T340" s="80"/>
      <c r="U340" s="80"/>
      <c r="V340" s="80"/>
      <c r="W340" s="80"/>
      <c r="X340" s="80"/>
      <c r="Y340" s="80"/>
      <c r="Z340" s="80"/>
      <c r="AA340" s="80"/>
      <c r="AB340" s="80"/>
      <c r="AC340" s="80"/>
      <c r="AD340" s="80"/>
      <c r="AE340" s="80"/>
      <c r="AF340" s="80"/>
      <c r="AG340" s="80"/>
      <c r="AH340" s="80"/>
      <c r="AI340" s="80"/>
    </row>
    <row r="341" spans="1:35" x14ac:dyDescent="0.2">
      <c r="A341" s="2"/>
      <c r="B341" s="80"/>
      <c r="C341" s="80"/>
      <c r="D341" s="80"/>
      <c r="E341" s="80"/>
      <c r="F341" s="80"/>
      <c r="G341" s="80"/>
      <c r="H341" s="80"/>
      <c r="I341" s="80"/>
      <c r="J341" s="80"/>
      <c r="K341" s="80"/>
      <c r="L341" s="2"/>
      <c r="M341" s="2"/>
      <c r="N341" s="2"/>
      <c r="O341" s="2"/>
      <c r="P341" s="2"/>
      <c r="Q341" s="2"/>
      <c r="R341" s="80"/>
      <c r="S341" s="80"/>
      <c r="T341" s="80"/>
      <c r="U341" s="80"/>
      <c r="V341" s="80"/>
      <c r="W341" s="80"/>
      <c r="X341" s="80"/>
      <c r="Y341" s="80"/>
      <c r="Z341" s="80"/>
      <c r="AA341" s="80"/>
      <c r="AB341" s="80"/>
      <c r="AC341" s="80"/>
      <c r="AD341" s="80"/>
      <c r="AE341" s="80"/>
      <c r="AF341" s="80"/>
      <c r="AG341" s="80"/>
      <c r="AH341" s="80"/>
      <c r="AI341" s="80"/>
    </row>
    <row r="342" spans="1:35" x14ac:dyDescent="0.2">
      <c r="A342" s="2"/>
      <c r="B342" s="80"/>
      <c r="C342" s="80"/>
      <c r="D342" s="80"/>
      <c r="E342" s="80"/>
      <c r="F342" s="80"/>
      <c r="G342" s="80"/>
      <c r="H342" s="80"/>
      <c r="I342" s="80"/>
      <c r="J342" s="80"/>
      <c r="K342" s="80"/>
      <c r="L342" s="2"/>
      <c r="M342" s="2"/>
      <c r="N342" s="2"/>
      <c r="O342" s="2"/>
      <c r="P342" s="2"/>
      <c r="Q342" s="2"/>
      <c r="R342" s="80"/>
      <c r="S342" s="80"/>
      <c r="T342" s="80"/>
      <c r="U342" s="80"/>
      <c r="V342" s="80"/>
      <c r="W342" s="80"/>
      <c r="X342" s="80"/>
      <c r="Y342" s="80"/>
      <c r="Z342" s="80"/>
      <c r="AA342" s="80"/>
      <c r="AB342" s="80"/>
      <c r="AC342" s="80"/>
      <c r="AD342" s="80"/>
      <c r="AE342" s="80"/>
      <c r="AF342" s="80"/>
      <c r="AG342" s="80"/>
      <c r="AH342" s="80"/>
      <c r="AI342" s="80"/>
    </row>
    <row r="343" spans="1:35" x14ac:dyDescent="0.2">
      <c r="A343" s="2"/>
      <c r="B343" s="80"/>
      <c r="C343" s="80"/>
      <c r="D343" s="80"/>
      <c r="E343" s="80"/>
      <c r="F343" s="80"/>
      <c r="G343" s="80"/>
      <c r="H343" s="80"/>
      <c r="I343" s="80"/>
      <c r="J343" s="80"/>
      <c r="K343" s="80"/>
      <c r="L343" s="2"/>
      <c r="M343" s="2"/>
      <c r="N343" s="2"/>
      <c r="O343" s="2"/>
      <c r="P343" s="2"/>
      <c r="Q343" s="2"/>
      <c r="R343" s="80"/>
      <c r="S343" s="80"/>
      <c r="T343" s="80"/>
      <c r="U343" s="80"/>
      <c r="V343" s="80"/>
      <c r="W343" s="80"/>
      <c r="X343" s="80"/>
      <c r="Y343" s="80"/>
      <c r="Z343" s="80"/>
      <c r="AA343" s="80"/>
      <c r="AB343" s="80"/>
      <c r="AC343" s="80"/>
      <c r="AD343" s="80"/>
      <c r="AE343" s="80"/>
      <c r="AF343" s="80"/>
      <c r="AG343" s="80"/>
      <c r="AH343" s="80"/>
      <c r="AI343" s="80"/>
    </row>
    <row r="344" spans="1:35" x14ac:dyDescent="0.2">
      <c r="A344" s="2"/>
      <c r="B344" s="80"/>
      <c r="C344" s="80"/>
      <c r="D344" s="80"/>
      <c r="E344" s="80"/>
      <c r="F344" s="80"/>
      <c r="G344" s="80"/>
      <c r="H344" s="80"/>
      <c r="I344" s="80"/>
      <c r="J344" s="80"/>
      <c r="K344" s="80"/>
      <c r="L344" s="2"/>
      <c r="M344" s="2"/>
      <c r="N344" s="2"/>
      <c r="O344" s="2"/>
      <c r="P344" s="2"/>
      <c r="Q344" s="2"/>
      <c r="R344" s="80"/>
      <c r="S344" s="80"/>
      <c r="T344" s="80"/>
      <c r="U344" s="80"/>
      <c r="V344" s="80"/>
      <c r="W344" s="80"/>
      <c r="X344" s="80"/>
      <c r="Y344" s="80"/>
      <c r="Z344" s="80"/>
      <c r="AA344" s="80"/>
      <c r="AB344" s="80"/>
      <c r="AC344" s="80"/>
      <c r="AD344" s="80"/>
      <c r="AE344" s="80"/>
      <c r="AF344" s="80"/>
      <c r="AG344" s="80"/>
      <c r="AH344" s="80"/>
      <c r="AI344" s="80"/>
    </row>
    <row r="345" spans="1:35" x14ac:dyDescent="0.2">
      <c r="A345" s="2"/>
      <c r="B345" s="80"/>
      <c r="C345" s="80"/>
      <c r="D345" s="80"/>
      <c r="E345" s="80"/>
      <c r="F345" s="80"/>
      <c r="G345" s="80"/>
      <c r="H345" s="80"/>
      <c r="I345" s="80"/>
      <c r="J345" s="80"/>
      <c r="K345" s="80"/>
      <c r="L345" s="2"/>
      <c r="M345" s="2"/>
      <c r="N345" s="2"/>
      <c r="O345" s="2"/>
      <c r="P345" s="2"/>
      <c r="Q345" s="2"/>
      <c r="R345" s="80"/>
      <c r="S345" s="80"/>
      <c r="T345" s="80"/>
      <c r="U345" s="80"/>
      <c r="V345" s="80"/>
      <c r="W345" s="80"/>
      <c r="X345" s="80"/>
      <c r="Y345" s="80"/>
      <c r="Z345" s="80"/>
      <c r="AA345" s="80"/>
      <c r="AB345" s="80"/>
      <c r="AC345" s="80"/>
      <c r="AD345" s="80"/>
      <c r="AE345" s="80"/>
      <c r="AF345" s="80"/>
      <c r="AG345" s="80"/>
      <c r="AH345" s="80"/>
      <c r="AI345" s="80"/>
    </row>
    <row r="346" spans="1:35" x14ac:dyDescent="0.2">
      <c r="A346" s="2"/>
      <c r="B346" s="80"/>
      <c r="C346" s="80"/>
      <c r="D346" s="80"/>
      <c r="E346" s="80"/>
      <c r="F346" s="80"/>
      <c r="G346" s="80"/>
      <c r="H346" s="80"/>
      <c r="I346" s="80"/>
      <c r="J346" s="80"/>
      <c r="K346" s="80"/>
      <c r="L346" s="2"/>
      <c r="M346" s="2"/>
      <c r="N346" s="2"/>
      <c r="O346" s="2"/>
      <c r="P346" s="2"/>
      <c r="Q346" s="2"/>
      <c r="R346" s="80"/>
      <c r="S346" s="80"/>
      <c r="T346" s="80"/>
      <c r="U346" s="80"/>
      <c r="V346" s="80"/>
      <c r="W346" s="80"/>
      <c r="X346" s="80"/>
      <c r="Y346" s="80"/>
      <c r="Z346" s="80"/>
      <c r="AA346" s="80"/>
      <c r="AB346" s="80"/>
      <c r="AC346" s="80"/>
      <c r="AD346" s="80"/>
      <c r="AE346" s="80"/>
      <c r="AF346" s="80"/>
      <c r="AG346" s="80"/>
      <c r="AH346" s="80"/>
      <c r="AI346" s="80"/>
    </row>
    <row r="347" spans="1:35" x14ac:dyDescent="0.2">
      <c r="A347" s="2"/>
      <c r="B347" s="80"/>
      <c r="C347" s="80"/>
      <c r="D347" s="80"/>
      <c r="E347" s="80"/>
      <c r="F347" s="80"/>
      <c r="G347" s="80"/>
      <c r="H347" s="80"/>
      <c r="I347" s="80"/>
      <c r="J347" s="80"/>
      <c r="K347" s="80"/>
      <c r="L347" s="2"/>
      <c r="M347" s="2"/>
      <c r="N347" s="2"/>
      <c r="O347" s="2"/>
      <c r="P347" s="2"/>
      <c r="Q347" s="2"/>
      <c r="R347" s="80"/>
      <c r="S347" s="80"/>
      <c r="T347" s="80"/>
      <c r="U347" s="80"/>
      <c r="V347" s="80"/>
      <c r="W347" s="80"/>
      <c r="X347" s="80"/>
      <c r="Y347" s="80"/>
      <c r="Z347" s="80"/>
      <c r="AA347" s="80"/>
      <c r="AB347" s="80"/>
      <c r="AC347" s="80"/>
      <c r="AD347" s="80"/>
      <c r="AE347" s="80"/>
      <c r="AF347" s="80"/>
      <c r="AG347" s="80"/>
      <c r="AH347" s="80"/>
      <c r="AI347" s="80"/>
    </row>
    <row r="348" spans="1:35" x14ac:dyDescent="0.2">
      <c r="A348" s="2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2"/>
      <c r="M348" s="2"/>
      <c r="N348" s="2"/>
      <c r="O348" s="2"/>
      <c r="P348" s="2"/>
      <c r="Q348" s="2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</row>
    <row r="349" spans="1:35" x14ac:dyDescent="0.2">
      <c r="A349" s="2"/>
      <c r="B349" s="80"/>
      <c r="C349" s="80"/>
      <c r="D349" s="80"/>
      <c r="E349" s="80"/>
      <c r="F349" s="80"/>
      <c r="G349" s="80"/>
      <c r="H349" s="80"/>
      <c r="I349" s="80"/>
      <c r="J349" s="80"/>
      <c r="K349" s="80"/>
      <c r="L349" s="2"/>
      <c r="M349" s="2"/>
      <c r="N349" s="2"/>
      <c r="O349" s="2"/>
      <c r="P349" s="2"/>
      <c r="Q349" s="2"/>
      <c r="R349" s="80"/>
      <c r="S349" s="80"/>
      <c r="T349" s="80"/>
      <c r="U349" s="80"/>
      <c r="V349" s="80"/>
      <c r="W349" s="80"/>
      <c r="X349" s="80"/>
      <c r="Y349" s="80"/>
      <c r="Z349" s="80"/>
      <c r="AA349" s="80"/>
      <c r="AB349" s="80"/>
      <c r="AC349" s="80"/>
      <c r="AD349" s="80"/>
      <c r="AE349" s="80"/>
      <c r="AF349" s="80"/>
      <c r="AG349" s="80"/>
      <c r="AH349" s="80"/>
      <c r="AI349" s="80"/>
    </row>
    <row r="350" spans="1:35" x14ac:dyDescent="0.2">
      <c r="A350" s="2"/>
      <c r="B350" s="80"/>
      <c r="C350" s="80"/>
      <c r="D350" s="80"/>
      <c r="E350" s="80"/>
      <c r="F350" s="80"/>
      <c r="G350" s="80"/>
      <c r="H350" s="80"/>
      <c r="I350" s="80"/>
      <c r="J350" s="80"/>
      <c r="K350" s="80"/>
      <c r="L350" s="2"/>
      <c r="M350" s="2"/>
      <c r="N350" s="2"/>
      <c r="O350" s="2"/>
      <c r="P350" s="2"/>
      <c r="Q350" s="2"/>
      <c r="R350" s="80"/>
      <c r="S350" s="80"/>
      <c r="T350" s="80"/>
      <c r="U350" s="80"/>
      <c r="V350" s="80"/>
      <c r="W350" s="80"/>
      <c r="X350" s="80"/>
      <c r="Y350" s="80"/>
      <c r="Z350" s="80"/>
      <c r="AA350" s="80"/>
      <c r="AB350" s="80"/>
      <c r="AC350" s="80"/>
      <c r="AD350" s="80"/>
      <c r="AE350" s="80"/>
      <c r="AF350" s="80"/>
      <c r="AG350" s="80"/>
      <c r="AH350" s="80"/>
      <c r="AI350" s="80"/>
    </row>
    <row r="351" spans="1:35" x14ac:dyDescent="0.2">
      <c r="A351" s="2"/>
      <c r="B351" s="80"/>
      <c r="C351" s="80"/>
      <c r="D351" s="80"/>
      <c r="E351" s="80"/>
      <c r="F351" s="80"/>
      <c r="G351" s="80"/>
      <c r="H351" s="80"/>
      <c r="I351" s="80"/>
      <c r="J351" s="80"/>
      <c r="K351" s="80"/>
      <c r="L351" s="2"/>
      <c r="M351" s="2"/>
      <c r="N351" s="2"/>
      <c r="O351" s="2"/>
      <c r="P351" s="2"/>
      <c r="Q351" s="2"/>
      <c r="R351" s="80"/>
      <c r="S351" s="80"/>
      <c r="T351" s="80"/>
      <c r="U351" s="80"/>
      <c r="V351" s="80"/>
      <c r="W351" s="80"/>
      <c r="X351" s="80"/>
      <c r="Y351" s="80"/>
      <c r="Z351" s="80"/>
      <c r="AA351" s="80"/>
      <c r="AB351" s="80"/>
      <c r="AC351" s="80"/>
      <c r="AD351" s="80"/>
      <c r="AE351" s="80"/>
      <c r="AF351" s="80"/>
      <c r="AG351" s="80"/>
      <c r="AH351" s="80"/>
      <c r="AI351" s="80"/>
    </row>
    <row r="352" spans="1:35" x14ac:dyDescent="0.2">
      <c r="A352" s="2"/>
      <c r="B352" s="80"/>
      <c r="C352" s="80"/>
      <c r="D352" s="80"/>
      <c r="E352" s="80"/>
      <c r="F352" s="80"/>
      <c r="G352" s="80"/>
      <c r="H352" s="80"/>
      <c r="I352" s="80"/>
      <c r="J352" s="80"/>
      <c r="K352" s="80"/>
      <c r="L352" s="2"/>
      <c r="M352" s="2"/>
      <c r="N352" s="2"/>
      <c r="O352" s="2"/>
      <c r="P352" s="2"/>
      <c r="Q352" s="2"/>
      <c r="R352" s="80"/>
      <c r="S352" s="80"/>
      <c r="T352" s="80"/>
      <c r="U352" s="80"/>
      <c r="V352" s="80"/>
      <c r="W352" s="80"/>
      <c r="X352" s="80"/>
      <c r="Y352" s="80"/>
      <c r="Z352" s="80"/>
      <c r="AA352" s="80"/>
      <c r="AB352" s="80"/>
      <c r="AC352" s="80"/>
      <c r="AD352" s="80"/>
      <c r="AE352" s="80"/>
      <c r="AF352" s="80"/>
      <c r="AG352" s="80"/>
      <c r="AH352" s="80"/>
      <c r="AI352" s="80"/>
    </row>
    <row r="353" spans="1:35" x14ac:dyDescent="0.2">
      <c r="A353" s="2"/>
      <c r="B353" s="80"/>
      <c r="C353" s="80"/>
      <c r="D353" s="80"/>
      <c r="E353" s="80"/>
      <c r="F353" s="80"/>
      <c r="G353" s="80"/>
      <c r="H353" s="80"/>
      <c r="I353" s="80"/>
      <c r="J353" s="80"/>
      <c r="K353" s="80"/>
      <c r="L353" s="2"/>
      <c r="M353" s="2"/>
      <c r="N353" s="2"/>
      <c r="O353" s="2"/>
      <c r="P353" s="2"/>
      <c r="Q353" s="2"/>
      <c r="R353" s="80"/>
      <c r="S353" s="80"/>
      <c r="T353" s="80"/>
      <c r="U353" s="80"/>
      <c r="V353" s="80"/>
      <c r="W353" s="80"/>
      <c r="X353" s="80"/>
      <c r="Y353" s="80"/>
      <c r="Z353" s="80"/>
      <c r="AA353" s="80"/>
      <c r="AB353" s="80"/>
      <c r="AC353" s="80"/>
      <c r="AD353" s="80"/>
      <c r="AE353" s="80"/>
      <c r="AF353" s="80"/>
      <c r="AG353" s="80"/>
      <c r="AH353" s="80"/>
      <c r="AI353" s="80"/>
    </row>
    <row r="354" spans="1:35" x14ac:dyDescent="0.2">
      <c r="A354" s="2"/>
      <c r="B354" s="80"/>
      <c r="C354" s="80"/>
      <c r="D354" s="80"/>
      <c r="E354" s="80"/>
      <c r="F354" s="80"/>
      <c r="G354" s="80"/>
      <c r="H354" s="80"/>
      <c r="I354" s="80"/>
      <c r="J354" s="80"/>
      <c r="K354" s="80"/>
      <c r="L354" s="2"/>
      <c r="M354" s="2"/>
      <c r="N354" s="2"/>
      <c r="O354" s="2"/>
      <c r="P354" s="2"/>
      <c r="Q354" s="2"/>
      <c r="R354" s="80"/>
      <c r="S354" s="80"/>
      <c r="T354" s="80"/>
      <c r="U354" s="80"/>
      <c r="V354" s="80"/>
      <c r="W354" s="80"/>
      <c r="X354" s="80"/>
      <c r="Y354" s="80"/>
      <c r="Z354" s="80"/>
      <c r="AA354" s="80"/>
      <c r="AB354" s="80"/>
      <c r="AC354" s="80"/>
      <c r="AD354" s="80"/>
      <c r="AE354" s="80"/>
      <c r="AF354" s="80"/>
      <c r="AG354" s="80"/>
      <c r="AH354" s="80"/>
      <c r="AI354" s="80"/>
    </row>
    <row r="355" spans="1:35" x14ac:dyDescent="0.2">
      <c r="A355" s="2"/>
      <c r="B355" s="80"/>
      <c r="C355" s="80"/>
      <c r="D355" s="80"/>
      <c r="E355" s="80"/>
      <c r="F355" s="80"/>
      <c r="G355" s="80"/>
      <c r="H355" s="80"/>
      <c r="I355" s="80"/>
      <c r="J355" s="80"/>
      <c r="K355" s="80"/>
      <c r="L355" s="2"/>
      <c r="M355" s="2"/>
      <c r="N355" s="2"/>
      <c r="O355" s="2"/>
      <c r="P355" s="2"/>
      <c r="Q355" s="2"/>
      <c r="R355" s="80"/>
      <c r="S355" s="80"/>
      <c r="T355" s="80"/>
      <c r="U355" s="80"/>
      <c r="V355" s="80"/>
      <c r="W355" s="80"/>
      <c r="X355" s="80"/>
      <c r="Y355" s="80"/>
      <c r="Z355" s="80"/>
      <c r="AA355" s="80"/>
      <c r="AB355" s="80"/>
      <c r="AC355" s="80"/>
      <c r="AD355" s="80"/>
      <c r="AE355" s="80"/>
      <c r="AF355" s="80"/>
      <c r="AG355" s="80"/>
      <c r="AH355" s="80"/>
      <c r="AI355" s="80"/>
    </row>
    <row r="356" spans="1:35" x14ac:dyDescent="0.2">
      <c r="A356" s="2"/>
      <c r="B356" s="80"/>
      <c r="C356" s="80"/>
      <c r="D356" s="80"/>
      <c r="E356" s="80"/>
      <c r="F356" s="80"/>
      <c r="G356" s="80"/>
      <c r="H356" s="80"/>
      <c r="I356" s="80"/>
      <c r="J356" s="80"/>
      <c r="K356" s="80"/>
      <c r="L356" s="2"/>
      <c r="M356" s="2"/>
      <c r="N356" s="2"/>
      <c r="O356" s="2"/>
      <c r="P356" s="2"/>
      <c r="Q356" s="2"/>
      <c r="R356" s="80"/>
      <c r="S356" s="80"/>
      <c r="T356" s="80"/>
      <c r="U356" s="80"/>
      <c r="V356" s="80"/>
      <c r="W356" s="80"/>
      <c r="X356" s="80"/>
      <c r="Y356" s="80"/>
      <c r="Z356" s="80"/>
      <c r="AA356" s="80"/>
      <c r="AB356" s="80"/>
      <c r="AC356" s="80"/>
      <c r="AD356" s="80"/>
      <c r="AE356" s="80"/>
      <c r="AF356" s="80"/>
      <c r="AG356" s="80"/>
      <c r="AH356" s="80"/>
      <c r="AI356" s="80"/>
    </row>
    <row r="357" spans="1:35" x14ac:dyDescent="0.2">
      <c r="A357" s="2"/>
      <c r="B357" s="80"/>
      <c r="C357" s="80"/>
      <c r="D357" s="80"/>
      <c r="E357" s="80"/>
      <c r="F357" s="80"/>
      <c r="G357" s="80"/>
      <c r="H357" s="80"/>
      <c r="I357" s="80"/>
      <c r="J357" s="80"/>
      <c r="K357" s="80"/>
      <c r="L357" s="2"/>
      <c r="M357" s="2"/>
      <c r="N357" s="2"/>
      <c r="O357" s="2"/>
      <c r="P357" s="2"/>
      <c r="Q357" s="2"/>
      <c r="R357" s="80"/>
      <c r="S357" s="80"/>
      <c r="T357" s="80"/>
      <c r="U357" s="80"/>
      <c r="V357" s="80"/>
      <c r="W357" s="80"/>
      <c r="X357" s="80"/>
      <c r="Y357" s="80"/>
      <c r="Z357" s="80"/>
      <c r="AA357" s="80"/>
      <c r="AB357" s="80"/>
      <c r="AC357" s="80"/>
      <c r="AD357" s="80"/>
      <c r="AE357" s="80"/>
      <c r="AF357" s="80"/>
      <c r="AG357" s="80"/>
      <c r="AH357" s="80"/>
      <c r="AI357" s="80"/>
    </row>
    <row r="358" spans="1:35" x14ac:dyDescent="0.2">
      <c r="A358" s="2"/>
      <c r="B358" s="80"/>
      <c r="C358" s="80"/>
      <c r="D358" s="80"/>
      <c r="E358" s="80"/>
      <c r="F358" s="80"/>
      <c r="G358" s="80"/>
      <c r="H358" s="80"/>
      <c r="I358" s="80"/>
      <c r="J358" s="80"/>
      <c r="K358" s="80"/>
      <c r="L358" s="2"/>
      <c r="M358" s="2"/>
      <c r="N358" s="2"/>
      <c r="O358" s="2"/>
      <c r="P358" s="2"/>
      <c r="Q358" s="2"/>
      <c r="R358" s="80"/>
      <c r="S358" s="80"/>
      <c r="T358" s="80"/>
      <c r="U358" s="80"/>
      <c r="V358" s="80"/>
      <c r="W358" s="80"/>
      <c r="X358" s="80"/>
      <c r="Y358" s="80"/>
      <c r="Z358" s="80"/>
      <c r="AA358" s="80"/>
      <c r="AB358" s="80"/>
      <c r="AC358" s="80"/>
      <c r="AD358" s="80"/>
      <c r="AE358" s="80"/>
      <c r="AF358" s="80"/>
      <c r="AG358" s="80"/>
      <c r="AH358" s="80"/>
      <c r="AI358" s="80"/>
    </row>
    <row r="359" spans="1:35" x14ac:dyDescent="0.2">
      <c r="A359" s="2"/>
      <c r="B359" s="80"/>
      <c r="C359" s="80"/>
      <c r="D359" s="80"/>
      <c r="E359" s="80"/>
      <c r="F359" s="80"/>
      <c r="G359" s="80"/>
      <c r="H359" s="80"/>
      <c r="I359" s="80"/>
      <c r="J359" s="80"/>
      <c r="K359" s="80"/>
      <c r="L359" s="2"/>
      <c r="M359" s="2"/>
      <c r="N359" s="2"/>
      <c r="O359" s="2"/>
      <c r="P359" s="2"/>
      <c r="Q359" s="2"/>
      <c r="R359" s="80"/>
      <c r="S359" s="80"/>
      <c r="T359" s="80"/>
      <c r="U359" s="80"/>
      <c r="V359" s="80"/>
      <c r="W359" s="80"/>
      <c r="X359" s="80"/>
      <c r="Y359" s="80"/>
      <c r="Z359" s="80"/>
      <c r="AA359" s="80"/>
      <c r="AB359" s="80"/>
      <c r="AC359" s="80"/>
      <c r="AD359" s="80"/>
      <c r="AE359" s="80"/>
      <c r="AF359" s="80"/>
      <c r="AG359" s="80"/>
      <c r="AH359" s="80"/>
      <c r="AI359" s="80"/>
    </row>
    <row r="360" spans="1:35" x14ac:dyDescent="0.2">
      <c r="A360" s="2"/>
      <c r="B360" s="80"/>
      <c r="C360" s="80"/>
      <c r="D360" s="80"/>
      <c r="E360" s="80"/>
      <c r="F360" s="80"/>
      <c r="G360" s="80"/>
      <c r="H360" s="80"/>
      <c r="I360" s="80"/>
      <c r="J360" s="80"/>
      <c r="K360" s="80"/>
      <c r="L360" s="2"/>
      <c r="M360" s="2"/>
      <c r="N360" s="2"/>
      <c r="O360" s="2"/>
      <c r="P360" s="2"/>
      <c r="Q360" s="2"/>
      <c r="R360" s="80"/>
      <c r="S360" s="80"/>
      <c r="T360" s="80"/>
      <c r="U360" s="80"/>
      <c r="V360" s="80"/>
      <c r="W360" s="80"/>
      <c r="X360" s="80"/>
      <c r="Y360" s="80"/>
      <c r="Z360" s="80"/>
      <c r="AA360" s="80"/>
      <c r="AB360" s="80"/>
      <c r="AC360" s="80"/>
      <c r="AD360" s="80"/>
      <c r="AE360" s="80"/>
      <c r="AF360" s="80"/>
      <c r="AG360" s="80"/>
      <c r="AH360" s="80"/>
      <c r="AI360" s="80"/>
    </row>
    <row r="361" spans="1:35" x14ac:dyDescent="0.2">
      <c r="A361" s="2"/>
      <c r="B361" s="80"/>
      <c r="C361" s="80"/>
      <c r="D361" s="80"/>
      <c r="E361" s="80"/>
      <c r="F361" s="80"/>
      <c r="G361" s="80"/>
      <c r="H361" s="80"/>
      <c r="I361" s="80"/>
      <c r="J361" s="80"/>
      <c r="K361" s="80"/>
      <c r="L361" s="2"/>
      <c r="M361" s="2"/>
      <c r="N361" s="2"/>
      <c r="O361" s="2"/>
      <c r="P361" s="2"/>
      <c r="Q361" s="2"/>
      <c r="R361" s="80"/>
      <c r="S361" s="80"/>
      <c r="T361" s="80"/>
      <c r="U361" s="80"/>
      <c r="V361" s="80"/>
      <c r="W361" s="80"/>
      <c r="X361" s="80"/>
      <c r="Y361" s="80"/>
      <c r="Z361" s="80"/>
      <c r="AA361" s="80"/>
      <c r="AB361" s="80"/>
      <c r="AC361" s="80"/>
      <c r="AD361" s="80"/>
      <c r="AE361" s="80"/>
      <c r="AF361" s="80"/>
      <c r="AG361" s="80"/>
      <c r="AH361" s="80"/>
      <c r="AI361" s="80"/>
    </row>
    <row r="362" spans="1:35" x14ac:dyDescent="0.2">
      <c r="A362" s="2"/>
      <c r="B362" s="80"/>
      <c r="C362" s="80"/>
      <c r="D362" s="80"/>
      <c r="E362" s="80"/>
      <c r="F362" s="80"/>
      <c r="G362" s="80"/>
      <c r="H362" s="80"/>
      <c r="I362" s="80"/>
      <c r="J362" s="80"/>
      <c r="K362" s="80"/>
      <c r="L362" s="2"/>
      <c r="M362" s="2"/>
      <c r="N362" s="2"/>
      <c r="O362" s="2"/>
      <c r="P362" s="2"/>
      <c r="Q362" s="2"/>
      <c r="R362" s="80"/>
      <c r="S362" s="80"/>
      <c r="T362" s="80"/>
      <c r="U362" s="80"/>
      <c r="V362" s="80"/>
      <c r="W362" s="80"/>
      <c r="X362" s="80"/>
      <c r="Y362" s="80"/>
      <c r="Z362" s="80"/>
      <c r="AA362" s="80"/>
      <c r="AB362" s="80"/>
      <c r="AC362" s="80"/>
      <c r="AD362" s="80"/>
      <c r="AE362" s="80"/>
      <c r="AF362" s="80"/>
      <c r="AG362" s="80"/>
      <c r="AH362" s="80"/>
      <c r="AI362" s="80"/>
    </row>
    <row r="363" spans="1:35" x14ac:dyDescent="0.2">
      <c r="A363" s="2"/>
      <c r="B363" s="80"/>
      <c r="C363" s="80"/>
      <c r="D363" s="80"/>
      <c r="E363" s="80"/>
      <c r="F363" s="80"/>
      <c r="G363" s="80"/>
      <c r="H363" s="80"/>
      <c r="I363" s="80"/>
      <c r="J363" s="80"/>
      <c r="K363" s="80"/>
      <c r="L363" s="2"/>
      <c r="M363" s="2"/>
      <c r="N363" s="2"/>
      <c r="O363" s="2"/>
      <c r="P363" s="2"/>
      <c r="Q363" s="2"/>
      <c r="R363" s="80"/>
      <c r="S363" s="80"/>
      <c r="T363" s="80"/>
      <c r="U363" s="80"/>
      <c r="V363" s="80"/>
      <c r="W363" s="80"/>
      <c r="X363" s="80"/>
      <c r="Y363" s="80"/>
      <c r="Z363" s="80"/>
      <c r="AA363" s="80"/>
      <c r="AB363" s="80"/>
      <c r="AC363" s="80"/>
      <c r="AD363" s="80"/>
      <c r="AE363" s="80"/>
      <c r="AF363" s="80"/>
      <c r="AG363" s="80"/>
      <c r="AH363" s="80"/>
      <c r="AI363" s="80"/>
    </row>
    <row r="364" spans="1:35" x14ac:dyDescent="0.2">
      <c r="A364" s="2"/>
      <c r="B364" s="80"/>
      <c r="C364" s="80"/>
      <c r="D364" s="80"/>
      <c r="E364" s="80"/>
      <c r="F364" s="80"/>
      <c r="G364" s="80"/>
      <c r="H364" s="80"/>
      <c r="I364" s="80"/>
      <c r="J364" s="80"/>
      <c r="K364" s="80"/>
      <c r="L364" s="2"/>
      <c r="M364" s="2"/>
      <c r="N364" s="2"/>
      <c r="O364" s="2"/>
      <c r="P364" s="2"/>
      <c r="Q364" s="2"/>
      <c r="R364" s="80"/>
      <c r="S364" s="80"/>
      <c r="T364" s="80"/>
      <c r="U364" s="80"/>
      <c r="V364" s="80"/>
      <c r="W364" s="80"/>
      <c r="X364" s="80"/>
      <c r="Y364" s="80"/>
      <c r="Z364" s="80"/>
      <c r="AA364" s="80"/>
      <c r="AB364" s="80"/>
      <c r="AC364" s="80"/>
      <c r="AD364" s="80"/>
      <c r="AE364" s="80"/>
      <c r="AF364" s="80"/>
      <c r="AG364" s="80"/>
      <c r="AH364" s="80"/>
      <c r="AI364" s="80"/>
    </row>
    <row r="365" spans="1:35" x14ac:dyDescent="0.2">
      <c r="A365" s="2"/>
      <c r="B365" s="80"/>
      <c r="C365" s="80"/>
      <c r="D365" s="80"/>
      <c r="E365" s="80"/>
      <c r="F365" s="80"/>
      <c r="G365" s="80"/>
      <c r="H365" s="80"/>
      <c r="I365" s="80"/>
      <c r="J365" s="80"/>
      <c r="K365" s="80"/>
      <c r="L365" s="2"/>
      <c r="M365" s="2"/>
      <c r="N365" s="2"/>
      <c r="O365" s="2"/>
      <c r="P365" s="2"/>
      <c r="Q365" s="2"/>
      <c r="R365" s="80"/>
      <c r="S365" s="80"/>
      <c r="T365" s="80"/>
      <c r="U365" s="80"/>
      <c r="V365" s="80"/>
      <c r="W365" s="80"/>
      <c r="X365" s="80"/>
      <c r="Y365" s="80"/>
      <c r="Z365" s="80"/>
      <c r="AA365" s="80"/>
      <c r="AB365" s="80"/>
      <c r="AC365" s="80"/>
      <c r="AD365" s="80"/>
      <c r="AE365" s="80"/>
      <c r="AF365" s="80"/>
      <c r="AG365" s="80"/>
      <c r="AH365" s="80"/>
      <c r="AI365" s="80"/>
    </row>
    <row r="366" spans="1:35" x14ac:dyDescent="0.2">
      <c r="A366" s="2"/>
      <c r="B366" s="80"/>
      <c r="C366" s="80"/>
      <c r="D366" s="80"/>
      <c r="E366" s="80"/>
      <c r="F366" s="80"/>
      <c r="G366" s="80"/>
      <c r="H366" s="80"/>
      <c r="I366" s="80"/>
      <c r="J366" s="80"/>
      <c r="K366" s="80"/>
      <c r="L366" s="2"/>
      <c r="M366" s="2"/>
      <c r="N366" s="2"/>
      <c r="O366" s="2"/>
      <c r="P366" s="2"/>
      <c r="Q366" s="2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E366" s="80"/>
      <c r="AF366" s="80"/>
      <c r="AG366" s="80"/>
      <c r="AH366" s="80"/>
      <c r="AI366" s="80"/>
    </row>
    <row r="367" spans="1:35" x14ac:dyDescent="0.2">
      <c r="A367" s="2"/>
      <c r="B367" s="80"/>
      <c r="C367" s="80"/>
      <c r="D367" s="80"/>
      <c r="E367" s="80"/>
      <c r="F367" s="80"/>
      <c r="G367" s="80"/>
      <c r="H367" s="80"/>
      <c r="I367" s="80"/>
      <c r="J367" s="80"/>
      <c r="K367" s="80"/>
      <c r="L367" s="2"/>
      <c r="M367" s="2"/>
      <c r="N367" s="2"/>
      <c r="O367" s="2"/>
      <c r="P367" s="2"/>
      <c r="Q367" s="2"/>
      <c r="R367" s="80"/>
      <c r="S367" s="80"/>
      <c r="T367" s="80"/>
      <c r="U367" s="80"/>
      <c r="V367" s="80"/>
      <c r="W367" s="80"/>
      <c r="X367" s="80"/>
      <c r="Y367" s="80"/>
      <c r="Z367" s="80"/>
      <c r="AA367" s="80"/>
      <c r="AB367" s="80"/>
      <c r="AC367" s="80"/>
      <c r="AD367" s="80"/>
      <c r="AE367" s="80"/>
      <c r="AF367" s="80"/>
      <c r="AG367" s="80"/>
      <c r="AH367" s="80"/>
      <c r="AI367" s="80"/>
    </row>
    <row r="368" spans="1:35" x14ac:dyDescent="0.2">
      <c r="A368" s="2"/>
      <c r="B368" s="80"/>
      <c r="C368" s="80"/>
      <c r="D368" s="80"/>
      <c r="E368" s="80"/>
      <c r="F368" s="80"/>
      <c r="G368" s="80"/>
      <c r="H368" s="80"/>
      <c r="I368" s="80"/>
      <c r="J368" s="80"/>
      <c r="K368" s="80"/>
      <c r="L368" s="2"/>
      <c r="M368" s="2"/>
      <c r="N368" s="2"/>
      <c r="O368" s="2"/>
      <c r="P368" s="2"/>
      <c r="Q368" s="2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D368" s="80"/>
      <c r="AE368" s="80"/>
      <c r="AF368" s="80"/>
      <c r="AG368" s="80"/>
      <c r="AH368" s="80"/>
      <c r="AI368" s="80"/>
    </row>
    <row r="369" spans="1:35" x14ac:dyDescent="0.2">
      <c r="A369" s="2"/>
      <c r="B369" s="80"/>
      <c r="C369" s="80"/>
      <c r="D369" s="80"/>
      <c r="E369" s="80"/>
      <c r="F369" s="80"/>
      <c r="G369" s="80"/>
      <c r="H369" s="80"/>
      <c r="I369" s="80"/>
      <c r="J369" s="80"/>
      <c r="K369" s="80"/>
      <c r="L369" s="2"/>
      <c r="M369" s="2"/>
      <c r="N369" s="2"/>
      <c r="O369" s="2"/>
      <c r="P369" s="2"/>
      <c r="Q369" s="2"/>
      <c r="R369" s="80"/>
      <c r="S369" s="80"/>
      <c r="T369" s="80"/>
      <c r="U369" s="80"/>
      <c r="V369" s="80"/>
      <c r="W369" s="80"/>
      <c r="X369" s="80"/>
      <c r="Y369" s="80"/>
      <c r="Z369" s="80"/>
      <c r="AA369" s="80"/>
      <c r="AB369" s="80"/>
      <c r="AC369" s="80"/>
      <c r="AD369" s="80"/>
      <c r="AE369" s="80"/>
      <c r="AF369" s="80"/>
      <c r="AG369" s="80"/>
      <c r="AH369" s="80"/>
      <c r="AI369" s="80"/>
    </row>
    <row r="370" spans="1:35" x14ac:dyDescent="0.2">
      <c r="A370" s="2"/>
      <c r="B370" s="80"/>
      <c r="C370" s="80"/>
      <c r="D370" s="80"/>
      <c r="E370" s="80"/>
      <c r="F370" s="80"/>
      <c r="G370" s="80"/>
      <c r="H370" s="80"/>
      <c r="I370" s="80"/>
      <c r="J370" s="80"/>
      <c r="K370" s="80"/>
      <c r="L370" s="2"/>
      <c r="M370" s="2"/>
      <c r="N370" s="2"/>
      <c r="O370" s="2"/>
      <c r="P370" s="2"/>
      <c r="Q370" s="2"/>
      <c r="R370" s="80"/>
      <c r="S370" s="80"/>
      <c r="T370" s="80"/>
      <c r="U370" s="80"/>
      <c r="V370" s="80"/>
      <c r="W370" s="80"/>
      <c r="X370" s="80"/>
      <c r="Y370" s="80"/>
      <c r="Z370" s="80"/>
      <c r="AA370" s="80"/>
      <c r="AB370" s="80"/>
      <c r="AC370" s="80"/>
      <c r="AD370" s="80"/>
      <c r="AE370" s="80"/>
      <c r="AF370" s="80"/>
      <c r="AG370" s="80"/>
      <c r="AH370" s="80"/>
      <c r="AI370" s="80"/>
    </row>
    <row r="371" spans="1:35" x14ac:dyDescent="0.2">
      <c r="A371" s="2"/>
      <c r="B371" s="80"/>
      <c r="C371" s="80"/>
      <c r="D371" s="80"/>
      <c r="E371" s="80"/>
      <c r="F371" s="80"/>
      <c r="G371" s="80"/>
      <c r="H371" s="80"/>
      <c r="I371" s="80"/>
      <c r="J371" s="80"/>
      <c r="K371" s="80"/>
      <c r="L371" s="2"/>
      <c r="M371" s="2"/>
      <c r="N371" s="2"/>
      <c r="O371" s="2"/>
      <c r="P371" s="2"/>
      <c r="Q371" s="2"/>
      <c r="R371" s="80"/>
      <c r="S371" s="80"/>
      <c r="T371" s="80"/>
      <c r="U371" s="80"/>
      <c r="V371" s="80"/>
      <c r="W371" s="80"/>
      <c r="X371" s="80"/>
      <c r="Y371" s="80"/>
      <c r="Z371" s="80"/>
      <c r="AA371" s="80"/>
      <c r="AB371" s="80"/>
      <c r="AC371" s="80"/>
      <c r="AD371" s="80"/>
      <c r="AE371" s="80"/>
      <c r="AF371" s="80"/>
      <c r="AG371" s="80"/>
      <c r="AH371" s="80"/>
      <c r="AI371" s="80"/>
    </row>
    <row r="372" spans="1:35" x14ac:dyDescent="0.2">
      <c r="A372" s="2"/>
      <c r="B372" s="80"/>
      <c r="C372" s="80"/>
      <c r="D372" s="80"/>
      <c r="E372" s="80"/>
      <c r="F372" s="80"/>
      <c r="G372" s="80"/>
      <c r="H372" s="80"/>
      <c r="I372" s="80"/>
      <c r="J372" s="80"/>
      <c r="K372" s="80"/>
      <c r="L372" s="2"/>
      <c r="M372" s="2"/>
      <c r="N372" s="2"/>
      <c r="O372" s="2"/>
      <c r="P372" s="2"/>
      <c r="Q372" s="2"/>
      <c r="R372" s="80"/>
      <c r="S372" s="80"/>
      <c r="T372" s="80"/>
      <c r="U372" s="80"/>
      <c r="V372" s="80"/>
      <c r="W372" s="80"/>
      <c r="X372" s="80"/>
      <c r="Y372" s="80"/>
      <c r="Z372" s="80"/>
      <c r="AA372" s="80"/>
      <c r="AB372" s="80"/>
      <c r="AC372" s="80"/>
      <c r="AD372" s="80"/>
      <c r="AE372" s="80"/>
      <c r="AF372" s="80"/>
      <c r="AG372" s="80"/>
      <c r="AH372" s="80"/>
      <c r="AI372" s="80"/>
    </row>
    <row r="373" spans="1:35" x14ac:dyDescent="0.2">
      <c r="A373" s="2"/>
      <c r="B373" s="80"/>
      <c r="C373" s="80"/>
      <c r="D373" s="80"/>
      <c r="E373" s="80"/>
      <c r="F373" s="80"/>
      <c r="G373" s="80"/>
      <c r="H373" s="80"/>
      <c r="I373" s="80"/>
      <c r="J373" s="80"/>
      <c r="K373" s="80"/>
      <c r="L373" s="2"/>
      <c r="M373" s="2"/>
      <c r="N373" s="2"/>
      <c r="O373" s="2"/>
      <c r="P373" s="2"/>
      <c r="Q373" s="2"/>
      <c r="R373" s="80"/>
      <c r="S373" s="80"/>
      <c r="T373" s="80"/>
      <c r="U373" s="80"/>
      <c r="V373" s="80"/>
      <c r="W373" s="80"/>
      <c r="X373" s="80"/>
      <c r="Y373" s="80"/>
      <c r="Z373" s="80"/>
      <c r="AA373" s="80"/>
      <c r="AB373" s="80"/>
      <c r="AC373" s="80"/>
      <c r="AD373" s="80"/>
      <c r="AE373" s="80"/>
      <c r="AF373" s="80"/>
      <c r="AG373" s="80"/>
      <c r="AH373" s="80"/>
      <c r="AI373" s="80"/>
    </row>
    <row r="374" spans="1:35" x14ac:dyDescent="0.2">
      <c r="A374" s="2"/>
      <c r="B374" s="80"/>
      <c r="C374" s="80"/>
      <c r="D374" s="80"/>
      <c r="E374" s="80"/>
      <c r="F374" s="80"/>
      <c r="G374" s="80"/>
      <c r="H374" s="80"/>
      <c r="I374" s="80"/>
      <c r="J374" s="80"/>
      <c r="K374" s="80"/>
      <c r="L374" s="2"/>
      <c r="M374" s="2"/>
      <c r="N374" s="2"/>
      <c r="O374" s="2"/>
      <c r="P374" s="2"/>
      <c r="Q374" s="2"/>
      <c r="R374" s="80"/>
      <c r="S374" s="80"/>
      <c r="T374" s="80"/>
      <c r="U374" s="80"/>
      <c r="V374" s="80"/>
      <c r="W374" s="80"/>
      <c r="X374" s="80"/>
      <c r="Y374" s="80"/>
      <c r="Z374" s="80"/>
      <c r="AA374" s="80"/>
      <c r="AB374" s="80"/>
      <c r="AC374" s="80"/>
      <c r="AD374" s="80"/>
      <c r="AE374" s="80"/>
      <c r="AF374" s="80"/>
      <c r="AG374" s="80"/>
      <c r="AH374" s="80"/>
      <c r="AI374" s="80"/>
    </row>
    <row r="375" spans="1:35" x14ac:dyDescent="0.2">
      <c r="A375" s="2"/>
      <c r="B375" s="80"/>
      <c r="C375" s="80"/>
      <c r="D375" s="80"/>
      <c r="E375" s="80"/>
      <c r="F375" s="80"/>
      <c r="G375" s="80"/>
      <c r="H375" s="80"/>
      <c r="I375" s="80"/>
      <c r="J375" s="80"/>
      <c r="K375" s="80"/>
      <c r="L375" s="2"/>
      <c r="M375" s="2"/>
      <c r="N375" s="2"/>
      <c r="O375" s="2"/>
      <c r="P375" s="2"/>
      <c r="Q375" s="2"/>
      <c r="R375" s="80"/>
      <c r="S375" s="80"/>
      <c r="T375" s="80"/>
      <c r="U375" s="80"/>
      <c r="V375" s="80"/>
      <c r="W375" s="80"/>
      <c r="X375" s="80"/>
      <c r="Y375" s="80"/>
      <c r="Z375" s="80"/>
      <c r="AA375" s="80"/>
      <c r="AB375" s="80"/>
      <c r="AC375" s="80"/>
      <c r="AD375" s="80"/>
      <c r="AE375" s="80"/>
      <c r="AF375" s="80"/>
      <c r="AG375" s="80"/>
      <c r="AH375" s="80"/>
      <c r="AI375" s="80"/>
    </row>
    <row r="376" spans="1:35" x14ac:dyDescent="0.2">
      <c r="A376" s="2"/>
      <c r="B376" s="80"/>
      <c r="C376" s="80"/>
      <c r="D376" s="80"/>
      <c r="E376" s="80"/>
      <c r="F376" s="80"/>
      <c r="G376" s="80"/>
      <c r="H376" s="80"/>
      <c r="I376" s="80"/>
      <c r="J376" s="80"/>
      <c r="K376" s="80"/>
      <c r="L376" s="2"/>
      <c r="M376" s="2"/>
      <c r="N376" s="2"/>
      <c r="O376" s="2"/>
      <c r="P376" s="2"/>
      <c r="Q376" s="2"/>
      <c r="R376" s="80"/>
      <c r="S376" s="80"/>
      <c r="T376" s="80"/>
      <c r="U376" s="80"/>
      <c r="V376" s="80"/>
      <c r="W376" s="80"/>
      <c r="X376" s="80"/>
      <c r="Y376" s="80"/>
      <c r="Z376" s="80"/>
      <c r="AA376" s="80"/>
      <c r="AB376" s="80"/>
      <c r="AC376" s="80"/>
      <c r="AD376" s="80"/>
      <c r="AE376" s="80"/>
      <c r="AF376" s="80"/>
      <c r="AG376" s="80"/>
      <c r="AH376" s="80"/>
      <c r="AI376" s="80"/>
    </row>
    <row r="377" spans="1:35" x14ac:dyDescent="0.2">
      <c r="A377" s="2"/>
      <c r="B377" s="80"/>
      <c r="C377" s="80"/>
      <c r="D377" s="80"/>
      <c r="E377" s="80"/>
      <c r="F377" s="80"/>
      <c r="G377" s="80"/>
      <c r="H377" s="80"/>
      <c r="I377" s="80"/>
      <c r="J377" s="80"/>
      <c r="K377" s="80"/>
      <c r="L377" s="2"/>
      <c r="M377" s="2"/>
      <c r="N377" s="2"/>
      <c r="O377" s="2"/>
      <c r="P377" s="2"/>
      <c r="Q377" s="2"/>
      <c r="R377" s="80"/>
      <c r="S377" s="80"/>
      <c r="T377" s="80"/>
      <c r="U377" s="80"/>
      <c r="V377" s="80"/>
      <c r="W377" s="80"/>
      <c r="X377" s="80"/>
      <c r="Y377" s="80"/>
      <c r="Z377" s="80"/>
      <c r="AA377" s="80"/>
      <c r="AB377" s="80"/>
      <c r="AC377" s="80"/>
      <c r="AD377" s="80"/>
      <c r="AE377" s="80"/>
      <c r="AF377" s="80"/>
      <c r="AG377" s="80"/>
      <c r="AH377" s="80"/>
      <c r="AI377" s="80"/>
    </row>
    <row r="378" spans="1:35" x14ac:dyDescent="0.2">
      <c r="A378" s="2"/>
      <c r="B378" s="80"/>
      <c r="C378" s="80"/>
      <c r="D378" s="80"/>
      <c r="E378" s="80"/>
      <c r="F378" s="80"/>
      <c r="G378" s="80"/>
      <c r="H378" s="80"/>
      <c r="I378" s="80"/>
      <c r="J378" s="80"/>
      <c r="K378" s="80"/>
      <c r="L378" s="2"/>
      <c r="M378" s="2"/>
      <c r="N378" s="2"/>
      <c r="O378" s="2"/>
      <c r="P378" s="2"/>
      <c r="Q378" s="2"/>
      <c r="R378" s="80"/>
      <c r="S378" s="80"/>
      <c r="T378" s="80"/>
      <c r="U378" s="80"/>
      <c r="V378" s="80"/>
      <c r="W378" s="80"/>
      <c r="X378" s="80"/>
      <c r="Y378" s="80"/>
      <c r="Z378" s="80"/>
      <c r="AA378" s="80"/>
      <c r="AB378" s="80"/>
      <c r="AC378" s="80"/>
      <c r="AD378" s="80"/>
      <c r="AE378" s="80"/>
      <c r="AF378" s="80"/>
      <c r="AG378" s="80"/>
      <c r="AH378" s="80"/>
      <c r="AI378" s="80"/>
    </row>
    <row r="379" spans="1:35" x14ac:dyDescent="0.2">
      <c r="A379" s="2"/>
      <c r="B379" s="80"/>
      <c r="C379" s="80"/>
      <c r="D379" s="80"/>
      <c r="E379" s="80"/>
      <c r="F379" s="80"/>
      <c r="G379" s="80"/>
      <c r="H379" s="80"/>
      <c r="I379" s="80"/>
      <c r="J379" s="80"/>
      <c r="K379" s="80"/>
      <c r="L379" s="2"/>
      <c r="M379" s="2"/>
      <c r="N379" s="2"/>
      <c r="O379" s="2"/>
      <c r="P379" s="2"/>
      <c r="Q379" s="2"/>
      <c r="R379" s="80"/>
      <c r="S379" s="80"/>
      <c r="T379" s="80"/>
      <c r="U379" s="80"/>
      <c r="V379" s="80"/>
      <c r="W379" s="80"/>
      <c r="X379" s="80"/>
      <c r="Y379" s="80"/>
      <c r="Z379" s="80"/>
      <c r="AA379" s="80"/>
      <c r="AB379" s="80"/>
      <c r="AC379" s="80"/>
      <c r="AD379" s="80"/>
      <c r="AE379" s="80"/>
      <c r="AF379" s="80"/>
      <c r="AG379" s="80"/>
      <c r="AH379" s="80"/>
      <c r="AI379" s="80"/>
    </row>
    <row r="380" spans="1:35" x14ac:dyDescent="0.2">
      <c r="A380" s="2"/>
      <c r="B380" s="80"/>
      <c r="C380" s="80"/>
      <c r="D380" s="80"/>
      <c r="E380" s="80"/>
      <c r="F380" s="80"/>
      <c r="G380" s="80"/>
      <c r="H380" s="80"/>
      <c r="I380" s="80"/>
      <c r="J380" s="80"/>
      <c r="K380" s="80"/>
      <c r="L380" s="2"/>
      <c r="M380" s="2"/>
      <c r="N380" s="2"/>
      <c r="O380" s="2"/>
      <c r="P380" s="2"/>
      <c r="Q380" s="2"/>
      <c r="R380" s="80"/>
      <c r="S380" s="80"/>
      <c r="T380" s="80"/>
      <c r="U380" s="80"/>
      <c r="V380" s="80"/>
      <c r="W380" s="80"/>
      <c r="X380" s="80"/>
      <c r="Y380" s="80"/>
      <c r="Z380" s="80"/>
      <c r="AA380" s="80"/>
      <c r="AB380" s="80"/>
      <c r="AC380" s="80"/>
      <c r="AD380" s="80"/>
      <c r="AE380" s="80"/>
      <c r="AF380" s="80"/>
      <c r="AG380" s="80"/>
      <c r="AH380" s="80"/>
      <c r="AI380" s="80"/>
    </row>
    <row r="381" spans="1:35" x14ac:dyDescent="0.2">
      <c r="A381" s="2"/>
      <c r="B381" s="80"/>
      <c r="C381" s="80"/>
      <c r="D381" s="80"/>
      <c r="E381" s="80"/>
      <c r="F381" s="80"/>
      <c r="G381" s="80"/>
      <c r="H381" s="80"/>
      <c r="I381" s="80"/>
      <c r="J381" s="80"/>
      <c r="K381" s="80"/>
      <c r="L381" s="2"/>
      <c r="M381" s="2"/>
      <c r="N381" s="2"/>
      <c r="O381" s="2"/>
      <c r="P381" s="2"/>
      <c r="Q381" s="2"/>
      <c r="R381" s="80"/>
      <c r="S381" s="80"/>
      <c r="T381" s="80"/>
      <c r="U381" s="80"/>
      <c r="V381" s="80"/>
      <c r="W381" s="80"/>
      <c r="X381" s="80"/>
      <c r="Y381" s="80"/>
      <c r="Z381" s="80"/>
      <c r="AA381" s="80"/>
      <c r="AB381" s="80"/>
      <c r="AC381" s="80"/>
      <c r="AD381" s="80"/>
      <c r="AE381" s="80"/>
      <c r="AF381" s="80"/>
      <c r="AG381" s="80"/>
      <c r="AH381" s="80"/>
      <c r="AI381" s="80"/>
    </row>
    <row r="382" spans="1:35" x14ac:dyDescent="0.2">
      <c r="A382" s="2"/>
      <c r="B382" s="80"/>
      <c r="C382" s="80"/>
      <c r="D382" s="80"/>
      <c r="E382" s="80"/>
      <c r="F382" s="80"/>
      <c r="G382" s="80"/>
      <c r="H382" s="80"/>
      <c r="I382" s="80"/>
      <c r="J382" s="80"/>
      <c r="K382" s="80"/>
      <c r="L382" s="2"/>
      <c r="M382" s="2"/>
      <c r="N382" s="2"/>
      <c r="O382" s="2"/>
      <c r="P382" s="2"/>
      <c r="Q382" s="2"/>
      <c r="R382" s="80"/>
      <c r="S382" s="80"/>
      <c r="T382" s="80"/>
      <c r="U382" s="80"/>
      <c r="V382" s="80"/>
      <c r="W382" s="80"/>
      <c r="X382" s="80"/>
      <c r="Y382" s="80"/>
      <c r="Z382" s="80"/>
      <c r="AA382" s="80"/>
      <c r="AB382" s="80"/>
      <c r="AC382" s="80"/>
      <c r="AD382" s="80"/>
      <c r="AE382" s="80"/>
      <c r="AF382" s="80"/>
      <c r="AG382" s="80"/>
      <c r="AH382" s="80"/>
      <c r="AI382" s="80"/>
    </row>
    <row r="383" spans="1:35" x14ac:dyDescent="0.2">
      <c r="A383" s="2"/>
      <c r="B383" s="80"/>
      <c r="C383" s="80"/>
      <c r="D383" s="80"/>
      <c r="E383" s="80"/>
      <c r="F383" s="80"/>
      <c r="G383" s="80"/>
      <c r="H383" s="80"/>
      <c r="I383" s="80"/>
      <c r="J383" s="80"/>
      <c r="K383" s="80"/>
      <c r="L383" s="2"/>
      <c r="M383" s="2"/>
      <c r="N383" s="2"/>
      <c r="O383" s="2"/>
      <c r="P383" s="2"/>
      <c r="Q383" s="2"/>
      <c r="R383" s="80"/>
      <c r="S383" s="80"/>
      <c r="T383" s="80"/>
      <c r="U383" s="80"/>
      <c r="V383" s="80"/>
      <c r="W383" s="80"/>
      <c r="X383" s="80"/>
      <c r="Y383" s="80"/>
      <c r="Z383" s="80"/>
      <c r="AA383" s="80"/>
      <c r="AB383" s="80"/>
      <c r="AC383" s="80"/>
      <c r="AD383" s="80"/>
      <c r="AE383" s="80"/>
      <c r="AF383" s="80"/>
      <c r="AG383" s="80"/>
      <c r="AH383" s="80"/>
      <c r="AI383" s="80"/>
    </row>
    <row r="384" spans="1:35" x14ac:dyDescent="0.2">
      <c r="A384" s="2"/>
      <c r="B384" s="80"/>
      <c r="C384" s="80"/>
      <c r="D384" s="80"/>
      <c r="E384" s="80"/>
      <c r="F384" s="80"/>
      <c r="G384" s="80"/>
      <c r="H384" s="80"/>
      <c r="I384" s="80"/>
      <c r="J384" s="80"/>
      <c r="K384" s="80"/>
      <c r="L384" s="2"/>
      <c r="M384" s="2"/>
      <c r="N384" s="2"/>
      <c r="O384" s="2"/>
      <c r="P384" s="2"/>
      <c r="Q384" s="2"/>
      <c r="R384" s="80"/>
      <c r="S384" s="80"/>
      <c r="T384" s="80"/>
      <c r="U384" s="80"/>
      <c r="V384" s="80"/>
      <c r="W384" s="80"/>
      <c r="X384" s="80"/>
      <c r="Y384" s="80"/>
      <c r="Z384" s="80"/>
      <c r="AA384" s="80"/>
      <c r="AB384" s="80"/>
      <c r="AC384" s="80"/>
      <c r="AD384" s="80"/>
      <c r="AE384" s="80"/>
      <c r="AF384" s="80"/>
      <c r="AG384" s="80"/>
      <c r="AH384" s="80"/>
      <c r="AI384" s="80"/>
    </row>
    <row r="385" spans="1:35" x14ac:dyDescent="0.2">
      <c r="A385" s="2"/>
      <c r="B385" s="80"/>
      <c r="C385" s="80"/>
      <c r="D385" s="80"/>
      <c r="E385" s="80"/>
      <c r="F385" s="80"/>
      <c r="G385" s="80"/>
      <c r="H385" s="80"/>
      <c r="I385" s="80"/>
      <c r="J385" s="80"/>
      <c r="K385" s="80"/>
      <c r="L385" s="2"/>
      <c r="M385" s="2"/>
      <c r="N385" s="2"/>
      <c r="O385" s="2"/>
      <c r="P385" s="2"/>
      <c r="Q385" s="2"/>
      <c r="R385" s="80"/>
      <c r="S385" s="80"/>
      <c r="T385" s="80"/>
      <c r="U385" s="80"/>
      <c r="V385" s="80"/>
      <c r="W385" s="80"/>
      <c r="X385" s="80"/>
      <c r="Y385" s="80"/>
      <c r="Z385" s="80"/>
      <c r="AA385" s="80"/>
      <c r="AB385" s="80"/>
      <c r="AC385" s="80"/>
      <c r="AD385" s="80"/>
      <c r="AE385" s="80"/>
      <c r="AF385" s="80"/>
      <c r="AG385" s="80"/>
      <c r="AH385" s="80"/>
      <c r="AI385" s="80"/>
    </row>
    <row r="386" spans="1:35" x14ac:dyDescent="0.2">
      <c r="A386" s="2"/>
      <c r="B386" s="80"/>
      <c r="C386" s="80"/>
      <c r="D386" s="80"/>
      <c r="E386" s="80"/>
      <c r="F386" s="80"/>
      <c r="G386" s="80"/>
      <c r="H386" s="80"/>
      <c r="I386" s="80"/>
      <c r="J386" s="80"/>
      <c r="K386" s="80"/>
      <c r="L386" s="2"/>
      <c r="M386" s="2"/>
      <c r="N386" s="2"/>
      <c r="O386" s="2"/>
      <c r="P386" s="2"/>
      <c r="Q386" s="2"/>
      <c r="R386" s="80"/>
      <c r="S386" s="80"/>
      <c r="T386" s="80"/>
      <c r="U386" s="80"/>
      <c r="V386" s="80"/>
      <c r="W386" s="80"/>
      <c r="X386" s="80"/>
      <c r="Y386" s="80"/>
      <c r="Z386" s="80"/>
      <c r="AA386" s="80"/>
      <c r="AB386" s="80"/>
      <c r="AC386" s="80"/>
      <c r="AD386" s="80"/>
      <c r="AE386" s="80"/>
      <c r="AF386" s="80"/>
      <c r="AG386" s="80"/>
      <c r="AH386" s="80"/>
      <c r="AI386" s="80"/>
    </row>
    <row r="387" spans="1:35" x14ac:dyDescent="0.2">
      <c r="A387" s="2"/>
      <c r="B387" s="80"/>
      <c r="C387" s="80"/>
      <c r="D387" s="80"/>
      <c r="E387" s="80"/>
      <c r="F387" s="80"/>
      <c r="G387" s="80"/>
      <c r="H387" s="80"/>
      <c r="I387" s="80"/>
      <c r="J387" s="80"/>
      <c r="K387" s="80"/>
      <c r="L387" s="2"/>
      <c r="M387" s="2"/>
      <c r="N387" s="2"/>
      <c r="O387" s="2"/>
      <c r="P387" s="2"/>
      <c r="Q387" s="2"/>
      <c r="R387" s="80"/>
      <c r="S387" s="80"/>
      <c r="T387" s="80"/>
      <c r="U387" s="80"/>
      <c r="V387" s="80"/>
      <c r="W387" s="80"/>
      <c r="X387" s="80"/>
      <c r="Y387" s="80"/>
      <c r="Z387" s="80"/>
      <c r="AA387" s="80"/>
      <c r="AB387" s="80"/>
      <c r="AC387" s="80"/>
      <c r="AD387" s="80"/>
      <c r="AE387" s="80"/>
      <c r="AF387" s="80"/>
      <c r="AG387" s="80"/>
      <c r="AH387" s="80"/>
      <c r="AI387" s="80"/>
    </row>
    <row r="388" spans="1:35" x14ac:dyDescent="0.2">
      <c r="A388" s="2"/>
      <c r="B388" s="80"/>
      <c r="C388" s="80"/>
      <c r="D388" s="80"/>
      <c r="E388" s="80"/>
      <c r="F388" s="80"/>
      <c r="G388" s="80"/>
      <c r="H388" s="80"/>
      <c r="I388" s="80"/>
      <c r="J388" s="80"/>
      <c r="K388" s="80"/>
      <c r="L388" s="2"/>
      <c r="M388" s="2"/>
      <c r="N388" s="2"/>
      <c r="O388" s="2"/>
      <c r="P388" s="2"/>
      <c r="Q388" s="2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80"/>
      <c r="AC388" s="80"/>
      <c r="AD388" s="80"/>
      <c r="AE388" s="80"/>
      <c r="AF388" s="80"/>
      <c r="AG388" s="80"/>
      <c r="AH388" s="80"/>
      <c r="AI388" s="80"/>
    </row>
    <row r="389" spans="1:35" x14ac:dyDescent="0.2">
      <c r="A389" s="2"/>
      <c r="B389" s="80"/>
      <c r="C389" s="80"/>
      <c r="D389" s="80"/>
      <c r="E389" s="80"/>
      <c r="F389" s="80"/>
      <c r="G389" s="80"/>
      <c r="H389" s="80"/>
      <c r="I389" s="80"/>
      <c r="J389" s="80"/>
      <c r="K389" s="80"/>
      <c r="L389" s="2"/>
      <c r="M389" s="2"/>
      <c r="N389" s="2"/>
      <c r="O389" s="2"/>
      <c r="P389" s="2"/>
      <c r="Q389" s="2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80"/>
      <c r="AC389" s="80"/>
      <c r="AD389" s="80"/>
      <c r="AE389" s="80"/>
      <c r="AF389" s="80"/>
      <c r="AG389" s="80"/>
      <c r="AH389" s="80"/>
      <c r="AI389" s="80"/>
    </row>
    <row r="390" spans="1:35" x14ac:dyDescent="0.2">
      <c r="A390" s="2"/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2"/>
      <c r="M390" s="2"/>
      <c r="N390" s="2"/>
      <c r="O390" s="2"/>
      <c r="P390" s="2"/>
      <c r="Q390" s="2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0"/>
      <c r="AD390" s="80"/>
      <c r="AE390" s="80"/>
      <c r="AF390" s="80"/>
      <c r="AG390" s="80"/>
      <c r="AH390" s="80"/>
      <c r="AI390" s="80"/>
    </row>
    <row r="391" spans="1:35" x14ac:dyDescent="0.2">
      <c r="A391" s="2"/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2"/>
      <c r="M391" s="2"/>
      <c r="N391" s="2"/>
      <c r="O391" s="2"/>
      <c r="P391" s="2"/>
      <c r="Q391" s="2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0"/>
      <c r="AD391" s="80"/>
      <c r="AE391" s="80"/>
      <c r="AF391" s="80"/>
      <c r="AG391" s="80"/>
      <c r="AH391" s="80"/>
      <c r="AI391" s="80"/>
    </row>
    <row r="392" spans="1:35" x14ac:dyDescent="0.2">
      <c r="A392" s="2"/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2"/>
      <c r="M392" s="2"/>
      <c r="N392" s="2"/>
      <c r="O392" s="2"/>
      <c r="P392" s="2"/>
      <c r="Q392" s="2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0"/>
      <c r="AD392" s="80"/>
      <c r="AE392" s="80"/>
      <c r="AF392" s="80"/>
      <c r="AG392" s="80"/>
      <c r="AH392" s="80"/>
      <c r="AI392" s="80"/>
    </row>
    <row r="393" spans="1:35" x14ac:dyDescent="0.2">
      <c r="A393" s="2"/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2"/>
      <c r="M393" s="2"/>
      <c r="N393" s="2"/>
      <c r="O393" s="2"/>
      <c r="P393" s="2"/>
      <c r="Q393" s="2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0"/>
      <c r="AD393" s="80"/>
      <c r="AE393" s="80"/>
      <c r="AF393" s="80"/>
      <c r="AG393" s="80"/>
      <c r="AH393" s="80"/>
      <c r="AI393" s="80"/>
    </row>
    <row r="394" spans="1:35" x14ac:dyDescent="0.2">
      <c r="A394" s="2"/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2"/>
      <c r="M394" s="2"/>
      <c r="N394" s="2"/>
      <c r="O394" s="2"/>
      <c r="P394" s="2"/>
      <c r="Q394" s="2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0"/>
      <c r="AD394" s="80"/>
      <c r="AE394" s="80"/>
      <c r="AF394" s="80"/>
      <c r="AG394" s="80"/>
      <c r="AH394" s="80"/>
      <c r="AI394" s="80"/>
    </row>
    <row r="395" spans="1:35" x14ac:dyDescent="0.2">
      <c r="A395" s="2"/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2"/>
      <c r="M395" s="2"/>
      <c r="N395" s="2"/>
      <c r="O395" s="2"/>
      <c r="P395" s="2"/>
      <c r="Q395" s="2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0"/>
      <c r="AD395" s="80"/>
      <c r="AE395" s="80"/>
      <c r="AF395" s="80"/>
      <c r="AG395" s="80"/>
      <c r="AH395" s="80"/>
      <c r="AI395" s="80"/>
    </row>
    <row r="396" spans="1:35" x14ac:dyDescent="0.2">
      <c r="A396" s="2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2"/>
      <c r="M396" s="2"/>
      <c r="N396" s="2"/>
      <c r="O396" s="2"/>
      <c r="P396" s="2"/>
      <c r="Q396" s="2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0"/>
      <c r="AD396" s="80"/>
      <c r="AE396" s="80"/>
      <c r="AF396" s="80"/>
      <c r="AG396" s="80"/>
      <c r="AH396" s="80"/>
      <c r="AI396" s="80"/>
    </row>
    <row r="397" spans="1:35" x14ac:dyDescent="0.2">
      <c r="A397" s="2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2"/>
      <c r="M397" s="2"/>
      <c r="N397" s="2"/>
      <c r="O397" s="2"/>
      <c r="P397" s="2"/>
      <c r="Q397" s="2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0"/>
      <c r="AD397" s="80"/>
      <c r="AE397" s="80"/>
      <c r="AF397" s="80"/>
      <c r="AG397" s="80"/>
      <c r="AH397" s="80"/>
      <c r="AI397" s="80"/>
    </row>
    <row r="398" spans="1:35" x14ac:dyDescent="0.2">
      <c r="A398" s="2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2"/>
      <c r="M398" s="2"/>
      <c r="N398" s="2"/>
      <c r="O398" s="2"/>
      <c r="P398" s="2"/>
      <c r="Q398" s="2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0"/>
      <c r="AD398" s="80"/>
      <c r="AE398" s="80"/>
      <c r="AF398" s="80"/>
      <c r="AG398" s="80"/>
      <c r="AH398" s="80"/>
      <c r="AI398" s="80"/>
    </row>
    <row r="399" spans="1:35" x14ac:dyDescent="0.2">
      <c r="A399" s="2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2"/>
      <c r="M399" s="2"/>
      <c r="N399" s="2"/>
      <c r="O399" s="2"/>
      <c r="P399" s="2"/>
      <c r="Q399" s="2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0"/>
      <c r="AD399" s="80"/>
      <c r="AE399" s="80"/>
      <c r="AF399" s="80"/>
      <c r="AG399" s="80"/>
      <c r="AH399" s="80"/>
      <c r="AI399" s="80"/>
    </row>
    <row r="400" spans="1:35" x14ac:dyDescent="0.2">
      <c r="A400" s="2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2"/>
      <c r="M400" s="2"/>
      <c r="N400" s="2"/>
      <c r="O400" s="2"/>
      <c r="P400" s="2"/>
      <c r="Q400" s="2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0"/>
      <c r="AD400" s="80"/>
      <c r="AE400" s="80"/>
      <c r="AF400" s="80"/>
      <c r="AG400" s="80"/>
      <c r="AH400" s="80"/>
      <c r="AI400" s="80"/>
    </row>
    <row r="401" spans="1:35" x14ac:dyDescent="0.2">
      <c r="A401" s="2"/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2"/>
      <c r="M401" s="2"/>
      <c r="N401" s="2"/>
      <c r="O401" s="2"/>
      <c r="P401" s="2"/>
      <c r="Q401" s="2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0"/>
      <c r="AD401" s="80"/>
      <c r="AE401" s="80"/>
      <c r="AF401" s="80"/>
      <c r="AG401" s="80"/>
      <c r="AH401" s="80"/>
      <c r="AI401" s="80"/>
    </row>
    <row r="402" spans="1:35" x14ac:dyDescent="0.2">
      <c r="A402" s="2"/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2"/>
      <c r="M402" s="2"/>
      <c r="N402" s="2"/>
      <c r="O402" s="2"/>
      <c r="P402" s="2"/>
      <c r="Q402" s="2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0"/>
      <c r="AD402" s="80"/>
      <c r="AE402" s="80"/>
      <c r="AF402" s="80"/>
      <c r="AG402" s="80"/>
      <c r="AH402" s="80"/>
      <c r="AI402" s="80"/>
    </row>
    <row r="403" spans="1:35" x14ac:dyDescent="0.2">
      <c r="A403" s="2"/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2"/>
      <c r="M403" s="2"/>
      <c r="N403" s="2"/>
      <c r="O403" s="2"/>
      <c r="P403" s="2"/>
      <c r="Q403" s="2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0"/>
      <c r="AD403" s="80"/>
      <c r="AE403" s="80"/>
      <c r="AF403" s="80"/>
      <c r="AG403" s="80"/>
      <c r="AH403" s="80"/>
      <c r="AI403" s="80"/>
    </row>
    <row r="404" spans="1:35" x14ac:dyDescent="0.2">
      <c r="A404" s="2"/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2"/>
      <c r="M404" s="2"/>
      <c r="N404" s="2"/>
      <c r="O404" s="2"/>
      <c r="P404" s="2"/>
      <c r="Q404" s="2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0"/>
      <c r="AD404" s="80"/>
      <c r="AE404" s="80"/>
      <c r="AF404" s="80"/>
      <c r="AG404" s="80"/>
      <c r="AH404" s="80"/>
      <c r="AI404" s="80"/>
    </row>
    <row r="405" spans="1:35" x14ac:dyDescent="0.2">
      <c r="A405" s="2"/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2"/>
      <c r="M405" s="2"/>
      <c r="N405" s="2"/>
      <c r="O405" s="2"/>
      <c r="P405" s="2"/>
      <c r="Q405" s="2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0"/>
      <c r="AD405" s="80"/>
      <c r="AE405" s="80"/>
      <c r="AF405" s="80"/>
      <c r="AG405" s="80"/>
      <c r="AH405" s="80"/>
      <c r="AI405" s="80"/>
    </row>
    <row r="406" spans="1:35" x14ac:dyDescent="0.2">
      <c r="A406" s="2"/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2"/>
      <c r="M406" s="2"/>
      <c r="N406" s="2"/>
      <c r="O406" s="2"/>
      <c r="P406" s="2"/>
      <c r="Q406" s="2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0"/>
      <c r="AD406" s="80"/>
      <c r="AE406" s="80"/>
      <c r="AF406" s="80"/>
      <c r="AG406" s="80"/>
      <c r="AH406" s="80"/>
      <c r="AI406" s="80"/>
    </row>
    <row r="407" spans="1:35" x14ac:dyDescent="0.2">
      <c r="A407" s="2"/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2"/>
      <c r="M407" s="2"/>
      <c r="N407" s="2"/>
      <c r="O407" s="2"/>
      <c r="P407" s="2"/>
      <c r="Q407" s="2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0"/>
      <c r="AD407" s="80"/>
      <c r="AE407" s="80"/>
      <c r="AF407" s="80"/>
      <c r="AG407" s="80"/>
      <c r="AH407" s="80"/>
      <c r="AI407" s="80"/>
    </row>
    <row r="408" spans="1:35" x14ac:dyDescent="0.2">
      <c r="A408" s="2"/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2"/>
      <c r="M408" s="2"/>
      <c r="N408" s="2"/>
      <c r="O408" s="2"/>
      <c r="P408" s="2"/>
      <c r="Q408" s="2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0"/>
      <c r="AD408" s="80"/>
      <c r="AE408" s="80"/>
      <c r="AF408" s="80"/>
      <c r="AG408" s="80"/>
      <c r="AH408" s="80"/>
      <c r="AI408" s="80"/>
    </row>
    <row r="409" spans="1:35" x14ac:dyDescent="0.2">
      <c r="A409" s="2"/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2"/>
      <c r="M409" s="2"/>
      <c r="N409" s="2"/>
      <c r="O409" s="2"/>
      <c r="P409" s="2"/>
      <c r="Q409" s="2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0"/>
      <c r="AD409" s="80"/>
      <c r="AE409" s="80"/>
      <c r="AF409" s="80"/>
      <c r="AG409" s="80"/>
      <c r="AH409" s="80"/>
      <c r="AI409" s="80"/>
    </row>
    <row r="410" spans="1:35" x14ac:dyDescent="0.2">
      <c r="A410" s="2"/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2"/>
      <c r="M410" s="2"/>
      <c r="N410" s="2"/>
      <c r="O410" s="2"/>
      <c r="P410" s="2"/>
      <c r="Q410" s="2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0"/>
      <c r="AD410" s="80"/>
      <c r="AE410" s="80"/>
      <c r="AF410" s="80"/>
      <c r="AG410" s="80"/>
      <c r="AH410" s="80"/>
      <c r="AI410" s="80"/>
    </row>
    <row r="411" spans="1:35" x14ac:dyDescent="0.2">
      <c r="A411" s="2"/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2"/>
      <c r="M411" s="2"/>
      <c r="N411" s="2"/>
      <c r="O411" s="2"/>
      <c r="P411" s="2"/>
      <c r="Q411" s="2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0"/>
      <c r="AD411" s="80"/>
      <c r="AE411" s="80"/>
      <c r="AF411" s="80"/>
      <c r="AG411" s="80"/>
      <c r="AH411" s="80"/>
      <c r="AI411" s="80"/>
    </row>
    <row r="412" spans="1:35" x14ac:dyDescent="0.2">
      <c r="A412" s="2"/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2"/>
      <c r="M412" s="2"/>
      <c r="N412" s="2"/>
      <c r="O412" s="2"/>
      <c r="P412" s="2"/>
      <c r="Q412" s="2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0"/>
      <c r="AD412" s="80"/>
      <c r="AE412" s="80"/>
      <c r="AF412" s="80"/>
      <c r="AG412" s="80"/>
      <c r="AH412" s="80"/>
      <c r="AI412" s="80"/>
    </row>
    <row r="413" spans="1:35" x14ac:dyDescent="0.2">
      <c r="A413" s="2"/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2"/>
      <c r="M413" s="2"/>
      <c r="N413" s="2"/>
      <c r="O413" s="2"/>
      <c r="P413" s="2"/>
      <c r="Q413" s="2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0"/>
      <c r="AD413" s="80"/>
      <c r="AE413" s="80"/>
      <c r="AF413" s="80"/>
      <c r="AG413" s="80"/>
      <c r="AH413" s="80"/>
      <c r="AI413" s="80"/>
    </row>
    <row r="414" spans="1:35" x14ac:dyDescent="0.2">
      <c r="A414" s="2"/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2"/>
      <c r="M414" s="2"/>
      <c r="N414" s="2"/>
      <c r="O414" s="2"/>
      <c r="P414" s="2"/>
      <c r="Q414" s="2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0"/>
      <c r="AD414" s="80"/>
      <c r="AE414" s="80"/>
      <c r="AF414" s="80"/>
      <c r="AG414" s="80"/>
      <c r="AH414" s="80"/>
      <c r="AI414" s="80"/>
    </row>
    <row r="415" spans="1:35" x14ac:dyDescent="0.2">
      <c r="A415" s="2"/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2"/>
      <c r="M415" s="2"/>
      <c r="N415" s="2"/>
      <c r="O415" s="2"/>
      <c r="P415" s="2"/>
      <c r="Q415" s="2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0"/>
      <c r="AD415" s="80"/>
      <c r="AE415" s="80"/>
      <c r="AF415" s="80"/>
      <c r="AG415" s="80"/>
      <c r="AH415" s="80"/>
      <c r="AI415" s="80"/>
    </row>
    <row r="416" spans="1:35" x14ac:dyDescent="0.2">
      <c r="A416" s="2"/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2"/>
      <c r="M416" s="2"/>
      <c r="N416" s="2"/>
      <c r="O416" s="2"/>
      <c r="P416" s="2"/>
      <c r="Q416" s="2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0"/>
      <c r="AD416" s="80"/>
      <c r="AE416" s="80"/>
      <c r="AF416" s="80"/>
      <c r="AG416" s="80"/>
      <c r="AH416" s="80"/>
      <c r="AI416" s="80"/>
    </row>
    <row r="417" spans="1:35" x14ac:dyDescent="0.2">
      <c r="A417" s="2"/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2"/>
      <c r="M417" s="2"/>
      <c r="N417" s="2"/>
      <c r="O417" s="2"/>
      <c r="P417" s="2"/>
      <c r="Q417" s="2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0"/>
      <c r="AD417" s="80"/>
      <c r="AE417" s="80"/>
      <c r="AF417" s="80"/>
      <c r="AG417" s="80"/>
      <c r="AH417" s="80"/>
      <c r="AI417" s="80"/>
    </row>
    <row r="418" spans="1:35" x14ac:dyDescent="0.2">
      <c r="A418" s="2"/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2"/>
      <c r="M418" s="2"/>
      <c r="N418" s="2"/>
      <c r="O418" s="2"/>
      <c r="P418" s="2"/>
      <c r="Q418" s="2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0"/>
      <c r="AD418" s="80"/>
      <c r="AE418" s="80"/>
      <c r="AF418" s="80"/>
      <c r="AG418" s="80"/>
      <c r="AH418" s="80"/>
      <c r="AI418" s="80"/>
    </row>
    <row r="419" spans="1:35" x14ac:dyDescent="0.2">
      <c r="A419" s="2"/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2"/>
      <c r="M419" s="2"/>
      <c r="N419" s="2"/>
      <c r="O419" s="2"/>
      <c r="P419" s="2"/>
      <c r="Q419" s="2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0"/>
      <c r="AD419" s="80"/>
      <c r="AE419" s="80"/>
      <c r="AF419" s="80"/>
      <c r="AG419" s="80"/>
      <c r="AH419" s="80"/>
      <c r="AI419" s="80"/>
    </row>
    <row r="420" spans="1:35" x14ac:dyDescent="0.2">
      <c r="A420" s="2"/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2"/>
      <c r="M420" s="2"/>
      <c r="N420" s="2"/>
      <c r="O420" s="2"/>
      <c r="P420" s="2"/>
      <c r="Q420" s="2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0"/>
      <c r="AD420" s="80"/>
      <c r="AE420" s="80"/>
      <c r="AF420" s="80"/>
      <c r="AG420" s="80"/>
      <c r="AH420" s="80"/>
      <c r="AI420" s="80"/>
    </row>
    <row r="421" spans="1:35" x14ac:dyDescent="0.2">
      <c r="A421" s="2"/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2"/>
      <c r="M421" s="2"/>
      <c r="N421" s="2"/>
      <c r="O421" s="2"/>
      <c r="P421" s="2"/>
      <c r="Q421" s="2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0"/>
      <c r="AD421" s="80"/>
      <c r="AE421" s="80"/>
      <c r="AF421" s="80"/>
      <c r="AG421" s="80"/>
      <c r="AH421" s="80"/>
      <c r="AI421" s="80"/>
    </row>
    <row r="422" spans="1:35" x14ac:dyDescent="0.2">
      <c r="A422" s="2"/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2"/>
      <c r="M422" s="2"/>
      <c r="N422" s="2"/>
      <c r="O422" s="2"/>
      <c r="P422" s="2"/>
      <c r="Q422" s="2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0"/>
      <c r="AD422" s="80"/>
      <c r="AE422" s="80"/>
      <c r="AF422" s="80"/>
      <c r="AG422" s="80"/>
      <c r="AH422" s="80"/>
      <c r="AI422" s="80"/>
    </row>
    <row r="423" spans="1:35" x14ac:dyDescent="0.2">
      <c r="A423" s="2"/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2"/>
      <c r="M423" s="2"/>
      <c r="N423" s="2"/>
      <c r="O423" s="2"/>
      <c r="P423" s="2"/>
      <c r="Q423" s="2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0"/>
      <c r="AD423" s="80"/>
      <c r="AE423" s="80"/>
      <c r="AF423" s="80"/>
      <c r="AG423" s="80"/>
      <c r="AH423" s="80"/>
      <c r="AI423" s="80"/>
    </row>
    <row r="424" spans="1:35" x14ac:dyDescent="0.2">
      <c r="A424" s="2"/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2"/>
      <c r="M424" s="2"/>
      <c r="N424" s="2"/>
      <c r="O424" s="2"/>
      <c r="P424" s="2"/>
      <c r="Q424" s="2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0"/>
      <c r="AD424" s="80"/>
      <c r="AE424" s="80"/>
      <c r="AF424" s="80"/>
      <c r="AG424" s="80"/>
      <c r="AH424" s="80"/>
      <c r="AI424" s="80"/>
    </row>
    <row r="425" spans="1:35" x14ac:dyDescent="0.2">
      <c r="A425" s="2"/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2"/>
      <c r="M425" s="2"/>
      <c r="N425" s="2"/>
      <c r="O425" s="2"/>
      <c r="P425" s="2"/>
      <c r="Q425" s="2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0"/>
      <c r="AD425" s="80"/>
      <c r="AE425" s="80"/>
      <c r="AF425" s="80"/>
      <c r="AG425" s="80"/>
      <c r="AH425" s="80"/>
      <c r="AI425" s="80"/>
    </row>
    <row r="426" spans="1:35" x14ac:dyDescent="0.2">
      <c r="A426" s="2"/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2"/>
      <c r="M426" s="2"/>
      <c r="N426" s="2"/>
      <c r="O426" s="2"/>
      <c r="P426" s="2"/>
      <c r="Q426" s="2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0"/>
      <c r="AD426" s="80"/>
      <c r="AE426" s="80"/>
      <c r="AF426" s="80"/>
      <c r="AG426" s="80"/>
      <c r="AH426" s="80"/>
      <c r="AI426" s="80"/>
    </row>
    <row r="427" spans="1:35" x14ac:dyDescent="0.2">
      <c r="A427" s="2"/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2"/>
      <c r="M427" s="2"/>
      <c r="N427" s="2"/>
      <c r="O427" s="2"/>
      <c r="P427" s="2"/>
      <c r="Q427" s="2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0"/>
      <c r="AD427" s="80"/>
      <c r="AE427" s="80"/>
      <c r="AF427" s="80"/>
      <c r="AG427" s="80"/>
      <c r="AH427" s="80"/>
      <c r="AI427" s="80"/>
    </row>
    <row r="428" spans="1:35" x14ac:dyDescent="0.2">
      <c r="A428" s="2"/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2"/>
      <c r="M428" s="2"/>
      <c r="N428" s="2"/>
      <c r="O428" s="2"/>
      <c r="P428" s="2"/>
      <c r="Q428" s="2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0"/>
      <c r="AD428" s="80"/>
      <c r="AE428" s="80"/>
      <c r="AF428" s="80"/>
      <c r="AG428" s="80"/>
      <c r="AH428" s="80"/>
      <c r="AI428" s="80"/>
    </row>
    <row r="429" spans="1:35" x14ac:dyDescent="0.2">
      <c r="A429" s="2"/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2"/>
      <c r="M429" s="2"/>
      <c r="N429" s="2"/>
      <c r="O429" s="2"/>
      <c r="P429" s="2"/>
      <c r="Q429" s="2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0"/>
      <c r="AD429" s="80"/>
      <c r="AE429" s="80"/>
      <c r="AF429" s="80"/>
      <c r="AG429" s="80"/>
      <c r="AH429" s="80"/>
      <c r="AI429" s="80"/>
    </row>
    <row r="430" spans="1:35" x14ac:dyDescent="0.2">
      <c r="A430" s="2"/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2"/>
      <c r="M430" s="2"/>
      <c r="N430" s="2"/>
      <c r="O430" s="2"/>
      <c r="P430" s="2"/>
      <c r="Q430" s="2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0"/>
      <c r="AD430" s="80"/>
      <c r="AE430" s="80"/>
      <c r="AF430" s="80"/>
      <c r="AG430" s="80"/>
      <c r="AH430" s="80"/>
      <c r="AI430" s="80"/>
    </row>
    <row r="431" spans="1:35" x14ac:dyDescent="0.2">
      <c r="A431" s="2"/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2"/>
      <c r="M431" s="2"/>
      <c r="N431" s="2"/>
      <c r="O431" s="2"/>
      <c r="P431" s="2"/>
      <c r="Q431" s="2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0"/>
      <c r="AD431" s="80"/>
      <c r="AE431" s="80"/>
      <c r="AF431" s="80"/>
      <c r="AG431" s="80"/>
      <c r="AH431" s="80"/>
      <c r="AI431" s="80"/>
    </row>
    <row r="432" spans="1:35" x14ac:dyDescent="0.2">
      <c r="A432" s="2"/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2"/>
      <c r="M432" s="2"/>
      <c r="N432" s="2"/>
      <c r="O432" s="2"/>
      <c r="P432" s="2"/>
      <c r="Q432" s="2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0"/>
      <c r="AD432" s="80"/>
      <c r="AE432" s="80"/>
      <c r="AF432" s="80"/>
      <c r="AG432" s="80"/>
      <c r="AH432" s="80"/>
      <c r="AI432" s="80"/>
    </row>
    <row r="433" spans="1:35" x14ac:dyDescent="0.2">
      <c r="A433" s="2"/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2"/>
      <c r="M433" s="2"/>
      <c r="N433" s="2"/>
      <c r="O433" s="2"/>
      <c r="P433" s="2"/>
      <c r="Q433" s="2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0"/>
      <c r="AD433" s="80"/>
      <c r="AE433" s="80"/>
      <c r="AF433" s="80"/>
      <c r="AG433" s="80"/>
      <c r="AH433" s="80"/>
      <c r="AI433" s="80"/>
    </row>
    <row r="434" spans="1:35" x14ac:dyDescent="0.2">
      <c r="A434" s="2"/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2"/>
      <c r="M434" s="2"/>
      <c r="N434" s="2"/>
      <c r="O434" s="2"/>
      <c r="P434" s="2"/>
      <c r="Q434" s="2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0"/>
      <c r="AD434" s="80"/>
      <c r="AE434" s="80"/>
      <c r="AF434" s="80"/>
      <c r="AG434" s="80"/>
      <c r="AH434" s="80"/>
      <c r="AI434" s="80"/>
    </row>
    <row r="435" spans="1:35" x14ac:dyDescent="0.2">
      <c r="A435" s="2"/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2"/>
      <c r="M435" s="2"/>
      <c r="N435" s="2"/>
      <c r="O435" s="2"/>
      <c r="P435" s="2"/>
      <c r="Q435" s="2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0"/>
      <c r="AD435" s="80"/>
      <c r="AE435" s="80"/>
      <c r="AF435" s="80"/>
      <c r="AG435" s="80"/>
      <c r="AH435" s="80"/>
      <c r="AI435" s="80"/>
    </row>
    <row r="436" spans="1:35" x14ac:dyDescent="0.2">
      <c r="A436" s="2"/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2"/>
      <c r="M436" s="2"/>
      <c r="N436" s="2"/>
      <c r="O436" s="2"/>
      <c r="P436" s="2"/>
      <c r="Q436" s="2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0"/>
      <c r="AD436" s="80"/>
      <c r="AE436" s="80"/>
      <c r="AF436" s="80"/>
      <c r="AG436" s="80"/>
      <c r="AH436" s="80"/>
      <c r="AI436" s="80"/>
    </row>
    <row r="437" spans="1:35" x14ac:dyDescent="0.2">
      <c r="A437" s="2"/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2"/>
      <c r="M437" s="2"/>
      <c r="N437" s="2"/>
      <c r="O437" s="2"/>
      <c r="P437" s="2"/>
      <c r="Q437" s="2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0"/>
      <c r="AD437" s="80"/>
      <c r="AE437" s="80"/>
      <c r="AF437" s="80"/>
      <c r="AG437" s="80"/>
      <c r="AH437" s="80"/>
      <c r="AI437" s="80"/>
    </row>
    <row r="438" spans="1:35" x14ac:dyDescent="0.2">
      <c r="A438" s="2"/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2"/>
      <c r="M438" s="2"/>
      <c r="N438" s="2"/>
      <c r="O438" s="2"/>
      <c r="P438" s="2"/>
      <c r="Q438" s="2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0"/>
      <c r="AD438" s="80"/>
      <c r="AE438" s="80"/>
      <c r="AF438" s="80"/>
      <c r="AG438" s="80"/>
      <c r="AH438" s="80"/>
      <c r="AI438" s="80"/>
    </row>
    <row r="439" spans="1:35" x14ac:dyDescent="0.2">
      <c r="A439" s="2"/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2"/>
      <c r="M439" s="2"/>
      <c r="N439" s="2"/>
      <c r="O439" s="2"/>
      <c r="P439" s="2"/>
      <c r="Q439" s="2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0"/>
      <c r="AD439" s="80"/>
      <c r="AE439" s="80"/>
      <c r="AF439" s="80"/>
      <c r="AG439" s="80"/>
      <c r="AH439" s="80"/>
      <c r="AI439" s="80"/>
    </row>
    <row r="440" spans="1:35" x14ac:dyDescent="0.2">
      <c r="A440" s="2"/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2"/>
      <c r="M440" s="2"/>
      <c r="N440" s="2"/>
      <c r="O440" s="2"/>
      <c r="P440" s="2"/>
      <c r="Q440" s="2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0"/>
      <c r="AD440" s="80"/>
      <c r="AE440" s="80"/>
      <c r="AF440" s="80"/>
      <c r="AG440" s="80"/>
      <c r="AH440" s="80"/>
      <c r="AI440" s="80"/>
    </row>
    <row r="441" spans="1:35" x14ac:dyDescent="0.2">
      <c r="A441" s="2"/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2"/>
      <c r="M441" s="2"/>
      <c r="N441" s="2"/>
      <c r="O441" s="2"/>
      <c r="P441" s="2"/>
      <c r="Q441" s="2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0"/>
      <c r="AD441" s="80"/>
      <c r="AE441" s="80"/>
      <c r="AF441" s="80"/>
      <c r="AG441" s="80"/>
      <c r="AH441" s="80"/>
      <c r="AI441" s="80"/>
    </row>
    <row r="442" spans="1:35" x14ac:dyDescent="0.2">
      <c r="A442" s="2"/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2"/>
      <c r="M442" s="2"/>
      <c r="N442" s="2"/>
      <c r="O442" s="2"/>
      <c r="P442" s="2"/>
      <c r="Q442" s="2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0"/>
      <c r="AD442" s="80"/>
      <c r="AE442" s="80"/>
      <c r="AF442" s="80"/>
      <c r="AG442" s="80"/>
      <c r="AH442" s="80"/>
      <c r="AI442" s="80"/>
    </row>
    <row r="443" spans="1:35" x14ac:dyDescent="0.2">
      <c r="A443" s="2"/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2"/>
      <c r="M443" s="2"/>
      <c r="N443" s="2"/>
      <c r="O443" s="2"/>
      <c r="P443" s="2"/>
      <c r="Q443" s="2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0"/>
      <c r="AD443" s="80"/>
      <c r="AE443" s="80"/>
      <c r="AF443" s="80"/>
      <c r="AG443" s="80"/>
      <c r="AH443" s="80"/>
      <c r="AI443" s="80"/>
    </row>
    <row r="444" spans="1:35" x14ac:dyDescent="0.2">
      <c r="A444" s="2"/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2"/>
      <c r="M444" s="2"/>
      <c r="N444" s="2"/>
      <c r="O444" s="2"/>
      <c r="P444" s="2"/>
      <c r="Q444" s="2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0"/>
      <c r="AD444" s="80"/>
      <c r="AE444" s="80"/>
      <c r="AF444" s="80"/>
      <c r="AG444" s="80"/>
      <c r="AH444" s="80"/>
      <c r="AI444" s="80"/>
    </row>
    <row r="445" spans="1:35" x14ac:dyDescent="0.2">
      <c r="A445" s="2"/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2"/>
      <c r="M445" s="2"/>
      <c r="N445" s="2"/>
      <c r="O445" s="2"/>
      <c r="P445" s="2"/>
      <c r="Q445" s="2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0"/>
      <c r="AD445" s="80"/>
      <c r="AE445" s="80"/>
      <c r="AF445" s="80"/>
      <c r="AG445" s="80"/>
      <c r="AH445" s="80"/>
      <c r="AI445" s="80"/>
    </row>
    <row r="446" spans="1:35" x14ac:dyDescent="0.2">
      <c r="A446" s="2"/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2"/>
      <c r="M446" s="2"/>
      <c r="N446" s="2"/>
      <c r="O446" s="2"/>
      <c r="P446" s="2"/>
      <c r="Q446" s="2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0"/>
      <c r="AD446" s="80"/>
      <c r="AE446" s="80"/>
      <c r="AF446" s="80"/>
      <c r="AG446" s="80"/>
      <c r="AH446" s="80"/>
      <c r="AI446" s="80"/>
    </row>
    <row r="447" spans="1:35" x14ac:dyDescent="0.2">
      <c r="A447" s="2"/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2"/>
      <c r="M447" s="2"/>
      <c r="N447" s="2"/>
      <c r="O447" s="2"/>
      <c r="P447" s="2"/>
      <c r="Q447" s="2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0"/>
      <c r="AD447" s="80"/>
      <c r="AE447" s="80"/>
      <c r="AF447" s="80"/>
      <c r="AG447" s="80"/>
      <c r="AH447" s="80"/>
      <c r="AI447" s="80"/>
    </row>
    <row r="448" spans="1:35" x14ac:dyDescent="0.2">
      <c r="A448" s="2"/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2"/>
      <c r="M448" s="2"/>
      <c r="N448" s="2"/>
      <c r="O448" s="2"/>
      <c r="P448" s="2"/>
      <c r="Q448" s="2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0"/>
      <c r="AD448" s="80"/>
      <c r="AE448" s="80"/>
      <c r="AF448" s="80"/>
      <c r="AG448" s="80"/>
      <c r="AH448" s="80"/>
      <c r="AI448" s="80"/>
    </row>
    <row r="449" spans="1:35" x14ac:dyDescent="0.2">
      <c r="A449" s="2"/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2"/>
      <c r="M449" s="2"/>
      <c r="N449" s="2"/>
      <c r="O449" s="2"/>
      <c r="P449" s="2"/>
      <c r="Q449" s="2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0"/>
      <c r="AD449" s="80"/>
      <c r="AE449" s="80"/>
      <c r="AF449" s="80"/>
      <c r="AG449" s="80"/>
      <c r="AH449" s="80"/>
      <c r="AI449" s="80"/>
    </row>
    <row r="450" spans="1:35" x14ac:dyDescent="0.2">
      <c r="A450" s="2"/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2"/>
      <c r="M450" s="2"/>
      <c r="N450" s="2"/>
      <c r="O450" s="2"/>
      <c r="P450" s="2"/>
      <c r="Q450" s="2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0"/>
      <c r="AD450" s="80"/>
      <c r="AE450" s="80"/>
      <c r="AF450" s="80"/>
      <c r="AG450" s="80"/>
      <c r="AH450" s="80"/>
      <c r="AI450" s="80"/>
    </row>
    <row r="451" spans="1:35" x14ac:dyDescent="0.2">
      <c r="A451" s="2"/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2"/>
      <c r="M451" s="2"/>
      <c r="N451" s="2"/>
      <c r="O451" s="2"/>
      <c r="P451" s="2"/>
      <c r="Q451" s="2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0"/>
      <c r="AD451" s="80"/>
      <c r="AE451" s="80"/>
      <c r="AF451" s="80"/>
      <c r="AG451" s="80"/>
      <c r="AH451" s="80"/>
      <c r="AI451" s="80"/>
    </row>
    <row r="452" spans="1:35" x14ac:dyDescent="0.2">
      <c r="A452" s="2"/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2"/>
      <c r="M452" s="2"/>
      <c r="N452" s="2"/>
      <c r="O452" s="2"/>
      <c r="P452" s="2"/>
      <c r="Q452" s="2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0"/>
      <c r="AD452" s="80"/>
      <c r="AE452" s="80"/>
      <c r="AF452" s="80"/>
      <c r="AG452" s="80"/>
      <c r="AH452" s="80"/>
      <c r="AI452" s="80"/>
    </row>
    <row r="453" spans="1:35" x14ac:dyDescent="0.2">
      <c r="A453" s="2"/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2"/>
      <c r="M453" s="2"/>
      <c r="N453" s="2"/>
      <c r="O453" s="2"/>
      <c r="P453" s="2"/>
      <c r="Q453" s="2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0"/>
      <c r="AD453" s="80"/>
      <c r="AE453" s="80"/>
      <c r="AF453" s="80"/>
      <c r="AG453" s="80"/>
      <c r="AH453" s="80"/>
      <c r="AI453" s="80"/>
    </row>
    <row r="454" spans="1:35" x14ac:dyDescent="0.2">
      <c r="A454" s="2"/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2"/>
      <c r="M454" s="2"/>
      <c r="N454" s="2"/>
      <c r="O454" s="2"/>
      <c r="P454" s="2"/>
      <c r="Q454" s="2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0"/>
      <c r="AD454" s="80"/>
      <c r="AE454" s="80"/>
      <c r="AF454" s="80"/>
      <c r="AG454" s="80"/>
      <c r="AH454" s="80"/>
      <c r="AI454" s="80"/>
    </row>
    <row r="455" spans="1:35" x14ac:dyDescent="0.2">
      <c r="A455" s="2"/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2"/>
      <c r="M455" s="2"/>
      <c r="N455" s="2"/>
      <c r="O455" s="2"/>
      <c r="P455" s="2"/>
      <c r="Q455" s="2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0"/>
      <c r="AD455" s="80"/>
      <c r="AE455" s="80"/>
      <c r="AF455" s="80"/>
      <c r="AG455" s="80"/>
      <c r="AH455" s="80"/>
      <c r="AI455" s="80"/>
    </row>
    <row r="456" spans="1:35" x14ac:dyDescent="0.2">
      <c r="A456" s="2"/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2"/>
      <c r="M456" s="2"/>
      <c r="N456" s="2"/>
      <c r="O456" s="2"/>
      <c r="P456" s="2"/>
      <c r="Q456" s="2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0"/>
      <c r="AD456" s="80"/>
      <c r="AE456" s="80"/>
      <c r="AF456" s="80"/>
      <c r="AG456" s="80"/>
      <c r="AH456" s="80"/>
      <c r="AI456" s="80"/>
    </row>
    <row r="457" spans="1:35" x14ac:dyDescent="0.2">
      <c r="A457" s="2"/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2"/>
      <c r="M457" s="2"/>
      <c r="N457" s="2"/>
      <c r="O457" s="2"/>
      <c r="P457" s="2"/>
      <c r="Q457" s="2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0"/>
      <c r="AD457" s="80"/>
      <c r="AE457" s="80"/>
      <c r="AF457" s="80"/>
      <c r="AG457" s="80"/>
      <c r="AH457" s="80"/>
      <c r="AI457" s="80"/>
    </row>
    <row r="458" spans="1:35" x14ac:dyDescent="0.2">
      <c r="A458" s="2"/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2"/>
      <c r="M458" s="2"/>
      <c r="N458" s="2"/>
      <c r="O458" s="2"/>
      <c r="P458" s="2"/>
      <c r="Q458" s="2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0"/>
      <c r="AD458" s="80"/>
      <c r="AE458" s="80"/>
      <c r="AF458" s="80"/>
      <c r="AG458" s="80"/>
      <c r="AH458" s="80"/>
      <c r="AI458" s="80"/>
    </row>
    <row r="459" spans="1:35" x14ac:dyDescent="0.2">
      <c r="A459" s="2"/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2"/>
      <c r="M459" s="2"/>
      <c r="N459" s="2"/>
      <c r="O459" s="2"/>
      <c r="P459" s="2"/>
      <c r="Q459" s="2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0"/>
      <c r="AD459" s="80"/>
      <c r="AE459" s="80"/>
      <c r="AF459" s="80"/>
      <c r="AG459" s="80"/>
      <c r="AH459" s="80"/>
      <c r="AI459" s="80"/>
    </row>
    <row r="460" spans="1:35" x14ac:dyDescent="0.2">
      <c r="A460" s="2"/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2"/>
      <c r="M460" s="2"/>
      <c r="N460" s="2"/>
      <c r="O460" s="2"/>
      <c r="P460" s="2"/>
      <c r="Q460" s="2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0"/>
      <c r="AD460" s="80"/>
      <c r="AE460" s="80"/>
      <c r="AF460" s="80"/>
      <c r="AG460" s="80"/>
      <c r="AH460" s="80"/>
      <c r="AI460" s="80"/>
    </row>
    <row r="461" spans="1:35" x14ac:dyDescent="0.2">
      <c r="A461" s="2"/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2"/>
      <c r="M461" s="2"/>
      <c r="N461" s="2"/>
      <c r="O461" s="2"/>
      <c r="P461" s="2"/>
      <c r="Q461" s="2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0"/>
      <c r="AD461" s="80"/>
      <c r="AE461" s="80"/>
      <c r="AF461" s="80"/>
      <c r="AG461" s="80"/>
      <c r="AH461" s="80"/>
      <c r="AI461" s="80"/>
    </row>
    <row r="462" spans="1:35" x14ac:dyDescent="0.2">
      <c r="A462" s="2"/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2"/>
      <c r="M462" s="2"/>
      <c r="N462" s="2"/>
      <c r="O462" s="2"/>
      <c r="P462" s="2"/>
      <c r="Q462" s="2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0"/>
      <c r="AD462" s="80"/>
      <c r="AE462" s="80"/>
      <c r="AF462" s="80"/>
      <c r="AG462" s="80"/>
      <c r="AH462" s="80"/>
      <c r="AI462" s="80"/>
    </row>
    <row r="463" spans="1:35" x14ac:dyDescent="0.2">
      <c r="A463" s="2"/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2"/>
      <c r="M463" s="2"/>
      <c r="N463" s="2"/>
      <c r="O463" s="2"/>
      <c r="P463" s="2"/>
      <c r="Q463" s="2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0"/>
      <c r="AD463" s="80"/>
      <c r="AE463" s="80"/>
      <c r="AF463" s="80"/>
      <c r="AG463" s="80"/>
      <c r="AH463" s="80"/>
      <c r="AI463" s="80"/>
    </row>
    <row r="464" spans="1:35" x14ac:dyDescent="0.2">
      <c r="A464" s="2"/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2"/>
      <c r="M464" s="2"/>
      <c r="N464" s="2"/>
      <c r="O464" s="2"/>
      <c r="P464" s="2"/>
      <c r="Q464" s="2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0"/>
      <c r="AD464" s="80"/>
      <c r="AE464" s="80"/>
      <c r="AF464" s="80"/>
      <c r="AG464" s="80"/>
      <c r="AH464" s="80"/>
      <c r="AI464" s="80"/>
    </row>
    <row r="465" spans="1:35" x14ac:dyDescent="0.2">
      <c r="A465" s="2"/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2"/>
      <c r="M465" s="2"/>
      <c r="N465" s="2"/>
      <c r="O465" s="2"/>
      <c r="P465" s="2"/>
      <c r="Q465" s="2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0"/>
      <c r="AD465" s="80"/>
      <c r="AE465" s="80"/>
      <c r="AF465" s="80"/>
      <c r="AG465" s="80"/>
      <c r="AH465" s="80"/>
      <c r="AI465" s="80"/>
    </row>
    <row r="466" spans="1:35" x14ac:dyDescent="0.2">
      <c r="A466" s="2"/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2"/>
      <c r="M466" s="2"/>
      <c r="N466" s="2"/>
      <c r="O466" s="2"/>
      <c r="P466" s="2"/>
      <c r="Q466" s="2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0"/>
      <c r="AD466" s="80"/>
      <c r="AE466" s="80"/>
      <c r="AF466" s="80"/>
      <c r="AG466" s="80"/>
      <c r="AH466" s="80"/>
      <c r="AI466" s="80"/>
    </row>
    <row r="467" spans="1:35" x14ac:dyDescent="0.2">
      <c r="A467" s="2"/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2"/>
      <c r="M467" s="2"/>
      <c r="N467" s="2"/>
      <c r="O467" s="2"/>
      <c r="P467" s="2"/>
      <c r="Q467" s="2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0"/>
      <c r="AD467" s="80"/>
      <c r="AE467" s="80"/>
      <c r="AF467" s="80"/>
      <c r="AG467" s="80"/>
      <c r="AH467" s="80"/>
      <c r="AI467" s="80"/>
    </row>
    <row r="468" spans="1:35" x14ac:dyDescent="0.2">
      <c r="A468" s="2"/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2"/>
      <c r="M468" s="2"/>
      <c r="N468" s="2"/>
      <c r="O468" s="2"/>
      <c r="P468" s="2"/>
      <c r="Q468" s="2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0"/>
      <c r="AD468" s="80"/>
      <c r="AE468" s="80"/>
      <c r="AF468" s="80"/>
      <c r="AG468" s="80"/>
      <c r="AH468" s="80"/>
      <c r="AI468" s="80"/>
    </row>
    <row r="469" spans="1:35" x14ac:dyDescent="0.2">
      <c r="A469" s="2"/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2"/>
      <c r="M469" s="2"/>
      <c r="N469" s="2"/>
      <c r="O469" s="2"/>
      <c r="P469" s="2"/>
      <c r="Q469" s="2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0"/>
      <c r="AD469" s="80"/>
      <c r="AE469" s="80"/>
      <c r="AF469" s="80"/>
      <c r="AG469" s="80"/>
      <c r="AH469" s="80"/>
      <c r="AI469" s="80"/>
    </row>
    <row r="470" spans="1:35" x14ac:dyDescent="0.2">
      <c r="A470" s="2"/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2"/>
      <c r="M470" s="2"/>
      <c r="N470" s="2"/>
      <c r="O470" s="2"/>
      <c r="P470" s="2"/>
      <c r="Q470" s="2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0"/>
      <c r="AD470" s="80"/>
      <c r="AE470" s="80"/>
      <c r="AF470" s="80"/>
      <c r="AG470" s="80"/>
      <c r="AH470" s="80"/>
      <c r="AI470" s="80"/>
    </row>
    <row r="471" spans="1:35" x14ac:dyDescent="0.2">
      <c r="A471" s="2"/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2"/>
      <c r="M471" s="2"/>
      <c r="N471" s="2"/>
      <c r="O471" s="2"/>
      <c r="P471" s="2"/>
      <c r="Q471" s="2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0"/>
      <c r="AD471" s="80"/>
      <c r="AE471" s="80"/>
      <c r="AF471" s="80"/>
      <c r="AG471" s="80"/>
      <c r="AH471" s="80"/>
      <c r="AI471" s="80"/>
    </row>
    <row r="472" spans="1:35" x14ac:dyDescent="0.2">
      <c r="A472" s="2"/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2"/>
      <c r="M472" s="2"/>
      <c r="N472" s="2"/>
      <c r="O472" s="2"/>
      <c r="P472" s="2"/>
      <c r="Q472" s="2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0"/>
      <c r="AD472" s="80"/>
      <c r="AE472" s="80"/>
      <c r="AF472" s="80"/>
      <c r="AG472" s="80"/>
      <c r="AH472" s="80"/>
      <c r="AI472" s="80"/>
    </row>
    <row r="473" spans="1:35" x14ac:dyDescent="0.2">
      <c r="A473" s="2"/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2"/>
      <c r="M473" s="2"/>
      <c r="N473" s="2"/>
      <c r="O473" s="2"/>
      <c r="P473" s="2"/>
      <c r="Q473" s="2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0"/>
      <c r="AD473" s="80"/>
      <c r="AE473" s="80"/>
      <c r="AF473" s="80"/>
      <c r="AG473" s="80"/>
      <c r="AH473" s="80"/>
      <c r="AI473" s="80"/>
    </row>
    <row r="474" spans="1:35" x14ac:dyDescent="0.2">
      <c r="A474" s="2"/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2"/>
      <c r="M474" s="2"/>
      <c r="N474" s="2"/>
      <c r="O474" s="2"/>
      <c r="P474" s="2"/>
      <c r="Q474" s="2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0"/>
      <c r="AD474" s="80"/>
      <c r="AE474" s="80"/>
      <c r="AF474" s="80"/>
      <c r="AG474" s="80"/>
      <c r="AH474" s="80"/>
      <c r="AI474" s="80"/>
    </row>
    <row r="475" spans="1:35" x14ac:dyDescent="0.2">
      <c r="A475" s="2"/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2"/>
      <c r="M475" s="2"/>
      <c r="N475" s="2"/>
      <c r="O475" s="2"/>
      <c r="P475" s="2"/>
      <c r="Q475" s="2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0"/>
      <c r="AD475" s="80"/>
      <c r="AE475" s="80"/>
      <c r="AF475" s="80"/>
      <c r="AG475" s="80"/>
      <c r="AH475" s="80"/>
      <c r="AI475" s="80"/>
    </row>
    <row r="476" spans="1:35" x14ac:dyDescent="0.2">
      <c r="A476" s="2"/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2"/>
      <c r="M476" s="2"/>
      <c r="N476" s="2"/>
      <c r="O476" s="2"/>
      <c r="P476" s="2"/>
      <c r="Q476" s="2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0"/>
      <c r="AD476" s="80"/>
      <c r="AE476" s="80"/>
      <c r="AF476" s="80"/>
      <c r="AG476" s="80"/>
      <c r="AH476" s="80"/>
      <c r="AI476" s="80"/>
    </row>
    <row r="477" spans="1:35" x14ac:dyDescent="0.2">
      <c r="A477" s="2"/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2"/>
      <c r="M477" s="2"/>
      <c r="N477" s="2"/>
      <c r="O477" s="2"/>
      <c r="P477" s="2"/>
      <c r="Q477" s="2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0"/>
      <c r="AD477" s="80"/>
      <c r="AE477" s="80"/>
      <c r="AF477" s="80"/>
      <c r="AG477" s="80"/>
      <c r="AH477" s="80"/>
      <c r="AI477" s="80"/>
    </row>
    <row r="478" spans="1:35" x14ac:dyDescent="0.2">
      <c r="A478" s="2"/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2"/>
      <c r="M478" s="2"/>
      <c r="N478" s="2"/>
      <c r="O478" s="2"/>
      <c r="P478" s="2"/>
      <c r="Q478" s="2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0"/>
      <c r="AD478" s="80"/>
      <c r="AE478" s="80"/>
      <c r="AF478" s="80"/>
      <c r="AG478" s="80"/>
      <c r="AH478" s="80"/>
      <c r="AI478" s="80"/>
    </row>
    <row r="479" spans="1:35" x14ac:dyDescent="0.2">
      <c r="A479" s="2"/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2"/>
      <c r="M479" s="2"/>
      <c r="N479" s="2"/>
      <c r="O479" s="2"/>
      <c r="P479" s="2"/>
      <c r="Q479" s="2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0"/>
      <c r="AD479" s="80"/>
      <c r="AE479" s="80"/>
      <c r="AF479" s="80"/>
      <c r="AG479" s="80"/>
      <c r="AH479" s="80"/>
      <c r="AI479" s="80"/>
    </row>
    <row r="480" spans="1:35" x14ac:dyDescent="0.2">
      <c r="A480" s="2"/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2"/>
      <c r="M480" s="2"/>
      <c r="N480" s="2"/>
      <c r="O480" s="2"/>
      <c r="P480" s="2"/>
      <c r="Q480" s="2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0"/>
      <c r="AD480" s="80"/>
      <c r="AE480" s="80"/>
      <c r="AF480" s="80"/>
      <c r="AG480" s="80"/>
      <c r="AH480" s="80"/>
      <c r="AI480" s="80"/>
    </row>
    <row r="481" spans="1:35" x14ac:dyDescent="0.2">
      <c r="A481" s="2"/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2"/>
      <c r="M481" s="2"/>
      <c r="N481" s="2"/>
      <c r="O481" s="2"/>
      <c r="P481" s="2"/>
      <c r="Q481" s="2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0"/>
      <c r="AD481" s="80"/>
      <c r="AE481" s="80"/>
      <c r="AF481" s="80"/>
      <c r="AG481" s="80"/>
      <c r="AH481" s="80"/>
      <c r="AI481" s="80"/>
    </row>
    <row r="482" spans="1:35" x14ac:dyDescent="0.2">
      <c r="A482" s="2"/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2"/>
      <c r="M482" s="2"/>
      <c r="N482" s="2"/>
      <c r="O482" s="2"/>
      <c r="P482" s="2"/>
      <c r="Q482" s="2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0"/>
      <c r="AD482" s="80"/>
      <c r="AE482" s="80"/>
      <c r="AF482" s="80"/>
      <c r="AG482" s="80"/>
      <c r="AH482" s="80"/>
      <c r="AI482" s="80"/>
    </row>
    <row r="483" spans="1:35" x14ac:dyDescent="0.2">
      <c r="A483" s="2"/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2"/>
      <c r="M483" s="2"/>
      <c r="N483" s="2"/>
      <c r="O483" s="2"/>
      <c r="P483" s="2"/>
      <c r="Q483" s="2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E483" s="80"/>
      <c r="AF483" s="80"/>
      <c r="AG483" s="80"/>
      <c r="AH483" s="80"/>
      <c r="AI483" s="80"/>
    </row>
    <row r="484" spans="1:35" x14ac:dyDescent="0.2">
      <c r="A484" s="2"/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2"/>
      <c r="M484" s="2"/>
      <c r="N484" s="2"/>
      <c r="O484" s="2"/>
      <c r="P484" s="2"/>
      <c r="Q484" s="2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0"/>
      <c r="AD484" s="80"/>
      <c r="AE484" s="80"/>
      <c r="AF484" s="80"/>
      <c r="AG484" s="80"/>
      <c r="AH484" s="80"/>
      <c r="AI484" s="80"/>
    </row>
    <row r="485" spans="1:35" x14ac:dyDescent="0.2">
      <c r="A485" s="2"/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2"/>
      <c r="M485" s="2"/>
      <c r="N485" s="2"/>
      <c r="O485" s="2"/>
      <c r="P485" s="2"/>
      <c r="Q485" s="2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  <c r="AD485" s="80"/>
      <c r="AE485" s="80"/>
      <c r="AF485" s="80"/>
      <c r="AG485" s="80"/>
      <c r="AH485" s="80"/>
      <c r="AI485" s="80"/>
    </row>
    <row r="486" spans="1:35" x14ac:dyDescent="0.2">
      <c r="A486" s="2"/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2"/>
      <c r="M486" s="2"/>
      <c r="N486" s="2"/>
      <c r="O486" s="2"/>
      <c r="P486" s="2"/>
      <c r="Q486" s="2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0"/>
      <c r="AD486" s="80"/>
      <c r="AE486" s="80"/>
      <c r="AF486" s="80"/>
      <c r="AG486" s="80"/>
      <c r="AH486" s="80"/>
      <c r="AI486" s="80"/>
    </row>
    <row r="487" spans="1:35" x14ac:dyDescent="0.2">
      <c r="A487" s="2"/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2"/>
      <c r="M487" s="2"/>
      <c r="N487" s="2"/>
      <c r="O487" s="2"/>
      <c r="P487" s="2"/>
      <c r="Q487" s="2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0"/>
      <c r="AD487" s="80"/>
      <c r="AE487" s="80"/>
      <c r="AF487" s="80"/>
      <c r="AG487" s="80"/>
      <c r="AH487" s="80"/>
      <c r="AI487" s="80"/>
    </row>
    <row r="488" spans="1:35" x14ac:dyDescent="0.2">
      <c r="A488" s="2"/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2"/>
      <c r="M488" s="2"/>
      <c r="N488" s="2"/>
      <c r="O488" s="2"/>
      <c r="P488" s="2"/>
      <c r="Q488" s="2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0"/>
      <c r="AD488" s="80"/>
      <c r="AE488" s="80"/>
      <c r="AF488" s="80"/>
      <c r="AG488" s="80"/>
      <c r="AH488" s="80"/>
      <c r="AI488" s="80"/>
    </row>
    <row r="489" spans="1:35" x14ac:dyDescent="0.2">
      <c r="A489" s="2"/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2"/>
      <c r="M489" s="2"/>
      <c r="N489" s="2"/>
      <c r="O489" s="2"/>
      <c r="P489" s="2"/>
      <c r="Q489" s="2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0"/>
      <c r="AD489" s="80"/>
      <c r="AE489" s="80"/>
      <c r="AF489" s="80"/>
      <c r="AG489" s="80"/>
      <c r="AH489" s="80"/>
      <c r="AI489" s="80"/>
    </row>
    <row r="490" spans="1:35" x14ac:dyDescent="0.2">
      <c r="A490" s="2"/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2"/>
      <c r="M490" s="2"/>
      <c r="N490" s="2"/>
      <c r="O490" s="2"/>
      <c r="P490" s="2"/>
      <c r="Q490" s="2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0"/>
      <c r="AD490" s="80"/>
      <c r="AE490" s="80"/>
      <c r="AF490" s="80"/>
      <c r="AG490" s="80"/>
      <c r="AH490" s="80"/>
      <c r="AI490" s="80"/>
    </row>
    <row r="491" spans="1:35" x14ac:dyDescent="0.2">
      <c r="A491" s="2"/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2"/>
      <c r="M491" s="2"/>
      <c r="N491" s="2"/>
      <c r="O491" s="2"/>
      <c r="P491" s="2"/>
      <c r="Q491" s="2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0"/>
      <c r="AD491" s="80"/>
      <c r="AE491" s="80"/>
      <c r="AF491" s="80"/>
      <c r="AG491" s="80"/>
      <c r="AH491" s="80"/>
      <c r="AI491" s="80"/>
    </row>
    <row r="492" spans="1:35" x14ac:dyDescent="0.2">
      <c r="A492" s="2"/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2"/>
      <c r="M492" s="2"/>
      <c r="N492" s="2"/>
      <c r="O492" s="2"/>
      <c r="P492" s="2"/>
      <c r="Q492" s="2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0"/>
      <c r="AD492" s="80"/>
      <c r="AE492" s="80"/>
      <c r="AF492" s="80"/>
      <c r="AG492" s="80"/>
      <c r="AH492" s="80"/>
      <c r="AI492" s="80"/>
    </row>
    <row r="493" spans="1:35" x14ac:dyDescent="0.2">
      <c r="A493" s="2"/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2"/>
      <c r="M493" s="2"/>
      <c r="N493" s="2"/>
      <c r="O493" s="2"/>
      <c r="P493" s="2"/>
      <c r="Q493" s="2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0"/>
      <c r="AD493" s="80"/>
      <c r="AE493" s="80"/>
      <c r="AF493" s="80"/>
      <c r="AG493" s="80"/>
      <c r="AH493" s="80"/>
      <c r="AI493" s="80"/>
    </row>
    <row r="494" spans="1:35" x14ac:dyDescent="0.2">
      <c r="A494" s="2"/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2"/>
      <c r="M494" s="2"/>
      <c r="N494" s="2"/>
      <c r="O494" s="2"/>
      <c r="P494" s="2"/>
      <c r="Q494" s="2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0"/>
      <c r="AD494" s="80"/>
      <c r="AE494" s="80"/>
      <c r="AF494" s="80"/>
      <c r="AG494" s="80"/>
      <c r="AH494" s="80"/>
      <c r="AI494" s="80"/>
    </row>
    <row r="495" spans="1:35" x14ac:dyDescent="0.2">
      <c r="A495" s="2"/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2"/>
      <c r="M495" s="2"/>
      <c r="N495" s="2"/>
      <c r="O495" s="2"/>
      <c r="P495" s="2"/>
      <c r="Q495" s="2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0"/>
      <c r="AD495" s="80"/>
      <c r="AE495" s="80"/>
      <c r="AF495" s="80"/>
      <c r="AG495" s="80"/>
      <c r="AH495" s="80"/>
      <c r="AI495" s="80"/>
    </row>
    <row r="496" spans="1:35" x14ac:dyDescent="0.2">
      <c r="A496" s="2"/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2"/>
      <c r="M496" s="2"/>
      <c r="N496" s="2"/>
      <c r="O496" s="2"/>
      <c r="P496" s="2"/>
      <c r="Q496" s="2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0"/>
      <c r="AD496" s="80"/>
      <c r="AE496" s="80"/>
      <c r="AF496" s="80"/>
      <c r="AG496" s="80"/>
      <c r="AH496" s="80"/>
      <c r="AI496" s="80"/>
    </row>
    <row r="497" spans="1:35" x14ac:dyDescent="0.2">
      <c r="A497" s="2"/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2"/>
      <c r="M497" s="2"/>
      <c r="N497" s="2"/>
      <c r="O497" s="2"/>
      <c r="P497" s="2"/>
      <c r="Q497" s="2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0"/>
      <c r="AD497" s="80"/>
      <c r="AE497" s="80"/>
      <c r="AF497" s="80"/>
      <c r="AG497" s="80"/>
      <c r="AH497" s="80"/>
      <c r="AI497" s="80"/>
    </row>
    <row r="498" spans="1:35" x14ac:dyDescent="0.2">
      <c r="A498" s="2"/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2"/>
      <c r="M498" s="2"/>
      <c r="N498" s="2"/>
      <c r="O498" s="2"/>
      <c r="P498" s="2"/>
      <c r="Q498" s="2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0"/>
      <c r="AD498" s="80"/>
      <c r="AE498" s="80"/>
      <c r="AF498" s="80"/>
      <c r="AG498" s="80"/>
      <c r="AH498" s="80"/>
      <c r="AI498" s="80"/>
    </row>
    <row r="499" spans="1:35" x14ac:dyDescent="0.2">
      <c r="A499" s="2"/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2"/>
      <c r="M499" s="2"/>
      <c r="N499" s="2"/>
      <c r="O499" s="2"/>
      <c r="P499" s="2"/>
      <c r="Q499" s="2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0"/>
      <c r="AD499" s="80"/>
      <c r="AE499" s="80"/>
      <c r="AF499" s="80"/>
      <c r="AG499" s="80"/>
      <c r="AH499" s="80"/>
      <c r="AI499" s="80"/>
    </row>
    <row r="500" spans="1:35" x14ac:dyDescent="0.2">
      <c r="A500" s="2"/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2"/>
      <c r="M500" s="2"/>
      <c r="N500" s="2"/>
      <c r="O500" s="2"/>
      <c r="P500" s="2"/>
      <c r="Q500" s="2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0"/>
      <c r="AD500" s="80"/>
      <c r="AE500" s="80"/>
      <c r="AF500" s="80"/>
      <c r="AG500" s="80"/>
      <c r="AH500" s="80"/>
      <c r="AI500" s="80"/>
    </row>
    <row r="501" spans="1:35" x14ac:dyDescent="0.2">
      <c r="A501" s="2"/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2"/>
      <c r="M501" s="2"/>
      <c r="N501" s="2"/>
      <c r="O501" s="2"/>
      <c r="P501" s="2"/>
      <c r="Q501" s="2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0"/>
      <c r="AD501" s="80"/>
      <c r="AE501" s="80"/>
      <c r="AF501" s="80"/>
      <c r="AG501" s="80"/>
      <c r="AH501" s="80"/>
      <c r="AI501" s="80"/>
    </row>
    <row r="502" spans="1:35" x14ac:dyDescent="0.2">
      <c r="A502" s="2"/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2"/>
      <c r="M502" s="2"/>
      <c r="N502" s="2"/>
      <c r="O502" s="2"/>
      <c r="P502" s="2"/>
      <c r="Q502" s="2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0"/>
      <c r="AD502" s="80"/>
      <c r="AE502" s="80"/>
      <c r="AF502" s="80"/>
      <c r="AG502" s="80"/>
      <c r="AH502" s="80"/>
      <c r="AI502" s="80"/>
    </row>
    <row r="503" spans="1:35" x14ac:dyDescent="0.2">
      <c r="A503" s="2"/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2"/>
      <c r="M503" s="2"/>
      <c r="N503" s="2"/>
      <c r="O503" s="2"/>
      <c r="P503" s="2"/>
      <c r="Q503" s="2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0"/>
      <c r="AD503" s="80"/>
      <c r="AE503" s="80"/>
      <c r="AF503" s="80"/>
      <c r="AG503" s="80"/>
      <c r="AH503" s="80"/>
      <c r="AI503" s="80"/>
    </row>
    <row r="504" spans="1:35" x14ac:dyDescent="0.2">
      <c r="A504" s="2"/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2"/>
      <c r="M504" s="2"/>
      <c r="N504" s="2"/>
      <c r="O504" s="2"/>
      <c r="P504" s="2"/>
      <c r="Q504" s="2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0"/>
      <c r="AD504" s="80"/>
      <c r="AE504" s="80"/>
      <c r="AF504" s="80"/>
      <c r="AG504" s="80"/>
      <c r="AH504" s="80"/>
      <c r="AI504" s="80"/>
    </row>
    <row r="505" spans="1:35" x14ac:dyDescent="0.2">
      <c r="A505" s="2"/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2"/>
      <c r="M505" s="2"/>
      <c r="N505" s="2"/>
      <c r="O505" s="2"/>
      <c r="P505" s="2"/>
      <c r="Q505" s="2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0"/>
      <c r="AD505" s="80"/>
      <c r="AE505" s="80"/>
      <c r="AF505" s="80"/>
      <c r="AG505" s="80"/>
      <c r="AH505" s="80"/>
      <c r="AI505" s="80"/>
    </row>
    <row r="506" spans="1:35" x14ac:dyDescent="0.2">
      <c r="A506" s="2"/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2"/>
      <c r="M506" s="2"/>
      <c r="N506" s="2"/>
      <c r="O506" s="2"/>
      <c r="P506" s="2"/>
      <c r="Q506" s="2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0"/>
      <c r="AD506" s="80"/>
      <c r="AE506" s="80"/>
      <c r="AF506" s="80"/>
      <c r="AG506" s="80"/>
      <c r="AH506" s="80"/>
      <c r="AI506" s="80"/>
    </row>
    <row r="507" spans="1:35" x14ac:dyDescent="0.2">
      <c r="A507" s="2"/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2"/>
      <c r="M507" s="2"/>
      <c r="N507" s="2"/>
      <c r="O507" s="2"/>
      <c r="P507" s="2"/>
      <c r="Q507" s="2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0"/>
      <c r="AD507" s="80"/>
      <c r="AE507" s="80"/>
      <c r="AF507" s="80"/>
      <c r="AG507" s="80"/>
      <c r="AH507" s="80"/>
      <c r="AI507" s="80"/>
    </row>
    <row r="508" spans="1:35" x14ac:dyDescent="0.2">
      <c r="A508" s="2"/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2"/>
      <c r="M508" s="2"/>
      <c r="N508" s="2"/>
      <c r="O508" s="2"/>
      <c r="P508" s="2"/>
      <c r="Q508" s="2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0"/>
      <c r="AD508" s="80"/>
      <c r="AE508" s="80"/>
      <c r="AF508" s="80"/>
      <c r="AG508" s="80"/>
      <c r="AH508" s="80"/>
      <c r="AI508" s="80"/>
    </row>
    <row r="509" spans="1:35" x14ac:dyDescent="0.2">
      <c r="A509" s="2"/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2"/>
      <c r="M509" s="2"/>
      <c r="N509" s="2"/>
      <c r="O509" s="2"/>
      <c r="P509" s="2"/>
      <c r="Q509" s="2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0"/>
      <c r="AD509" s="80"/>
      <c r="AE509" s="80"/>
      <c r="AF509" s="80"/>
      <c r="AG509" s="80"/>
      <c r="AH509" s="80"/>
      <c r="AI509" s="80"/>
    </row>
    <row r="510" spans="1:35" x14ac:dyDescent="0.2">
      <c r="A510" s="2"/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2"/>
      <c r="M510" s="2"/>
      <c r="N510" s="2"/>
      <c r="O510" s="2"/>
      <c r="P510" s="2"/>
      <c r="Q510" s="2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0"/>
      <c r="AD510" s="80"/>
      <c r="AE510" s="80"/>
      <c r="AF510" s="80"/>
      <c r="AG510" s="80"/>
      <c r="AH510" s="80"/>
      <c r="AI510" s="80"/>
    </row>
    <row r="511" spans="1:35" x14ac:dyDescent="0.2">
      <c r="A511" s="2"/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2"/>
      <c r="M511" s="2"/>
      <c r="N511" s="2"/>
      <c r="O511" s="2"/>
      <c r="P511" s="2"/>
      <c r="Q511" s="2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0"/>
      <c r="AD511" s="80"/>
      <c r="AE511" s="80"/>
      <c r="AF511" s="80"/>
      <c r="AG511" s="80"/>
      <c r="AH511" s="80"/>
      <c r="AI511" s="80"/>
    </row>
    <row r="512" spans="1:35" x14ac:dyDescent="0.2">
      <c r="A512" s="2"/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2"/>
      <c r="M512" s="2"/>
      <c r="N512" s="2"/>
      <c r="O512" s="2"/>
      <c r="P512" s="2"/>
      <c r="Q512" s="2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0"/>
      <c r="AD512" s="80"/>
      <c r="AE512" s="80"/>
      <c r="AF512" s="80"/>
      <c r="AG512" s="80"/>
      <c r="AH512" s="80"/>
      <c r="AI512" s="80"/>
    </row>
    <row r="513" spans="1:35" x14ac:dyDescent="0.2">
      <c r="A513" s="2"/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2"/>
      <c r="M513" s="2"/>
      <c r="N513" s="2"/>
      <c r="O513" s="2"/>
      <c r="P513" s="2"/>
      <c r="Q513" s="2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0"/>
      <c r="AD513" s="80"/>
      <c r="AE513" s="80"/>
      <c r="AF513" s="80"/>
      <c r="AG513" s="80"/>
      <c r="AH513" s="80"/>
      <c r="AI513" s="80"/>
    </row>
    <row r="514" spans="1:35" x14ac:dyDescent="0.2">
      <c r="A514" s="2"/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2"/>
      <c r="M514" s="2"/>
      <c r="N514" s="2"/>
      <c r="O514" s="2"/>
      <c r="P514" s="2"/>
      <c r="Q514" s="2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0"/>
      <c r="AD514" s="80"/>
      <c r="AE514" s="80"/>
      <c r="AF514" s="80"/>
      <c r="AG514" s="80"/>
      <c r="AH514" s="80"/>
      <c r="AI514" s="80"/>
    </row>
    <row r="515" spans="1:35" x14ac:dyDescent="0.2">
      <c r="A515" s="2"/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2"/>
      <c r="M515" s="2"/>
      <c r="N515" s="2"/>
      <c r="O515" s="2"/>
      <c r="P515" s="2"/>
      <c r="Q515" s="2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0"/>
      <c r="AD515" s="80"/>
      <c r="AE515" s="80"/>
      <c r="AF515" s="80"/>
      <c r="AG515" s="80"/>
      <c r="AH515" s="80"/>
      <c r="AI515" s="80"/>
    </row>
    <row r="516" spans="1:35" x14ac:dyDescent="0.2">
      <c r="A516" s="2"/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2"/>
      <c r="M516" s="2"/>
      <c r="N516" s="2"/>
      <c r="O516" s="2"/>
      <c r="P516" s="2"/>
      <c r="Q516" s="2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0"/>
      <c r="AD516" s="80"/>
      <c r="AE516" s="80"/>
      <c r="AF516" s="80"/>
      <c r="AG516" s="80"/>
      <c r="AH516" s="80"/>
      <c r="AI516" s="80"/>
    </row>
    <row r="517" spans="1:35" x14ac:dyDescent="0.2">
      <c r="A517" s="2"/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2"/>
      <c r="M517" s="2"/>
      <c r="N517" s="2"/>
      <c r="O517" s="2"/>
      <c r="P517" s="2"/>
      <c r="Q517" s="2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0"/>
      <c r="AD517" s="80"/>
      <c r="AE517" s="80"/>
      <c r="AF517" s="80"/>
      <c r="AG517" s="80"/>
      <c r="AH517" s="80"/>
      <c r="AI517" s="80"/>
    </row>
    <row r="518" spans="1:35" x14ac:dyDescent="0.2">
      <c r="A518" s="2"/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2"/>
      <c r="M518" s="2"/>
      <c r="N518" s="2"/>
      <c r="O518" s="2"/>
      <c r="P518" s="2"/>
      <c r="Q518" s="2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0"/>
      <c r="AD518" s="80"/>
      <c r="AE518" s="80"/>
      <c r="AF518" s="80"/>
      <c r="AG518" s="80"/>
      <c r="AH518" s="80"/>
      <c r="AI518" s="80"/>
    </row>
    <row r="519" spans="1:35" x14ac:dyDescent="0.2">
      <c r="A519" s="2"/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2"/>
      <c r="M519" s="2"/>
      <c r="N519" s="2"/>
      <c r="O519" s="2"/>
      <c r="P519" s="2"/>
      <c r="Q519" s="2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0"/>
      <c r="AD519" s="80"/>
      <c r="AE519" s="80"/>
      <c r="AF519" s="80"/>
      <c r="AG519" s="80"/>
      <c r="AH519" s="80"/>
      <c r="AI519" s="80"/>
    </row>
    <row r="520" spans="1:35" x14ac:dyDescent="0.2">
      <c r="A520" s="2"/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2"/>
      <c r="M520" s="2"/>
      <c r="N520" s="2"/>
      <c r="O520" s="2"/>
      <c r="P520" s="2"/>
      <c r="Q520" s="2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0"/>
      <c r="AD520" s="80"/>
      <c r="AE520" s="80"/>
      <c r="AF520" s="80"/>
      <c r="AG520" s="80"/>
      <c r="AH520" s="80"/>
      <c r="AI520" s="80"/>
    </row>
    <row r="521" spans="1:35" x14ac:dyDescent="0.2">
      <c r="A521" s="2"/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2"/>
      <c r="M521" s="2"/>
      <c r="N521" s="2"/>
      <c r="O521" s="2"/>
      <c r="P521" s="2"/>
      <c r="Q521" s="2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0"/>
      <c r="AD521" s="80"/>
      <c r="AE521" s="80"/>
      <c r="AF521" s="80"/>
      <c r="AG521" s="80"/>
      <c r="AH521" s="80"/>
      <c r="AI521" s="80"/>
    </row>
    <row r="522" spans="1:35" x14ac:dyDescent="0.2">
      <c r="A522" s="2"/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2"/>
      <c r="M522" s="2"/>
      <c r="N522" s="2"/>
      <c r="O522" s="2"/>
      <c r="P522" s="2"/>
      <c r="Q522" s="2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0"/>
      <c r="AD522" s="80"/>
      <c r="AE522" s="80"/>
      <c r="AF522" s="80"/>
      <c r="AG522" s="80"/>
      <c r="AH522" s="80"/>
      <c r="AI522" s="80"/>
    </row>
    <row r="523" spans="1:35" x14ac:dyDescent="0.2">
      <c r="A523" s="2"/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2"/>
      <c r="M523" s="2"/>
      <c r="N523" s="2"/>
      <c r="O523" s="2"/>
      <c r="P523" s="2"/>
      <c r="Q523" s="2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0"/>
      <c r="AD523" s="80"/>
      <c r="AE523" s="80"/>
      <c r="AF523" s="80"/>
      <c r="AG523" s="80"/>
      <c r="AH523" s="80"/>
      <c r="AI523" s="80"/>
    </row>
    <row r="524" spans="1:35" x14ac:dyDescent="0.2">
      <c r="A524" s="2"/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2"/>
      <c r="M524" s="2"/>
      <c r="N524" s="2"/>
      <c r="O524" s="2"/>
      <c r="P524" s="2"/>
      <c r="Q524" s="2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0"/>
      <c r="AD524" s="80"/>
      <c r="AE524" s="80"/>
      <c r="AF524" s="80"/>
      <c r="AG524" s="80"/>
      <c r="AH524" s="80"/>
      <c r="AI524" s="80"/>
    </row>
    <row r="525" spans="1:35" x14ac:dyDescent="0.2">
      <c r="A525" s="2"/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2"/>
      <c r="M525" s="2"/>
      <c r="N525" s="2"/>
      <c r="O525" s="2"/>
      <c r="P525" s="2"/>
      <c r="Q525" s="2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0"/>
      <c r="AD525" s="80"/>
      <c r="AE525" s="80"/>
      <c r="AF525" s="80"/>
      <c r="AG525" s="80"/>
      <c r="AH525" s="80"/>
      <c r="AI525" s="80"/>
    </row>
    <row r="526" spans="1:35" x14ac:dyDescent="0.2">
      <c r="A526" s="2"/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2"/>
      <c r="M526" s="2"/>
      <c r="N526" s="2"/>
      <c r="O526" s="2"/>
      <c r="P526" s="2"/>
      <c r="Q526" s="2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0"/>
      <c r="AD526" s="80"/>
      <c r="AE526" s="80"/>
      <c r="AF526" s="80"/>
      <c r="AG526" s="80"/>
      <c r="AH526" s="80"/>
      <c r="AI526" s="80"/>
    </row>
    <row r="527" spans="1:35" x14ac:dyDescent="0.2">
      <c r="A527" s="2"/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2"/>
      <c r="M527" s="2"/>
      <c r="N527" s="2"/>
      <c r="O527" s="2"/>
      <c r="P527" s="2"/>
      <c r="Q527" s="2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0"/>
      <c r="AD527" s="80"/>
      <c r="AE527" s="80"/>
      <c r="AF527" s="80"/>
      <c r="AG527" s="80"/>
      <c r="AH527" s="80"/>
      <c r="AI527" s="80"/>
    </row>
    <row r="528" spans="1:35" x14ac:dyDescent="0.2">
      <c r="A528" s="2"/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2"/>
      <c r="M528" s="2"/>
      <c r="N528" s="2"/>
      <c r="O528" s="2"/>
      <c r="P528" s="2"/>
      <c r="Q528" s="2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0"/>
      <c r="AD528" s="80"/>
      <c r="AE528" s="80"/>
      <c r="AF528" s="80"/>
      <c r="AG528" s="80"/>
      <c r="AH528" s="80"/>
      <c r="AI528" s="80"/>
    </row>
    <row r="529" spans="1:35" x14ac:dyDescent="0.2">
      <c r="A529" s="2"/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2"/>
      <c r="M529" s="2"/>
      <c r="N529" s="2"/>
      <c r="O529" s="2"/>
      <c r="P529" s="2"/>
      <c r="Q529" s="2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0"/>
      <c r="AD529" s="80"/>
      <c r="AE529" s="80"/>
      <c r="AF529" s="80"/>
      <c r="AG529" s="80"/>
      <c r="AH529" s="80"/>
      <c r="AI529" s="80"/>
    </row>
    <row r="530" spans="1:35" x14ac:dyDescent="0.2">
      <c r="A530" s="2"/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2"/>
      <c r="M530" s="2"/>
      <c r="N530" s="2"/>
      <c r="O530" s="2"/>
      <c r="P530" s="2"/>
      <c r="Q530" s="2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0"/>
      <c r="AD530" s="80"/>
      <c r="AE530" s="80"/>
      <c r="AF530" s="80"/>
      <c r="AG530" s="80"/>
      <c r="AH530" s="80"/>
      <c r="AI530" s="80"/>
    </row>
    <row r="531" spans="1:35" x14ac:dyDescent="0.2">
      <c r="A531" s="2"/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2"/>
      <c r="M531" s="2"/>
      <c r="N531" s="2"/>
      <c r="O531" s="2"/>
      <c r="P531" s="2"/>
      <c r="Q531" s="2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0"/>
      <c r="AD531" s="80"/>
      <c r="AE531" s="80"/>
      <c r="AF531" s="80"/>
      <c r="AG531" s="80"/>
      <c r="AH531" s="80"/>
      <c r="AI531" s="80"/>
    </row>
    <row r="532" spans="1:35" x14ac:dyDescent="0.2">
      <c r="A532" s="2"/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2"/>
      <c r="M532" s="2"/>
      <c r="N532" s="2"/>
      <c r="O532" s="2"/>
      <c r="P532" s="2"/>
      <c r="Q532" s="2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0"/>
      <c r="AD532" s="80"/>
      <c r="AE532" s="80"/>
      <c r="AF532" s="80"/>
      <c r="AG532" s="80"/>
      <c r="AH532" s="80"/>
      <c r="AI532" s="80"/>
    </row>
    <row r="533" spans="1:35" x14ac:dyDescent="0.2">
      <c r="A533" s="2"/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2"/>
      <c r="M533" s="2"/>
      <c r="N533" s="2"/>
      <c r="O533" s="2"/>
      <c r="P533" s="2"/>
      <c r="Q533" s="2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0"/>
      <c r="AD533" s="80"/>
      <c r="AE533" s="80"/>
      <c r="AF533" s="80"/>
      <c r="AG533" s="80"/>
      <c r="AH533" s="80"/>
      <c r="AI533" s="80"/>
    </row>
    <row r="534" spans="1:35" x14ac:dyDescent="0.2">
      <c r="A534" s="2"/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2"/>
      <c r="M534" s="2"/>
      <c r="N534" s="2"/>
      <c r="O534" s="2"/>
      <c r="P534" s="2"/>
      <c r="Q534" s="2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0"/>
      <c r="AD534" s="80"/>
      <c r="AE534" s="80"/>
      <c r="AF534" s="80"/>
      <c r="AG534" s="80"/>
      <c r="AH534" s="80"/>
      <c r="AI534" s="80"/>
    </row>
    <row r="535" spans="1:35" x14ac:dyDescent="0.2">
      <c r="A535" s="2"/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2"/>
      <c r="M535" s="2"/>
      <c r="N535" s="2"/>
      <c r="O535" s="2"/>
      <c r="P535" s="2"/>
      <c r="Q535" s="2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0"/>
      <c r="AD535" s="80"/>
      <c r="AE535" s="80"/>
      <c r="AF535" s="80"/>
      <c r="AG535" s="80"/>
      <c r="AH535" s="80"/>
      <c r="AI535" s="80"/>
    </row>
    <row r="536" spans="1:35" x14ac:dyDescent="0.2">
      <c r="A536" s="2"/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2"/>
      <c r="M536" s="2"/>
      <c r="N536" s="2"/>
      <c r="O536" s="2"/>
      <c r="P536" s="2"/>
      <c r="Q536" s="2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0"/>
      <c r="AD536" s="80"/>
      <c r="AE536" s="80"/>
      <c r="AF536" s="80"/>
      <c r="AG536" s="80"/>
      <c r="AH536" s="80"/>
      <c r="AI536" s="80"/>
    </row>
    <row r="537" spans="1:35" x14ac:dyDescent="0.2">
      <c r="A537" s="2"/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2"/>
      <c r="M537" s="2"/>
      <c r="N537" s="2"/>
      <c r="O537" s="2"/>
      <c r="P537" s="2"/>
      <c r="Q537" s="2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0"/>
      <c r="AD537" s="80"/>
      <c r="AE537" s="80"/>
      <c r="AF537" s="80"/>
      <c r="AG537" s="80"/>
      <c r="AH537" s="80"/>
      <c r="AI537" s="80"/>
    </row>
    <row r="538" spans="1:35" x14ac:dyDescent="0.2">
      <c r="A538" s="2"/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2"/>
      <c r="M538" s="2"/>
      <c r="N538" s="2"/>
      <c r="O538" s="2"/>
      <c r="P538" s="2"/>
      <c r="Q538" s="2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0"/>
      <c r="AD538" s="80"/>
      <c r="AE538" s="80"/>
      <c r="AF538" s="80"/>
      <c r="AG538" s="80"/>
      <c r="AH538" s="80"/>
      <c r="AI538" s="80"/>
    </row>
    <row r="539" spans="1:35" x14ac:dyDescent="0.2">
      <c r="A539" s="2"/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2"/>
      <c r="M539" s="2"/>
      <c r="N539" s="2"/>
      <c r="O539" s="2"/>
      <c r="P539" s="2"/>
      <c r="Q539" s="2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0"/>
      <c r="AD539" s="80"/>
      <c r="AE539" s="80"/>
      <c r="AF539" s="80"/>
      <c r="AG539" s="80"/>
      <c r="AH539" s="80"/>
      <c r="AI539" s="80"/>
    </row>
    <row r="540" spans="1:35" x14ac:dyDescent="0.2">
      <c r="A540" s="2"/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2"/>
      <c r="M540" s="2"/>
      <c r="N540" s="2"/>
      <c r="O540" s="2"/>
      <c r="P540" s="2"/>
      <c r="Q540" s="2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0"/>
      <c r="AD540" s="80"/>
      <c r="AE540" s="80"/>
      <c r="AF540" s="80"/>
      <c r="AG540" s="80"/>
      <c r="AH540" s="80"/>
      <c r="AI540" s="80"/>
    </row>
    <row r="541" spans="1:35" x14ac:dyDescent="0.2">
      <c r="A541" s="2"/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2"/>
      <c r="M541" s="2"/>
      <c r="N541" s="2"/>
      <c r="O541" s="2"/>
      <c r="P541" s="2"/>
      <c r="Q541" s="2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0"/>
      <c r="AD541" s="80"/>
      <c r="AE541" s="80"/>
      <c r="AF541" s="80"/>
      <c r="AG541" s="80"/>
      <c r="AH541" s="80"/>
      <c r="AI541" s="80"/>
    </row>
    <row r="542" spans="1:35" x14ac:dyDescent="0.2">
      <c r="A542" s="2"/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2"/>
      <c r="M542" s="2"/>
      <c r="N542" s="2"/>
      <c r="O542" s="2"/>
      <c r="P542" s="2"/>
      <c r="Q542" s="2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0"/>
      <c r="AD542" s="80"/>
      <c r="AE542" s="80"/>
      <c r="AF542" s="80"/>
      <c r="AG542" s="80"/>
      <c r="AH542" s="80"/>
      <c r="AI542" s="80"/>
    </row>
    <row r="543" spans="1:35" x14ac:dyDescent="0.2">
      <c r="A543" s="2"/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2"/>
      <c r="M543" s="2"/>
      <c r="N543" s="2"/>
      <c r="O543" s="2"/>
      <c r="P543" s="2"/>
      <c r="Q543" s="2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0"/>
      <c r="AD543" s="80"/>
      <c r="AE543" s="80"/>
      <c r="AF543" s="80"/>
      <c r="AG543" s="80"/>
      <c r="AH543" s="80"/>
      <c r="AI543" s="80"/>
    </row>
    <row r="544" spans="1:35" x14ac:dyDescent="0.2">
      <c r="A544" s="2"/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2"/>
      <c r="M544" s="2"/>
      <c r="N544" s="2"/>
      <c r="O544" s="2"/>
      <c r="P544" s="2"/>
      <c r="Q544" s="2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0"/>
      <c r="AD544" s="80"/>
      <c r="AE544" s="80"/>
      <c r="AF544" s="80"/>
      <c r="AG544" s="80"/>
      <c r="AH544" s="80"/>
      <c r="AI544" s="80"/>
    </row>
    <row r="545" spans="1:35" x14ac:dyDescent="0.2">
      <c r="A545" s="2"/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2"/>
      <c r="M545" s="2"/>
      <c r="N545" s="2"/>
      <c r="O545" s="2"/>
      <c r="P545" s="2"/>
      <c r="Q545" s="2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0"/>
      <c r="AD545" s="80"/>
      <c r="AE545" s="80"/>
      <c r="AF545" s="80"/>
      <c r="AG545" s="80"/>
      <c r="AH545" s="80"/>
      <c r="AI545" s="80"/>
    </row>
    <row r="546" spans="1:35" x14ac:dyDescent="0.2">
      <c r="A546" s="2"/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2"/>
      <c r="M546" s="2"/>
      <c r="N546" s="2"/>
      <c r="O546" s="2"/>
      <c r="P546" s="2"/>
      <c r="Q546" s="2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0"/>
      <c r="AD546" s="80"/>
      <c r="AE546" s="80"/>
      <c r="AF546" s="80"/>
      <c r="AG546" s="80"/>
      <c r="AH546" s="80"/>
      <c r="AI546" s="80"/>
    </row>
    <row r="547" spans="1:35" x14ac:dyDescent="0.2">
      <c r="A547" s="2"/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2"/>
      <c r="M547" s="2"/>
      <c r="N547" s="2"/>
      <c r="O547" s="2"/>
      <c r="P547" s="2"/>
      <c r="Q547" s="2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0"/>
      <c r="AD547" s="80"/>
      <c r="AE547" s="80"/>
      <c r="AF547" s="80"/>
      <c r="AG547" s="80"/>
      <c r="AH547" s="80"/>
      <c r="AI547" s="80"/>
    </row>
    <row r="548" spans="1:35" x14ac:dyDescent="0.2">
      <c r="A548" s="2"/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2"/>
      <c r="M548" s="2"/>
      <c r="N548" s="2"/>
      <c r="O548" s="2"/>
      <c r="P548" s="2"/>
      <c r="Q548" s="2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0"/>
      <c r="AD548" s="80"/>
      <c r="AE548" s="80"/>
      <c r="AF548" s="80"/>
      <c r="AG548" s="80"/>
      <c r="AH548" s="80"/>
      <c r="AI548" s="80"/>
    </row>
    <row r="549" spans="1:35" x14ac:dyDescent="0.2">
      <c r="A549" s="2"/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2"/>
      <c r="M549" s="2"/>
      <c r="N549" s="2"/>
      <c r="O549" s="2"/>
      <c r="P549" s="2"/>
      <c r="Q549" s="2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0"/>
      <c r="AD549" s="80"/>
      <c r="AE549" s="80"/>
      <c r="AF549" s="80"/>
      <c r="AG549" s="80"/>
      <c r="AH549" s="80"/>
      <c r="AI549" s="80"/>
    </row>
    <row r="550" spans="1:35" x14ac:dyDescent="0.2">
      <c r="A550" s="2"/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2"/>
      <c r="M550" s="2"/>
      <c r="N550" s="2"/>
      <c r="O550" s="2"/>
      <c r="P550" s="2"/>
      <c r="Q550" s="2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0"/>
      <c r="AD550" s="80"/>
      <c r="AE550" s="80"/>
      <c r="AF550" s="80"/>
      <c r="AG550" s="80"/>
      <c r="AH550" s="80"/>
      <c r="AI550" s="80"/>
    </row>
    <row r="551" spans="1:35" x14ac:dyDescent="0.2">
      <c r="A551" s="2"/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2"/>
      <c r="M551" s="2"/>
      <c r="N551" s="2"/>
      <c r="O551" s="2"/>
      <c r="P551" s="2"/>
      <c r="Q551" s="2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0"/>
      <c r="AD551" s="80"/>
      <c r="AE551" s="80"/>
      <c r="AF551" s="80"/>
      <c r="AG551" s="80"/>
      <c r="AH551" s="80"/>
      <c r="AI551" s="80"/>
    </row>
    <row r="552" spans="1:35" x14ac:dyDescent="0.2">
      <c r="A552" s="2"/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2"/>
      <c r="M552" s="2"/>
      <c r="N552" s="2"/>
      <c r="O552" s="2"/>
      <c r="P552" s="2"/>
      <c r="Q552" s="2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0"/>
      <c r="AD552" s="80"/>
      <c r="AE552" s="80"/>
      <c r="AF552" s="80"/>
      <c r="AG552" s="80"/>
      <c r="AH552" s="80"/>
      <c r="AI552" s="80"/>
    </row>
    <row r="553" spans="1:35" x14ac:dyDescent="0.2">
      <c r="A553" s="2"/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2"/>
      <c r="M553" s="2"/>
      <c r="N553" s="2"/>
      <c r="O553" s="2"/>
      <c r="P553" s="2"/>
      <c r="Q553" s="2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0"/>
      <c r="AD553" s="80"/>
      <c r="AE553" s="80"/>
      <c r="AF553" s="80"/>
      <c r="AG553" s="80"/>
      <c r="AH553" s="80"/>
      <c r="AI553" s="80"/>
    </row>
    <row r="554" spans="1:35" x14ac:dyDescent="0.2">
      <c r="A554" s="2"/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2"/>
      <c r="M554" s="2"/>
      <c r="N554" s="2"/>
      <c r="O554" s="2"/>
      <c r="P554" s="2"/>
      <c r="Q554" s="2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0"/>
      <c r="AD554" s="80"/>
      <c r="AE554" s="80"/>
      <c r="AF554" s="80"/>
      <c r="AG554" s="80"/>
      <c r="AH554" s="80"/>
      <c r="AI554" s="80"/>
    </row>
    <row r="555" spans="1:35" x14ac:dyDescent="0.2">
      <c r="A555" s="2"/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2"/>
      <c r="M555" s="2"/>
      <c r="N555" s="2"/>
      <c r="O555" s="2"/>
      <c r="P555" s="2"/>
      <c r="Q555" s="2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0"/>
      <c r="AD555" s="80"/>
      <c r="AE555" s="80"/>
      <c r="AF555" s="80"/>
      <c r="AG555" s="80"/>
      <c r="AH555" s="80"/>
      <c r="AI555" s="80"/>
    </row>
    <row r="556" spans="1:35" x14ac:dyDescent="0.2">
      <c r="A556" s="2"/>
      <c r="B556" s="80"/>
      <c r="C556" s="80"/>
      <c r="D556" s="80"/>
      <c r="E556" s="80"/>
      <c r="F556" s="80"/>
      <c r="G556" s="80"/>
      <c r="H556" s="80"/>
      <c r="I556" s="80"/>
      <c r="J556" s="80"/>
      <c r="K556" s="80"/>
      <c r="L556" s="2"/>
      <c r="M556" s="2"/>
      <c r="N556" s="2"/>
      <c r="O556" s="2"/>
      <c r="P556" s="2"/>
      <c r="Q556" s="2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0"/>
      <c r="AD556" s="80"/>
      <c r="AE556" s="80"/>
      <c r="AF556" s="80"/>
      <c r="AG556" s="80"/>
      <c r="AH556" s="80"/>
      <c r="AI556" s="80"/>
    </row>
    <row r="557" spans="1:35" x14ac:dyDescent="0.2">
      <c r="A557" s="2"/>
      <c r="B557" s="80"/>
      <c r="C557" s="80"/>
      <c r="D557" s="80"/>
      <c r="E557" s="80"/>
      <c r="F557" s="80"/>
      <c r="G557" s="80"/>
      <c r="H557" s="80"/>
      <c r="I557" s="80"/>
      <c r="J557" s="80"/>
      <c r="K557" s="80"/>
      <c r="L557" s="2"/>
      <c r="M557" s="2"/>
      <c r="N557" s="2"/>
      <c r="O557" s="2"/>
      <c r="P557" s="2"/>
      <c r="Q557" s="2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0"/>
      <c r="AD557" s="80"/>
      <c r="AE557" s="80"/>
      <c r="AF557" s="80"/>
      <c r="AG557" s="80"/>
      <c r="AH557" s="80"/>
      <c r="AI557" s="80"/>
    </row>
    <row r="558" spans="1:35" x14ac:dyDescent="0.2">
      <c r="A558" s="2"/>
      <c r="B558" s="80"/>
      <c r="C558" s="80"/>
      <c r="D558" s="80"/>
      <c r="E558" s="80"/>
      <c r="F558" s="80"/>
      <c r="G558" s="80"/>
      <c r="H558" s="80"/>
      <c r="I558" s="80"/>
      <c r="J558" s="80"/>
      <c r="K558" s="80"/>
      <c r="L558" s="2"/>
      <c r="M558" s="2"/>
      <c r="N558" s="2"/>
      <c r="O558" s="2"/>
      <c r="P558" s="2"/>
      <c r="Q558" s="2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0"/>
      <c r="AD558" s="80"/>
      <c r="AE558" s="80"/>
      <c r="AF558" s="80"/>
      <c r="AG558" s="80"/>
      <c r="AH558" s="80"/>
      <c r="AI558" s="80"/>
    </row>
    <row r="559" spans="1:35" x14ac:dyDescent="0.2">
      <c r="A559" s="2"/>
      <c r="B559" s="80"/>
      <c r="C559" s="80"/>
      <c r="D559" s="80"/>
      <c r="E559" s="80"/>
      <c r="F559" s="80"/>
      <c r="G559" s="80"/>
      <c r="H559" s="80"/>
      <c r="I559" s="80"/>
      <c r="J559" s="80"/>
      <c r="K559" s="80"/>
      <c r="L559" s="2"/>
      <c r="M559" s="2"/>
      <c r="N559" s="2"/>
      <c r="O559" s="2"/>
      <c r="P559" s="2"/>
      <c r="Q559" s="2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0"/>
      <c r="AD559" s="80"/>
      <c r="AE559" s="80"/>
      <c r="AF559" s="80"/>
      <c r="AG559" s="80"/>
      <c r="AH559" s="80"/>
      <c r="AI559" s="80"/>
    </row>
    <row r="560" spans="1:35" x14ac:dyDescent="0.2">
      <c r="A560" s="2"/>
      <c r="B560" s="80"/>
      <c r="C560" s="80"/>
      <c r="D560" s="80"/>
      <c r="E560" s="80"/>
      <c r="F560" s="80"/>
      <c r="G560" s="80"/>
      <c r="H560" s="80"/>
      <c r="I560" s="80"/>
      <c r="J560" s="80"/>
      <c r="K560" s="80"/>
      <c r="L560" s="2"/>
      <c r="M560" s="2"/>
      <c r="N560" s="2"/>
      <c r="O560" s="2"/>
      <c r="P560" s="2"/>
      <c r="Q560" s="2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0"/>
      <c r="AD560" s="80"/>
      <c r="AE560" s="80"/>
      <c r="AF560" s="80"/>
      <c r="AG560" s="80"/>
      <c r="AH560" s="80"/>
      <c r="AI560" s="80"/>
    </row>
    <row r="561" spans="1:35" x14ac:dyDescent="0.2">
      <c r="A561" s="2"/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2"/>
      <c r="M561" s="2"/>
      <c r="N561" s="2"/>
      <c r="O561" s="2"/>
      <c r="P561" s="2"/>
      <c r="Q561" s="2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0"/>
      <c r="AD561" s="80"/>
      <c r="AE561" s="80"/>
      <c r="AF561" s="80"/>
      <c r="AG561" s="80"/>
      <c r="AH561" s="80"/>
      <c r="AI561" s="80"/>
    </row>
    <row r="562" spans="1:35" x14ac:dyDescent="0.2">
      <c r="A562" s="2"/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2"/>
      <c r="M562" s="2"/>
      <c r="N562" s="2"/>
      <c r="O562" s="2"/>
      <c r="P562" s="2"/>
      <c r="Q562" s="2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0"/>
      <c r="AD562" s="80"/>
      <c r="AE562" s="80"/>
      <c r="AF562" s="80"/>
      <c r="AG562" s="80"/>
      <c r="AH562" s="80"/>
      <c r="AI562" s="80"/>
    </row>
    <row r="563" spans="1:35" x14ac:dyDescent="0.2">
      <c r="A563" s="2"/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2"/>
      <c r="M563" s="2"/>
      <c r="N563" s="2"/>
      <c r="O563" s="2"/>
      <c r="P563" s="2"/>
      <c r="Q563" s="2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0"/>
      <c r="AD563" s="80"/>
      <c r="AE563" s="80"/>
      <c r="AF563" s="80"/>
      <c r="AG563" s="80"/>
      <c r="AH563" s="80"/>
      <c r="AI563" s="80"/>
    </row>
    <row r="564" spans="1:35" x14ac:dyDescent="0.2">
      <c r="A564" s="2"/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2"/>
      <c r="M564" s="2"/>
      <c r="N564" s="2"/>
      <c r="O564" s="2"/>
      <c r="P564" s="2"/>
      <c r="Q564" s="2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0"/>
      <c r="AD564" s="80"/>
      <c r="AE564" s="80"/>
      <c r="AF564" s="80"/>
      <c r="AG564" s="80"/>
      <c r="AH564" s="80"/>
      <c r="AI564" s="80"/>
    </row>
    <row r="565" spans="1:35" x14ac:dyDescent="0.2">
      <c r="A565" s="2"/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2"/>
      <c r="M565" s="2"/>
      <c r="N565" s="2"/>
      <c r="O565" s="2"/>
      <c r="P565" s="2"/>
      <c r="Q565" s="2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0"/>
      <c r="AD565" s="80"/>
      <c r="AE565" s="80"/>
      <c r="AF565" s="80"/>
      <c r="AG565" s="80"/>
      <c r="AH565" s="80"/>
      <c r="AI565" s="80"/>
    </row>
    <row r="566" spans="1:35" x14ac:dyDescent="0.2">
      <c r="A566" s="2"/>
      <c r="B566" s="80"/>
      <c r="C566" s="80"/>
      <c r="D566" s="80"/>
      <c r="E566" s="80"/>
      <c r="F566" s="80"/>
      <c r="G566" s="80"/>
      <c r="H566" s="80"/>
      <c r="I566" s="80"/>
      <c r="J566" s="80"/>
      <c r="K566" s="80"/>
      <c r="L566" s="2"/>
      <c r="M566" s="2"/>
      <c r="N566" s="2"/>
      <c r="O566" s="2"/>
      <c r="P566" s="2"/>
      <c r="Q566" s="2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0"/>
      <c r="AD566" s="80"/>
      <c r="AE566" s="80"/>
      <c r="AF566" s="80"/>
      <c r="AG566" s="80"/>
      <c r="AH566" s="80"/>
      <c r="AI566" s="80"/>
    </row>
    <row r="567" spans="1:35" x14ac:dyDescent="0.2">
      <c r="A567" s="2"/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2"/>
      <c r="M567" s="2"/>
      <c r="N567" s="2"/>
      <c r="O567" s="2"/>
      <c r="P567" s="2"/>
      <c r="Q567" s="2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0"/>
      <c r="AD567" s="80"/>
      <c r="AE567" s="80"/>
      <c r="AF567" s="80"/>
      <c r="AG567" s="80"/>
      <c r="AH567" s="80"/>
      <c r="AI567" s="80"/>
    </row>
    <row r="568" spans="1:35" x14ac:dyDescent="0.2">
      <c r="A568" s="2"/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2"/>
      <c r="M568" s="2"/>
      <c r="N568" s="2"/>
      <c r="O568" s="2"/>
      <c r="P568" s="2"/>
      <c r="Q568" s="2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0"/>
      <c r="AD568" s="80"/>
      <c r="AE568" s="80"/>
      <c r="AF568" s="80"/>
      <c r="AG568" s="80"/>
      <c r="AH568" s="80"/>
      <c r="AI568" s="80"/>
    </row>
    <row r="569" spans="1:35" x14ac:dyDescent="0.2">
      <c r="A569" s="2"/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2"/>
      <c r="M569" s="2"/>
      <c r="N569" s="2"/>
      <c r="O569" s="2"/>
      <c r="P569" s="2"/>
      <c r="Q569" s="2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0"/>
      <c r="AD569" s="80"/>
      <c r="AE569" s="80"/>
      <c r="AF569" s="80"/>
      <c r="AG569" s="80"/>
      <c r="AH569" s="80"/>
      <c r="AI569" s="80"/>
    </row>
    <row r="570" spans="1:35" x14ac:dyDescent="0.2">
      <c r="A570" s="2"/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2"/>
      <c r="M570" s="2"/>
      <c r="N570" s="2"/>
      <c r="O570" s="2"/>
      <c r="P570" s="2"/>
      <c r="Q570" s="2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0"/>
      <c r="AD570" s="80"/>
      <c r="AE570" s="80"/>
      <c r="AF570" s="80"/>
      <c r="AG570" s="80"/>
      <c r="AH570" s="80"/>
      <c r="AI570" s="80"/>
    </row>
    <row r="571" spans="1:35" x14ac:dyDescent="0.2">
      <c r="A571" s="2"/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2"/>
      <c r="M571" s="2"/>
      <c r="N571" s="2"/>
      <c r="O571" s="2"/>
      <c r="P571" s="2"/>
      <c r="Q571" s="2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0"/>
      <c r="AD571" s="80"/>
      <c r="AE571" s="80"/>
      <c r="AF571" s="80"/>
      <c r="AG571" s="80"/>
      <c r="AH571" s="80"/>
      <c r="AI571" s="80"/>
    </row>
    <row r="572" spans="1:35" x14ac:dyDescent="0.2">
      <c r="A572" s="2"/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2"/>
      <c r="M572" s="2"/>
      <c r="N572" s="2"/>
      <c r="O572" s="2"/>
      <c r="P572" s="2"/>
      <c r="Q572" s="2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0"/>
      <c r="AD572" s="80"/>
      <c r="AE572" s="80"/>
      <c r="AF572" s="80"/>
      <c r="AG572" s="80"/>
      <c r="AH572" s="80"/>
      <c r="AI572" s="80"/>
    </row>
    <row r="573" spans="1:35" x14ac:dyDescent="0.2">
      <c r="A573" s="2"/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2"/>
      <c r="M573" s="2"/>
      <c r="N573" s="2"/>
      <c r="O573" s="2"/>
      <c r="P573" s="2"/>
      <c r="Q573" s="2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0"/>
      <c r="AD573" s="80"/>
      <c r="AE573" s="80"/>
      <c r="AF573" s="80"/>
      <c r="AG573" s="80"/>
      <c r="AH573" s="80"/>
      <c r="AI573" s="80"/>
    </row>
    <row r="574" spans="1:35" x14ac:dyDescent="0.2">
      <c r="A574" s="2"/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2"/>
      <c r="M574" s="2"/>
      <c r="N574" s="2"/>
      <c r="O574" s="2"/>
      <c r="P574" s="2"/>
      <c r="Q574" s="2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0"/>
      <c r="AD574" s="80"/>
      <c r="AE574" s="80"/>
      <c r="AF574" s="80"/>
      <c r="AG574" s="80"/>
      <c r="AH574" s="80"/>
      <c r="AI574" s="80"/>
    </row>
    <row r="575" spans="1:35" x14ac:dyDescent="0.2">
      <c r="A575" s="2"/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2"/>
      <c r="M575" s="2"/>
      <c r="N575" s="2"/>
      <c r="O575" s="2"/>
      <c r="P575" s="2"/>
      <c r="Q575" s="2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0"/>
      <c r="AD575" s="80"/>
      <c r="AE575" s="80"/>
      <c r="AF575" s="80"/>
      <c r="AG575" s="80"/>
      <c r="AH575" s="80"/>
      <c r="AI575" s="80"/>
    </row>
    <row r="576" spans="1:35" x14ac:dyDescent="0.2">
      <c r="A576" s="2"/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2"/>
      <c r="M576" s="2"/>
      <c r="N576" s="2"/>
      <c r="O576" s="2"/>
      <c r="P576" s="2"/>
      <c r="Q576" s="2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0"/>
      <c r="AD576" s="80"/>
      <c r="AE576" s="80"/>
      <c r="AF576" s="80"/>
      <c r="AG576" s="80"/>
      <c r="AH576" s="80"/>
      <c r="AI576" s="80"/>
    </row>
    <row r="577" spans="1:35" x14ac:dyDescent="0.2">
      <c r="A577" s="2"/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2"/>
      <c r="M577" s="2"/>
      <c r="N577" s="2"/>
      <c r="O577" s="2"/>
      <c r="P577" s="2"/>
      <c r="Q577" s="2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0"/>
      <c r="AD577" s="80"/>
      <c r="AE577" s="80"/>
      <c r="AF577" s="80"/>
      <c r="AG577" s="80"/>
      <c r="AH577" s="80"/>
      <c r="AI577" s="80"/>
    </row>
    <row r="578" spans="1:35" x14ac:dyDescent="0.2">
      <c r="A578" s="2"/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2"/>
      <c r="M578" s="2"/>
      <c r="N578" s="2"/>
      <c r="O578" s="2"/>
      <c r="P578" s="2"/>
      <c r="Q578" s="2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0"/>
      <c r="AD578" s="80"/>
      <c r="AE578" s="80"/>
      <c r="AF578" s="80"/>
      <c r="AG578" s="80"/>
      <c r="AH578" s="80"/>
      <c r="AI578" s="80"/>
    </row>
    <row r="579" spans="1:35" x14ac:dyDescent="0.2">
      <c r="A579" s="2"/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2"/>
      <c r="M579" s="2"/>
      <c r="N579" s="2"/>
      <c r="O579" s="2"/>
      <c r="P579" s="2"/>
      <c r="Q579" s="2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0"/>
      <c r="AD579" s="80"/>
      <c r="AE579" s="80"/>
      <c r="AF579" s="80"/>
      <c r="AG579" s="80"/>
      <c r="AH579" s="80"/>
      <c r="AI579" s="80"/>
    </row>
    <row r="580" spans="1:35" x14ac:dyDescent="0.2">
      <c r="A580" s="2"/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2"/>
      <c r="M580" s="2"/>
      <c r="N580" s="2"/>
      <c r="O580" s="2"/>
      <c r="P580" s="2"/>
      <c r="Q580" s="2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0"/>
      <c r="AD580" s="80"/>
      <c r="AE580" s="80"/>
      <c r="AF580" s="80"/>
      <c r="AG580" s="80"/>
      <c r="AH580" s="80"/>
      <c r="AI580" s="80"/>
    </row>
    <row r="581" spans="1:35" x14ac:dyDescent="0.2">
      <c r="A581" s="2"/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2"/>
      <c r="M581" s="2"/>
      <c r="N581" s="2"/>
      <c r="O581" s="2"/>
      <c r="P581" s="2"/>
      <c r="Q581" s="2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0"/>
      <c r="AD581" s="80"/>
      <c r="AE581" s="80"/>
      <c r="AF581" s="80"/>
      <c r="AG581" s="80"/>
      <c r="AH581" s="80"/>
      <c r="AI581" s="80"/>
    </row>
    <row r="582" spans="1:35" x14ac:dyDescent="0.2">
      <c r="A582" s="2"/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2"/>
      <c r="M582" s="2"/>
      <c r="N582" s="2"/>
      <c r="O582" s="2"/>
      <c r="P582" s="2"/>
      <c r="Q582" s="2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0"/>
      <c r="AD582" s="80"/>
      <c r="AE582" s="80"/>
      <c r="AF582" s="80"/>
      <c r="AG582" s="80"/>
      <c r="AH582" s="80"/>
      <c r="AI582" s="80"/>
    </row>
    <row r="583" spans="1:35" x14ac:dyDescent="0.2">
      <c r="A583" s="2"/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2"/>
      <c r="M583" s="2"/>
      <c r="N583" s="2"/>
      <c r="O583" s="2"/>
      <c r="P583" s="2"/>
      <c r="Q583" s="2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0"/>
      <c r="AD583" s="80"/>
      <c r="AE583" s="80"/>
      <c r="AF583" s="80"/>
      <c r="AG583" s="80"/>
      <c r="AH583" s="80"/>
      <c r="AI583" s="80"/>
    </row>
    <row r="584" spans="1:35" x14ac:dyDescent="0.2">
      <c r="A584" s="2"/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2"/>
      <c r="M584" s="2"/>
      <c r="N584" s="2"/>
      <c r="O584" s="2"/>
      <c r="P584" s="2"/>
      <c r="Q584" s="2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0"/>
      <c r="AD584" s="80"/>
      <c r="AE584" s="80"/>
      <c r="AF584" s="80"/>
      <c r="AG584" s="80"/>
      <c r="AH584" s="80"/>
      <c r="AI584" s="80"/>
    </row>
    <row r="585" spans="1:35" x14ac:dyDescent="0.2">
      <c r="A585" s="2"/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2"/>
      <c r="M585" s="2"/>
      <c r="N585" s="2"/>
      <c r="O585" s="2"/>
      <c r="P585" s="2"/>
      <c r="Q585" s="2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0"/>
      <c r="AD585" s="80"/>
      <c r="AE585" s="80"/>
      <c r="AF585" s="80"/>
      <c r="AG585" s="80"/>
      <c r="AH585" s="80"/>
      <c r="AI585" s="80"/>
    </row>
    <row r="586" spans="1:35" x14ac:dyDescent="0.2">
      <c r="A586" s="2"/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2"/>
      <c r="M586" s="2"/>
      <c r="N586" s="2"/>
      <c r="O586" s="2"/>
      <c r="P586" s="2"/>
      <c r="Q586" s="2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0"/>
      <c r="AD586" s="80"/>
      <c r="AE586" s="80"/>
      <c r="AF586" s="80"/>
      <c r="AG586" s="80"/>
      <c r="AH586" s="80"/>
      <c r="AI586" s="80"/>
    </row>
    <row r="587" spans="1:35" x14ac:dyDescent="0.2">
      <c r="A587" s="2"/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2"/>
      <c r="M587" s="2"/>
      <c r="N587" s="2"/>
      <c r="O587" s="2"/>
      <c r="P587" s="2"/>
      <c r="Q587" s="2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0"/>
      <c r="AD587" s="80"/>
      <c r="AE587" s="80"/>
      <c r="AF587" s="80"/>
      <c r="AG587" s="80"/>
      <c r="AH587" s="80"/>
      <c r="AI587" s="80"/>
    </row>
    <row r="588" spans="1:35" x14ac:dyDescent="0.2">
      <c r="A588" s="2"/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2"/>
      <c r="M588" s="2"/>
      <c r="N588" s="2"/>
      <c r="O588" s="2"/>
      <c r="P588" s="2"/>
      <c r="Q588" s="2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0"/>
      <c r="AD588" s="80"/>
      <c r="AE588" s="80"/>
      <c r="AF588" s="80"/>
      <c r="AG588" s="80"/>
      <c r="AH588" s="80"/>
      <c r="AI588" s="80"/>
    </row>
    <row r="589" spans="1:35" x14ac:dyDescent="0.2">
      <c r="A589" s="2"/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2"/>
      <c r="M589" s="2"/>
      <c r="N589" s="2"/>
      <c r="O589" s="2"/>
      <c r="P589" s="2"/>
      <c r="Q589" s="2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0"/>
      <c r="AD589" s="80"/>
      <c r="AE589" s="80"/>
      <c r="AF589" s="80"/>
      <c r="AG589" s="80"/>
      <c r="AH589" s="80"/>
      <c r="AI589" s="80"/>
    </row>
    <row r="590" spans="1:35" x14ac:dyDescent="0.2">
      <c r="A590" s="2"/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2"/>
      <c r="M590" s="2"/>
      <c r="N590" s="2"/>
      <c r="O590" s="2"/>
      <c r="P590" s="2"/>
      <c r="Q590" s="2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0"/>
      <c r="AD590" s="80"/>
      <c r="AE590" s="80"/>
      <c r="AF590" s="80"/>
      <c r="AG590" s="80"/>
      <c r="AH590" s="80"/>
      <c r="AI590" s="80"/>
    </row>
    <row r="591" spans="1:35" x14ac:dyDescent="0.2">
      <c r="A591" s="2"/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2"/>
      <c r="M591" s="2"/>
      <c r="N591" s="2"/>
      <c r="O591" s="2"/>
      <c r="P591" s="2"/>
      <c r="Q591" s="2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0"/>
      <c r="AD591" s="80"/>
      <c r="AE591" s="80"/>
      <c r="AF591" s="80"/>
      <c r="AG591" s="80"/>
      <c r="AH591" s="80"/>
      <c r="AI591" s="80"/>
    </row>
    <row r="592" spans="1:35" x14ac:dyDescent="0.2">
      <c r="A592" s="2"/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2"/>
      <c r="M592" s="2"/>
      <c r="N592" s="2"/>
      <c r="O592" s="2"/>
      <c r="P592" s="2"/>
      <c r="Q592" s="2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0"/>
      <c r="AD592" s="80"/>
      <c r="AE592" s="80"/>
      <c r="AF592" s="80"/>
      <c r="AG592" s="80"/>
      <c r="AH592" s="80"/>
      <c r="AI592" s="80"/>
    </row>
    <row r="593" spans="1:35" x14ac:dyDescent="0.2">
      <c r="A593" s="2"/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2"/>
      <c r="M593" s="2"/>
      <c r="N593" s="2"/>
      <c r="O593" s="2"/>
      <c r="P593" s="2"/>
      <c r="Q593" s="2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0"/>
      <c r="AD593" s="80"/>
      <c r="AE593" s="80"/>
      <c r="AF593" s="80"/>
      <c r="AG593" s="80"/>
      <c r="AH593" s="80"/>
      <c r="AI593" s="80"/>
    </row>
    <row r="594" spans="1:35" x14ac:dyDescent="0.2">
      <c r="A594" s="2"/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2"/>
      <c r="M594" s="2"/>
      <c r="N594" s="2"/>
      <c r="O594" s="2"/>
      <c r="P594" s="2"/>
      <c r="Q594" s="2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0"/>
      <c r="AD594" s="80"/>
      <c r="AE594" s="80"/>
      <c r="AF594" s="80"/>
      <c r="AG594" s="80"/>
      <c r="AH594" s="80"/>
      <c r="AI594" s="80"/>
    </row>
    <row r="595" spans="1:35" x14ac:dyDescent="0.2">
      <c r="A595" s="2"/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2"/>
      <c r="M595" s="2"/>
      <c r="N595" s="2"/>
      <c r="O595" s="2"/>
      <c r="P595" s="2"/>
      <c r="Q595" s="2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0"/>
      <c r="AD595" s="80"/>
      <c r="AE595" s="80"/>
      <c r="AF595" s="80"/>
      <c r="AG595" s="80"/>
      <c r="AH595" s="80"/>
      <c r="AI595" s="80"/>
    </row>
    <row r="596" spans="1:35" x14ac:dyDescent="0.2">
      <c r="A596" s="2"/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2"/>
      <c r="M596" s="2"/>
      <c r="N596" s="2"/>
      <c r="O596" s="2"/>
      <c r="P596" s="2"/>
      <c r="Q596" s="2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0"/>
      <c r="AD596" s="80"/>
      <c r="AE596" s="80"/>
      <c r="AF596" s="80"/>
      <c r="AG596" s="80"/>
      <c r="AH596" s="80"/>
      <c r="AI596" s="80"/>
    </row>
    <row r="597" spans="1:35" x14ac:dyDescent="0.2">
      <c r="A597" s="2"/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2"/>
      <c r="M597" s="2"/>
      <c r="N597" s="2"/>
      <c r="O597" s="2"/>
      <c r="P597" s="2"/>
      <c r="Q597" s="2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0"/>
      <c r="AD597" s="80"/>
      <c r="AE597" s="80"/>
      <c r="AF597" s="80"/>
      <c r="AG597" s="80"/>
      <c r="AH597" s="80"/>
      <c r="AI597" s="80"/>
    </row>
    <row r="598" spans="1:35" x14ac:dyDescent="0.2">
      <c r="A598" s="2"/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2"/>
      <c r="M598" s="2"/>
      <c r="N598" s="2"/>
      <c r="O598" s="2"/>
      <c r="P598" s="2"/>
      <c r="Q598" s="2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0"/>
      <c r="AD598" s="80"/>
      <c r="AE598" s="80"/>
      <c r="AF598" s="80"/>
      <c r="AG598" s="80"/>
      <c r="AH598" s="80"/>
      <c r="AI598" s="80"/>
    </row>
    <row r="599" spans="1:35" x14ac:dyDescent="0.2">
      <c r="A599" s="2"/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2"/>
      <c r="M599" s="2"/>
      <c r="N599" s="2"/>
      <c r="O599" s="2"/>
      <c r="P599" s="2"/>
      <c r="Q599" s="2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0"/>
      <c r="AD599" s="80"/>
      <c r="AE599" s="80"/>
      <c r="AF599" s="80"/>
      <c r="AG599" s="80"/>
      <c r="AH599" s="80"/>
      <c r="AI599" s="80"/>
    </row>
    <row r="600" spans="1:35" x14ac:dyDescent="0.2">
      <c r="A600" s="2"/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2"/>
      <c r="M600" s="2"/>
      <c r="N600" s="2"/>
      <c r="O600" s="2"/>
      <c r="P600" s="2"/>
      <c r="Q600" s="2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E600" s="80"/>
      <c r="AF600" s="80"/>
      <c r="AG600" s="80"/>
      <c r="AH600" s="80"/>
      <c r="AI600" s="80"/>
    </row>
    <row r="601" spans="1:35" x14ac:dyDescent="0.2">
      <c r="A601" s="2"/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2"/>
      <c r="M601" s="2"/>
      <c r="N601" s="2"/>
      <c r="O601" s="2"/>
      <c r="P601" s="2"/>
      <c r="Q601" s="2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0"/>
      <c r="AD601" s="80"/>
      <c r="AE601" s="80"/>
      <c r="AF601" s="80"/>
      <c r="AG601" s="80"/>
      <c r="AH601" s="80"/>
      <c r="AI601" s="80"/>
    </row>
    <row r="602" spans="1:35" x14ac:dyDescent="0.2">
      <c r="A602" s="2"/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2"/>
      <c r="M602" s="2"/>
      <c r="N602" s="2"/>
      <c r="O602" s="2"/>
      <c r="P602" s="2"/>
      <c r="Q602" s="2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  <c r="AD602" s="80"/>
      <c r="AE602" s="80"/>
      <c r="AF602" s="80"/>
      <c r="AG602" s="80"/>
      <c r="AH602" s="80"/>
      <c r="AI602" s="80"/>
    </row>
    <row r="603" spans="1:35" x14ac:dyDescent="0.2">
      <c r="A603" s="2"/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2"/>
      <c r="M603" s="2"/>
      <c r="N603" s="2"/>
      <c r="O603" s="2"/>
      <c r="P603" s="2"/>
      <c r="Q603" s="2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0"/>
      <c r="AD603" s="80"/>
      <c r="AE603" s="80"/>
      <c r="AF603" s="80"/>
      <c r="AG603" s="80"/>
      <c r="AH603" s="80"/>
      <c r="AI603" s="80"/>
    </row>
    <row r="604" spans="1:35" x14ac:dyDescent="0.2">
      <c r="A604" s="2"/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2"/>
      <c r="M604" s="2"/>
      <c r="N604" s="2"/>
      <c r="O604" s="2"/>
      <c r="P604" s="2"/>
      <c r="Q604" s="2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0"/>
      <c r="AD604" s="80"/>
      <c r="AE604" s="80"/>
      <c r="AF604" s="80"/>
      <c r="AG604" s="80"/>
      <c r="AH604" s="80"/>
      <c r="AI604" s="80"/>
    </row>
    <row r="605" spans="1:35" x14ac:dyDescent="0.2">
      <c r="A605" s="2"/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2"/>
      <c r="M605" s="2"/>
      <c r="N605" s="2"/>
      <c r="O605" s="2"/>
      <c r="P605" s="2"/>
      <c r="Q605" s="2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0"/>
      <c r="AD605" s="80"/>
      <c r="AE605" s="80"/>
      <c r="AF605" s="80"/>
      <c r="AG605" s="80"/>
      <c r="AH605" s="80"/>
      <c r="AI605" s="80"/>
    </row>
    <row r="606" spans="1:35" x14ac:dyDescent="0.2">
      <c r="A606" s="2"/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2"/>
      <c r="M606" s="2"/>
      <c r="N606" s="2"/>
      <c r="O606" s="2"/>
      <c r="P606" s="2"/>
      <c r="Q606" s="2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0"/>
      <c r="AD606" s="80"/>
      <c r="AE606" s="80"/>
      <c r="AF606" s="80"/>
      <c r="AG606" s="80"/>
      <c r="AH606" s="80"/>
      <c r="AI606" s="80"/>
    </row>
    <row r="607" spans="1:35" x14ac:dyDescent="0.2">
      <c r="A607" s="2"/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2"/>
      <c r="M607" s="2"/>
      <c r="N607" s="2"/>
      <c r="O607" s="2"/>
      <c r="P607" s="2"/>
      <c r="Q607" s="2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0"/>
      <c r="AD607" s="80"/>
      <c r="AE607" s="80"/>
      <c r="AF607" s="80"/>
      <c r="AG607" s="80"/>
      <c r="AH607" s="80"/>
      <c r="AI607" s="80"/>
    </row>
    <row r="608" spans="1:35" x14ac:dyDescent="0.2">
      <c r="A608" s="2"/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2"/>
      <c r="M608" s="2"/>
      <c r="N608" s="2"/>
      <c r="O608" s="2"/>
      <c r="P608" s="2"/>
      <c r="Q608" s="2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0"/>
      <c r="AD608" s="80"/>
      <c r="AE608" s="80"/>
      <c r="AF608" s="80"/>
      <c r="AG608" s="80"/>
      <c r="AH608" s="80"/>
      <c r="AI608" s="80"/>
    </row>
    <row r="609" spans="1:35" x14ac:dyDescent="0.2">
      <c r="A609" s="2"/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2"/>
      <c r="M609" s="2"/>
      <c r="N609" s="2"/>
      <c r="O609" s="2"/>
      <c r="P609" s="2"/>
      <c r="Q609" s="2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0"/>
      <c r="AD609" s="80"/>
      <c r="AE609" s="80"/>
      <c r="AF609" s="80"/>
      <c r="AG609" s="80"/>
      <c r="AH609" s="80"/>
      <c r="AI609" s="80"/>
    </row>
    <row r="610" spans="1:35" x14ac:dyDescent="0.2">
      <c r="A610" s="2"/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2"/>
      <c r="M610" s="2"/>
      <c r="N610" s="2"/>
      <c r="O610" s="2"/>
      <c r="P610" s="2"/>
      <c r="Q610" s="2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0"/>
      <c r="AD610" s="80"/>
      <c r="AE610" s="80"/>
      <c r="AF610" s="80"/>
      <c r="AG610" s="80"/>
      <c r="AH610" s="80"/>
      <c r="AI610" s="80"/>
    </row>
    <row r="611" spans="1:35" x14ac:dyDescent="0.2">
      <c r="A611" s="2"/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2"/>
      <c r="M611" s="2"/>
      <c r="N611" s="2"/>
      <c r="O611" s="2"/>
      <c r="P611" s="2"/>
      <c r="Q611" s="2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0"/>
      <c r="AD611" s="80"/>
      <c r="AE611" s="80"/>
      <c r="AF611" s="80"/>
      <c r="AG611" s="80"/>
      <c r="AH611" s="80"/>
      <c r="AI611" s="80"/>
    </row>
    <row r="612" spans="1:35" x14ac:dyDescent="0.2">
      <c r="A612" s="2"/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2"/>
      <c r="M612" s="2"/>
      <c r="N612" s="2"/>
      <c r="O612" s="2"/>
      <c r="P612" s="2"/>
      <c r="Q612" s="2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0"/>
      <c r="AD612" s="80"/>
      <c r="AE612" s="80"/>
      <c r="AF612" s="80"/>
      <c r="AG612" s="80"/>
      <c r="AH612" s="80"/>
      <c r="AI612" s="80"/>
    </row>
    <row r="613" spans="1:35" x14ac:dyDescent="0.2">
      <c r="A613" s="2"/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2"/>
      <c r="M613" s="2"/>
      <c r="N613" s="2"/>
      <c r="O613" s="2"/>
      <c r="P613" s="2"/>
      <c r="Q613" s="2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0"/>
      <c r="AD613" s="80"/>
      <c r="AE613" s="80"/>
      <c r="AF613" s="80"/>
      <c r="AG613" s="80"/>
      <c r="AH613" s="80"/>
      <c r="AI613" s="80"/>
    </row>
    <row r="614" spans="1:35" x14ac:dyDescent="0.2">
      <c r="A614" s="2"/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2"/>
      <c r="M614" s="2"/>
      <c r="N614" s="2"/>
      <c r="O614" s="2"/>
      <c r="P614" s="2"/>
      <c r="Q614" s="2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0"/>
      <c r="AD614" s="80"/>
      <c r="AE614" s="80"/>
      <c r="AF614" s="80"/>
      <c r="AG614" s="80"/>
      <c r="AH614" s="80"/>
      <c r="AI614" s="80"/>
    </row>
    <row r="615" spans="1:35" x14ac:dyDescent="0.2">
      <c r="A615" s="2"/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2"/>
      <c r="M615" s="2"/>
      <c r="N615" s="2"/>
      <c r="O615" s="2"/>
      <c r="P615" s="2"/>
      <c r="Q615" s="2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0"/>
      <c r="AD615" s="80"/>
      <c r="AE615" s="80"/>
      <c r="AF615" s="80"/>
      <c r="AG615" s="80"/>
      <c r="AH615" s="80"/>
      <c r="AI615" s="80"/>
    </row>
    <row r="616" spans="1:35" x14ac:dyDescent="0.2">
      <c r="A616" s="2"/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2"/>
      <c r="M616" s="2"/>
      <c r="N616" s="2"/>
      <c r="O616" s="2"/>
      <c r="P616" s="2"/>
      <c r="Q616" s="2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0"/>
      <c r="AD616" s="80"/>
      <c r="AE616" s="80"/>
      <c r="AF616" s="80"/>
      <c r="AG616" s="80"/>
      <c r="AH616" s="80"/>
      <c r="AI616" s="80"/>
    </row>
    <row r="617" spans="1:35" x14ac:dyDescent="0.2">
      <c r="A617" s="2"/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2"/>
      <c r="M617" s="2"/>
      <c r="N617" s="2"/>
      <c r="O617" s="2"/>
      <c r="P617" s="2"/>
      <c r="Q617" s="2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0"/>
      <c r="AD617" s="80"/>
      <c r="AE617" s="80"/>
      <c r="AF617" s="80"/>
      <c r="AG617" s="80"/>
      <c r="AH617" s="80"/>
      <c r="AI617" s="80"/>
    </row>
    <row r="618" spans="1:35" x14ac:dyDescent="0.2">
      <c r="A618" s="2"/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2"/>
      <c r="M618" s="2"/>
      <c r="N618" s="2"/>
      <c r="O618" s="2"/>
      <c r="P618" s="2"/>
      <c r="Q618" s="2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0"/>
      <c r="AD618" s="80"/>
      <c r="AE618" s="80"/>
      <c r="AF618" s="80"/>
      <c r="AG618" s="80"/>
      <c r="AH618" s="80"/>
      <c r="AI618" s="80"/>
    </row>
    <row r="619" spans="1:35" x14ac:dyDescent="0.2">
      <c r="A619" s="2"/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2"/>
      <c r="M619" s="2"/>
      <c r="N619" s="2"/>
      <c r="O619" s="2"/>
      <c r="P619" s="2"/>
      <c r="Q619" s="2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0"/>
      <c r="AD619" s="80"/>
      <c r="AE619" s="80"/>
      <c r="AF619" s="80"/>
      <c r="AG619" s="80"/>
      <c r="AH619" s="80"/>
      <c r="AI619" s="80"/>
    </row>
    <row r="620" spans="1:35" x14ac:dyDescent="0.2">
      <c r="A620" s="2"/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2"/>
      <c r="M620" s="2"/>
      <c r="N620" s="2"/>
      <c r="O620" s="2"/>
      <c r="P620" s="2"/>
      <c r="Q620" s="2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0"/>
      <c r="AD620" s="80"/>
      <c r="AE620" s="80"/>
      <c r="AF620" s="80"/>
      <c r="AG620" s="80"/>
      <c r="AH620" s="80"/>
      <c r="AI620" s="80"/>
    </row>
    <row r="621" spans="1:35" x14ac:dyDescent="0.2">
      <c r="A621" s="2"/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2"/>
      <c r="M621" s="2"/>
      <c r="N621" s="2"/>
      <c r="O621" s="2"/>
      <c r="P621" s="2"/>
      <c r="Q621" s="2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0"/>
      <c r="AD621" s="80"/>
      <c r="AE621" s="80"/>
      <c r="AF621" s="80"/>
      <c r="AG621" s="80"/>
      <c r="AH621" s="80"/>
      <c r="AI621" s="80"/>
    </row>
    <row r="622" spans="1:35" x14ac:dyDescent="0.2">
      <c r="A622" s="2"/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2"/>
      <c r="M622" s="2"/>
      <c r="N622" s="2"/>
      <c r="O622" s="2"/>
      <c r="P622" s="2"/>
      <c r="Q622" s="2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0"/>
      <c r="AD622" s="80"/>
      <c r="AE622" s="80"/>
      <c r="AF622" s="80"/>
      <c r="AG622" s="80"/>
      <c r="AH622" s="80"/>
      <c r="AI622" s="80"/>
    </row>
    <row r="623" spans="1:35" x14ac:dyDescent="0.2">
      <c r="A623" s="2"/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2"/>
      <c r="M623" s="2"/>
      <c r="N623" s="2"/>
      <c r="O623" s="2"/>
      <c r="P623" s="2"/>
      <c r="Q623" s="2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0"/>
      <c r="AD623" s="80"/>
      <c r="AE623" s="80"/>
      <c r="AF623" s="80"/>
      <c r="AG623" s="80"/>
      <c r="AH623" s="80"/>
      <c r="AI623" s="80"/>
    </row>
    <row r="624" spans="1:35" x14ac:dyDescent="0.2">
      <c r="A624" s="2"/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2"/>
      <c r="M624" s="2"/>
      <c r="N624" s="2"/>
      <c r="O624" s="2"/>
      <c r="P624" s="2"/>
      <c r="Q624" s="2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0"/>
      <c r="AD624" s="80"/>
      <c r="AE624" s="80"/>
      <c r="AF624" s="80"/>
      <c r="AG624" s="80"/>
      <c r="AH624" s="80"/>
      <c r="AI624" s="80"/>
    </row>
    <row r="625" spans="1:35" x14ac:dyDescent="0.2">
      <c r="A625" s="2"/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2"/>
      <c r="M625" s="2"/>
      <c r="N625" s="2"/>
      <c r="O625" s="2"/>
      <c r="P625" s="2"/>
      <c r="Q625" s="2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0"/>
      <c r="AD625" s="80"/>
      <c r="AE625" s="80"/>
      <c r="AF625" s="80"/>
      <c r="AG625" s="80"/>
      <c r="AH625" s="80"/>
      <c r="AI625" s="80"/>
    </row>
    <row r="626" spans="1:35" x14ac:dyDescent="0.2">
      <c r="A626" s="2"/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2"/>
      <c r="M626" s="2"/>
      <c r="N626" s="2"/>
      <c r="O626" s="2"/>
      <c r="P626" s="2"/>
      <c r="Q626" s="2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0"/>
      <c r="AD626" s="80"/>
      <c r="AE626" s="80"/>
      <c r="AF626" s="80"/>
      <c r="AG626" s="80"/>
      <c r="AH626" s="80"/>
      <c r="AI626" s="80"/>
    </row>
    <row r="627" spans="1:35" x14ac:dyDescent="0.2">
      <c r="A627" s="2"/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2"/>
      <c r="M627" s="2"/>
      <c r="N627" s="2"/>
      <c r="O627" s="2"/>
      <c r="P627" s="2"/>
      <c r="Q627" s="2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0"/>
      <c r="AD627" s="80"/>
      <c r="AE627" s="80"/>
      <c r="AF627" s="80"/>
      <c r="AG627" s="80"/>
      <c r="AH627" s="80"/>
      <c r="AI627" s="80"/>
    </row>
    <row r="628" spans="1:35" x14ac:dyDescent="0.2">
      <c r="A628" s="2"/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2"/>
      <c r="M628" s="2"/>
      <c r="N628" s="2"/>
      <c r="O628" s="2"/>
      <c r="P628" s="2"/>
      <c r="Q628" s="2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0"/>
      <c r="AD628" s="80"/>
      <c r="AE628" s="80"/>
      <c r="AF628" s="80"/>
      <c r="AG628" s="80"/>
      <c r="AH628" s="80"/>
      <c r="AI628" s="80"/>
    </row>
    <row r="629" spans="1:35" x14ac:dyDescent="0.2">
      <c r="A629" s="2"/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2"/>
      <c r="M629" s="2"/>
      <c r="N629" s="2"/>
      <c r="O629" s="2"/>
      <c r="P629" s="2"/>
      <c r="Q629" s="2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0"/>
      <c r="AD629" s="80"/>
      <c r="AE629" s="80"/>
      <c r="AF629" s="80"/>
      <c r="AG629" s="80"/>
      <c r="AH629" s="80"/>
      <c r="AI629" s="80"/>
    </row>
    <row r="630" spans="1:35" x14ac:dyDescent="0.2">
      <c r="A630" s="2"/>
      <c r="B630" s="80"/>
      <c r="C630" s="80"/>
      <c r="D630" s="80"/>
      <c r="E630" s="80"/>
      <c r="F630" s="80"/>
      <c r="G630" s="80"/>
      <c r="H630" s="80"/>
      <c r="I630" s="80"/>
      <c r="J630" s="80"/>
      <c r="K630" s="80"/>
      <c r="L630" s="2"/>
      <c r="M630" s="2"/>
      <c r="N630" s="2"/>
      <c r="O630" s="2"/>
      <c r="P630" s="2"/>
      <c r="Q630" s="2"/>
      <c r="R630" s="80"/>
      <c r="S630" s="80"/>
      <c r="T630" s="80"/>
      <c r="U630" s="80"/>
      <c r="V630" s="80"/>
      <c r="W630" s="80"/>
      <c r="X630" s="80"/>
      <c r="Y630" s="80"/>
      <c r="Z630" s="80"/>
      <c r="AA630" s="80"/>
      <c r="AB630" s="80"/>
      <c r="AC630" s="80"/>
      <c r="AD630" s="80"/>
      <c r="AE630" s="80"/>
      <c r="AF630" s="80"/>
      <c r="AG630" s="80"/>
      <c r="AH630" s="80"/>
      <c r="AI630" s="80"/>
    </row>
    <row r="631" spans="1:35" x14ac:dyDescent="0.2">
      <c r="A631" s="2"/>
      <c r="B631" s="80"/>
      <c r="C631" s="80"/>
      <c r="D631" s="80"/>
      <c r="E631" s="80"/>
      <c r="F631" s="80"/>
      <c r="G631" s="80"/>
      <c r="H631" s="80"/>
      <c r="I631" s="80"/>
      <c r="J631" s="80"/>
      <c r="K631" s="80"/>
      <c r="L631" s="2"/>
      <c r="M631" s="2"/>
      <c r="N631" s="2"/>
      <c r="O631" s="2"/>
      <c r="P631" s="2"/>
      <c r="Q631" s="2"/>
      <c r="R631" s="80"/>
      <c r="S631" s="80"/>
      <c r="T631" s="80"/>
      <c r="U631" s="80"/>
      <c r="V631" s="80"/>
      <c r="W631" s="80"/>
      <c r="X631" s="80"/>
      <c r="Y631" s="80"/>
      <c r="Z631" s="80"/>
      <c r="AA631" s="80"/>
      <c r="AB631" s="80"/>
      <c r="AC631" s="80"/>
      <c r="AD631" s="80"/>
      <c r="AE631" s="80"/>
      <c r="AF631" s="80"/>
      <c r="AG631" s="80"/>
      <c r="AH631" s="80"/>
      <c r="AI631" s="80"/>
    </row>
    <row r="632" spans="1:35" x14ac:dyDescent="0.2">
      <c r="A632" s="2"/>
      <c r="B632" s="80"/>
      <c r="C632" s="80"/>
      <c r="D632" s="80"/>
      <c r="E632" s="80"/>
      <c r="F632" s="80"/>
      <c r="G632" s="80"/>
      <c r="H632" s="80"/>
      <c r="I632" s="80"/>
      <c r="J632" s="80"/>
      <c r="K632" s="80"/>
      <c r="L632" s="2"/>
      <c r="M632" s="2"/>
      <c r="N632" s="2"/>
      <c r="O632" s="2"/>
      <c r="P632" s="2"/>
      <c r="Q632" s="2"/>
      <c r="R632" s="80"/>
      <c r="S632" s="80"/>
      <c r="T632" s="80"/>
      <c r="U632" s="80"/>
      <c r="V632" s="80"/>
      <c r="W632" s="80"/>
      <c r="X632" s="80"/>
      <c r="Y632" s="80"/>
      <c r="Z632" s="80"/>
      <c r="AA632" s="80"/>
      <c r="AB632" s="80"/>
      <c r="AC632" s="80"/>
      <c r="AD632" s="80"/>
      <c r="AE632" s="80"/>
      <c r="AF632" s="80"/>
      <c r="AG632" s="80"/>
      <c r="AH632" s="80"/>
      <c r="AI632" s="80"/>
    </row>
    <row r="633" spans="1:35" x14ac:dyDescent="0.2">
      <c r="A633" s="2"/>
      <c r="B633" s="80"/>
      <c r="C633" s="80"/>
      <c r="D633" s="80"/>
      <c r="E633" s="80"/>
      <c r="F633" s="80"/>
      <c r="G633" s="80"/>
      <c r="H633" s="80"/>
      <c r="I633" s="80"/>
      <c r="J633" s="80"/>
      <c r="K633" s="80"/>
      <c r="L633" s="2"/>
      <c r="M633" s="2"/>
      <c r="N633" s="2"/>
      <c r="O633" s="2"/>
      <c r="P633" s="2"/>
      <c r="Q633" s="2"/>
      <c r="R633" s="80"/>
      <c r="S633" s="80"/>
      <c r="T633" s="80"/>
      <c r="U633" s="80"/>
      <c r="V633" s="80"/>
      <c r="W633" s="80"/>
      <c r="X633" s="80"/>
      <c r="Y633" s="80"/>
      <c r="Z633" s="80"/>
      <c r="AA633" s="80"/>
      <c r="AB633" s="80"/>
      <c r="AC633" s="80"/>
      <c r="AD633" s="80"/>
      <c r="AE633" s="80"/>
      <c r="AF633" s="80"/>
      <c r="AG633" s="80"/>
      <c r="AH633" s="80"/>
      <c r="AI633" s="80"/>
    </row>
    <row r="634" spans="1:35" x14ac:dyDescent="0.2">
      <c r="A634" s="2"/>
      <c r="B634" s="80"/>
      <c r="C634" s="80"/>
      <c r="D634" s="80"/>
      <c r="E634" s="80"/>
      <c r="F634" s="80"/>
      <c r="G634" s="80"/>
      <c r="H634" s="80"/>
      <c r="I634" s="80"/>
      <c r="J634" s="80"/>
      <c r="K634" s="80"/>
      <c r="L634" s="2"/>
      <c r="M634" s="2"/>
      <c r="N634" s="2"/>
      <c r="O634" s="2"/>
      <c r="P634" s="2"/>
      <c r="Q634" s="2"/>
      <c r="R634" s="80"/>
      <c r="S634" s="80"/>
      <c r="T634" s="80"/>
      <c r="U634" s="80"/>
      <c r="V634" s="80"/>
      <c r="W634" s="80"/>
      <c r="X634" s="80"/>
      <c r="Y634" s="80"/>
      <c r="Z634" s="80"/>
      <c r="AA634" s="80"/>
      <c r="AB634" s="80"/>
      <c r="AC634" s="80"/>
      <c r="AD634" s="80"/>
      <c r="AE634" s="80"/>
      <c r="AF634" s="80"/>
      <c r="AG634" s="80"/>
      <c r="AH634" s="80"/>
      <c r="AI634" s="80"/>
    </row>
    <row r="635" spans="1:35" x14ac:dyDescent="0.2">
      <c r="A635" s="2"/>
      <c r="B635" s="80"/>
      <c r="C635" s="80"/>
      <c r="D635" s="80"/>
      <c r="E635" s="80"/>
      <c r="F635" s="80"/>
      <c r="G635" s="80"/>
      <c r="H635" s="80"/>
      <c r="I635" s="80"/>
      <c r="J635" s="80"/>
      <c r="K635" s="80"/>
      <c r="L635" s="2"/>
      <c r="M635" s="2"/>
      <c r="N635" s="2"/>
      <c r="O635" s="2"/>
      <c r="P635" s="2"/>
      <c r="Q635" s="2"/>
      <c r="R635" s="80"/>
      <c r="S635" s="80"/>
      <c r="T635" s="80"/>
      <c r="U635" s="80"/>
      <c r="V635" s="80"/>
      <c r="W635" s="80"/>
      <c r="X635" s="80"/>
      <c r="Y635" s="80"/>
      <c r="Z635" s="80"/>
      <c r="AA635" s="80"/>
      <c r="AB635" s="80"/>
      <c r="AC635" s="80"/>
      <c r="AD635" s="80"/>
      <c r="AE635" s="80"/>
      <c r="AF635" s="80"/>
      <c r="AG635" s="80"/>
      <c r="AH635" s="80"/>
      <c r="AI635" s="80"/>
    </row>
    <row r="636" spans="1:35" x14ac:dyDescent="0.2">
      <c r="A636" s="2"/>
      <c r="B636" s="80"/>
      <c r="C636" s="80"/>
      <c r="D636" s="80"/>
      <c r="E636" s="80"/>
      <c r="F636" s="80"/>
      <c r="G636" s="80"/>
      <c r="H636" s="80"/>
      <c r="I636" s="80"/>
      <c r="J636" s="80"/>
      <c r="K636" s="80"/>
      <c r="L636" s="2"/>
      <c r="M636" s="2"/>
      <c r="N636" s="2"/>
      <c r="O636" s="2"/>
      <c r="P636" s="2"/>
      <c r="Q636" s="2"/>
      <c r="R636" s="80"/>
      <c r="S636" s="80"/>
      <c r="T636" s="80"/>
      <c r="U636" s="80"/>
      <c r="V636" s="80"/>
      <c r="W636" s="80"/>
      <c r="X636" s="80"/>
      <c r="Y636" s="80"/>
      <c r="Z636" s="80"/>
      <c r="AA636" s="80"/>
      <c r="AB636" s="80"/>
      <c r="AC636" s="80"/>
      <c r="AD636" s="80"/>
      <c r="AE636" s="80"/>
      <c r="AF636" s="80"/>
      <c r="AG636" s="80"/>
      <c r="AH636" s="80"/>
      <c r="AI636" s="80"/>
    </row>
    <row r="637" spans="1:35" x14ac:dyDescent="0.2">
      <c r="A637" s="2"/>
      <c r="B637" s="80"/>
      <c r="C637" s="80"/>
      <c r="D637" s="80"/>
      <c r="E637" s="80"/>
      <c r="F637" s="80"/>
      <c r="G637" s="80"/>
      <c r="H637" s="80"/>
      <c r="I637" s="80"/>
      <c r="J637" s="80"/>
      <c r="K637" s="80"/>
      <c r="L637" s="2"/>
      <c r="M637" s="2"/>
      <c r="N637" s="2"/>
      <c r="O637" s="2"/>
      <c r="P637" s="2"/>
      <c r="Q637" s="2"/>
      <c r="R637" s="80"/>
      <c r="S637" s="80"/>
      <c r="T637" s="80"/>
      <c r="U637" s="80"/>
      <c r="V637" s="80"/>
      <c r="W637" s="80"/>
      <c r="X637" s="80"/>
      <c r="Y637" s="80"/>
      <c r="Z637" s="80"/>
      <c r="AA637" s="80"/>
      <c r="AB637" s="80"/>
      <c r="AC637" s="80"/>
      <c r="AD637" s="80"/>
      <c r="AE637" s="80"/>
      <c r="AF637" s="80"/>
      <c r="AG637" s="80"/>
      <c r="AH637" s="80"/>
      <c r="AI637" s="80"/>
    </row>
    <row r="638" spans="1:35" x14ac:dyDescent="0.2">
      <c r="A638" s="2"/>
      <c r="B638" s="80"/>
      <c r="C638" s="80"/>
      <c r="D638" s="80"/>
      <c r="E638" s="80"/>
      <c r="F638" s="80"/>
      <c r="G638" s="80"/>
      <c r="H638" s="80"/>
      <c r="I638" s="80"/>
      <c r="J638" s="80"/>
      <c r="K638" s="80"/>
      <c r="L638" s="2"/>
      <c r="M638" s="2"/>
      <c r="N638" s="2"/>
      <c r="O638" s="2"/>
      <c r="P638" s="2"/>
      <c r="Q638" s="2"/>
      <c r="R638" s="80"/>
      <c r="S638" s="80"/>
      <c r="T638" s="80"/>
      <c r="U638" s="80"/>
      <c r="V638" s="80"/>
      <c r="W638" s="80"/>
      <c r="X638" s="80"/>
      <c r="Y638" s="80"/>
      <c r="Z638" s="80"/>
      <c r="AA638" s="80"/>
      <c r="AB638" s="80"/>
      <c r="AC638" s="80"/>
      <c r="AD638" s="80"/>
      <c r="AE638" s="80"/>
      <c r="AF638" s="80"/>
      <c r="AG638" s="80"/>
      <c r="AH638" s="80"/>
      <c r="AI638" s="80"/>
    </row>
    <row r="639" spans="1:35" x14ac:dyDescent="0.2">
      <c r="A639" s="2"/>
      <c r="B639" s="80"/>
      <c r="C639" s="80"/>
      <c r="D639" s="80"/>
      <c r="E639" s="80"/>
      <c r="F639" s="80"/>
      <c r="G639" s="80"/>
      <c r="H639" s="80"/>
      <c r="I639" s="80"/>
      <c r="J639" s="80"/>
      <c r="K639" s="80"/>
      <c r="L639" s="2"/>
      <c r="M639" s="2"/>
      <c r="N639" s="2"/>
      <c r="O639" s="2"/>
      <c r="P639" s="2"/>
      <c r="Q639" s="2"/>
      <c r="R639" s="80"/>
      <c r="S639" s="80"/>
      <c r="T639" s="80"/>
      <c r="U639" s="80"/>
      <c r="V639" s="80"/>
      <c r="W639" s="80"/>
      <c r="X639" s="80"/>
      <c r="Y639" s="80"/>
      <c r="Z639" s="80"/>
      <c r="AA639" s="80"/>
      <c r="AB639" s="80"/>
      <c r="AC639" s="80"/>
      <c r="AD639" s="80"/>
      <c r="AE639" s="80"/>
      <c r="AF639" s="80"/>
      <c r="AG639" s="80"/>
      <c r="AH639" s="80"/>
      <c r="AI639" s="80"/>
    </row>
    <row r="640" spans="1:35" x14ac:dyDescent="0.2">
      <c r="A640" s="2"/>
      <c r="B640" s="80"/>
      <c r="C640" s="80"/>
      <c r="D640" s="80"/>
      <c r="E640" s="80"/>
      <c r="F640" s="80"/>
      <c r="G640" s="80"/>
      <c r="H640" s="80"/>
      <c r="I640" s="80"/>
      <c r="J640" s="80"/>
      <c r="K640" s="80"/>
      <c r="L640" s="2"/>
      <c r="M640" s="2"/>
      <c r="N640" s="2"/>
      <c r="O640" s="2"/>
      <c r="P640" s="2"/>
      <c r="Q640" s="2"/>
      <c r="R640" s="80"/>
      <c r="S640" s="80"/>
      <c r="T640" s="80"/>
      <c r="U640" s="80"/>
      <c r="V640" s="80"/>
      <c r="W640" s="80"/>
      <c r="X640" s="80"/>
      <c r="Y640" s="80"/>
      <c r="Z640" s="80"/>
      <c r="AA640" s="80"/>
      <c r="AB640" s="80"/>
      <c r="AC640" s="80"/>
      <c r="AD640" s="80"/>
      <c r="AE640" s="80"/>
      <c r="AF640" s="80"/>
      <c r="AG640" s="80"/>
      <c r="AH640" s="80"/>
      <c r="AI640" s="80"/>
    </row>
    <row r="641" spans="1:35" x14ac:dyDescent="0.2">
      <c r="A641" s="2"/>
      <c r="B641" s="80"/>
      <c r="C641" s="80"/>
      <c r="D641" s="80"/>
      <c r="E641" s="80"/>
      <c r="F641" s="80"/>
      <c r="G641" s="80"/>
      <c r="H641" s="80"/>
      <c r="I641" s="80"/>
      <c r="J641" s="80"/>
      <c r="K641" s="80"/>
      <c r="L641" s="2"/>
      <c r="M641" s="2"/>
      <c r="N641" s="2"/>
      <c r="O641" s="2"/>
      <c r="P641" s="2"/>
      <c r="Q641" s="2"/>
      <c r="R641" s="80"/>
      <c r="S641" s="80"/>
      <c r="T641" s="80"/>
      <c r="U641" s="80"/>
      <c r="V641" s="80"/>
      <c r="W641" s="80"/>
      <c r="X641" s="80"/>
      <c r="Y641" s="80"/>
      <c r="Z641" s="80"/>
      <c r="AA641" s="80"/>
      <c r="AB641" s="80"/>
      <c r="AC641" s="80"/>
      <c r="AD641" s="80"/>
      <c r="AE641" s="80"/>
      <c r="AF641" s="80"/>
      <c r="AG641" s="80"/>
      <c r="AH641" s="80"/>
      <c r="AI641" s="80"/>
    </row>
    <row r="642" spans="1:35" x14ac:dyDescent="0.2">
      <c r="A642" s="2"/>
      <c r="B642" s="80"/>
      <c r="C642" s="80"/>
      <c r="D642" s="80"/>
      <c r="E642" s="80"/>
      <c r="F642" s="80"/>
      <c r="G642" s="80"/>
      <c r="H642" s="80"/>
      <c r="I642" s="80"/>
      <c r="J642" s="80"/>
      <c r="K642" s="80"/>
      <c r="L642" s="2"/>
      <c r="M642" s="2"/>
      <c r="N642" s="2"/>
      <c r="O642" s="2"/>
      <c r="P642" s="2"/>
      <c r="Q642" s="2"/>
      <c r="R642" s="80"/>
      <c r="S642" s="80"/>
      <c r="T642" s="80"/>
      <c r="U642" s="80"/>
      <c r="V642" s="80"/>
      <c r="W642" s="80"/>
      <c r="X642" s="80"/>
      <c r="Y642" s="80"/>
      <c r="Z642" s="80"/>
      <c r="AA642" s="80"/>
      <c r="AB642" s="80"/>
      <c r="AC642" s="80"/>
      <c r="AD642" s="80"/>
      <c r="AE642" s="80"/>
      <c r="AF642" s="80"/>
      <c r="AG642" s="80"/>
      <c r="AH642" s="80"/>
      <c r="AI642" s="80"/>
    </row>
    <row r="643" spans="1:35" x14ac:dyDescent="0.2">
      <c r="A643" s="2"/>
      <c r="B643" s="80"/>
      <c r="C643" s="80"/>
      <c r="D643" s="80"/>
      <c r="E643" s="80"/>
      <c r="F643" s="80"/>
      <c r="G643" s="80"/>
      <c r="H643" s="80"/>
      <c r="I643" s="80"/>
      <c r="J643" s="80"/>
      <c r="K643" s="80"/>
      <c r="L643" s="2"/>
      <c r="M643" s="2"/>
      <c r="N643" s="2"/>
      <c r="O643" s="2"/>
      <c r="P643" s="2"/>
      <c r="Q643" s="2"/>
      <c r="R643" s="80"/>
      <c r="S643" s="80"/>
      <c r="T643" s="80"/>
      <c r="U643" s="80"/>
      <c r="V643" s="80"/>
      <c r="W643" s="80"/>
      <c r="X643" s="80"/>
      <c r="Y643" s="80"/>
      <c r="Z643" s="80"/>
      <c r="AA643" s="80"/>
      <c r="AB643" s="80"/>
      <c r="AC643" s="80"/>
      <c r="AD643" s="80"/>
      <c r="AE643" s="80"/>
      <c r="AF643" s="80"/>
      <c r="AG643" s="80"/>
      <c r="AH643" s="80"/>
      <c r="AI643" s="80"/>
    </row>
    <row r="644" spans="1:35" x14ac:dyDescent="0.2">
      <c r="A644" s="2"/>
      <c r="B644" s="80"/>
      <c r="C644" s="80"/>
      <c r="D644" s="80"/>
      <c r="E644" s="80"/>
      <c r="F644" s="80"/>
      <c r="G644" s="80"/>
      <c r="H644" s="80"/>
      <c r="I644" s="80"/>
      <c r="J644" s="80"/>
      <c r="K644" s="80"/>
      <c r="L644" s="2"/>
      <c r="M644" s="2"/>
      <c r="N644" s="2"/>
      <c r="O644" s="2"/>
      <c r="P644" s="2"/>
      <c r="Q644" s="2"/>
      <c r="R644" s="80"/>
      <c r="S644" s="80"/>
      <c r="T644" s="80"/>
      <c r="U644" s="80"/>
      <c r="V644" s="80"/>
      <c r="W644" s="80"/>
      <c r="X644" s="80"/>
      <c r="Y644" s="80"/>
      <c r="Z644" s="80"/>
      <c r="AA644" s="80"/>
      <c r="AB644" s="80"/>
      <c r="AC644" s="80"/>
      <c r="AD644" s="80"/>
      <c r="AE644" s="80"/>
      <c r="AF644" s="80"/>
      <c r="AG644" s="80"/>
      <c r="AH644" s="80"/>
      <c r="AI644" s="80"/>
    </row>
    <row r="645" spans="1:35" x14ac:dyDescent="0.2">
      <c r="A645" s="2"/>
      <c r="B645" s="80"/>
      <c r="C645" s="80"/>
      <c r="D645" s="80"/>
      <c r="E645" s="80"/>
      <c r="F645" s="80"/>
      <c r="G645" s="80"/>
      <c r="H645" s="80"/>
      <c r="I645" s="80"/>
      <c r="J645" s="80"/>
      <c r="K645" s="80"/>
      <c r="L645" s="2"/>
      <c r="M645" s="2"/>
      <c r="N645" s="2"/>
      <c r="O645" s="2"/>
      <c r="P645" s="2"/>
      <c r="Q645" s="2"/>
      <c r="R645" s="80"/>
      <c r="S645" s="80"/>
      <c r="T645" s="80"/>
      <c r="U645" s="80"/>
      <c r="V645" s="80"/>
      <c r="W645" s="80"/>
      <c r="X645" s="80"/>
      <c r="Y645" s="80"/>
      <c r="Z645" s="80"/>
      <c r="AA645" s="80"/>
      <c r="AB645" s="80"/>
      <c r="AC645" s="80"/>
      <c r="AD645" s="80"/>
      <c r="AE645" s="80"/>
      <c r="AF645" s="80"/>
      <c r="AG645" s="80"/>
      <c r="AH645" s="80"/>
      <c r="AI645" s="80"/>
    </row>
    <row r="646" spans="1:35" x14ac:dyDescent="0.2">
      <c r="A646" s="2"/>
      <c r="B646" s="80"/>
      <c r="C646" s="80"/>
      <c r="D646" s="80"/>
      <c r="E646" s="80"/>
      <c r="F646" s="80"/>
      <c r="G646" s="80"/>
      <c r="H646" s="80"/>
      <c r="I646" s="80"/>
      <c r="J646" s="80"/>
      <c r="K646" s="80"/>
      <c r="L646" s="2"/>
      <c r="M646" s="2"/>
      <c r="N646" s="2"/>
      <c r="O646" s="2"/>
      <c r="P646" s="2"/>
      <c r="Q646" s="2"/>
      <c r="R646" s="80"/>
      <c r="S646" s="80"/>
      <c r="T646" s="80"/>
      <c r="U646" s="80"/>
      <c r="V646" s="80"/>
      <c r="W646" s="80"/>
      <c r="X646" s="80"/>
      <c r="Y646" s="80"/>
      <c r="Z646" s="80"/>
      <c r="AA646" s="80"/>
      <c r="AB646" s="80"/>
      <c r="AC646" s="80"/>
      <c r="AD646" s="80"/>
      <c r="AE646" s="80"/>
      <c r="AF646" s="80"/>
      <c r="AG646" s="80"/>
      <c r="AH646" s="80"/>
      <c r="AI646" s="80"/>
    </row>
    <row r="647" spans="1:35" x14ac:dyDescent="0.2">
      <c r="A647" s="2"/>
      <c r="B647" s="80"/>
      <c r="C647" s="80"/>
      <c r="D647" s="80"/>
      <c r="E647" s="80"/>
      <c r="F647" s="80"/>
      <c r="G647" s="80"/>
      <c r="H647" s="80"/>
      <c r="I647" s="80"/>
      <c r="J647" s="80"/>
      <c r="K647" s="80"/>
      <c r="L647" s="2"/>
      <c r="M647" s="2"/>
      <c r="N647" s="2"/>
      <c r="O647" s="2"/>
      <c r="P647" s="2"/>
      <c r="Q647" s="2"/>
      <c r="R647" s="80"/>
      <c r="S647" s="80"/>
      <c r="T647" s="80"/>
      <c r="U647" s="80"/>
      <c r="V647" s="80"/>
      <c r="W647" s="80"/>
      <c r="X647" s="80"/>
      <c r="Y647" s="80"/>
      <c r="Z647" s="80"/>
      <c r="AA647" s="80"/>
      <c r="AB647" s="80"/>
      <c r="AC647" s="80"/>
      <c r="AD647" s="80"/>
      <c r="AE647" s="80"/>
      <c r="AF647" s="80"/>
      <c r="AG647" s="80"/>
      <c r="AH647" s="80"/>
      <c r="AI647" s="80"/>
    </row>
    <row r="648" spans="1:35" x14ac:dyDescent="0.2">
      <c r="A648" s="2"/>
      <c r="B648" s="80"/>
      <c r="C648" s="80"/>
      <c r="D648" s="80"/>
      <c r="E648" s="80"/>
      <c r="F648" s="80"/>
      <c r="G648" s="80"/>
      <c r="H648" s="80"/>
      <c r="I648" s="80"/>
      <c r="J648" s="80"/>
      <c r="K648" s="80"/>
      <c r="L648" s="2"/>
      <c r="M648" s="2"/>
      <c r="N648" s="2"/>
      <c r="O648" s="2"/>
      <c r="P648" s="2"/>
      <c r="Q648" s="2"/>
      <c r="R648" s="80"/>
      <c r="S648" s="80"/>
      <c r="T648" s="80"/>
      <c r="U648" s="80"/>
      <c r="V648" s="80"/>
      <c r="W648" s="80"/>
      <c r="X648" s="80"/>
      <c r="Y648" s="80"/>
      <c r="Z648" s="80"/>
      <c r="AA648" s="80"/>
      <c r="AB648" s="80"/>
      <c r="AC648" s="80"/>
      <c r="AD648" s="80"/>
      <c r="AE648" s="80"/>
      <c r="AF648" s="80"/>
      <c r="AG648" s="80"/>
      <c r="AH648" s="80"/>
      <c r="AI648" s="80"/>
    </row>
    <row r="649" spans="1:35" x14ac:dyDescent="0.2">
      <c r="A649" s="2"/>
      <c r="B649" s="80"/>
      <c r="C649" s="80"/>
      <c r="D649" s="80"/>
      <c r="E649" s="80"/>
      <c r="F649" s="80"/>
      <c r="G649" s="80"/>
      <c r="H649" s="80"/>
      <c r="I649" s="80"/>
      <c r="J649" s="80"/>
      <c r="K649" s="80"/>
      <c r="L649" s="2"/>
      <c r="M649" s="2"/>
      <c r="N649" s="2"/>
      <c r="O649" s="2"/>
      <c r="P649" s="2"/>
      <c r="Q649" s="2"/>
      <c r="R649" s="80"/>
      <c r="S649" s="80"/>
      <c r="T649" s="80"/>
      <c r="U649" s="80"/>
      <c r="V649" s="80"/>
      <c r="W649" s="80"/>
      <c r="X649" s="80"/>
      <c r="Y649" s="80"/>
      <c r="Z649" s="80"/>
      <c r="AA649" s="80"/>
      <c r="AB649" s="80"/>
      <c r="AC649" s="80"/>
      <c r="AD649" s="80"/>
      <c r="AE649" s="80"/>
      <c r="AF649" s="80"/>
      <c r="AG649" s="80"/>
      <c r="AH649" s="80"/>
      <c r="AI649" s="80"/>
    </row>
    <row r="650" spans="1:35" x14ac:dyDescent="0.2">
      <c r="A650" s="2"/>
      <c r="B650" s="80"/>
      <c r="C650" s="80"/>
      <c r="D650" s="80"/>
      <c r="E650" s="80"/>
      <c r="F650" s="80"/>
      <c r="G650" s="80"/>
      <c r="H650" s="80"/>
      <c r="I650" s="80"/>
      <c r="J650" s="80"/>
      <c r="K650" s="80"/>
      <c r="L650" s="2"/>
      <c r="M650" s="2"/>
      <c r="N650" s="2"/>
      <c r="O650" s="2"/>
      <c r="P650" s="2"/>
      <c r="Q650" s="2"/>
      <c r="R650" s="80"/>
      <c r="S650" s="80"/>
      <c r="T650" s="80"/>
      <c r="U650" s="80"/>
      <c r="V650" s="80"/>
      <c r="W650" s="80"/>
      <c r="X650" s="80"/>
      <c r="Y650" s="80"/>
      <c r="Z650" s="80"/>
      <c r="AA650" s="80"/>
      <c r="AB650" s="80"/>
      <c r="AC650" s="80"/>
      <c r="AD650" s="80"/>
      <c r="AE650" s="80"/>
      <c r="AF650" s="80"/>
      <c r="AG650" s="80"/>
      <c r="AH650" s="80"/>
      <c r="AI650" s="80"/>
    </row>
    <row r="651" spans="1:35" x14ac:dyDescent="0.2">
      <c r="A651" s="2"/>
      <c r="B651" s="80"/>
      <c r="C651" s="80"/>
      <c r="D651" s="80"/>
      <c r="E651" s="80"/>
      <c r="F651" s="80"/>
      <c r="G651" s="80"/>
      <c r="H651" s="80"/>
      <c r="I651" s="80"/>
      <c r="J651" s="80"/>
      <c r="K651" s="80"/>
      <c r="L651" s="2"/>
      <c r="M651" s="2"/>
      <c r="N651" s="2"/>
      <c r="O651" s="2"/>
      <c r="P651" s="2"/>
      <c r="Q651" s="2"/>
      <c r="R651" s="80"/>
      <c r="S651" s="80"/>
      <c r="T651" s="80"/>
      <c r="U651" s="80"/>
      <c r="V651" s="80"/>
      <c r="W651" s="80"/>
      <c r="X651" s="80"/>
      <c r="Y651" s="80"/>
      <c r="Z651" s="80"/>
      <c r="AA651" s="80"/>
      <c r="AB651" s="80"/>
      <c r="AC651" s="80"/>
      <c r="AD651" s="80"/>
      <c r="AE651" s="80"/>
      <c r="AF651" s="80"/>
      <c r="AG651" s="80"/>
      <c r="AH651" s="80"/>
      <c r="AI651" s="80"/>
    </row>
    <row r="652" spans="1:35" x14ac:dyDescent="0.2">
      <c r="A652" s="2"/>
      <c r="B652" s="80"/>
      <c r="C652" s="80"/>
      <c r="D652" s="80"/>
      <c r="E652" s="80"/>
      <c r="F652" s="80"/>
      <c r="G652" s="80"/>
      <c r="H652" s="80"/>
      <c r="I652" s="80"/>
      <c r="J652" s="80"/>
      <c r="K652" s="80"/>
      <c r="L652" s="2"/>
      <c r="M652" s="2"/>
      <c r="N652" s="2"/>
      <c r="O652" s="2"/>
      <c r="P652" s="2"/>
      <c r="Q652" s="2"/>
      <c r="R652" s="80"/>
      <c r="S652" s="80"/>
      <c r="T652" s="80"/>
      <c r="U652" s="80"/>
      <c r="V652" s="80"/>
      <c r="W652" s="80"/>
      <c r="X652" s="80"/>
      <c r="Y652" s="80"/>
      <c r="Z652" s="80"/>
      <c r="AA652" s="80"/>
      <c r="AB652" s="80"/>
      <c r="AC652" s="80"/>
      <c r="AD652" s="80"/>
      <c r="AE652" s="80"/>
      <c r="AF652" s="80"/>
      <c r="AG652" s="80"/>
      <c r="AH652" s="80"/>
      <c r="AI652" s="80"/>
    </row>
    <row r="653" spans="1:35" x14ac:dyDescent="0.2">
      <c r="A653" s="2"/>
      <c r="B653" s="80"/>
      <c r="C653" s="80"/>
      <c r="D653" s="80"/>
      <c r="E653" s="80"/>
      <c r="F653" s="80"/>
      <c r="G653" s="80"/>
      <c r="H653" s="80"/>
      <c r="I653" s="80"/>
      <c r="J653" s="80"/>
      <c r="K653" s="80"/>
      <c r="L653" s="2"/>
      <c r="M653" s="2"/>
      <c r="N653" s="2"/>
      <c r="O653" s="2"/>
      <c r="P653" s="2"/>
      <c r="Q653" s="2"/>
      <c r="R653" s="80"/>
      <c r="S653" s="80"/>
      <c r="T653" s="80"/>
      <c r="U653" s="80"/>
      <c r="V653" s="80"/>
      <c r="W653" s="80"/>
      <c r="X653" s="80"/>
      <c r="Y653" s="80"/>
      <c r="Z653" s="80"/>
      <c r="AA653" s="80"/>
      <c r="AB653" s="80"/>
      <c r="AC653" s="80"/>
      <c r="AD653" s="80"/>
      <c r="AE653" s="80"/>
      <c r="AF653" s="80"/>
      <c r="AG653" s="80"/>
      <c r="AH653" s="80"/>
      <c r="AI653" s="80"/>
    </row>
    <row r="654" spans="1:35" x14ac:dyDescent="0.2">
      <c r="A654" s="2"/>
      <c r="B654" s="80"/>
      <c r="C654" s="80"/>
      <c r="D654" s="80"/>
      <c r="E654" s="80"/>
      <c r="F654" s="80"/>
      <c r="G654" s="80"/>
      <c r="H654" s="80"/>
      <c r="I654" s="80"/>
      <c r="J654" s="80"/>
      <c r="K654" s="80"/>
      <c r="L654" s="2"/>
      <c r="M654" s="2"/>
      <c r="N654" s="2"/>
      <c r="O654" s="2"/>
      <c r="P654" s="2"/>
      <c r="Q654" s="2"/>
      <c r="R654" s="80"/>
      <c r="S654" s="80"/>
      <c r="T654" s="80"/>
      <c r="U654" s="80"/>
      <c r="V654" s="80"/>
      <c r="W654" s="80"/>
      <c r="X654" s="80"/>
      <c r="Y654" s="80"/>
      <c r="Z654" s="80"/>
      <c r="AA654" s="80"/>
      <c r="AB654" s="80"/>
      <c r="AC654" s="80"/>
      <c r="AD654" s="80"/>
      <c r="AE654" s="80"/>
      <c r="AF654" s="80"/>
      <c r="AG654" s="80"/>
      <c r="AH654" s="80"/>
      <c r="AI654" s="80"/>
    </row>
    <row r="655" spans="1:35" x14ac:dyDescent="0.2">
      <c r="A655" s="2"/>
      <c r="B655" s="80"/>
      <c r="C655" s="80"/>
      <c r="D655" s="80"/>
      <c r="E655" s="80"/>
      <c r="F655" s="80"/>
      <c r="G655" s="80"/>
      <c r="H655" s="80"/>
      <c r="I655" s="80"/>
      <c r="J655" s="80"/>
      <c r="K655" s="80"/>
      <c r="L655" s="2"/>
      <c r="M655" s="2"/>
      <c r="N655" s="2"/>
      <c r="O655" s="2"/>
      <c r="P655" s="2"/>
      <c r="Q655" s="2"/>
      <c r="R655" s="80"/>
      <c r="S655" s="80"/>
      <c r="T655" s="80"/>
      <c r="U655" s="80"/>
      <c r="V655" s="80"/>
      <c r="W655" s="80"/>
      <c r="X655" s="80"/>
      <c r="Y655" s="80"/>
      <c r="Z655" s="80"/>
      <c r="AA655" s="80"/>
      <c r="AB655" s="80"/>
      <c r="AC655" s="80"/>
      <c r="AD655" s="80"/>
      <c r="AE655" s="80"/>
      <c r="AF655" s="80"/>
      <c r="AG655" s="80"/>
      <c r="AH655" s="80"/>
      <c r="AI655" s="80"/>
    </row>
    <row r="656" spans="1:35" x14ac:dyDescent="0.2">
      <c r="A656" s="2"/>
      <c r="B656" s="80"/>
      <c r="C656" s="80"/>
      <c r="D656" s="80"/>
      <c r="E656" s="80"/>
      <c r="F656" s="80"/>
      <c r="G656" s="80"/>
      <c r="H656" s="80"/>
      <c r="I656" s="80"/>
      <c r="J656" s="80"/>
      <c r="K656" s="80"/>
      <c r="L656" s="2"/>
      <c r="M656" s="2"/>
      <c r="N656" s="2"/>
      <c r="O656" s="2"/>
      <c r="P656" s="2"/>
      <c r="Q656" s="2"/>
      <c r="R656" s="80"/>
      <c r="S656" s="80"/>
      <c r="T656" s="80"/>
      <c r="U656" s="80"/>
      <c r="V656" s="80"/>
      <c r="W656" s="80"/>
      <c r="X656" s="80"/>
      <c r="Y656" s="80"/>
      <c r="Z656" s="80"/>
      <c r="AA656" s="80"/>
      <c r="AB656" s="80"/>
      <c r="AC656" s="80"/>
      <c r="AD656" s="80"/>
      <c r="AE656" s="80"/>
      <c r="AF656" s="80"/>
      <c r="AG656" s="80"/>
      <c r="AH656" s="80"/>
      <c r="AI656" s="80"/>
    </row>
    <row r="657" spans="1:35" x14ac:dyDescent="0.2">
      <c r="A657" s="2"/>
      <c r="B657" s="80"/>
      <c r="C657" s="80"/>
      <c r="D657" s="80"/>
      <c r="E657" s="80"/>
      <c r="F657" s="80"/>
      <c r="G657" s="80"/>
      <c r="H657" s="80"/>
      <c r="I657" s="80"/>
      <c r="J657" s="80"/>
      <c r="K657" s="80"/>
      <c r="L657" s="2"/>
      <c r="M657" s="2"/>
      <c r="N657" s="2"/>
      <c r="O657" s="2"/>
      <c r="P657" s="2"/>
      <c r="Q657" s="2"/>
      <c r="R657" s="80"/>
      <c r="S657" s="80"/>
      <c r="T657" s="80"/>
      <c r="U657" s="80"/>
      <c r="V657" s="80"/>
      <c r="W657" s="80"/>
      <c r="X657" s="80"/>
      <c r="Y657" s="80"/>
      <c r="Z657" s="80"/>
      <c r="AA657" s="80"/>
      <c r="AB657" s="80"/>
      <c r="AC657" s="80"/>
      <c r="AD657" s="80"/>
      <c r="AE657" s="80"/>
      <c r="AF657" s="80"/>
      <c r="AG657" s="80"/>
      <c r="AH657" s="80"/>
      <c r="AI657" s="80"/>
    </row>
    <row r="658" spans="1:35" x14ac:dyDescent="0.2">
      <c r="A658" s="2"/>
      <c r="B658" s="80"/>
      <c r="C658" s="80"/>
      <c r="D658" s="80"/>
      <c r="E658" s="80"/>
      <c r="F658" s="80"/>
      <c r="G658" s="80"/>
      <c r="H658" s="80"/>
      <c r="I658" s="80"/>
      <c r="J658" s="80"/>
      <c r="K658" s="80"/>
      <c r="L658" s="2"/>
      <c r="M658" s="2"/>
      <c r="N658" s="2"/>
      <c r="O658" s="2"/>
      <c r="P658" s="2"/>
      <c r="Q658" s="2"/>
      <c r="R658" s="80"/>
      <c r="S658" s="80"/>
      <c r="T658" s="80"/>
      <c r="U658" s="80"/>
      <c r="V658" s="80"/>
      <c r="W658" s="80"/>
      <c r="X658" s="80"/>
      <c r="Y658" s="80"/>
      <c r="Z658" s="80"/>
      <c r="AA658" s="80"/>
      <c r="AB658" s="80"/>
      <c r="AC658" s="80"/>
      <c r="AD658" s="80"/>
      <c r="AE658" s="80"/>
      <c r="AF658" s="80"/>
      <c r="AG658" s="80"/>
      <c r="AH658" s="80"/>
      <c r="AI658" s="80"/>
    </row>
    <row r="659" spans="1:35" x14ac:dyDescent="0.2">
      <c r="A659" s="2"/>
      <c r="B659" s="80"/>
      <c r="C659" s="80"/>
      <c r="D659" s="80"/>
      <c r="E659" s="80"/>
      <c r="F659" s="80"/>
      <c r="G659" s="80"/>
      <c r="H659" s="80"/>
      <c r="I659" s="80"/>
      <c r="J659" s="80"/>
      <c r="K659" s="80"/>
      <c r="L659" s="2"/>
      <c r="M659" s="2"/>
      <c r="N659" s="2"/>
      <c r="O659" s="2"/>
      <c r="P659" s="2"/>
      <c r="Q659" s="2"/>
      <c r="R659" s="80"/>
      <c r="S659" s="80"/>
      <c r="T659" s="80"/>
      <c r="U659" s="80"/>
      <c r="V659" s="80"/>
      <c r="W659" s="80"/>
      <c r="X659" s="80"/>
      <c r="Y659" s="80"/>
      <c r="Z659" s="80"/>
      <c r="AA659" s="80"/>
      <c r="AB659" s="80"/>
      <c r="AC659" s="80"/>
      <c r="AD659" s="80"/>
      <c r="AE659" s="80"/>
      <c r="AF659" s="80"/>
      <c r="AG659" s="80"/>
      <c r="AH659" s="80"/>
      <c r="AI659" s="80"/>
    </row>
    <row r="660" spans="1:35" x14ac:dyDescent="0.2">
      <c r="A660" s="2"/>
      <c r="B660" s="80"/>
      <c r="C660" s="80"/>
      <c r="D660" s="80"/>
      <c r="E660" s="80"/>
      <c r="F660" s="80"/>
      <c r="G660" s="80"/>
      <c r="H660" s="80"/>
      <c r="I660" s="80"/>
      <c r="J660" s="80"/>
      <c r="K660" s="80"/>
      <c r="L660" s="2"/>
      <c r="M660" s="2"/>
      <c r="N660" s="2"/>
      <c r="O660" s="2"/>
      <c r="P660" s="2"/>
      <c r="Q660" s="2"/>
      <c r="R660" s="80"/>
      <c r="S660" s="80"/>
      <c r="T660" s="80"/>
      <c r="U660" s="80"/>
      <c r="V660" s="80"/>
      <c r="W660" s="80"/>
      <c r="X660" s="80"/>
      <c r="Y660" s="80"/>
      <c r="Z660" s="80"/>
      <c r="AA660" s="80"/>
      <c r="AB660" s="80"/>
      <c r="AC660" s="80"/>
      <c r="AD660" s="80"/>
      <c r="AE660" s="80"/>
      <c r="AF660" s="80"/>
      <c r="AG660" s="80"/>
      <c r="AH660" s="80"/>
      <c r="AI660" s="80"/>
    </row>
    <row r="661" spans="1:35" x14ac:dyDescent="0.2">
      <c r="A661" s="2"/>
      <c r="B661" s="80"/>
      <c r="C661" s="80"/>
      <c r="D661" s="80"/>
      <c r="E661" s="80"/>
      <c r="F661" s="80"/>
      <c r="G661" s="80"/>
      <c r="H661" s="80"/>
      <c r="I661" s="80"/>
      <c r="J661" s="80"/>
      <c r="K661" s="80"/>
      <c r="L661" s="2"/>
      <c r="M661" s="2"/>
      <c r="N661" s="2"/>
      <c r="O661" s="2"/>
      <c r="P661" s="2"/>
      <c r="Q661" s="2"/>
      <c r="R661" s="80"/>
      <c r="S661" s="80"/>
      <c r="T661" s="80"/>
      <c r="U661" s="80"/>
      <c r="V661" s="80"/>
      <c r="W661" s="80"/>
      <c r="X661" s="80"/>
      <c r="Y661" s="80"/>
      <c r="Z661" s="80"/>
      <c r="AA661" s="80"/>
      <c r="AB661" s="80"/>
      <c r="AC661" s="80"/>
      <c r="AD661" s="80"/>
      <c r="AE661" s="80"/>
      <c r="AF661" s="80"/>
      <c r="AG661" s="80"/>
      <c r="AH661" s="80"/>
      <c r="AI661" s="80"/>
    </row>
    <row r="662" spans="1:35" x14ac:dyDescent="0.2">
      <c r="A662" s="2"/>
      <c r="B662" s="80"/>
      <c r="C662" s="80"/>
      <c r="D662" s="80"/>
      <c r="E662" s="80"/>
      <c r="F662" s="80"/>
      <c r="G662" s="80"/>
      <c r="H662" s="80"/>
      <c r="I662" s="80"/>
      <c r="J662" s="80"/>
      <c r="K662" s="80"/>
      <c r="L662" s="2"/>
      <c r="M662" s="2"/>
      <c r="N662" s="2"/>
      <c r="O662" s="2"/>
      <c r="P662" s="2"/>
      <c r="Q662" s="2"/>
      <c r="R662" s="80"/>
      <c r="S662" s="80"/>
      <c r="T662" s="80"/>
      <c r="U662" s="80"/>
      <c r="V662" s="80"/>
      <c r="W662" s="80"/>
      <c r="X662" s="80"/>
      <c r="Y662" s="80"/>
      <c r="Z662" s="80"/>
      <c r="AA662" s="80"/>
      <c r="AB662" s="80"/>
      <c r="AC662" s="80"/>
      <c r="AD662" s="80"/>
      <c r="AE662" s="80"/>
      <c r="AF662" s="80"/>
      <c r="AG662" s="80"/>
      <c r="AH662" s="80"/>
      <c r="AI662" s="80"/>
    </row>
    <row r="663" spans="1:35" x14ac:dyDescent="0.2">
      <c r="A663" s="2"/>
      <c r="B663" s="80"/>
      <c r="C663" s="80"/>
      <c r="D663" s="80"/>
      <c r="E663" s="80"/>
      <c r="F663" s="80"/>
      <c r="G663" s="80"/>
      <c r="H663" s="80"/>
      <c r="I663" s="80"/>
      <c r="J663" s="80"/>
      <c r="K663" s="80"/>
      <c r="L663" s="2"/>
      <c r="M663" s="2"/>
      <c r="N663" s="2"/>
      <c r="O663" s="2"/>
      <c r="P663" s="2"/>
      <c r="Q663" s="2"/>
      <c r="R663" s="80"/>
      <c r="S663" s="80"/>
      <c r="T663" s="80"/>
      <c r="U663" s="80"/>
      <c r="V663" s="80"/>
      <c r="W663" s="80"/>
      <c r="X663" s="80"/>
      <c r="Y663" s="80"/>
      <c r="Z663" s="80"/>
      <c r="AA663" s="80"/>
      <c r="AB663" s="80"/>
      <c r="AC663" s="80"/>
      <c r="AD663" s="80"/>
      <c r="AE663" s="80"/>
      <c r="AF663" s="80"/>
      <c r="AG663" s="80"/>
      <c r="AH663" s="80"/>
      <c r="AI663" s="80"/>
    </row>
    <row r="664" spans="1:35" x14ac:dyDescent="0.2">
      <c r="A664" s="2"/>
      <c r="B664" s="80"/>
      <c r="C664" s="80"/>
      <c r="D664" s="80"/>
      <c r="E664" s="80"/>
      <c r="F664" s="80"/>
      <c r="G664" s="80"/>
      <c r="H664" s="80"/>
      <c r="I664" s="80"/>
      <c r="J664" s="80"/>
      <c r="K664" s="80"/>
      <c r="L664" s="2"/>
      <c r="M664" s="2"/>
      <c r="N664" s="2"/>
      <c r="O664" s="2"/>
      <c r="P664" s="2"/>
      <c r="Q664" s="2"/>
      <c r="R664" s="80"/>
      <c r="S664" s="80"/>
      <c r="T664" s="80"/>
      <c r="U664" s="80"/>
      <c r="V664" s="80"/>
      <c r="W664" s="80"/>
      <c r="X664" s="80"/>
      <c r="Y664" s="80"/>
      <c r="Z664" s="80"/>
      <c r="AA664" s="80"/>
      <c r="AB664" s="80"/>
      <c r="AC664" s="80"/>
      <c r="AD664" s="80"/>
      <c r="AE664" s="80"/>
      <c r="AF664" s="80"/>
      <c r="AG664" s="80"/>
      <c r="AH664" s="80"/>
      <c r="AI664" s="80"/>
    </row>
    <row r="665" spans="1:35" x14ac:dyDescent="0.2">
      <c r="A665" s="2"/>
      <c r="B665" s="80"/>
      <c r="C665" s="80"/>
      <c r="D665" s="80"/>
      <c r="E665" s="80"/>
      <c r="F665" s="80"/>
      <c r="G665" s="80"/>
      <c r="H665" s="80"/>
      <c r="I665" s="80"/>
      <c r="J665" s="80"/>
      <c r="K665" s="80"/>
      <c r="L665" s="2"/>
      <c r="M665" s="2"/>
      <c r="N665" s="2"/>
      <c r="O665" s="2"/>
      <c r="P665" s="2"/>
      <c r="Q665" s="2"/>
      <c r="R665" s="80"/>
      <c r="S665" s="80"/>
      <c r="T665" s="80"/>
      <c r="U665" s="80"/>
      <c r="V665" s="80"/>
      <c r="W665" s="80"/>
      <c r="X665" s="80"/>
      <c r="Y665" s="80"/>
      <c r="Z665" s="80"/>
      <c r="AA665" s="80"/>
      <c r="AB665" s="80"/>
      <c r="AC665" s="80"/>
      <c r="AD665" s="80"/>
      <c r="AE665" s="80"/>
      <c r="AF665" s="80"/>
      <c r="AG665" s="80"/>
      <c r="AH665" s="80"/>
      <c r="AI665" s="80"/>
    </row>
    <row r="666" spans="1:35" x14ac:dyDescent="0.2">
      <c r="A666" s="2"/>
      <c r="B666" s="80"/>
      <c r="C666" s="80"/>
      <c r="D666" s="80"/>
      <c r="E666" s="80"/>
      <c r="F666" s="80"/>
      <c r="G666" s="80"/>
      <c r="H666" s="80"/>
      <c r="I666" s="80"/>
      <c r="J666" s="80"/>
      <c r="K666" s="80"/>
      <c r="L666" s="2"/>
      <c r="M666" s="2"/>
      <c r="N666" s="2"/>
      <c r="O666" s="2"/>
      <c r="P666" s="2"/>
      <c r="Q666" s="2"/>
      <c r="R666" s="80"/>
      <c r="S666" s="80"/>
      <c r="T666" s="80"/>
      <c r="U666" s="80"/>
      <c r="V666" s="80"/>
      <c r="W666" s="80"/>
      <c r="X666" s="80"/>
      <c r="Y666" s="80"/>
      <c r="Z666" s="80"/>
      <c r="AA666" s="80"/>
      <c r="AB666" s="80"/>
      <c r="AC666" s="80"/>
      <c r="AD666" s="80"/>
      <c r="AE666" s="80"/>
      <c r="AF666" s="80"/>
      <c r="AG666" s="80"/>
      <c r="AH666" s="80"/>
      <c r="AI666" s="80"/>
    </row>
    <row r="667" spans="1:35" x14ac:dyDescent="0.2">
      <c r="A667" s="2"/>
      <c r="B667" s="80"/>
      <c r="C667" s="80"/>
      <c r="D667" s="80"/>
      <c r="E667" s="80"/>
      <c r="F667" s="80"/>
      <c r="G667" s="80"/>
      <c r="H667" s="80"/>
      <c r="I667" s="80"/>
      <c r="J667" s="80"/>
      <c r="K667" s="80"/>
      <c r="L667" s="2"/>
      <c r="M667" s="2"/>
      <c r="N667" s="2"/>
      <c r="O667" s="2"/>
      <c r="P667" s="2"/>
      <c r="Q667" s="2"/>
      <c r="R667" s="80"/>
      <c r="S667" s="80"/>
      <c r="T667" s="80"/>
      <c r="U667" s="80"/>
      <c r="V667" s="80"/>
      <c r="W667" s="80"/>
      <c r="X667" s="80"/>
      <c r="Y667" s="80"/>
      <c r="Z667" s="80"/>
      <c r="AA667" s="80"/>
      <c r="AB667" s="80"/>
      <c r="AC667" s="80"/>
      <c r="AD667" s="80"/>
      <c r="AE667" s="80"/>
      <c r="AF667" s="80"/>
      <c r="AG667" s="80"/>
      <c r="AH667" s="80"/>
      <c r="AI667" s="80"/>
    </row>
    <row r="668" spans="1:35" x14ac:dyDescent="0.2">
      <c r="A668" s="2"/>
      <c r="B668" s="80"/>
      <c r="C668" s="80"/>
      <c r="D668" s="80"/>
      <c r="E668" s="80"/>
      <c r="F668" s="80"/>
      <c r="G668" s="80"/>
      <c r="H668" s="80"/>
      <c r="I668" s="80"/>
      <c r="J668" s="80"/>
      <c r="K668" s="80"/>
      <c r="L668" s="2"/>
      <c r="M668" s="2"/>
      <c r="N668" s="2"/>
      <c r="O668" s="2"/>
      <c r="P668" s="2"/>
      <c r="Q668" s="2"/>
      <c r="R668" s="80"/>
      <c r="S668" s="80"/>
      <c r="T668" s="80"/>
      <c r="U668" s="80"/>
      <c r="V668" s="80"/>
      <c r="W668" s="80"/>
      <c r="X668" s="80"/>
      <c r="Y668" s="80"/>
      <c r="Z668" s="80"/>
      <c r="AA668" s="80"/>
      <c r="AB668" s="80"/>
      <c r="AC668" s="80"/>
      <c r="AD668" s="80"/>
      <c r="AE668" s="80"/>
      <c r="AF668" s="80"/>
      <c r="AG668" s="80"/>
      <c r="AH668" s="80"/>
      <c r="AI668" s="80"/>
    </row>
    <row r="669" spans="1:35" x14ac:dyDescent="0.2">
      <c r="A669" s="2"/>
      <c r="B669" s="80"/>
      <c r="C669" s="80"/>
      <c r="D669" s="80"/>
      <c r="E669" s="80"/>
      <c r="F669" s="80"/>
      <c r="G669" s="80"/>
      <c r="H669" s="80"/>
      <c r="I669" s="80"/>
      <c r="J669" s="80"/>
      <c r="K669" s="80"/>
      <c r="L669" s="2"/>
      <c r="M669" s="2"/>
      <c r="N669" s="2"/>
      <c r="O669" s="2"/>
      <c r="P669" s="2"/>
      <c r="Q669" s="2"/>
      <c r="R669" s="80"/>
      <c r="S669" s="80"/>
      <c r="T669" s="80"/>
      <c r="U669" s="80"/>
      <c r="V669" s="80"/>
      <c r="W669" s="80"/>
      <c r="X669" s="80"/>
      <c r="Y669" s="80"/>
      <c r="Z669" s="80"/>
      <c r="AA669" s="80"/>
      <c r="AB669" s="80"/>
      <c r="AC669" s="80"/>
      <c r="AD669" s="80"/>
      <c r="AE669" s="80"/>
      <c r="AF669" s="80"/>
      <c r="AG669" s="80"/>
      <c r="AH669" s="80"/>
      <c r="AI669" s="80"/>
    </row>
    <row r="670" spans="1:35" x14ac:dyDescent="0.2">
      <c r="A670" s="2"/>
      <c r="B670" s="80"/>
      <c r="C670" s="80"/>
      <c r="D670" s="80"/>
      <c r="E670" s="80"/>
      <c r="F670" s="80"/>
      <c r="G670" s="80"/>
      <c r="H670" s="80"/>
      <c r="I670" s="80"/>
      <c r="J670" s="80"/>
      <c r="K670" s="80"/>
      <c r="L670" s="2"/>
      <c r="M670" s="2"/>
      <c r="N670" s="2"/>
      <c r="O670" s="2"/>
      <c r="P670" s="2"/>
      <c r="Q670" s="2"/>
      <c r="R670" s="80"/>
      <c r="S670" s="80"/>
      <c r="T670" s="80"/>
      <c r="U670" s="80"/>
      <c r="V670" s="80"/>
      <c r="W670" s="80"/>
      <c r="X670" s="80"/>
      <c r="Y670" s="80"/>
      <c r="Z670" s="80"/>
      <c r="AA670" s="80"/>
      <c r="AB670" s="80"/>
      <c r="AC670" s="80"/>
      <c r="AD670" s="80"/>
      <c r="AE670" s="80"/>
      <c r="AF670" s="80"/>
      <c r="AG670" s="80"/>
      <c r="AH670" s="80"/>
      <c r="AI670" s="80"/>
    </row>
    <row r="671" spans="1:35" x14ac:dyDescent="0.2">
      <c r="A671" s="2"/>
      <c r="B671" s="80"/>
      <c r="C671" s="80"/>
      <c r="D671" s="80"/>
      <c r="E671" s="80"/>
      <c r="F671" s="80"/>
      <c r="G671" s="80"/>
      <c r="H671" s="80"/>
      <c r="I671" s="80"/>
      <c r="J671" s="80"/>
      <c r="K671" s="80"/>
      <c r="L671" s="2"/>
      <c r="M671" s="2"/>
      <c r="N671" s="2"/>
      <c r="O671" s="2"/>
      <c r="P671" s="2"/>
      <c r="Q671" s="2"/>
      <c r="R671" s="80"/>
      <c r="S671" s="80"/>
      <c r="T671" s="80"/>
      <c r="U671" s="80"/>
      <c r="V671" s="80"/>
      <c r="W671" s="80"/>
      <c r="X671" s="80"/>
      <c r="Y671" s="80"/>
      <c r="Z671" s="80"/>
      <c r="AA671" s="80"/>
      <c r="AB671" s="80"/>
      <c r="AC671" s="80"/>
      <c r="AD671" s="80"/>
      <c r="AE671" s="80"/>
      <c r="AF671" s="80"/>
      <c r="AG671" s="80"/>
      <c r="AH671" s="80"/>
      <c r="AI671" s="80"/>
    </row>
    <row r="672" spans="1:35" x14ac:dyDescent="0.2">
      <c r="A672" s="2"/>
      <c r="B672" s="80"/>
      <c r="C672" s="80"/>
      <c r="D672" s="80"/>
      <c r="E672" s="80"/>
      <c r="F672" s="80"/>
      <c r="G672" s="80"/>
      <c r="H672" s="80"/>
      <c r="I672" s="80"/>
      <c r="J672" s="80"/>
      <c r="K672" s="80"/>
      <c r="L672" s="2"/>
      <c r="M672" s="2"/>
      <c r="N672" s="2"/>
      <c r="O672" s="2"/>
      <c r="P672" s="2"/>
      <c r="Q672" s="2"/>
      <c r="R672" s="80"/>
      <c r="S672" s="80"/>
      <c r="T672" s="80"/>
      <c r="U672" s="80"/>
      <c r="V672" s="80"/>
      <c r="W672" s="80"/>
      <c r="X672" s="80"/>
      <c r="Y672" s="80"/>
      <c r="Z672" s="80"/>
      <c r="AA672" s="80"/>
      <c r="AB672" s="80"/>
      <c r="AC672" s="80"/>
      <c r="AD672" s="80"/>
      <c r="AE672" s="80"/>
      <c r="AF672" s="80"/>
      <c r="AG672" s="80"/>
      <c r="AH672" s="80"/>
      <c r="AI672" s="80"/>
    </row>
    <row r="673" spans="1:35" x14ac:dyDescent="0.2">
      <c r="A673" s="2"/>
      <c r="B673" s="80"/>
      <c r="C673" s="80"/>
      <c r="D673" s="80"/>
      <c r="E673" s="80"/>
      <c r="F673" s="80"/>
      <c r="G673" s="80"/>
      <c r="H673" s="80"/>
      <c r="I673" s="80"/>
      <c r="J673" s="80"/>
      <c r="K673" s="80"/>
      <c r="L673" s="2"/>
      <c r="M673" s="2"/>
      <c r="N673" s="2"/>
      <c r="O673" s="2"/>
      <c r="P673" s="2"/>
      <c r="Q673" s="2"/>
      <c r="R673" s="80"/>
      <c r="S673" s="80"/>
      <c r="T673" s="80"/>
      <c r="U673" s="80"/>
      <c r="V673" s="80"/>
      <c r="W673" s="80"/>
      <c r="X673" s="80"/>
      <c r="Y673" s="80"/>
      <c r="Z673" s="80"/>
      <c r="AA673" s="80"/>
      <c r="AB673" s="80"/>
      <c r="AC673" s="80"/>
      <c r="AD673" s="80"/>
      <c r="AE673" s="80"/>
      <c r="AF673" s="80"/>
      <c r="AG673" s="80"/>
      <c r="AH673" s="80"/>
      <c r="AI673" s="80"/>
    </row>
    <row r="674" spans="1:35" x14ac:dyDescent="0.2">
      <c r="A674" s="2"/>
      <c r="B674" s="80"/>
      <c r="C674" s="80"/>
      <c r="D674" s="80"/>
      <c r="E674" s="80"/>
      <c r="F674" s="80"/>
      <c r="G674" s="80"/>
      <c r="H674" s="80"/>
      <c r="I674" s="80"/>
      <c r="J674" s="80"/>
      <c r="K674" s="80"/>
      <c r="L674" s="2"/>
      <c r="M674" s="2"/>
      <c r="N674" s="2"/>
      <c r="O674" s="2"/>
      <c r="P674" s="2"/>
      <c r="Q674" s="2"/>
      <c r="R674" s="80"/>
      <c r="S674" s="80"/>
      <c r="T674" s="80"/>
      <c r="U674" s="80"/>
      <c r="V674" s="80"/>
      <c r="W674" s="80"/>
      <c r="X674" s="80"/>
      <c r="Y674" s="80"/>
      <c r="Z674" s="80"/>
      <c r="AA674" s="80"/>
      <c r="AB674" s="80"/>
      <c r="AC674" s="80"/>
      <c r="AD674" s="80"/>
      <c r="AE674" s="80"/>
      <c r="AF674" s="80"/>
      <c r="AG674" s="80"/>
      <c r="AH674" s="80"/>
      <c r="AI674" s="80"/>
    </row>
    <row r="675" spans="1:35" x14ac:dyDescent="0.2">
      <c r="A675" s="2"/>
      <c r="B675" s="80"/>
      <c r="C675" s="80"/>
      <c r="D675" s="80"/>
      <c r="E675" s="80"/>
      <c r="F675" s="80"/>
      <c r="G675" s="80"/>
      <c r="H675" s="80"/>
      <c r="I675" s="80"/>
      <c r="J675" s="80"/>
      <c r="K675" s="80"/>
      <c r="L675" s="2"/>
      <c r="M675" s="2"/>
      <c r="N675" s="2"/>
      <c r="O675" s="2"/>
      <c r="P675" s="2"/>
      <c r="Q675" s="2"/>
      <c r="R675" s="80"/>
      <c r="S675" s="80"/>
      <c r="T675" s="80"/>
      <c r="U675" s="80"/>
      <c r="V675" s="80"/>
      <c r="W675" s="80"/>
      <c r="X675" s="80"/>
      <c r="Y675" s="80"/>
      <c r="Z675" s="80"/>
      <c r="AA675" s="80"/>
      <c r="AB675" s="80"/>
      <c r="AC675" s="80"/>
      <c r="AD675" s="80"/>
      <c r="AE675" s="80"/>
      <c r="AF675" s="80"/>
      <c r="AG675" s="80"/>
      <c r="AH675" s="80"/>
      <c r="AI675" s="80"/>
    </row>
    <row r="676" spans="1:35" x14ac:dyDescent="0.2">
      <c r="A676" s="2"/>
      <c r="B676" s="80"/>
      <c r="C676" s="80"/>
      <c r="D676" s="80"/>
      <c r="E676" s="80"/>
      <c r="F676" s="80"/>
      <c r="G676" s="80"/>
      <c r="H676" s="80"/>
      <c r="I676" s="80"/>
      <c r="J676" s="80"/>
      <c r="K676" s="80"/>
      <c r="L676" s="2"/>
      <c r="M676" s="2"/>
      <c r="N676" s="2"/>
      <c r="O676" s="2"/>
      <c r="P676" s="2"/>
      <c r="Q676" s="2"/>
      <c r="R676" s="80"/>
      <c r="S676" s="80"/>
      <c r="T676" s="80"/>
      <c r="U676" s="80"/>
      <c r="V676" s="80"/>
      <c r="W676" s="80"/>
      <c r="X676" s="80"/>
      <c r="Y676" s="80"/>
      <c r="Z676" s="80"/>
      <c r="AA676" s="80"/>
      <c r="AB676" s="80"/>
      <c r="AC676" s="80"/>
      <c r="AD676" s="80"/>
      <c r="AE676" s="80"/>
      <c r="AF676" s="80"/>
      <c r="AG676" s="80"/>
      <c r="AH676" s="80"/>
      <c r="AI676" s="80"/>
    </row>
    <row r="677" spans="1:35" x14ac:dyDescent="0.2">
      <c r="A677" s="2"/>
      <c r="B677" s="80"/>
      <c r="C677" s="80"/>
      <c r="D677" s="80"/>
      <c r="E677" s="80"/>
      <c r="F677" s="80"/>
      <c r="G677" s="80"/>
      <c r="H677" s="80"/>
      <c r="I677" s="80"/>
      <c r="J677" s="80"/>
      <c r="K677" s="80"/>
      <c r="L677" s="2"/>
      <c r="M677" s="2"/>
      <c r="N677" s="2"/>
      <c r="O677" s="2"/>
      <c r="P677" s="2"/>
      <c r="Q677" s="2"/>
      <c r="R677" s="80"/>
      <c r="S677" s="80"/>
      <c r="T677" s="80"/>
      <c r="U677" s="80"/>
      <c r="V677" s="80"/>
      <c r="W677" s="80"/>
      <c r="X677" s="80"/>
      <c r="Y677" s="80"/>
      <c r="Z677" s="80"/>
      <c r="AA677" s="80"/>
      <c r="AB677" s="80"/>
      <c r="AC677" s="80"/>
      <c r="AD677" s="80"/>
      <c r="AE677" s="80"/>
      <c r="AF677" s="80"/>
      <c r="AG677" s="80"/>
      <c r="AH677" s="80"/>
      <c r="AI677" s="80"/>
    </row>
    <row r="678" spans="1:35" x14ac:dyDescent="0.2">
      <c r="A678" s="2"/>
      <c r="B678" s="80"/>
      <c r="C678" s="80"/>
      <c r="D678" s="80"/>
      <c r="E678" s="80"/>
      <c r="F678" s="80"/>
      <c r="G678" s="80"/>
      <c r="H678" s="80"/>
      <c r="I678" s="80"/>
      <c r="J678" s="80"/>
      <c r="K678" s="80"/>
      <c r="L678" s="2"/>
      <c r="M678" s="2"/>
      <c r="N678" s="2"/>
      <c r="O678" s="2"/>
      <c r="P678" s="2"/>
      <c r="Q678" s="2"/>
      <c r="R678" s="80"/>
      <c r="S678" s="80"/>
      <c r="T678" s="80"/>
      <c r="U678" s="80"/>
      <c r="V678" s="80"/>
      <c r="W678" s="80"/>
      <c r="X678" s="80"/>
      <c r="Y678" s="80"/>
      <c r="Z678" s="80"/>
      <c r="AA678" s="80"/>
      <c r="AB678" s="80"/>
      <c r="AC678" s="80"/>
      <c r="AD678" s="80"/>
      <c r="AE678" s="80"/>
      <c r="AF678" s="80"/>
      <c r="AG678" s="80"/>
      <c r="AH678" s="80"/>
      <c r="AI678" s="80"/>
    </row>
    <row r="679" spans="1:35" x14ac:dyDescent="0.2">
      <c r="A679" s="2"/>
      <c r="B679" s="80"/>
      <c r="C679" s="80"/>
      <c r="D679" s="80"/>
      <c r="E679" s="80"/>
      <c r="F679" s="80"/>
      <c r="G679" s="80"/>
      <c r="H679" s="80"/>
      <c r="I679" s="80"/>
      <c r="J679" s="80"/>
      <c r="K679" s="80"/>
      <c r="L679" s="2"/>
      <c r="M679" s="2"/>
      <c r="N679" s="2"/>
      <c r="O679" s="2"/>
      <c r="P679" s="2"/>
      <c r="Q679" s="2"/>
      <c r="R679" s="80"/>
      <c r="S679" s="80"/>
      <c r="T679" s="80"/>
      <c r="U679" s="80"/>
      <c r="V679" s="80"/>
      <c r="W679" s="80"/>
      <c r="X679" s="80"/>
      <c r="Y679" s="80"/>
      <c r="Z679" s="80"/>
      <c r="AA679" s="80"/>
      <c r="AB679" s="80"/>
      <c r="AC679" s="80"/>
      <c r="AD679" s="80"/>
      <c r="AE679" s="80"/>
      <c r="AF679" s="80"/>
      <c r="AG679" s="80"/>
      <c r="AH679" s="80"/>
      <c r="AI679" s="80"/>
    </row>
    <row r="680" spans="1:35" x14ac:dyDescent="0.2">
      <c r="A680" s="2"/>
      <c r="B680" s="80"/>
      <c r="C680" s="80"/>
      <c r="D680" s="80"/>
      <c r="E680" s="80"/>
      <c r="F680" s="80"/>
      <c r="G680" s="80"/>
      <c r="H680" s="80"/>
      <c r="I680" s="80"/>
      <c r="J680" s="80"/>
      <c r="K680" s="80"/>
      <c r="L680" s="2"/>
      <c r="M680" s="2"/>
      <c r="N680" s="2"/>
      <c r="O680" s="2"/>
      <c r="P680" s="2"/>
      <c r="Q680" s="2"/>
      <c r="R680" s="80"/>
      <c r="S680" s="80"/>
      <c r="T680" s="80"/>
      <c r="U680" s="80"/>
      <c r="V680" s="80"/>
      <c r="W680" s="80"/>
      <c r="X680" s="80"/>
      <c r="Y680" s="80"/>
      <c r="Z680" s="80"/>
      <c r="AA680" s="80"/>
      <c r="AB680" s="80"/>
      <c r="AC680" s="80"/>
      <c r="AD680" s="80"/>
      <c r="AE680" s="80"/>
      <c r="AF680" s="80"/>
      <c r="AG680" s="80"/>
      <c r="AH680" s="80"/>
      <c r="AI680" s="80"/>
    </row>
    <row r="681" spans="1:35" x14ac:dyDescent="0.2">
      <c r="A681" s="2"/>
      <c r="B681" s="80"/>
      <c r="C681" s="80"/>
      <c r="D681" s="80"/>
      <c r="E681" s="80"/>
      <c r="F681" s="80"/>
      <c r="G681" s="80"/>
      <c r="H681" s="80"/>
      <c r="I681" s="80"/>
      <c r="J681" s="80"/>
      <c r="K681" s="80"/>
      <c r="L681" s="2"/>
      <c r="M681" s="2"/>
      <c r="N681" s="2"/>
      <c r="O681" s="2"/>
      <c r="P681" s="2"/>
      <c r="Q681" s="2"/>
      <c r="R681" s="80"/>
      <c r="S681" s="80"/>
      <c r="T681" s="80"/>
      <c r="U681" s="80"/>
      <c r="V681" s="80"/>
      <c r="W681" s="80"/>
      <c r="X681" s="80"/>
      <c r="Y681" s="80"/>
      <c r="Z681" s="80"/>
      <c r="AA681" s="80"/>
      <c r="AB681" s="80"/>
      <c r="AC681" s="80"/>
      <c r="AD681" s="80"/>
      <c r="AE681" s="80"/>
      <c r="AF681" s="80"/>
      <c r="AG681" s="80"/>
      <c r="AH681" s="80"/>
      <c r="AI681" s="80"/>
    </row>
    <row r="682" spans="1:35" x14ac:dyDescent="0.2">
      <c r="A682" s="2"/>
      <c r="B682" s="80"/>
      <c r="C682" s="80"/>
      <c r="D682" s="80"/>
      <c r="E682" s="80"/>
      <c r="F682" s="80"/>
      <c r="G682" s="80"/>
      <c r="H682" s="80"/>
      <c r="I682" s="80"/>
      <c r="J682" s="80"/>
      <c r="K682" s="80"/>
      <c r="L682" s="2"/>
      <c r="M682" s="2"/>
      <c r="N682" s="2"/>
      <c r="O682" s="2"/>
      <c r="P682" s="2"/>
      <c r="Q682" s="2"/>
      <c r="R682" s="80"/>
      <c r="S682" s="80"/>
      <c r="T682" s="80"/>
      <c r="U682" s="80"/>
      <c r="V682" s="80"/>
      <c r="W682" s="80"/>
      <c r="X682" s="80"/>
      <c r="Y682" s="80"/>
      <c r="Z682" s="80"/>
      <c r="AA682" s="80"/>
      <c r="AB682" s="80"/>
      <c r="AC682" s="80"/>
      <c r="AD682" s="80"/>
      <c r="AE682" s="80"/>
      <c r="AF682" s="80"/>
      <c r="AG682" s="80"/>
      <c r="AH682" s="80"/>
      <c r="AI682" s="80"/>
    </row>
    <row r="683" spans="1:35" x14ac:dyDescent="0.2">
      <c r="A683" s="2"/>
      <c r="B683" s="80"/>
      <c r="C683" s="80"/>
      <c r="D683" s="80"/>
      <c r="E683" s="80"/>
      <c r="F683" s="80"/>
      <c r="G683" s="80"/>
      <c r="H683" s="80"/>
      <c r="I683" s="80"/>
      <c r="J683" s="80"/>
      <c r="K683" s="80"/>
      <c r="L683" s="2"/>
      <c r="M683" s="2"/>
      <c r="N683" s="2"/>
      <c r="O683" s="2"/>
      <c r="P683" s="2"/>
      <c r="Q683" s="2"/>
      <c r="R683" s="80"/>
      <c r="S683" s="80"/>
      <c r="T683" s="80"/>
      <c r="U683" s="80"/>
      <c r="V683" s="80"/>
      <c r="W683" s="80"/>
      <c r="X683" s="80"/>
      <c r="Y683" s="80"/>
      <c r="Z683" s="80"/>
      <c r="AA683" s="80"/>
      <c r="AB683" s="80"/>
      <c r="AC683" s="80"/>
      <c r="AD683" s="80"/>
      <c r="AE683" s="80"/>
      <c r="AF683" s="80"/>
      <c r="AG683" s="80"/>
      <c r="AH683" s="80"/>
      <c r="AI683" s="80"/>
    </row>
    <row r="684" spans="1:35" x14ac:dyDescent="0.2">
      <c r="A684" s="2"/>
      <c r="B684" s="80"/>
      <c r="C684" s="80"/>
      <c r="D684" s="80"/>
      <c r="E684" s="80"/>
      <c r="F684" s="80"/>
      <c r="G684" s="80"/>
      <c r="H684" s="80"/>
      <c r="I684" s="80"/>
      <c r="J684" s="80"/>
      <c r="K684" s="80"/>
      <c r="L684" s="2"/>
      <c r="M684" s="2"/>
      <c r="N684" s="2"/>
      <c r="O684" s="2"/>
      <c r="P684" s="2"/>
      <c r="Q684" s="2"/>
      <c r="R684" s="80"/>
      <c r="S684" s="80"/>
      <c r="T684" s="80"/>
      <c r="U684" s="80"/>
      <c r="V684" s="80"/>
      <c r="W684" s="80"/>
      <c r="X684" s="80"/>
      <c r="Y684" s="80"/>
      <c r="Z684" s="80"/>
      <c r="AA684" s="80"/>
      <c r="AB684" s="80"/>
      <c r="AC684" s="80"/>
      <c r="AD684" s="80"/>
      <c r="AE684" s="80"/>
      <c r="AF684" s="80"/>
      <c r="AG684" s="80"/>
      <c r="AH684" s="80"/>
      <c r="AI684" s="80"/>
    </row>
    <row r="685" spans="1:35" x14ac:dyDescent="0.2">
      <c r="A685" s="2"/>
      <c r="B685" s="80"/>
      <c r="C685" s="80"/>
      <c r="D685" s="80"/>
      <c r="E685" s="80"/>
      <c r="F685" s="80"/>
      <c r="G685" s="80"/>
      <c r="H685" s="80"/>
      <c r="I685" s="80"/>
      <c r="J685" s="80"/>
      <c r="K685" s="80"/>
      <c r="L685" s="2"/>
      <c r="M685" s="2"/>
      <c r="N685" s="2"/>
      <c r="O685" s="2"/>
      <c r="P685" s="2"/>
      <c r="Q685" s="2"/>
      <c r="R685" s="80"/>
      <c r="S685" s="80"/>
      <c r="T685" s="80"/>
      <c r="U685" s="80"/>
      <c r="V685" s="80"/>
      <c r="W685" s="80"/>
      <c r="X685" s="80"/>
      <c r="Y685" s="80"/>
      <c r="Z685" s="80"/>
      <c r="AA685" s="80"/>
      <c r="AB685" s="80"/>
      <c r="AC685" s="80"/>
      <c r="AD685" s="80"/>
      <c r="AE685" s="80"/>
      <c r="AF685" s="80"/>
      <c r="AG685" s="80"/>
      <c r="AH685" s="80"/>
      <c r="AI685" s="80"/>
    </row>
    <row r="686" spans="1:35" x14ac:dyDescent="0.2">
      <c r="A686" s="2"/>
      <c r="B686" s="80"/>
      <c r="C686" s="80"/>
      <c r="D686" s="80"/>
      <c r="E686" s="80"/>
      <c r="F686" s="80"/>
      <c r="G686" s="80"/>
      <c r="H686" s="80"/>
      <c r="I686" s="80"/>
      <c r="J686" s="80"/>
      <c r="K686" s="80"/>
      <c r="L686" s="2"/>
      <c r="M686" s="2"/>
      <c r="N686" s="2"/>
      <c r="O686" s="2"/>
      <c r="P686" s="2"/>
      <c r="Q686" s="2"/>
      <c r="R686" s="80"/>
      <c r="S686" s="80"/>
      <c r="T686" s="80"/>
      <c r="U686" s="80"/>
      <c r="V686" s="80"/>
      <c r="W686" s="80"/>
      <c r="X686" s="80"/>
      <c r="Y686" s="80"/>
      <c r="Z686" s="80"/>
      <c r="AA686" s="80"/>
      <c r="AB686" s="80"/>
      <c r="AC686" s="80"/>
      <c r="AD686" s="80"/>
      <c r="AE686" s="80"/>
      <c r="AF686" s="80"/>
      <c r="AG686" s="80"/>
      <c r="AH686" s="80"/>
      <c r="AI686" s="80"/>
    </row>
    <row r="687" spans="1:35" x14ac:dyDescent="0.2">
      <c r="A687" s="2"/>
      <c r="B687" s="80"/>
      <c r="C687" s="80"/>
      <c r="D687" s="80"/>
      <c r="E687" s="80"/>
      <c r="F687" s="80"/>
      <c r="G687" s="80"/>
      <c r="H687" s="80"/>
      <c r="I687" s="80"/>
      <c r="J687" s="80"/>
      <c r="K687" s="80"/>
      <c r="L687" s="2"/>
      <c r="M687" s="2"/>
      <c r="N687" s="2"/>
      <c r="O687" s="2"/>
      <c r="P687" s="2"/>
      <c r="Q687" s="2"/>
      <c r="R687" s="80"/>
      <c r="S687" s="80"/>
      <c r="T687" s="80"/>
      <c r="U687" s="80"/>
      <c r="V687" s="80"/>
      <c r="W687" s="80"/>
      <c r="X687" s="80"/>
      <c r="Y687" s="80"/>
      <c r="Z687" s="80"/>
      <c r="AA687" s="80"/>
      <c r="AB687" s="80"/>
      <c r="AC687" s="80"/>
      <c r="AD687" s="80"/>
      <c r="AE687" s="80"/>
      <c r="AF687" s="80"/>
      <c r="AG687" s="80"/>
      <c r="AH687" s="80"/>
      <c r="AI687" s="80"/>
    </row>
    <row r="688" spans="1:35" x14ac:dyDescent="0.2">
      <c r="A688" s="2"/>
      <c r="B688" s="80"/>
      <c r="C688" s="80"/>
      <c r="D688" s="80"/>
      <c r="E688" s="80"/>
      <c r="F688" s="80"/>
      <c r="G688" s="80"/>
      <c r="H688" s="80"/>
      <c r="I688" s="80"/>
      <c r="J688" s="80"/>
      <c r="K688" s="80"/>
      <c r="L688" s="2"/>
      <c r="M688" s="2"/>
      <c r="N688" s="2"/>
      <c r="O688" s="2"/>
      <c r="P688" s="2"/>
      <c r="Q688" s="2"/>
      <c r="R688" s="80"/>
      <c r="S688" s="80"/>
      <c r="T688" s="80"/>
      <c r="U688" s="80"/>
      <c r="V688" s="80"/>
      <c r="W688" s="80"/>
      <c r="X688" s="80"/>
      <c r="Y688" s="80"/>
      <c r="Z688" s="80"/>
      <c r="AA688" s="80"/>
      <c r="AB688" s="80"/>
      <c r="AC688" s="80"/>
      <c r="AD688" s="80"/>
      <c r="AE688" s="80"/>
      <c r="AF688" s="80"/>
      <c r="AG688" s="80"/>
      <c r="AH688" s="80"/>
      <c r="AI688" s="80"/>
    </row>
    <row r="689" spans="1:35" x14ac:dyDescent="0.2">
      <c r="A689" s="2"/>
      <c r="B689" s="80"/>
      <c r="C689" s="80"/>
      <c r="D689" s="80"/>
      <c r="E689" s="80"/>
      <c r="F689" s="80"/>
      <c r="G689" s="80"/>
      <c r="H689" s="80"/>
      <c r="I689" s="80"/>
      <c r="J689" s="80"/>
      <c r="K689" s="80"/>
      <c r="L689" s="2"/>
      <c r="M689" s="2"/>
      <c r="N689" s="2"/>
      <c r="O689" s="2"/>
      <c r="P689" s="2"/>
      <c r="Q689" s="2"/>
      <c r="R689" s="80"/>
      <c r="S689" s="80"/>
      <c r="T689" s="80"/>
      <c r="U689" s="80"/>
      <c r="V689" s="80"/>
      <c r="W689" s="80"/>
      <c r="X689" s="80"/>
      <c r="Y689" s="80"/>
      <c r="Z689" s="80"/>
      <c r="AA689" s="80"/>
      <c r="AB689" s="80"/>
      <c r="AC689" s="80"/>
      <c r="AD689" s="80"/>
      <c r="AE689" s="80"/>
      <c r="AF689" s="80"/>
      <c r="AG689" s="80"/>
      <c r="AH689" s="80"/>
      <c r="AI689" s="80"/>
    </row>
    <row r="690" spans="1:35" x14ac:dyDescent="0.2">
      <c r="A690" s="2"/>
      <c r="B690" s="80"/>
      <c r="C690" s="80"/>
      <c r="D690" s="80"/>
      <c r="E690" s="80"/>
      <c r="F690" s="80"/>
      <c r="G690" s="80"/>
      <c r="H690" s="80"/>
      <c r="I690" s="80"/>
      <c r="J690" s="80"/>
      <c r="K690" s="80"/>
      <c r="L690" s="2"/>
      <c r="M690" s="2"/>
      <c r="N690" s="2"/>
      <c r="O690" s="2"/>
      <c r="P690" s="2"/>
      <c r="Q690" s="2"/>
      <c r="R690" s="80"/>
      <c r="S690" s="80"/>
      <c r="T690" s="80"/>
      <c r="U690" s="80"/>
      <c r="V690" s="80"/>
      <c r="W690" s="80"/>
      <c r="X690" s="80"/>
      <c r="Y690" s="80"/>
      <c r="Z690" s="80"/>
      <c r="AA690" s="80"/>
      <c r="AB690" s="80"/>
      <c r="AC690" s="80"/>
      <c r="AD690" s="80"/>
      <c r="AE690" s="80"/>
      <c r="AF690" s="80"/>
      <c r="AG690" s="80"/>
      <c r="AH690" s="80"/>
      <c r="AI690" s="80"/>
    </row>
    <row r="691" spans="1:35" x14ac:dyDescent="0.2">
      <c r="A691" s="2"/>
      <c r="B691" s="80"/>
      <c r="C691" s="80"/>
      <c r="D691" s="80"/>
      <c r="E691" s="80"/>
      <c r="F691" s="80"/>
      <c r="G691" s="80"/>
      <c r="H691" s="80"/>
      <c r="I691" s="80"/>
      <c r="J691" s="80"/>
      <c r="K691" s="80"/>
      <c r="L691" s="2"/>
      <c r="M691" s="2"/>
      <c r="N691" s="2"/>
      <c r="O691" s="2"/>
      <c r="P691" s="2"/>
      <c r="Q691" s="2"/>
      <c r="R691" s="80"/>
      <c r="S691" s="80"/>
      <c r="T691" s="80"/>
      <c r="U691" s="80"/>
      <c r="V691" s="80"/>
      <c r="W691" s="80"/>
      <c r="X691" s="80"/>
      <c r="Y691" s="80"/>
      <c r="Z691" s="80"/>
      <c r="AA691" s="80"/>
      <c r="AB691" s="80"/>
      <c r="AC691" s="80"/>
      <c r="AD691" s="80"/>
      <c r="AE691" s="80"/>
      <c r="AF691" s="80"/>
      <c r="AG691" s="80"/>
      <c r="AH691" s="80"/>
      <c r="AI691" s="80"/>
    </row>
    <row r="692" spans="1:35" x14ac:dyDescent="0.2">
      <c r="A692" s="2"/>
      <c r="B692" s="80"/>
      <c r="C692" s="80"/>
      <c r="D692" s="80"/>
      <c r="E692" s="80"/>
      <c r="F692" s="80"/>
      <c r="G692" s="80"/>
      <c r="H692" s="80"/>
      <c r="I692" s="80"/>
      <c r="J692" s="80"/>
      <c r="K692" s="80"/>
      <c r="L692" s="2"/>
      <c r="M692" s="2"/>
      <c r="N692" s="2"/>
      <c r="O692" s="2"/>
      <c r="P692" s="2"/>
      <c r="Q692" s="2"/>
      <c r="R692" s="80"/>
      <c r="S692" s="80"/>
      <c r="T692" s="80"/>
      <c r="U692" s="80"/>
      <c r="V692" s="80"/>
      <c r="W692" s="80"/>
      <c r="X692" s="80"/>
      <c r="Y692" s="80"/>
      <c r="Z692" s="80"/>
      <c r="AA692" s="80"/>
      <c r="AB692" s="80"/>
      <c r="AC692" s="80"/>
      <c r="AD692" s="80"/>
      <c r="AE692" s="80"/>
      <c r="AF692" s="80"/>
      <c r="AG692" s="80"/>
      <c r="AH692" s="80"/>
      <c r="AI692" s="80"/>
    </row>
    <row r="693" spans="1:35" x14ac:dyDescent="0.2">
      <c r="A693" s="2"/>
      <c r="B693" s="80"/>
      <c r="C693" s="80"/>
      <c r="D693" s="80"/>
      <c r="E693" s="80"/>
      <c r="F693" s="80"/>
      <c r="G693" s="80"/>
      <c r="H693" s="80"/>
      <c r="I693" s="80"/>
      <c r="J693" s="80"/>
      <c r="K693" s="80"/>
      <c r="L693" s="2"/>
      <c r="M693" s="2"/>
      <c r="N693" s="2"/>
      <c r="O693" s="2"/>
      <c r="P693" s="2"/>
      <c r="Q693" s="2"/>
      <c r="R693" s="80"/>
      <c r="S693" s="80"/>
      <c r="T693" s="80"/>
      <c r="U693" s="80"/>
      <c r="V693" s="80"/>
      <c r="W693" s="80"/>
      <c r="X693" s="80"/>
      <c r="Y693" s="80"/>
      <c r="Z693" s="80"/>
      <c r="AA693" s="80"/>
      <c r="AB693" s="80"/>
      <c r="AC693" s="80"/>
      <c r="AD693" s="80"/>
      <c r="AE693" s="80"/>
      <c r="AF693" s="80"/>
      <c r="AG693" s="80"/>
      <c r="AH693" s="80"/>
      <c r="AI693" s="80"/>
    </row>
    <row r="694" spans="1:35" x14ac:dyDescent="0.2">
      <c r="A694" s="2"/>
      <c r="B694" s="80"/>
      <c r="C694" s="80"/>
      <c r="D694" s="80"/>
      <c r="E694" s="80"/>
      <c r="F694" s="80"/>
      <c r="G694" s="80"/>
      <c r="H694" s="80"/>
      <c r="I694" s="80"/>
      <c r="J694" s="80"/>
      <c r="K694" s="80"/>
      <c r="L694" s="2"/>
      <c r="M694" s="2"/>
      <c r="N694" s="2"/>
      <c r="O694" s="2"/>
      <c r="P694" s="2"/>
      <c r="Q694" s="2"/>
      <c r="R694" s="80"/>
      <c r="S694" s="80"/>
      <c r="T694" s="80"/>
      <c r="U694" s="80"/>
      <c r="V694" s="80"/>
      <c r="W694" s="80"/>
      <c r="X694" s="80"/>
      <c r="Y694" s="80"/>
      <c r="Z694" s="80"/>
      <c r="AA694" s="80"/>
      <c r="AB694" s="80"/>
      <c r="AC694" s="80"/>
      <c r="AD694" s="80"/>
      <c r="AE694" s="80"/>
      <c r="AF694" s="80"/>
      <c r="AG694" s="80"/>
      <c r="AH694" s="80"/>
      <c r="AI694" s="80"/>
    </row>
    <row r="695" spans="1:35" x14ac:dyDescent="0.2">
      <c r="A695" s="2"/>
      <c r="B695" s="80"/>
      <c r="C695" s="80"/>
      <c r="D695" s="80"/>
      <c r="E695" s="80"/>
      <c r="F695" s="80"/>
      <c r="G695" s="80"/>
      <c r="H695" s="80"/>
      <c r="I695" s="80"/>
      <c r="J695" s="80"/>
      <c r="K695" s="80"/>
      <c r="L695" s="2"/>
      <c r="M695" s="2"/>
      <c r="N695" s="2"/>
      <c r="O695" s="2"/>
      <c r="P695" s="2"/>
      <c r="Q695" s="2"/>
      <c r="R695" s="80"/>
      <c r="S695" s="80"/>
      <c r="T695" s="80"/>
      <c r="U695" s="80"/>
      <c r="V695" s="80"/>
      <c r="W695" s="80"/>
      <c r="X695" s="80"/>
      <c r="Y695" s="80"/>
      <c r="Z695" s="80"/>
      <c r="AA695" s="80"/>
      <c r="AB695" s="80"/>
      <c r="AC695" s="80"/>
      <c r="AD695" s="80"/>
      <c r="AE695" s="80"/>
      <c r="AF695" s="80"/>
      <c r="AG695" s="80"/>
      <c r="AH695" s="80"/>
      <c r="AI695" s="80"/>
    </row>
    <row r="696" spans="1:35" x14ac:dyDescent="0.2">
      <c r="A696" s="2"/>
      <c r="B696" s="80"/>
      <c r="C696" s="80"/>
      <c r="D696" s="80"/>
      <c r="E696" s="80"/>
      <c r="F696" s="80"/>
      <c r="G696" s="80"/>
      <c r="H696" s="80"/>
      <c r="I696" s="80"/>
      <c r="J696" s="80"/>
      <c r="K696" s="80"/>
      <c r="L696" s="2"/>
      <c r="M696" s="2"/>
      <c r="N696" s="2"/>
      <c r="O696" s="2"/>
      <c r="P696" s="2"/>
      <c r="Q696" s="2"/>
      <c r="R696" s="80"/>
      <c r="S696" s="80"/>
      <c r="T696" s="80"/>
      <c r="U696" s="80"/>
      <c r="V696" s="80"/>
      <c r="W696" s="80"/>
      <c r="X696" s="80"/>
      <c r="Y696" s="80"/>
      <c r="Z696" s="80"/>
      <c r="AA696" s="80"/>
      <c r="AB696" s="80"/>
      <c r="AC696" s="80"/>
      <c r="AD696" s="80"/>
      <c r="AE696" s="80"/>
      <c r="AF696" s="80"/>
      <c r="AG696" s="80"/>
      <c r="AH696" s="80"/>
      <c r="AI696" s="80"/>
    </row>
    <row r="697" spans="1:35" x14ac:dyDescent="0.2">
      <c r="A697" s="2"/>
      <c r="B697" s="80"/>
      <c r="C697" s="80"/>
      <c r="D697" s="80"/>
      <c r="E697" s="80"/>
      <c r="F697" s="80"/>
      <c r="G697" s="80"/>
      <c r="H697" s="80"/>
      <c r="I697" s="80"/>
      <c r="J697" s="80"/>
      <c r="K697" s="80"/>
      <c r="L697" s="2"/>
      <c r="M697" s="2"/>
      <c r="N697" s="2"/>
      <c r="O697" s="2"/>
      <c r="P697" s="2"/>
      <c r="Q697" s="2"/>
      <c r="R697" s="80"/>
      <c r="S697" s="80"/>
      <c r="T697" s="80"/>
      <c r="U697" s="80"/>
      <c r="V697" s="80"/>
      <c r="W697" s="80"/>
      <c r="X697" s="80"/>
      <c r="Y697" s="80"/>
      <c r="Z697" s="80"/>
      <c r="AA697" s="80"/>
      <c r="AB697" s="80"/>
      <c r="AC697" s="80"/>
      <c r="AD697" s="80"/>
      <c r="AE697" s="80"/>
      <c r="AF697" s="80"/>
      <c r="AG697" s="80"/>
      <c r="AH697" s="80"/>
      <c r="AI697" s="80"/>
    </row>
    <row r="698" spans="1:35" x14ac:dyDescent="0.2">
      <c r="A698" s="2"/>
      <c r="B698" s="80"/>
      <c r="C698" s="80"/>
      <c r="D698" s="80"/>
      <c r="E698" s="80"/>
      <c r="F698" s="80"/>
      <c r="G698" s="80"/>
      <c r="H698" s="80"/>
      <c r="I698" s="80"/>
      <c r="J698" s="80"/>
      <c r="K698" s="80"/>
      <c r="L698" s="2"/>
      <c r="M698" s="2"/>
      <c r="N698" s="2"/>
      <c r="O698" s="2"/>
      <c r="P698" s="2"/>
      <c r="Q698" s="2"/>
      <c r="R698" s="80"/>
      <c r="S698" s="80"/>
      <c r="T698" s="80"/>
      <c r="U698" s="80"/>
      <c r="V698" s="80"/>
      <c r="W698" s="80"/>
      <c r="X698" s="80"/>
      <c r="Y698" s="80"/>
      <c r="Z698" s="80"/>
      <c r="AA698" s="80"/>
      <c r="AB698" s="80"/>
      <c r="AC698" s="80"/>
      <c r="AD698" s="80"/>
      <c r="AE698" s="80"/>
      <c r="AF698" s="80"/>
      <c r="AG698" s="80"/>
      <c r="AH698" s="80"/>
      <c r="AI698" s="80"/>
    </row>
    <row r="699" spans="1:35" x14ac:dyDescent="0.2">
      <c r="A699" s="2"/>
      <c r="B699" s="80"/>
      <c r="C699" s="80"/>
      <c r="D699" s="80"/>
      <c r="E699" s="80"/>
      <c r="F699" s="80"/>
      <c r="G699" s="80"/>
      <c r="H699" s="80"/>
      <c r="I699" s="80"/>
      <c r="J699" s="80"/>
      <c r="K699" s="80"/>
      <c r="L699" s="2"/>
      <c r="M699" s="2"/>
      <c r="N699" s="2"/>
      <c r="O699" s="2"/>
      <c r="P699" s="2"/>
      <c r="Q699" s="2"/>
      <c r="R699" s="80"/>
      <c r="S699" s="80"/>
      <c r="T699" s="80"/>
      <c r="U699" s="80"/>
      <c r="V699" s="80"/>
      <c r="W699" s="80"/>
      <c r="X699" s="80"/>
      <c r="Y699" s="80"/>
      <c r="Z699" s="80"/>
      <c r="AA699" s="80"/>
      <c r="AB699" s="80"/>
      <c r="AC699" s="80"/>
      <c r="AD699" s="80"/>
      <c r="AE699" s="80"/>
      <c r="AF699" s="80"/>
      <c r="AG699" s="80"/>
      <c r="AH699" s="80"/>
      <c r="AI699" s="80"/>
    </row>
    <row r="700" spans="1:35" x14ac:dyDescent="0.2">
      <c r="A700" s="2"/>
      <c r="B700" s="80"/>
      <c r="C700" s="80"/>
      <c r="D700" s="80"/>
      <c r="E700" s="80"/>
      <c r="F700" s="80"/>
      <c r="G700" s="80"/>
      <c r="H700" s="80"/>
      <c r="I700" s="80"/>
      <c r="J700" s="80"/>
      <c r="K700" s="80"/>
      <c r="L700" s="2"/>
      <c r="M700" s="2"/>
      <c r="N700" s="2"/>
      <c r="O700" s="2"/>
      <c r="P700" s="2"/>
      <c r="Q700" s="2"/>
      <c r="R700" s="80"/>
      <c r="S700" s="80"/>
      <c r="T700" s="80"/>
      <c r="U700" s="80"/>
      <c r="V700" s="80"/>
      <c r="W700" s="80"/>
      <c r="X700" s="80"/>
      <c r="Y700" s="80"/>
      <c r="Z700" s="80"/>
      <c r="AA700" s="80"/>
      <c r="AB700" s="80"/>
      <c r="AC700" s="80"/>
      <c r="AD700" s="80"/>
      <c r="AE700" s="80"/>
      <c r="AF700" s="80"/>
      <c r="AG700" s="80"/>
      <c r="AH700" s="80"/>
      <c r="AI700" s="80"/>
    </row>
    <row r="701" spans="1:35" x14ac:dyDescent="0.2">
      <c r="A701" s="2"/>
      <c r="B701" s="80"/>
      <c r="C701" s="80"/>
      <c r="D701" s="80"/>
      <c r="E701" s="80"/>
      <c r="F701" s="80"/>
      <c r="G701" s="80"/>
      <c r="H701" s="80"/>
      <c r="I701" s="80"/>
      <c r="J701" s="80"/>
      <c r="K701" s="80"/>
      <c r="L701" s="2"/>
      <c r="M701" s="2"/>
      <c r="N701" s="2"/>
      <c r="O701" s="2"/>
      <c r="P701" s="2"/>
      <c r="Q701" s="2"/>
      <c r="R701" s="80"/>
      <c r="S701" s="80"/>
      <c r="T701" s="80"/>
      <c r="U701" s="80"/>
      <c r="V701" s="80"/>
      <c r="W701" s="80"/>
      <c r="X701" s="80"/>
      <c r="Y701" s="80"/>
      <c r="Z701" s="80"/>
      <c r="AA701" s="80"/>
      <c r="AB701" s="80"/>
      <c r="AC701" s="80"/>
      <c r="AD701" s="80"/>
      <c r="AE701" s="80"/>
      <c r="AF701" s="80"/>
      <c r="AG701" s="80"/>
      <c r="AH701" s="80"/>
      <c r="AI701" s="80"/>
    </row>
    <row r="702" spans="1:35" x14ac:dyDescent="0.2">
      <c r="A702" s="2"/>
      <c r="B702" s="80"/>
      <c r="C702" s="80"/>
      <c r="D702" s="80"/>
      <c r="E702" s="80"/>
      <c r="F702" s="80"/>
      <c r="G702" s="80"/>
      <c r="H702" s="80"/>
      <c r="I702" s="80"/>
      <c r="J702" s="80"/>
      <c r="K702" s="80"/>
      <c r="L702" s="2"/>
      <c r="M702" s="2"/>
      <c r="N702" s="2"/>
      <c r="O702" s="2"/>
      <c r="P702" s="2"/>
      <c r="Q702" s="2"/>
      <c r="R702" s="80"/>
      <c r="S702" s="80"/>
      <c r="T702" s="80"/>
      <c r="U702" s="80"/>
      <c r="V702" s="80"/>
      <c r="W702" s="80"/>
      <c r="X702" s="80"/>
      <c r="Y702" s="80"/>
      <c r="Z702" s="80"/>
      <c r="AA702" s="80"/>
      <c r="AB702" s="80"/>
      <c r="AC702" s="80"/>
      <c r="AD702" s="80"/>
      <c r="AE702" s="80"/>
      <c r="AF702" s="80"/>
      <c r="AG702" s="80"/>
      <c r="AH702" s="80"/>
      <c r="AI702" s="80"/>
    </row>
    <row r="703" spans="1:35" x14ac:dyDescent="0.2">
      <c r="A703" s="2"/>
      <c r="B703" s="80"/>
      <c r="C703" s="80"/>
      <c r="D703" s="80"/>
      <c r="E703" s="80"/>
      <c r="F703" s="80"/>
      <c r="G703" s="80"/>
      <c r="H703" s="80"/>
      <c r="I703" s="80"/>
      <c r="J703" s="80"/>
      <c r="K703" s="80"/>
      <c r="L703" s="2"/>
      <c r="M703" s="2"/>
      <c r="N703" s="2"/>
      <c r="O703" s="2"/>
      <c r="P703" s="2"/>
      <c r="Q703" s="2"/>
      <c r="R703" s="80"/>
      <c r="S703" s="80"/>
      <c r="T703" s="80"/>
      <c r="U703" s="80"/>
      <c r="V703" s="80"/>
      <c r="W703" s="80"/>
      <c r="X703" s="80"/>
      <c r="Y703" s="80"/>
      <c r="Z703" s="80"/>
      <c r="AA703" s="80"/>
      <c r="AB703" s="80"/>
      <c r="AC703" s="80"/>
      <c r="AD703" s="80"/>
      <c r="AE703" s="80"/>
      <c r="AF703" s="80"/>
      <c r="AG703" s="80"/>
      <c r="AH703" s="80"/>
      <c r="AI703" s="80"/>
    </row>
    <row r="704" spans="1:35" x14ac:dyDescent="0.2">
      <c r="A704" s="2"/>
      <c r="B704" s="80"/>
      <c r="C704" s="80"/>
      <c r="D704" s="80"/>
      <c r="E704" s="80"/>
      <c r="F704" s="80"/>
      <c r="G704" s="80"/>
      <c r="H704" s="80"/>
      <c r="I704" s="80"/>
      <c r="J704" s="80"/>
      <c r="K704" s="80"/>
      <c r="L704" s="2"/>
      <c r="M704" s="2"/>
      <c r="N704" s="2"/>
      <c r="O704" s="2"/>
      <c r="P704" s="2"/>
      <c r="Q704" s="2"/>
      <c r="R704" s="80"/>
      <c r="S704" s="80"/>
      <c r="T704" s="80"/>
      <c r="U704" s="80"/>
      <c r="V704" s="80"/>
      <c r="W704" s="80"/>
      <c r="X704" s="80"/>
      <c r="Y704" s="80"/>
      <c r="Z704" s="80"/>
      <c r="AA704" s="80"/>
      <c r="AB704" s="80"/>
      <c r="AC704" s="80"/>
      <c r="AD704" s="80"/>
      <c r="AE704" s="80"/>
      <c r="AF704" s="80"/>
      <c r="AG704" s="80"/>
      <c r="AH704" s="80"/>
      <c r="AI704" s="80"/>
    </row>
    <row r="705" spans="1:35" x14ac:dyDescent="0.2">
      <c r="A705" s="2"/>
      <c r="B705" s="80"/>
      <c r="C705" s="80"/>
      <c r="D705" s="80"/>
      <c r="E705" s="80"/>
      <c r="F705" s="80"/>
      <c r="G705" s="80"/>
      <c r="H705" s="80"/>
      <c r="I705" s="80"/>
      <c r="J705" s="80"/>
      <c r="K705" s="80"/>
      <c r="L705" s="2"/>
      <c r="M705" s="2"/>
      <c r="N705" s="2"/>
      <c r="O705" s="2"/>
      <c r="P705" s="2"/>
      <c r="Q705" s="2"/>
      <c r="R705" s="80"/>
      <c r="S705" s="80"/>
      <c r="T705" s="80"/>
      <c r="U705" s="80"/>
      <c r="V705" s="80"/>
      <c r="W705" s="80"/>
      <c r="X705" s="80"/>
      <c r="Y705" s="80"/>
      <c r="Z705" s="80"/>
      <c r="AA705" s="80"/>
      <c r="AB705" s="80"/>
      <c r="AC705" s="80"/>
      <c r="AD705" s="80"/>
      <c r="AE705" s="80"/>
      <c r="AF705" s="80"/>
      <c r="AG705" s="80"/>
      <c r="AH705" s="80"/>
      <c r="AI705" s="80"/>
    </row>
    <row r="706" spans="1:35" x14ac:dyDescent="0.2">
      <c r="A706" s="2"/>
      <c r="B706" s="80"/>
      <c r="C706" s="80"/>
      <c r="D706" s="80"/>
      <c r="E706" s="80"/>
      <c r="F706" s="80"/>
      <c r="G706" s="80"/>
      <c r="H706" s="80"/>
      <c r="I706" s="80"/>
      <c r="J706" s="80"/>
      <c r="K706" s="80"/>
      <c r="L706" s="2"/>
      <c r="M706" s="2"/>
      <c r="N706" s="2"/>
      <c r="O706" s="2"/>
      <c r="P706" s="2"/>
      <c r="Q706" s="2"/>
      <c r="R706" s="80"/>
      <c r="S706" s="80"/>
      <c r="T706" s="80"/>
      <c r="U706" s="80"/>
      <c r="V706" s="80"/>
      <c r="W706" s="80"/>
      <c r="X706" s="80"/>
      <c r="Y706" s="80"/>
      <c r="Z706" s="80"/>
      <c r="AA706" s="80"/>
      <c r="AB706" s="80"/>
      <c r="AC706" s="80"/>
      <c r="AD706" s="80"/>
      <c r="AE706" s="80"/>
      <c r="AF706" s="80"/>
      <c r="AG706" s="80"/>
      <c r="AH706" s="80"/>
      <c r="AI706" s="80"/>
    </row>
    <row r="707" spans="1:35" x14ac:dyDescent="0.2">
      <c r="A707" s="2"/>
      <c r="B707" s="80"/>
      <c r="C707" s="80"/>
      <c r="D707" s="80"/>
      <c r="E707" s="80"/>
      <c r="F707" s="80"/>
      <c r="G707" s="80"/>
      <c r="H707" s="80"/>
      <c r="I707" s="80"/>
      <c r="J707" s="80"/>
      <c r="K707" s="80"/>
      <c r="L707" s="2"/>
      <c r="M707" s="2"/>
      <c r="N707" s="2"/>
      <c r="O707" s="2"/>
      <c r="P707" s="2"/>
      <c r="Q707" s="2"/>
      <c r="R707" s="80"/>
      <c r="S707" s="80"/>
      <c r="T707" s="80"/>
      <c r="U707" s="80"/>
      <c r="V707" s="80"/>
      <c r="W707" s="80"/>
      <c r="X707" s="80"/>
      <c r="Y707" s="80"/>
      <c r="Z707" s="80"/>
      <c r="AA707" s="80"/>
      <c r="AB707" s="80"/>
      <c r="AC707" s="80"/>
      <c r="AD707" s="80"/>
      <c r="AE707" s="80"/>
      <c r="AF707" s="80"/>
      <c r="AG707" s="80"/>
      <c r="AH707" s="80"/>
      <c r="AI707" s="80"/>
    </row>
    <row r="708" spans="1:35" x14ac:dyDescent="0.2">
      <c r="A708" s="2"/>
      <c r="B708" s="80"/>
      <c r="C708" s="80"/>
      <c r="D708" s="80"/>
      <c r="E708" s="80"/>
      <c r="F708" s="80"/>
      <c r="G708" s="80"/>
      <c r="H708" s="80"/>
      <c r="I708" s="80"/>
      <c r="J708" s="80"/>
      <c r="K708" s="80"/>
      <c r="L708" s="2"/>
      <c r="M708" s="2"/>
      <c r="N708" s="2"/>
      <c r="O708" s="2"/>
      <c r="P708" s="2"/>
      <c r="Q708" s="2"/>
      <c r="R708" s="80"/>
      <c r="S708" s="80"/>
      <c r="T708" s="80"/>
      <c r="U708" s="80"/>
      <c r="V708" s="80"/>
      <c r="W708" s="80"/>
      <c r="X708" s="80"/>
      <c r="Y708" s="80"/>
      <c r="Z708" s="80"/>
      <c r="AA708" s="80"/>
      <c r="AB708" s="80"/>
      <c r="AC708" s="80"/>
      <c r="AD708" s="80"/>
      <c r="AE708" s="80"/>
      <c r="AF708" s="80"/>
      <c r="AG708" s="80"/>
      <c r="AH708" s="80"/>
      <c r="AI708" s="80"/>
    </row>
    <row r="709" spans="1:35" x14ac:dyDescent="0.2">
      <c r="A709" s="2"/>
      <c r="B709" s="80"/>
      <c r="C709" s="80"/>
      <c r="D709" s="80"/>
      <c r="E709" s="80"/>
      <c r="F709" s="80"/>
      <c r="G709" s="80"/>
      <c r="H709" s="80"/>
      <c r="I709" s="80"/>
      <c r="J709" s="80"/>
      <c r="K709" s="80"/>
      <c r="L709" s="2"/>
      <c r="M709" s="2"/>
      <c r="N709" s="2"/>
      <c r="O709" s="2"/>
      <c r="P709" s="2"/>
      <c r="Q709" s="2"/>
      <c r="R709" s="80"/>
      <c r="S709" s="80"/>
      <c r="T709" s="80"/>
      <c r="U709" s="80"/>
      <c r="V709" s="80"/>
      <c r="W709" s="80"/>
      <c r="X709" s="80"/>
      <c r="Y709" s="80"/>
      <c r="Z709" s="80"/>
      <c r="AA709" s="80"/>
      <c r="AB709" s="80"/>
      <c r="AC709" s="80"/>
      <c r="AD709" s="80"/>
      <c r="AE709" s="80"/>
      <c r="AF709" s="80"/>
      <c r="AG709" s="80"/>
      <c r="AH709" s="80"/>
      <c r="AI709" s="80"/>
    </row>
    <row r="710" spans="1:35" x14ac:dyDescent="0.2">
      <c r="A710" s="2"/>
      <c r="B710" s="80"/>
      <c r="C710" s="80"/>
      <c r="D710" s="80"/>
      <c r="E710" s="80"/>
      <c r="F710" s="80"/>
      <c r="G710" s="80"/>
      <c r="H710" s="80"/>
      <c r="I710" s="80"/>
      <c r="J710" s="80"/>
      <c r="K710" s="80"/>
      <c r="L710" s="2"/>
      <c r="M710" s="2"/>
      <c r="N710" s="2"/>
      <c r="O710" s="2"/>
      <c r="P710" s="2"/>
      <c r="Q710" s="2"/>
      <c r="R710" s="80"/>
      <c r="S710" s="80"/>
      <c r="T710" s="80"/>
      <c r="U710" s="80"/>
      <c r="V710" s="80"/>
      <c r="W710" s="80"/>
      <c r="X710" s="80"/>
      <c r="Y710" s="80"/>
      <c r="Z710" s="80"/>
      <c r="AA710" s="80"/>
      <c r="AB710" s="80"/>
      <c r="AC710" s="80"/>
      <c r="AD710" s="80"/>
      <c r="AE710" s="80"/>
      <c r="AF710" s="80"/>
      <c r="AG710" s="80"/>
      <c r="AH710" s="80"/>
      <c r="AI710" s="80"/>
    </row>
    <row r="711" spans="1:35" x14ac:dyDescent="0.2">
      <c r="A711" s="2"/>
      <c r="B711" s="80"/>
      <c r="C711" s="80"/>
      <c r="D711" s="80"/>
      <c r="E711" s="80"/>
      <c r="F711" s="80"/>
      <c r="G711" s="80"/>
      <c r="H711" s="80"/>
      <c r="I711" s="80"/>
      <c r="J711" s="80"/>
      <c r="K711" s="80"/>
      <c r="L711" s="2"/>
      <c r="M711" s="2"/>
      <c r="N711" s="2"/>
      <c r="O711" s="2"/>
      <c r="P711" s="2"/>
      <c r="Q711" s="2"/>
      <c r="R711" s="80"/>
      <c r="S711" s="80"/>
      <c r="T711" s="80"/>
      <c r="U711" s="80"/>
      <c r="V711" s="80"/>
      <c r="W711" s="80"/>
      <c r="X711" s="80"/>
      <c r="Y711" s="80"/>
      <c r="Z711" s="80"/>
      <c r="AA711" s="80"/>
      <c r="AB711" s="80"/>
      <c r="AC711" s="80"/>
      <c r="AD711" s="80"/>
      <c r="AE711" s="80"/>
      <c r="AF711" s="80"/>
      <c r="AG711" s="80"/>
      <c r="AH711" s="80"/>
      <c r="AI711" s="80"/>
    </row>
    <row r="712" spans="1:35" x14ac:dyDescent="0.2">
      <c r="A712" s="2"/>
      <c r="B712" s="80"/>
      <c r="C712" s="80"/>
      <c r="D712" s="80"/>
      <c r="E712" s="80"/>
      <c r="F712" s="80"/>
      <c r="G712" s="80"/>
      <c r="H712" s="80"/>
      <c r="I712" s="80"/>
      <c r="J712" s="80"/>
      <c r="K712" s="80"/>
      <c r="L712" s="2"/>
      <c r="M712" s="2"/>
      <c r="N712" s="2"/>
      <c r="O712" s="2"/>
      <c r="P712" s="2"/>
      <c r="Q712" s="2"/>
      <c r="R712" s="80"/>
      <c r="S712" s="80"/>
      <c r="T712" s="80"/>
      <c r="U712" s="80"/>
      <c r="V712" s="80"/>
      <c r="W712" s="80"/>
      <c r="X712" s="80"/>
      <c r="Y712" s="80"/>
      <c r="Z712" s="80"/>
      <c r="AA712" s="80"/>
      <c r="AB712" s="80"/>
      <c r="AC712" s="80"/>
      <c r="AD712" s="80"/>
      <c r="AE712" s="80"/>
      <c r="AF712" s="80"/>
      <c r="AG712" s="80"/>
      <c r="AH712" s="80"/>
      <c r="AI712" s="80"/>
    </row>
    <row r="713" spans="1:35" x14ac:dyDescent="0.2">
      <c r="A713" s="2"/>
      <c r="B713" s="80"/>
      <c r="C713" s="80"/>
      <c r="D713" s="80"/>
      <c r="E713" s="80"/>
      <c r="F713" s="80"/>
      <c r="G713" s="80"/>
      <c r="H713" s="80"/>
      <c r="I713" s="80"/>
      <c r="J713" s="80"/>
      <c r="K713" s="80"/>
      <c r="L713" s="2"/>
      <c r="M713" s="2"/>
      <c r="N713" s="2"/>
      <c r="O713" s="2"/>
      <c r="P713" s="2"/>
      <c r="Q713" s="2"/>
      <c r="R713" s="80"/>
      <c r="S713" s="80"/>
      <c r="T713" s="80"/>
      <c r="U713" s="80"/>
      <c r="V713" s="80"/>
      <c r="W713" s="80"/>
      <c r="X713" s="80"/>
      <c r="Y713" s="80"/>
      <c r="Z713" s="80"/>
      <c r="AA713" s="80"/>
      <c r="AB713" s="80"/>
      <c r="AC713" s="80"/>
      <c r="AD713" s="80"/>
      <c r="AE713" s="80"/>
      <c r="AF713" s="80"/>
      <c r="AG713" s="80"/>
      <c r="AH713" s="80"/>
      <c r="AI713" s="80"/>
    </row>
    <row r="714" spans="1:35" x14ac:dyDescent="0.2">
      <c r="A714" s="2"/>
      <c r="B714" s="80"/>
      <c r="C714" s="80"/>
      <c r="D714" s="80"/>
      <c r="E714" s="80"/>
      <c r="F714" s="80"/>
      <c r="G714" s="80"/>
      <c r="H714" s="80"/>
      <c r="I714" s="80"/>
      <c r="J714" s="80"/>
      <c r="K714" s="80"/>
      <c r="L714" s="2"/>
      <c r="M714" s="2"/>
      <c r="N714" s="2"/>
      <c r="O714" s="2"/>
      <c r="P714" s="2"/>
      <c r="Q714" s="2"/>
      <c r="R714" s="80"/>
      <c r="S714" s="80"/>
      <c r="T714" s="80"/>
      <c r="U714" s="80"/>
      <c r="V714" s="80"/>
      <c r="W714" s="80"/>
      <c r="X714" s="80"/>
      <c r="Y714" s="80"/>
      <c r="Z714" s="80"/>
      <c r="AA714" s="80"/>
      <c r="AB714" s="80"/>
      <c r="AC714" s="80"/>
      <c r="AD714" s="80"/>
      <c r="AE714" s="80"/>
      <c r="AF714" s="80"/>
      <c r="AG714" s="80"/>
      <c r="AH714" s="80"/>
      <c r="AI714" s="80"/>
    </row>
    <row r="715" spans="1:35" x14ac:dyDescent="0.2">
      <c r="A715" s="2"/>
      <c r="B715" s="80"/>
      <c r="C715" s="80"/>
      <c r="D715" s="80"/>
      <c r="E715" s="80"/>
      <c r="F715" s="80"/>
      <c r="G715" s="80"/>
      <c r="H715" s="80"/>
      <c r="I715" s="80"/>
      <c r="J715" s="80"/>
      <c r="K715" s="80"/>
      <c r="L715" s="2"/>
      <c r="M715" s="2"/>
      <c r="N715" s="2"/>
      <c r="O715" s="2"/>
      <c r="P715" s="2"/>
      <c r="Q715" s="2"/>
      <c r="R715" s="80"/>
      <c r="S715" s="80"/>
      <c r="T715" s="80"/>
      <c r="U715" s="80"/>
      <c r="V715" s="80"/>
      <c r="W715" s="80"/>
      <c r="X715" s="80"/>
      <c r="Y715" s="80"/>
      <c r="Z715" s="80"/>
      <c r="AA715" s="80"/>
      <c r="AB715" s="80"/>
      <c r="AC715" s="80"/>
      <c r="AD715" s="80"/>
      <c r="AE715" s="80"/>
      <c r="AF715" s="80"/>
      <c r="AG715" s="80"/>
      <c r="AH715" s="80"/>
      <c r="AI715" s="80"/>
    </row>
    <row r="716" spans="1:35" x14ac:dyDescent="0.2">
      <c r="A716" s="2"/>
      <c r="B716" s="80"/>
      <c r="C716" s="80"/>
      <c r="D716" s="80"/>
      <c r="E716" s="80"/>
      <c r="F716" s="80"/>
      <c r="G716" s="80"/>
      <c r="H716" s="80"/>
      <c r="I716" s="80"/>
      <c r="J716" s="80"/>
      <c r="K716" s="80"/>
      <c r="L716" s="2"/>
      <c r="M716" s="2"/>
      <c r="N716" s="2"/>
      <c r="O716" s="2"/>
      <c r="P716" s="2"/>
      <c r="Q716" s="2"/>
      <c r="R716" s="80"/>
      <c r="S716" s="80"/>
      <c r="T716" s="80"/>
      <c r="U716" s="80"/>
      <c r="V716" s="80"/>
      <c r="W716" s="80"/>
      <c r="X716" s="80"/>
      <c r="Y716" s="80"/>
      <c r="Z716" s="80"/>
      <c r="AA716" s="80"/>
      <c r="AB716" s="80"/>
      <c r="AC716" s="80"/>
      <c r="AD716" s="80"/>
      <c r="AE716" s="80"/>
      <c r="AF716" s="80"/>
      <c r="AG716" s="80"/>
      <c r="AH716" s="80"/>
      <c r="AI716" s="80"/>
    </row>
    <row r="717" spans="1:35" x14ac:dyDescent="0.2">
      <c r="A717" s="2"/>
      <c r="B717" s="80"/>
      <c r="C717" s="80"/>
      <c r="D717" s="80"/>
      <c r="E717" s="80"/>
      <c r="F717" s="80"/>
      <c r="G717" s="80"/>
      <c r="H717" s="80"/>
      <c r="I717" s="80"/>
      <c r="J717" s="80"/>
      <c r="K717" s="80"/>
      <c r="L717" s="2"/>
      <c r="M717" s="2"/>
      <c r="N717" s="2"/>
      <c r="O717" s="2"/>
      <c r="P717" s="2"/>
      <c r="Q717" s="2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E717" s="80"/>
      <c r="AF717" s="80"/>
      <c r="AG717" s="80"/>
      <c r="AH717" s="80"/>
      <c r="AI717" s="80"/>
    </row>
    <row r="718" spans="1:35" x14ac:dyDescent="0.2">
      <c r="A718" s="2"/>
      <c r="B718" s="80"/>
      <c r="C718" s="80"/>
      <c r="D718" s="80"/>
      <c r="E718" s="80"/>
      <c r="F718" s="80"/>
      <c r="G718" s="80"/>
      <c r="H718" s="80"/>
      <c r="I718" s="80"/>
      <c r="J718" s="80"/>
      <c r="K718" s="80"/>
      <c r="L718" s="2"/>
      <c r="M718" s="2"/>
      <c r="N718" s="2"/>
      <c r="O718" s="2"/>
      <c r="P718" s="2"/>
      <c r="Q718" s="2"/>
      <c r="R718" s="80"/>
      <c r="S718" s="80"/>
      <c r="T718" s="80"/>
      <c r="U718" s="80"/>
      <c r="V718" s="80"/>
      <c r="W718" s="80"/>
      <c r="X718" s="80"/>
      <c r="Y718" s="80"/>
      <c r="Z718" s="80"/>
      <c r="AA718" s="80"/>
      <c r="AB718" s="80"/>
      <c r="AC718" s="80"/>
      <c r="AD718" s="80"/>
      <c r="AE718" s="80"/>
      <c r="AF718" s="80"/>
      <c r="AG718" s="80"/>
      <c r="AH718" s="80"/>
      <c r="AI718" s="80"/>
    </row>
    <row r="719" spans="1:35" x14ac:dyDescent="0.2">
      <c r="A719" s="2"/>
      <c r="B719" s="80"/>
      <c r="C719" s="80"/>
      <c r="D719" s="80"/>
      <c r="E719" s="80"/>
      <c r="F719" s="80"/>
      <c r="G719" s="80"/>
      <c r="H719" s="80"/>
      <c r="I719" s="80"/>
      <c r="J719" s="80"/>
      <c r="K719" s="80"/>
      <c r="L719" s="2"/>
      <c r="M719" s="2"/>
      <c r="N719" s="2"/>
      <c r="O719" s="2"/>
      <c r="P719" s="2"/>
      <c r="Q719" s="2"/>
      <c r="R719" s="80"/>
      <c r="S719" s="80"/>
      <c r="T719" s="80"/>
      <c r="U719" s="80"/>
      <c r="V719" s="80"/>
      <c r="W719" s="80"/>
      <c r="X719" s="80"/>
      <c r="Y719" s="80"/>
      <c r="Z719" s="80"/>
      <c r="AA719" s="80"/>
      <c r="AB719" s="80"/>
      <c r="AC719" s="80"/>
      <c r="AD719" s="80"/>
      <c r="AE719" s="80"/>
      <c r="AF719" s="80"/>
      <c r="AG719" s="80"/>
      <c r="AH719" s="80"/>
      <c r="AI719" s="80"/>
    </row>
    <row r="720" spans="1:35" x14ac:dyDescent="0.2">
      <c r="A720" s="2"/>
      <c r="B720" s="80"/>
      <c r="C720" s="80"/>
      <c r="D720" s="80"/>
      <c r="E720" s="80"/>
      <c r="F720" s="80"/>
      <c r="G720" s="80"/>
      <c r="H720" s="80"/>
      <c r="I720" s="80"/>
      <c r="J720" s="80"/>
      <c r="K720" s="80"/>
      <c r="L720" s="2"/>
      <c r="M720" s="2"/>
      <c r="N720" s="2"/>
      <c r="O720" s="2"/>
      <c r="P720" s="2"/>
      <c r="Q720" s="2"/>
      <c r="R720" s="80"/>
      <c r="S720" s="80"/>
      <c r="T720" s="80"/>
      <c r="U720" s="80"/>
      <c r="V720" s="80"/>
      <c r="W720" s="80"/>
      <c r="X720" s="80"/>
      <c r="Y720" s="80"/>
      <c r="Z720" s="80"/>
      <c r="AA720" s="80"/>
      <c r="AB720" s="80"/>
      <c r="AC720" s="80"/>
      <c r="AD720" s="80"/>
      <c r="AE720" s="80"/>
      <c r="AF720" s="80"/>
      <c r="AG720" s="80"/>
      <c r="AH720" s="80"/>
      <c r="AI720" s="80"/>
    </row>
    <row r="721" spans="1:35" x14ac:dyDescent="0.2">
      <c r="A721" s="2"/>
      <c r="B721" s="80"/>
      <c r="C721" s="80"/>
      <c r="D721" s="80"/>
      <c r="E721" s="80"/>
      <c r="F721" s="80"/>
      <c r="G721" s="80"/>
      <c r="H721" s="80"/>
      <c r="I721" s="80"/>
      <c r="J721" s="80"/>
      <c r="K721" s="80"/>
      <c r="L721" s="2"/>
      <c r="M721" s="2"/>
      <c r="N721" s="2"/>
      <c r="O721" s="2"/>
      <c r="P721" s="2"/>
      <c r="Q721" s="2"/>
      <c r="R721" s="80"/>
      <c r="S721" s="80"/>
      <c r="T721" s="80"/>
      <c r="U721" s="80"/>
      <c r="V721" s="80"/>
      <c r="W721" s="80"/>
      <c r="X721" s="80"/>
      <c r="Y721" s="80"/>
      <c r="Z721" s="80"/>
      <c r="AA721" s="80"/>
      <c r="AB721" s="80"/>
      <c r="AC721" s="80"/>
      <c r="AD721" s="80"/>
      <c r="AE721" s="80"/>
      <c r="AF721" s="80"/>
      <c r="AG721" s="80"/>
      <c r="AH721" s="80"/>
      <c r="AI721" s="80"/>
    </row>
    <row r="722" spans="1:35" x14ac:dyDescent="0.2">
      <c r="A722" s="2"/>
      <c r="B722" s="80"/>
      <c r="C722" s="80"/>
      <c r="D722" s="80"/>
      <c r="E722" s="80"/>
      <c r="F722" s="80"/>
      <c r="G722" s="80"/>
      <c r="H722" s="80"/>
      <c r="I722" s="80"/>
      <c r="J722" s="80"/>
      <c r="K722" s="80"/>
      <c r="L722" s="2"/>
      <c r="M722" s="2"/>
      <c r="N722" s="2"/>
      <c r="O722" s="2"/>
      <c r="P722" s="2"/>
      <c r="Q722" s="2"/>
      <c r="R722" s="80"/>
      <c r="S722" s="80"/>
      <c r="T722" s="80"/>
      <c r="U722" s="80"/>
      <c r="V722" s="80"/>
      <c r="W722" s="80"/>
      <c r="X722" s="80"/>
      <c r="Y722" s="80"/>
      <c r="Z722" s="80"/>
      <c r="AA722" s="80"/>
      <c r="AB722" s="80"/>
      <c r="AC722" s="80"/>
      <c r="AD722" s="80"/>
      <c r="AE722" s="80"/>
      <c r="AF722" s="80"/>
      <c r="AG722" s="80"/>
      <c r="AH722" s="80"/>
      <c r="AI722" s="80"/>
    </row>
    <row r="723" spans="1:35" x14ac:dyDescent="0.2">
      <c r="A723" s="2"/>
      <c r="B723" s="80"/>
      <c r="C723" s="80"/>
      <c r="D723" s="80"/>
      <c r="E723" s="80"/>
      <c r="F723" s="80"/>
      <c r="G723" s="80"/>
      <c r="H723" s="80"/>
      <c r="I723" s="80"/>
      <c r="J723" s="80"/>
      <c r="K723" s="80"/>
      <c r="L723" s="2"/>
      <c r="M723" s="2"/>
      <c r="N723" s="2"/>
      <c r="O723" s="2"/>
      <c r="P723" s="2"/>
      <c r="Q723" s="2"/>
      <c r="R723" s="80"/>
      <c r="S723" s="80"/>
      <c r="T723" s="80"/>
      <c r="U723" s="80"/>
      <c r="V723" s="80"/>
      <c r="W723" s="80"/>
      <c r="X723" s="80"/>
      <c r="Y723" s="80"/>
      <c r="Z723" s="80"/>
      <c r="AA723" s="80"/>
      <c r="AB723" s="80"/>
      <c r="AC723" s="80"/>
      <c r="AD723" s="80"/>
      <c r="AE723" s="80"/>
      <c r="AF723" s="80"/>
      <c r="AG723" s="80"/>
      <c r="AH723" s="80"/>
      <c r="AI723" s="80"/>
    </row>
    <row r="724" spans="1:35" x14ac:dyDescent="0.2">
      <c r="A724" s="2"/>
      <c r="B724" s="80"/>
      <c r="C724" s="80"/>
      <c r="D724" s="80"/>
      <c r="E724" s="80"/>
      <c r="F724" s="80"/>
      <c r="G724" s="80"/>
      <c r="H724" s="80"/>
      <c r="I724" s="80"/>
      <c r="J724" s="80"/>
      <c r="K724" s="80"/>
      <c r="L724" s="2"/>
      <c r="M724" s="2"/>
      <c r="N724" s="2"/>
      <c r="O724" s="2"/>
      <c r="P724" s="2"/>
      <c r="Q724" s="2"/>
      <c r="R724" s="80"/>
      <c r="S724" s="80"/>
      <c r="T724" s="80"/>
      <c r="U724" s="80"/>
      <c r="V724" s="80"/>
      <c r="W724" s="80"/>
      <c r="X724" s="80"/>
      <c r="Y724" s="80"/>
      <c r="Z724" s="80"/>
      <c r="AA724" s="80"/>
      <c r="AB724" s="80"/>
      <c r="AC724" s="80"/>
      <c r="AD724" s="80"/>
      <c r="AE724" s="80"/>
      <c r="AF724" s="80"/>
      <c r="AG724" s="80"/>
      <c r="AH724" s="80"/>
      <c r="AI724" s="80"/>
    </row>
    <row r="725" spans="1:35" x14ac:dyDescent="0.2">
      <c r="A725" s="2"/>
      <c r="B725" s="80"/>
      <c r="C725" s="80"/>
      <c r="D725" s="80"/>
      <c r="E725" s="80"/>
      <c r="F725" s="80"/>
      <c r="G725" s="80"/>
      <c r="H725" s="80"/>
      <c r="I725" s="80"/>
      <c r="J725" s="80"/>
      <c r="K725" s="80"/>
      <c r="L725" s="2"/>
      <c r="M725" s="2"/>
      <c r="N725" s="2"/>
      <c r="O725" s="2"/>
      <c r="P725" s="2"/>
      <c r="Q725" s="2"/>
      <c r="R725" s="80"/>
      <c r="S725" s="80"/>
      <c r="T725" s="80"/>
      <c r="U725" s="80"/>
      <c r="V725" s="80"/>
      <c r="W725" s="80"/>
      <c r="X725" s="80"/>
      <c r="Y725" s="80"/>
      <c r="Z725" s="80"/>
      <c r="AA725" s="80"/>
      <c r="AB725" s="80"/>
      <c r="AC725" s="80"/>
      <c r="AD725" s="80"/>
      <c r="AE725" s="80"/>
      <c r="AF725" s="80"/>
      <c r="AG725" s="80"/>
      <c r="AH725" s="80"/>
      <c r="AI725" s="80"/>
    </row>
    <row r="726" spans="1:35" x14ac:dyDescent="0.2">
      <c r="A726" s="2"/>
      <c r="B726" s="80"/>
      <c r="C726" s="80"/>
      <c r="D726" s="80"/>
      <c r="E726" s="80"/>
      <c r="F726" s="80"/>
      <c r="G726" s="80"/>
      <c r="H726" s="80"/>
      <c r="I726" s="80"/>
      <c r="J726" s="80"/>
      <c r="K726" s="80"/>
      <c r="L726" s="2"/>
      <c r="M726" s="2"/>
      <c r="N726" s="2"/>
      <c r="O726" s="2"/>
      <c r="P726" s="2"/>
      <c r="Q726" s="2"/>
      <c r="R726" s="80"/>
      <c r="S726" s="80"/>
      <c r="T726" s="80"/>
      <c r="U726" s="80"/>
      <c r="V726" s="80"/>
      <c r="W726" s="80"/>
      <c r="X726" s="80"/>
      <c r="Y726" s="80"/>
      <c r="Z726" s="80"/>
      <c r="AA726" s="80"/>
      <c r="AB726" s="80"/>
      <c r="AC726" s="80"/>
      <c r="AD726" s="80"/>
      <c r="AE726" s="80"/>
      <c r="AF726" s="80"/>
      <c r="AG726" s="80"/>
      <c r="AH726" s="80"/>
      <c r="AI726" s="80"/>
    </row>
    <row r="727" spans="1:35" x14ac:dyDescent="0.2">
      <c r="A727" s="2"/>
      <c r="B727" s="80"/>
      <c r="C727" s="80"/>
      <c r="D727" s="80"/>
      <c r="E727" s="80"/>
      <c r="F727" s="80"/>
      <c r="G727" s="80"/>
      <c r="H727" s="80"/>
      <c r="I727" s="80"/>
      <c r="J727" s="80"/>
      <c r="K727" s="80"/>
      <c r="L727" s="2"/>
      <c r="M727" s="2"/>
      <c r="N727" s="2"/>
      <c r="O727" s="2"/>
      <c r="P727" s="2"/>
      <c r="Q727" s="2"/>
      <c r="R727" s="80"/>
      <c r="S727" s="80"/>
      <c r="T727" s="80"/>
      <c r="U727" s="80"/>
      <c r="V727" s="80"/>
      <c r="W727" s="80"/>
      <c r="X727" s="80"/>
      <c r="Y727" s="80"/>
      <c r="Z727" s="80"/>
      <c r="AA727" s="80"/>
      <c r="AB727" s="80"/>
      <c r="AC727" s="80"/>
      <c r="AD727" s="80"/>
      <c r="AE727" s="80"/>
      <c r="AF727" s="80"/>
      <c r="AG727" s="80"/>
      <c r="AH727" s="80"/>
      <c r="AI727" s="80"/>
    </row>
    <row r="728" spans="1:35" x14ac:dyDescent="0.2">
      <c r="A728" s="2"/>
      <c r="B728" s="80"/>
      <c r="C728" s="80"/>
      <c r="D728" s="80"/>
      <c r="E728" s="80"/>
      <c r="F728" s="80"/>
      <c r="G728" s="80"/>
      <c r="H728" s="80"/>
      <c r="I728" s="80"/>
      <c r="J728" s="80"/>
      <c r="K728" s="80"/>
      <c r="L728" s="2"/>
      <c r="M728" s="2"/>
      <c r="N728" s="2"/>
      <c r="O728" s="2"/>
      <c r="P728" s="2"/>
      <c r="Q728" s="2"/>
      <c r="R728" s="80"/>
      <c r="S728" s="80"/>
      <c r="T728" s="80"/>
      <c r="U728" s="80"/>
      <c r="V728" s="80"/>
      <c r="W728" s="80"/>
      <c r="X728" s="80"/>
      <c r="Y728" s="80"/>
      <c r="Z728" s="80"/>
      <c r="AA728" s="80"/>
      <c r="AB728" s="80"/>
      <c r="AC728" s="80"/>
      <c r="AD728" s="80"/>
      <c r="AE728" s="80"/>
      <c r="AF728" s="80"/>
      <c r="AG728" s="80"/>
      <c r="AH728" s="80"/>
      <c r="AI728" s="80"/>
    </row>
    <row r="729" spans="1:35" x14ac:dyDescent="0.2">
      <c r="A729" s="2"/>
      <c r="B729" s="80"/>
      <c r="C729" s="80"/>
      <c r="D729" s="80"/>
      <c r="E729" s="80"/>
      <c r="F729" s="80"/>
      <c r="G729" s="80"/>
      <c r="H729" s="80"/>
      <c r="I729" s="80"/>
      <c r="J729" s="80"/>
      <c r="K729" s="80"/>
      <c r="L729" s="2"/>
      <c r="M729" s="2"/>
      <c r="N729" s="2"/>
      <c r="O729" s="2"/>
      <c r="P729" s="2"/>
      <c r="Q729" s="2"/>
      <c r="R729" s="80"/>
      <c r="S729" s="80"/>
      <c r="T729" s="80"/>
      <c r="U729" s="80"/>
      <c r="V729" s="80"/>
      <c r="W729" s="80"/>
      <c r="X729" s="80"/>
      <c r="Y729" s="80"/>
      <c r="Z729" s="80"/>
      <c r="AA729" s="80"/>
      <c r="AB729" s="80"/>
      <c r="AC729" s="80"/>
      <c r="AD729" s="80"/>
      <c r="AE729" s="80"/>
      <c r="AF729" s="80"/>
      <c r="AG729" s="80"/>
      <c r="AH729" s="80"/>
      <c r="AI729" s="80"/>
    </row>
    <row r="730" spans="1:35" x14ac:dyDescent="0.2">
      <c r="A730" s="2"/>
      <c r="B730" s="80"/>
      <c r="C730" s="80"/>
      <c r="D730" s="80"/>
      <c r="E730" s="80"/>
      <c r="F730" s="80"/>
      <c r="G730" s="80"/>
      <c r="H730" s="80"/>
      <c r="I730" s="80"/>
      <c r="J730" s="80"/>
      <c r="K730" s="80"/>
      <c r="L730" s="2"/>
      <c r="M730" s="2"/>
      <c r="N730" s="2"/>
      <c r="O730" s="2"/>
      <c r="P730" s="2"/>
      <c r="Q730" s="2"/>
      <c r="R730" s="80"/>
      <c r="S730" s="80"/>
      <c r="T730" s="80"/>
      <c r="U730" s="80"/>
      <c r="V730" s="80"/>
      <c r="W730" s="80"/>
      <c r="X730" s="80"/>
      <c r="Y730" s="80"/>
      <c r="Z730" s="80"/>
      <c r="AA730" s="80"/>
      <c r="AB730" s="80"/>
      <c r="AC730" s="80"/>
      <c r="AD730" s="80"/>
      <c r="AE730" s="80"/>
      <c r="AF730" s="80"/>
      <c r="AG730" s="80"/>
      <c r="AH730" s="80"/>
      <c r="AI730" s="80"/>
    </row>
    <row r="731" spans="1:35" x14ac:dyDescent="0.2">
      <c r="A731" s="2"/>
      <c r="B731" s="80"/>
      <c r="C731" s="80"/>
      <c r="D731" s="80"/>
      <c r="E731" s="80"/>
      <c r="F731" s="80"/>
      <c r="G731" s="80"/>
      <c r="H731" s="80"/>
      <c r="I731" s="80"/>
      <c r="J731" s="80"/>
      <c r="K731" s="80"/>
      <c r="L731" s="2"/>
      <c r="M731" s="2"/>
      <c r="N731" s="2"/>
      <c r="O731" s="2"/>
      <c r="P731" s="2"/>
      <c r="Q731" s="2"/>
      <c r="R731" s="80"/>
      <c r="S731" s="80"/>
      <c r="T731" s="80"/>
      <c r="U731" s="80"/>
      <c r="V731" s="80"/>
      <c r="W731" s="80"/>
      <c r="X731" s="80"/>
      <c r="Y731" s="80"/>
      <c r="Z731" s="80"/>
      <c r="AA731" s="80"/>
      <c r="AB731" s="80"/>
      <c r="AC731" s="80"/>
      <c r="AD731" s="80"/>
      <c r="AE731" s="80"/>
      <c r="AF731" s="80"/>
      <c r="AG731" s="80"/>
      <c r="AH731" s="80"/>
      <c r="AI731" s="80"/>
    </row>
    <row r="732" spans="1:35" x14ac:dyDescent="0.2">
      <c r="A732" s="2"/>
      <c r="B732" s="80"/>
      <c r="C732" s="80"/>
      <c r="D732" s="80"/>
      <c r="E732" s="80"/>
      <c r="F732" s="80"/>
      <c r="G732" s="80"/>
      <c r="H732" s="80"/>
      <c r="I732" s="80"/>
      <c r="J732" s="80"/>
      <c r="K732" s="80"/>
      <c r="L732" s="2"/>
      <c r="M732" s="2"/>
      <c r="N732" s="2"/>
      <c r="O732" s="2"/>
      <c r="P732" s="2"/>
      <c r="Q732" s="2"/>
      <c r="R732" s="80"/>
      <c r="S732" s="80"/>
      <c r="T732" s="80"/>
      <c r="U732" s="80"/>
      <c r="V732" s="80"/>
      <c r="W732" s="80"/>
      <c r="X732" s="80"/>
      <c r="Y732" s="80"/>
      <c r="Z732" s="80"/>
      <c r="AA732" s="80"/>
      <c r="AB732" s="80"/>
      <c r="AC732" s="80"/>
      <c r="AD732" s="80"/>
      <c r="AE732" s="80"/>
      <c r="AF732" s="80"/>
      <c r="AG732" s="80"/>
      <c r="AH732" s="80"/>
      <c r="AI732" s="80"/>
    </row>
    <row r="733" spans="1:35" x14ac:dyDescent="0.2">
      <c r="A733" s="2"/>
      <c r="B733" s="80"/>
      <c r="C733" s="80"/>
      <c r="D733" s="80"/>
      <c r="E733" s="80"/>
      <c r="F733" s="80"/>
      <c r="G733" s="80"/>
      <c r="H733" s="80"/>
      <c r="I733" s="80"/>
      <c r="J733" s="80"/>
      <c r="K733" s="80"/>
      <c r="L733" s="2"/>
      <c r="M733" s="2"/>
      <c r="N733" s="2"/>
      <c r="O733" s="2"/>
      <c r="P733" s="2"/>
      <c r="Q733" s="2"/>
      <c r="R733" s="80"/>
      <c r="S733" s="80"/>
      <c r="T733" s="80"/>
      <c r="U733" s="80"/>
      <c r="V733" s="80"/>
      <c r="W733" s="80"/>
      <c r="X733" s="80"/>
      <c r="Y733" s="80"/>
      <c r="Z733" s="80"/>
      <c r="AA733" s="80"/>
      <c r="AB733" s="80"/>
      <c r="AC733" s="80"/>
      <c r="AD733" s="80"/>
      <c r="AE733" s="80"/>
      <c r="AF733" s="80"/>
      <c r="AG733" s="80"/>
      <c r="AH733" s="80"/>
      <c r="AI733" s="80"/>
    </row>
    <row r="734" spans="1:35" x14ac:dyDescent="0.2">
      <c r="A734" s="2"/>
      <c r="B734" s="80"/>
      <c r="C734" s="80"/>
      <c r="D734" s="80"/>
      <c r="E734" s="80"/>
      <c r="F734" s="80"/>
      <c r="G734" s="80"/>
      <c r="H734" s="80"/>
      <c r="I734" s="80"/>
      <c r="J734" s="80"/>
      <c r="K734" s="80"/>
      <c r="L734" s="2"/>
      <c r="M734" s="2"/>
      <c r="N734" s="2"/>
      <c r="O734" s="2"/>
      <c r="P734" s="2"/>
      <c r="Q734" s="2"/>
      <c r="R734" s="80"/>
      <c r="S734" s="80"/>
      <c r="T734" s="80"/>
      <c r="U734" s="80"/>
      <c r="V734" s="80"/>
      <c r="W734" s="80"/>
      <c r="X734" s="80"/>
      <c r="Y734" s="80"/>
      <c r="Z734" s="80"/>
      <c r="AA734" s="80"/>
      <c r="AB734" s="80"/>
      <c r="AC734" s="80"/>
      <c r="AD734" s="80"/>
      <c r="AE734" s="80"/>
      <c r="AF734" s="80"/>
      <c r="AG734" s="80"/>
      <c r="AH734" s="80"/>
      <c r="AI734" s="80"/>
    </row>
    <row r="735" spans="1:35" x14ac:dyDescent="0.2">
      <c r="A735" s="2"/>
      <c r="B735" s="80"/>
      <c r="C735" s="80"/>
      <c r="D735" s="80"/>
      <c r="E735" s="80"/>
      <c r="F735" s="80"/>
      <c r="G735" s="80"/>
      <c r="H735" s="80"/>
      <c r="I735" s="80"/>
      <c r="J735" s="80"/>
      <c r="K735" s="80"/>
      <c r="L735" s="2"/>
      <c r="M735" s="2"/>
      <c r="N735" s="2"/>
      <c r="O735" s="2"/>
      <c r="P735" s="2"/>
      <c r="Q735" s="2"/>
      <c r="R735" s="80"/>
      <c r="S735" s="80"/>
      <c r="T735" s="80"/>
      <c r="U735" s="80"/>
      <c r="V735" s="80"/>
      <c r="W735" s="80"/>
      <c r="X735" s="80"/>
      <c r="Y735" s="80"/>
      <c r="Z735" s="80"/>
      <c r="AA735" s="80"/>
      <c r="AB735" s="80"/>
      <c r="AC735" s="80"/>
      <c r="AD735" s="80"/>
      <c r="AE735" s="80"/>
      <c r="AF735" s="80"/>
      <c r="AG735" s="80"/>
      <c r="AH735" s="80"/>
      <c r="AI735" s="80"/>
    </row>
    <row r="736" spans="1:35" x14ac:dyDescent="0.2">
      <c r="A736" s="2"/>
      <c r="B736" s="80"/>
      <c r="C736" s="80"/>
      <c r="D736" s="80"/>
      <c r="E736" s="80"/>
      <c r="F736" s="80"/>
      <c r="G736" s="80"/>
      <c r="H736" s="80"/>
      <c r="I736" s="80"/>
      <c r="J736" s="80"/>
      <c r="K736" s="80"/>
      <c r="L736" s="2"/>
      <c r="M736" s="2"/>
      <c r="N736" s="2"/>
      <c r="O736" s="2"/>
      <c r="P736" s="2"/>
      <c r="Q736" s="2"/>
      <c r="R736" s="80"/>
      <c r="S736" s="80"/>
      <c r="T736" s="80"/>
      <c r="U736" s="80"/>
      <c r="V736" s="80"/>
      <c r="W736" s="80"/>
      <c r="X736" s="80"/>
      <c r="Y736" s="80"/>
      <c r="Z736" s="80"/>
      <c r="AA736" s="80"/>
      <c r="AB736" s="80"/>
      <c r="AC736" s="80"/>
      <c r="AD736" s="80"/>
      <c r="AE736" s="80"/>
      <c r="AF736" s="80"/>
      <c r="AG736" s="80"/>
      <c r="AH736" s="80"/>
      <c r="AI736" s="80"/>
    </row>
    <row r="737" spans="1:35" x14ac:dyDescent="0.2">
      <c r="A737" s="2"/>
      <c r="B737" s="80"/>
      <c r="C737" s="80"/>
      <c r="D737" s="80"/>
      <c r="E737" s="80"/>
      <c r="F737" s="80"/>
      <c r="G737" s="80"/>
      <c r="H737" s="80"/>
      <c r="I737" s="80"/>
      <c r="J737" s="80"/>
      <c r="K737" s="80"/>
      <c r="L737" s="2"/>
      <c r="M737" s="2"/>
      <c r="N737" s="2"/>
      <c r="O737" s="2"/>
      <c r="P737" s="2"/>
      <c r="Q737" s="2"/>
      <c r="R737" s="80"/>
      <c r="S737" s="80"/>
      <c r="T737" s="80"/>
      <c r="U737" s="80"/>
      <c r="V737" s="80"/>
      <c r="W737" s="80"/>
      <c r="X737" s="80"/>
      <c r="Y737" s="80"/>
      <c r="Z737" s="80"/>
      <c r="AA737" s="80"/>
      <c r="AB737" s="80"/>
      <c r="AC737" s="80"/>
      <c r="AD737" s="80"/>
      <c r="AE737" s="80"/>
      <c r="AF737" s="80"/>
      <c r="AG737" s="80"/>
      <c r="AH737" s="80"/>
      <c r="AI737" s="80"/>
    </row>
    <row r="738" spans="1:35" x14ac:dyDescent="0.2">
      <c r="A738" s="2"/>
      <c r="B738" s="80"/>
      <c r="C738" s="80"/>
      <c r="D738" s="80"/>
      <c r="E738" s="80"/>
      <c r="F738" s="80"/>
      <c r="G738" s="80"/>
      <c r="H738" s="80"/>
      <c r="I738" s="80"/>
      <c r="J738" s="80"/>
      <c r="K738" s="80"/>
      <c r="L738" s="2"/>
      <c r="M738" s="2"/>
      <c r="N738" s="2"/>
      <c r="O738" s="2"/>
      <c r="P738" s="2"/>
      <c r="Q738" s="2"/>
      <c r="R738" s="80"/>
      <c r="S738" s="80"/>
      <c r="T738" s="80"/>
      <c r="U738" s="80"/>
      <c r="V738" s="80"/>
      <c r="W738" s="80"/>
      <c r="X738" s="80"/>
      <c r="Y738" s="80"/>
      <c r="Z738" s="80"/>
      <c r="AA738" s="80"/>
      <c r="AB738" s="80"/>
      <c r="AC738" s="80"/>
      <c r="AD738" s="80"/>
      <c r="AE738" s="80"/>
      <c r="AF738" s="80"/>
      <c r="AG738" s="80"/>
      <c r="AH738" s="80"/>
      <c r="AI738" s="80"/>
    </row>
    <row r="739" spans="1:35" x14ac:dyDescent="0.2">
      <c r="A739" s="2"/>
      <c r="B739" s="80"/>
      <c r="C739" s="80"/>
      <c r="D739" s="80"/>
      <c r="E739" s="80"/>
      <c r="F739" s="80"/>
      <c r="G739" s="80"/>
      <c r="H739" s="80"/>
      <c r="I739" s="80"/>
      <c r="J739" s="80"/>
      <c r="K739" s="80"/>
      <c r="L739" s="2"/>
      <c r="M739" s="2"/>
      <c r="N739" s="2"/>
      <c r="O739" s="2"/>
      <c r="P739" s="2"/>
      <c r="Q739" s="2"/>
      <c r="R739" s="80"/>
      <c r="S739" s="80"/>
      <c r="T739" s="80"/>
      <c r="U739" s="80"/>
      <c r="V739" s="80"/>
      <c r="W739" s="80"/>
      <c r="X739" s="80"/>
      <c r="Y739" s="80"/>
      <c r="Z739" s="80"/>
      <c r="AA739" s="80"/>
      <c r="AB739" s="80"/>
      <c r="AC739" s="80"/>
      <c r="AD739" s="80"/>
      <c r="AE739" s="80"/>
      <c r="AF739" s="80"/>
      <c r="AG739" s="80"/>
      <c r="AH739" s="80"/>
      <c r="AI739" s="80"/>
    </row>
    <row r="740" spans="1:35" x14ac:dyDescent="0.2">
      <c r="A740" s="2"/>
      <c r="B740" s="80"/>
      <c r="C740" s="80"/>
      <c r="D740" s="80"/>
      <c r="E740" s="80"/>
      <c r="F740" s="80"/>
      <c r="G740" s="80"/>
      <c r="H740" s="80"/>
      <c r="I740" s="80"/>
      <c r="J740" s="80"/>
      <c r="K740" s="80"/>
      <c r="L740" s="2"/>
      <c r="M740" s="2"/>
      <c r="N740" s="2"/>
      <c r="O740" s="2"/>
      <c r="P740" s="2"/>
      <c r="Q740" s="2"/>
      <c r="R740" s="80"/>
      <c r="S740" s="80"/>
      <c r="T740" s="80"/>
      <c r="U740" s="80"/>
      <c r="V740" s="80"/>
      <c r="W740" s="80"/>
      <c r="X740" s="80"/>
      <c r="Y740" s="80"/>
      <c r="Z740" s="80"/>
      <c r="AA740" s="80"/>
      <c r="AB740" s="80"/>
      <c r="AC740" s="80"/>
      <c r="AD740" s="80"/>
      <c r="AE740" s="80"/>
      <c r="AF740" s="80"/>
      <c r="AG740" s="80"/>
      <c r="AH740" s="80"/>
      <c r="AI740" s="80"/>
    </row>
    <row r="741" spans="1:35" x14ac:dyDescent="0.2">
      <c r="A741" s="2"/>
      <c r="B741" s="80"/>
      <c r="C741" s="80"/>
      <c r="D741" s="80"/>
      <c r="E741" s="80"/>
      <c r="F741" s="80"/>
      <c r="G741" s="80"/>
      <c r="H741" s="80"/>
      <c r="I741" s="80"/>
      <c r="J741" s="80"/>
      <c r="K741" s="80"/>
      <c r="L741" s="2"/>
      <c r="M741" s="2"/>
      <c r="N741" s="2"/>
      <c r="O741" s="2"/>
      <c r="P741" s="2"/>
      <c r="Q741" s="2"/>
      <c r="R741" s="80"/>
      <c r="S741" s="80"/>
      <c r="T741" s="80"/>
      <c r="U741" s="80"/>
      <c r="V741" s="80"/>
      <c r="W741" s="80"/>
      <c r="X741" s="80"/>
      <c r="Y741" s="80"/>
      <c r="Z741" s="80"/>
      <c r="AA741" s="80"/>
      <c r="AB741" s="80"/>
      <c r="AC741" s="80"/>
      <c r="AD741" s="80"/>
      <c r="AE741" s="80"/>
      <c r="AF741" s="80"/>
      <c r="AG741" s="80"/>
      <c r="AH741" s="80"/>
      <c r="AI741" s="80"/>
    </row>
    <row r="742" spans="1:35" x14ac:dyDescent="0.2">
      <c r="A742" s="2"/>
      <c r="B742" s="80"/>
      <c r="C742" s="80"/>
      <c r="D742" s="80"/>
      <c r="E742" s="80"/>
      <c r="F742" s="80"/>
      <c r="G742" s="80"/>
      <c r="H742" s="80"/>
      <c r="I742" s="80"/>
      <c r="J742" s="80"/>
      <c r="K742" s="80"/>
      <c r="L742" s="2"/>
      <c r="M742" s="2"/>
      <c r="N742" s="2"/>
      <c r="O742" s="2"/>
      <c r="P742" s="2"/>
      <c r="Q742" s="2"/>
      <c r="R742" s="80"/>
      <c r="S742" s="80"/>
      <c r="T742" s="80"/>
      <c r="U742" s="80"/>
      <c r="V742" s="80"/>
      <c r="W742" s="80"/>
      <c r="X742" s="80"/>
      <c r="Y742" s="80"/>
      <c r="Z742" s="80"/>
      <c r="AA742" s="80"/>
      <c r="AB742" s="80"/>
      <c r="AC742" s="80"/>
      <c r="AD742" s="80"/>
      <c r="AE742" s="80"/>
      <c r="AF742" s="80"/>
      <c r="AG742" s="80"/>
      <c r="AH742" s="80"/>
      <c r="AI742" s="80"/>
    </row>
    <row r="743" spans="1:35" x14ac:dyDescent="0.2">
      <c r="A743" s="2"/>
      <c r="B743" s="80"/>
      <c r="C743" s="80"/>
      <c r="D743" s="80"/>
      <c r="E743" s="80"/>
      <c r="F743" s="80"/>
      <c r="G743" s="80"/>
      <c r="H743" s="80"/>
      <c r="I743" s="80"/>
      <c r="J743" s="80"/>
      <c r="K743" s="80"/>
      <c r="L743" s="2"/>
      <c r="M743" s="2"/>
      <c r="N743" s="2"/>
      <c r="O743" s="2"/>
      <c r="P743" s="2"/>
      <c r="Q743" s="2"/>
      <c r="R743" s="80"/>
      <c r="S743" s="80"/>
      <c r="T743" s="80"/>
      <c r="U743" s="80"/>
      <c r="V743" s="80"/>
      <c r="W743" s="80"/>
      <c r="X743" s="80"/>
      <c r="Y743" s="80"/>
      <c r="Z743" s="80"/>
      <c r="AA743" s="80"/>
      <c r="AB743" s="80"/>
      <c r="AC743" s="80"/>
      <c r="AD743" s="80"/>
      <c r="AE743" s="80"/>
      <c r="AF743" s="80"/>
      <c r="AG743" s="80"/>
      <c r="AH743" s="80"/>
      <c r="AI743" s="80"/>
    </row>
    <row r="744" spans="1:35" x14ac:dyDescent="0.2">
      <c r="A744" s="2"/>
      <c r="B744" s="80"/>
      <c r="C744" s="80"/>
      <c r="D744" s="80"/>
      <c r="E744" s="80"/>
      <c r="F744" s="80"/>
      <c r="G744" s="80"/>
      <c r="H744" s="80"/>
      <c r="I744" s="80"/>
      <c r="J744" s="80"/>
      <c r="K744" s="80"/>
      <c r="L744" s="2"/>
      <c r="M744" s="2"/>
      <c r="N744" s="2"/>
      <c r="O744" s="2"/>
      <c r="P744" s="2"/>
      <c r="Q744" s="2"/>
      <c r="R744" s="80"/>
      <c r="S744" s="80"/>
      <c r="T744" s="80"/>
      <c r="U744" s="80"/>
      <c r="V744" s="80"/>
      <c r="W744" s="80"/>
      <c r="X744" s="80"/>
      <c r="Y744" s="80"/>
      <c r="Z744" s="80"/>
      <c r="AA744" s="80"/>
      <c r="AB744" s="80"/>
      <c r="AC744" s="80"/>
      <c r="AD744" s="80"/>
      <c r="AE744" s="80"/>
      <c r="AF744" s="80"/>
      <c r="AG744" s="80"/>
      <c r="AH744" s="80"/>
      <c r="AI744" s="80"/>
    </row>
    <row r="745" spans="1:35" x14ac:dyDescent="0.2">
      <c r="A745" s="2"/>
      <c r="B745" s="80"/>
      <c r="C745" s="80"/>
      <c r="D745" s="80"/>
      <c r="E745" s="80"/>
      <c r="F745" s="80"/>
      <c r="G745" s="80"/>
      <c r="H745" s="80"/>
      <c r="I745" s="80"/>
      <c r="J745" s="80"/>
      <c r="K745" s="80"/>
      <c r="L745" s="2"/>
      <c r="M745" s="2"/>
      <c r="N745" s="2"/>
      <c r="O745" s="2"/>
      <c r="P745" s="2"/>
      <c r="Q745" s="2"/>
      <c r="R745" s="80"/>
      <c r="S745" s="80"/>
      <c r="T745" s="80"/>
      <c r="U745" s="80"/>
      <c r="V745" s="80"/>
      <c r="W745" s="80"/>
      <c r="X745" s="80"/>
      <c r="Y745" s="80"/>
      <c r="Z745" s="80"/>
      <c r="AA745" s="80"/>
      <c r="AB745" s="80"/>
      <c r="AC745" s="80"/>
      <c r="AD745" s="80"/>
      <c r="AE745" s="80"/>
      <c r="AF745" s="80"/>
      <c r="AG745" s="80"/>
      <c r="AH745" s="80"/>
      <c r="AI745" s="80"/>
    </row>
    <row r="746" spans="1:35" x14ac:dyDescent="0.2">
      <c r="A746" s="2"/>
      <c r="B746" s="80"/>
      <c r="C746" s="80"/>
      <c r="D746" s="80"/>
      <c r="E746" s="80"/>
      <c r="F746" s="80"/>
      <c r="G746" s="80"/>
      <c r="H746" s="80"/>
      <c r="I746" s="80"/>
      <c r="J746" s="80"/>
      <c r="K746" s="80"/>
      <c r="L746" s="2"/>
      <c r="M746" s="2"/>
      <c r="N746" s="2"/>
      <c r="O746" s="2"/>
      <c r="P746" s="2"/>
      <c r="Q746" s="2"/>
      <c r="R746" s="80"/>
      <c r="S746" s="80"/>
      <c r="T746" s="80"/>
      <c r="U746" s="80"/>
      <c r="V746" s="80"/>
      <c r="W746" s="80"/>
      <c r="X746" s="80"/>
      <c r="Y746" s="80"/>
      <c r="Z746" s="80"/>
      <c r="AA746" s="80"/>
      <c r="AB746" s="80"/>
      <c r="AC746" s="80"/>
      <c r="AD746" s="80"/>
      <c r="AE746" s="80"/>
      <c r="AF746" s="80"/>
      <c r="AG746" s="80"/>
      <c r="AH746" s="80"/>
      <c r="AI746" s="80"/>
    </row>
    <row r="747" spans="1:35" x14ac:dyDescent="0.2">
      <c r="A747" s="2"/>
      <c r="B747" s="80"/>
      <c r="C747" s="80"/>
      <c r="D747" s="80"/>
      <c r="E747" s="80"/>
      <c r="F747" s="80"/>
      <c r="G747" s="80"/>
      <c r="H747" s="80"/>
      <c r="I747" s="80"/>
      <c r="J747" s="80"/>
      <c r="K747" s="80"/>
      <c r="L747" s="2"/>
      <c r="M747" s="2"/>
      <c r="N747" s="2"/>
      <c r="O747" s="2"/>
      <c r="P747" s="2"/>
      <c r="Q747" s="2"/>
      <c r="R747" s="80"/>
      <c r="S747" s="80"/>
      <c r="T747" s="80"/>
      <c r="U747" s="80"/>
      <c r="V747" s="80"/>
      <c r="W747" s="80"/>
      <c r="X747" s="80"/>
      <c r="Y747" s="80"/>
      <c r="Z747" s="80"/>
      <c r="AA747" s="80"/>
      <c r="AB747" s="80"/>
      <c r="AC747" s="80"/>
      <c r="AD747" s="80"/>
      <c r="AE747" s="80"/>
      <c r="AF747" s="80"/>
      <c r="AG747" s="80"/>
      <c r="AH747" s="80"/>
      <c r="AI747" s="80"/>
    </row>
    <row r="748" spans="1:35" x14ac:dyDescent="0.2">
      <c r="A748" s="2"/>
      <c r="B748" s="80"/>
      <c r="C748" s="80"/>
      <c r="D748" s="80"/>
      <c r="E748" s="80"/>
      <c r="F748" s="80"/>
      <c r="G748" s="80"/>
      <c r="H748" s="80"/>
      <c r="I748" s="80"/>
      <c r="J748" s="80"/>
      <c r="K748" s="80"/>
      <c r="L748" s="2"/>
      <c r="M748" s="2"/>
      <c r="N748" s="2"/>
      <c r="O748" s="2"/>
      <c r="P748" s="2"/>
      <c r="Q748" s="2"/>
      <c r="R748" s="80"/>
      <c r="S748" s="80"/>
      <c r="T748" s="80"/>
      <c r="U748" s="80"/>
      <c r="V748" s="80"/>
      <c r="W748" s="80"/>
      <c r="X748" s="80"/>
      <c r="Y748" s="80"/>
      <c r="Z748" s="80"/>
      <c r="AA748" s="80"/>
      <c r="AB748" s="80"/>
      <c r="AC748" s="80"/>
      <c r="AD748" s="80"/>
      <c r="AE748" s="80"/>
      <c r="AF748" s="80"/>
      <c r="AG748" s="80"/>
      <c r="AH748" s="80"/>
      <c r="AI748" s="80"/>
    </row>
    <row r="749" spans="1:35" x14ac:dyDescent="0.2">
      <c r="A749" s="2"/>
      <c r="B749" s="80"/>
      <c r="C749" s="80"/>
      <c r="D749" s="80"/>
      <c r="E749" s="80"/>
      <c r="F749" s="80"/>
      <c r="G749" s="80"/>
      <c r="H749" s="80"/>
      <c r="I749" s="80"/>
      <c r="J749" s="80"/>
      <c r="K749" s="80"/>
      <c r="L749" s="2"/>
      <c r="M749" s="2"/>
      <c r="N749" s="2"/>
      <c r="O749" s="2"/>
      <c r="P749" s="2"/>
      <c r="Q749" s="2"/>
      <c r="R749" s="80"/>
      <c r="S749" s="80"/>
      <c r="T749" s="80"/>
      <c r="U749" s="80"/>
      <c r="V749" s="80"/>
      <c r="W749" s="80"/>
      <c r="X749" s="80"/>
      <c r="Y749" s="80"/>
      <c r="Z749" s="80"/>
      <c r="AA749" s="80"/>
      <c r="AB749" s="80"/>
      <c r="AC749" s="80"/>
      <c r="AD749" s="80"/>
      <c r="AE749" s="80"/>
      <c r="AF749" s="80"/>
      <c r="AG749" s="80"/>
      <c r="AH749" s="80"/>
      <c r="AI749" s="80"/>
    </row>
    <row r="750" spans="1:35" x14ac:dyDescent="0.2">
      <c r="A750" s="2"/>
      <c r="B750" s="80"/>
      <c r="C750" s="80"/>
      <c r="D750" s="80"/>
      <c r="E750" s="80"/>
      <c r="F750" s="80"/>
      <c r="G750" s="80"/>
      <c r="H750" s="80"/>
      <c r="I750" s="80"/>
      <c r="J750" s="80"/>
      <c r="K750" s="80"/>
      <c r="L750" s="2"/>
      <c r="M750" s="2"/>
      <c r="N750" s="2"/>
      <c r="O750" s="2"/>
      <c r="P750" s="2"/>
      <c r="Q750" s="2"/>
      <c r="R750" s="80"/>
      <c r="S750" s="80"/>
      <c r="T750" s="80"/>
      <c r="U750" s="80"/>
      <c r="V750" s="80"/>
      <c r="W750" s="80"/>
      <c r="X750" s="80"/>
      <c r="Y750" s="80"/>
      <c r="Z750" s="80"/>
      <c r="AA750" s="80"/>
      <c r="AB750" s="80"/>
      <c r="AC750" s="80"/>
      <c r="AD750" s="80"/>
      <c r="AE750" s="80"/>
      <c r="AF750" s="80"/>
      <c r="AG750" s="80"/>
      <c r="AH750" s="80"/>
      <c r="AI750" s="80"/>
    </row>
    <row r="751" spans="1:35" x14ac:dyDescent="0.2">
      <c r="A751" s="2"/>
      <c r="B751" s="80"/>
      <c r="C751" s="80"/>
      <c r="D751" s="80"/>
      <c r="E751" s="80"/>
      <c r="F751" s="80"/>
      <c r="G751" s="80"/>
      <c r="H751" s="80"/>
      <c r="I751" s="80"/>
      <c r="J751" s="80"/>
      <c r="K751" s="80"/>
      <c r="L751" s="2"/>
      <c r="M751" s="2"/>
      <c r="N751" s="2"/>
      <c r="O751" s="2"/>
      <c r="P751" s="2"/>
      <c r="Q751" s="2"/>
      <c r="R751" s="80"/>
      <c r="S751" s="80"/>
      <c r="T751" s="80"/>
      <c r="U751" s="80"/>
      <c r="V751" s="80"/>
      <c r="W751" s="80"/>
      <c r="X751" s="80"/>
      <c r="Y751" s="80"/>
      <c r="Z751" s="80"/>
      <c r="AA751" s="80"/>
      <c r="AB751" s="80"/>
      <c r="AC751" s="80"/>
      <c r="AD751" s="80"/>
      <c r="AE751" s="80"/>
      <c r="AF751" s="80"/>
      <c r="AG751" s="80"/>
      <c r="AH751" s="80"/>
      <c r="AI751" s="80"/>
    </row>
    <row r="752" spans="1:35" x14ac:dyDescent="0.2">
      <c r="A752" s="2"/>
      <c r="B752" s="80"/>
      <c r="C752" s="80"/>
      <c r="D752" s="80"/>
      <c r="E752" s="80"/>
      <c r="F752" s="80"/>
      <c r="G752" s="80"/>
      <c r="H752" s="80"/>
      <c r="I752" s="80"/>
      <c r="J752" s="80"/>
      <c r="K752" s="80"/>
      <c r="L752" s="2"/>
      <c r="M752" s="2"/>
      <c r="N752" s="2"/>
      <c r="O752" s="2"/>
      <c r="P752" s="2"/>
      <c r="Q752" s="2"/>
      <c r="R752" s="80"/>
      <c r="S752" s="80"/>
      <c r="T752" s="80"/>
      <c r="U752" s="80"/>
      <c r="V752" s="80"/>
      <c r="W752" s="80"/>
      <c r="X752" s="80"/>
      <c r="Y752" s="80"/>
      <c r="Z752" s="80"/>
      <c r="AA752" s="80"/>
      <c r="AB752" s="80"/>
      <c r="AC752" s="80"/>
      <c r="AD752" s="80"/>
      <c r="AE752" s="80"/>
      <c r="AF752" s="80"/>
      <c r="AG752" s="80"/>
      <c r="AH752" s="80"/>
      <c r="AI752" s="80"/>
    </row>
    <row r="753" spans="1:35" x14ac:dyDescent="0.2">
      <c r="A753" s="2"/>
      <c r="B753" s="80"/>
      <c r="C753" s="80"/>
      <c r="D753" s="80"/>
      <c r="E753" s="80"/>
      <c r="F753" s="80"/>
      <c r="G753" s="80"/>
      <c r="H753" s="80"/>
      <c r="I753" s="80"/>
      <c r="J753" s="80"/>
      <c r="K753" s="80"/>
      <c r="L753" s="2"/>
      <c r="M753" s="2"/>
      <c r="N753" s="2"/>
      <c r="O753" s="2"/>
      <c r="P753" s="2"/>
      <c r="Q753" s="2"/>
      <c r="R753" s="80"/>
      <c r="S753" s="80"/>
      <c r="T753" s="80"/>
      <c r="U753" s="80"/>
      <c r="V753" s="80"/>
      <c r="W753" s="80"/>
      <c r="X753" s="80"/>
      <c r="Y753" s="80"/>
      <c r="Z753" s="80"/>
      <c r="AA753" s="80"/>
      <c r="AB753" s="80"/>
      <c r="AC753" s="80"/>
      <c r="AD753" s="80"/>
      <c r="AE753" s="80"/>
      <c r="AF753" s="80"/>
      <c r="AG753" s="80"/>
      <c r="AH753" s="80"/>
      <c r="AI753" s="80"/>
    </row>
    <row r="754" spans="1:35" x14ac:dyDescent="0.2">
      <c r="A754" s="2"/>
      <c r="B754" s="80"/>
      <c r="C754" s="80"/>
      <c r="D754" s="80"/>
      <c r="E754" s="80"/>
      <c r="F754" s="80"/>
      <c r="G754" s="80"/>
      <c r="H754" s="80"/>
      <c r="I754" s="80"/>
      <c r="J754" s="80"/>
      <c r="K754" s="80"/>
      <c r="L754" s="2"/>
      <c r="M754" s="2"/>
      <c r="N754" s="2"/>
      <c r="O754" s="2"/>
      <c r="P754" s="2"/>
      <c r="Q754" s="2"/>
      <c r="R754" s="80"/>
      <c r="S754" s="80"/>
      <c r="T754" s="80"/>
      <c r="U754" s="80"/>
      <c r="V754" s="80"/>
      <c r="W754" s="80"/>
      <c r="X754" s="80"/>
      <c r="Y754" s="80"/>
      <c r="Z754" s="80"/>
      <c r="AA754" s="80"/>
      <c r="AB754" s="80"/>
      <c r="AC754" s="80"/>
      <c r="AD754" s="80"/>
      <c r="AE754" s="80"/>
      <c r="AF754" s="80"/>
      <c r="AG754" s="80"/>
      <c r="AH754" s="80"/>
      <c r="AI754" s="80"/>
    </row>
    <row r="755" spans="1:35" x14ac:dyDescent="0.2">
      <c r="A755" s="2"/>
      <c r="B755" s="80"/>
      <c r="C755" s="80"/>
      <c r="D755" s="80"/>
      <c r="E755" s="80"/>
      <c r="F755" s="80"/>
      <c r="G755" s="80"/>
      <c r="H755" s="80"/>
      <c r="I755" s="80"/>
      <c r="J755" s="80"/>
      <c r="K755" s="80"/>
      <c r="L755" s="2"/>
      <c r="M755" s="2"/>
      <c r="N755" s="2"/>
      <c r="O755" s="2"/>
      <c r="P755" s="2"/>
      <c r="Q755" s="2"/>
      <c r="R755" s="80"/>
      <c r="S755" s="80"/>
      <c r="T755" s="80"/>
      <c r="U755" s="80"/>
      <c r="V755" s="80"/>
      <c r="W755" s="80"/>
      <c r="X755" s="80"/>
      <c r="Y755" s="80"/>
      <c r="Z755" s="80"/>
      <c r="AA755" s="80"/>
      <c r="AB755" s="80"/>
      <c r="AC755" s="80"/>
      <c r="AD755" s="80"/>
      <c r="AE755" s="80"/>
      <c r="AF755" s="80"/>
      <c r="AG755" s="80"/>
      <c r="AH755" s="80"/>
      <c r="AI755" s="80"/>
    </row>
    <row r="756" spans="1:35" x14ac:dyDescent="0.2">
      <c r="A756" s="2"/>
      <c r="B756" s="80"/>
      <c r="C756" s="80"/>
      <c r="D756" s="80"/>
      <c r="E756" s="80"/>
      <c r="F756" s="80"/>
      <c r="G756" s="80"/>
      <c r="H756" s="80"/>
      <c r="I756" s="80"/>
      <c r="J756" s="80"/>
      <c r="K756" s="80"/>
      <c r="L756" s="2"/>
      <c r="M756" s="2"/>
      <c r="N756" s="2"/>
      <c r="O756" s="2"/>
      <c r="P756" s="2"/>
      <c r="Q756" s="2"/>
      <c r="R756" s="80"/>
      <c r="S756" s="80"/>
      <c r="T756" s="80"/>
      <c r="U756" s="80"/>
      <c r="V756" s="80"/>
      <c r="W756" s="80"/>
      <c r="X756" s="80"/>
      <c r="Y756" s="80"/>
      <c r="Z756" s="80"/>
      <c r="AA756" s="80"/>
      <c r="AB756" s="80"/>
      <c r="AC756" s="80"/>
      <c r="AD756" s="80"/>
      <c r="AE756" s="80"/>
      <c r="AF756" s="80"/>
      <c r="AG756" s="80"/>
      <c r="AH756" s="80"/>
      <c r="AI756" s="80"/>
    </row>
    <row r="757" spans="1:35" x14ac:dyDescent="0.2">
      <c r="A757" s="2"/>
      <c r="B757" s="80"/>
      <c r="C757" s="80"/>
      <c r="D757" s="80"/>
      <c r="E757" s="80"/>
      <c r="F757" s="80"/>
      <c r="G757" s="80"/>
      <c r="H757" s="80"/>
      <c r="I757" s="80"/>
      <c r="J757" s="80"/>
      <c r="K757" s="80"/>
      <c r="L757" s="2"/>
      <c r="M757" s="2"/>
      <c r="N757" s="2"/>
      <c r="O757" s="2"/>
      <c r="P757" s="2"/>
      <c r="Q757" s="2"/>
      <c r="R757" s="80"/>
      <c r="S757" s="80"/>
      <c r="T757" s="80"/>
      <c r="U757" s="80"/>
      <c r="V757" s="80"/>
      <c r="W757" s="80"/>
      <c r="X757" s="80"/>
      <c r="Y757" s="80"/>
      <c r="Z757" s="80"/>
      <c r="AA757" s="80"/>
      <c r="AB757" s="80"/>
      <c r="AC757" s="80"/>
      <c r="AD757" s="80"/>
      <c r="AE757" s="80"/>
      <c r="AF757" s="80"/>
      <c r="AG757" s="80"/>
      <c r="AH757" s="80"/>
      <c r="AI757" s="80"/>
    </row>
    <row r="758" spans="1:35" x14ac:dyDescent="0.2">
      <c r="A758" s="2"/>
      <c r="B758" s="80"/>
      <c r="C758" s="80"/>
      <c r="D758" s="80"/>
      <c r="E758" s="80"/>
      <c r="F758" s="80"/>
      <c r="G758" s="80"/>
      <c r="H758" s="80"/>
      <c r="I758" s="80"/>
      <c r="J758" s="80"/>
      <c r="K758" s="80"/>
      <c r="L758" s="2"/>
      <c r="M758" s="2"/>
      <c r="N758" s="2"/>
      <c r="O758" s="2"/>
      <c r="P758" s="2"/>
      <c r="Q758" s="2"/>
      <c r="R758" s="80"/>
      <c r="S758" s="80"/>
      <c r="T758" s="80"/>
      <c r="U758" s="80"/>
      <c r="V758" s="80"/>
      <c r="W758" s="80"/>
      <c r="X758" s="80"/>
      <c r="Y758" s="80"/>
      <c r="Z758" s="80"/>
      <c r="AA758" s="80"/>
      <c r="AB758" s="80"/>
      <c r="AC758" s="80"/>
      <c r="AD758" s="80"/>
      <c r="AE758" s="80"/>
      <c r="AF758" s="80"/>
      <c r="AG758" s="80"/>
      <c r="AH758" s="80"/>
      <c r="AI758" s="80"/>
    </row>
    <row r="759" spans="1:35" x14ac:dyDescent="0.2">
      <c r="A759" s="2"/>
      <c r="B759" s="80"/>
      <c r="C759" s="80"/>
      <c r="D759" s="80"/>
      <c r="E759" s="80"/>
      <c r="F759" s="80"/>
      <c r="G759" s="80"/>
      <c r="H759" s="80"/>
      <c r="I759" s="80"/>
      <c r="J759" s="80"/>
      <c r="K759" s="80"/>
      <c r="L759" s="2"/>
      <c r="M759" s="2"/>
      <c r="N759" s="2"/>
      <c r="O759" s="2"/>
      <c r="P759" s="2"/>
      <c r="Q759" s="2"/>
      <c r="R759" s="80"/>
      <c r="S759" s="80"/>
      <c r="T759" s="80"/>
      <c r="U759" s="80"/>
      <c r="V759" s="80"/>
      <c r="W759" s="80"/>
      <c r="X759" s="80"/>
      <c r="Y759" s="80"/>
      <c r="Z759" s="80"/>
      <c r="AA759" s="80"/>
      <c r="AB759" s="80"/>
      <c r="AC759" s="80"/>
      <c r="AD759" s="80"/>
      <c r="AE759" s="80"/>
      <c r="AF759" s="80"/>
      <c r="AG759" s="80"/>
      <c r="AH759" s="80"/>
      <c r="AI759" s="80"/>
    </row>
    <row r="760" spans="1:35" x14ac:dyDescent="0.2">
      <c r="A760" s="2"/>
      <c r="B760" s="80"/>
      <c r="C760" s="80"/>
      <c r="D760" s="80"/>
      <c r="E760" s="80"/>
      <c r="F760" s="80"/>
      <c r="G760" s="80"/>
      <c r="H760" s="80"/>
      <c r="I760" s="80"/>
      <c r="J760" s="80"/>
      <c r="K760" s="80"/>
      <c r="L760" s="2"/>
      <c r="M760" s="2"/>
      <c r="N760" s="2"/>
      <c r="O760" s="2"/>
      <c r="P760" s="2"/>
      <c r="Q760" s="2"/>
      <c r="R760" s="80"/>
      <c r="S760" s="80"/>
      <c r="T760" s="80"/>
      <c r="U760" s="80"/>
      <c r="V760" s="80"/>
      <c r="W760" s="80"/>
      <c r="X760" s="80"/>
      <c r="Y760" s="80"/>
      <c r="Z760" s="80"/>
      <c r="AA760" s="80"/>
      <c r="AB760" s="80"/>
      <c r="AC760" s="80"/>
      <c r="AD760" s="80"/>
      <c r="AE760" s="80"/>
      <c r="AF760" s="80"/>
      <c r="AG760" s="80"/>
      <c r="AH760" s="80"/>
      <c r="AI760" s="80"/>
    </row>
    <row r="761" spans="1:35" x14ac:dyDescent="0.2">
      <c r="A761" s="2"/>
      <c r="B761" s="80"/>
      <c r="C761" s="80"/>
      <c r="D761" s="80"/>
      <c r="E761" s="80"/>
      <c r="F761" s="80"/>
      <c r="G761" s="80"/>
      <c r="H761" s="80"/>
      <c r="I761" s="80"/>
      <c r="J761" s="80"/>
      <c r="K761" s="80"/>
      <c r="L761" s="2"/>
      <c r="M761" s="2"/>
      <c r="N761" s="2"/>
      <c r="O761" s="2"/>
      <c r="P761" s="2"/>
      <c r="Q761" s="2"/>
      <c r="R761" s="80"/>
      <c r="S761" s="80"/>
      <c r="T761" s="80"/>
      <c r="U761" s="80"/>
      <c r="V761" s="80"/>
      <c r="W761" s="80"/>
      <c r="X761" s="80"/>
      <c r="Y761" s="80"/>
      <c r="Z761" s="80"/>
      <c r="AA761" s="80"/>
      <c r="AB761" s="80"/>
      <c r="AC761" s="80"/>
      <c r="AD761" s="80"/>
      <c r="AE761" s="80"/>
      <c r="AF761" s="80"/>
      <c r="AG761" s="80"/>
      <c r="AH761" s="80"/>
      <c r="AI761" s="80"/>
    </row>
    <row r="762" spans="1:35" x14ac:dyDescent="0.2">
      <c r="A762" s="2"/>
      <c r="B762" s="80"/>
      <c r="C762" s="80"/>
      <c r="D762" s="80"/>
      <c r="E762" s="80"/>
      <c r="F762" s="80"/>
      <c r="G762" s="80"/>
      <c r="H762" s="80"/>
      <c r="I762" s="80"/>
      <c r="J762" s="80"/>
      <c r="K762" s="80"/>
      <c r="L762" s="2"/>
      <c r="M762" s="2"/>
      <c r="N762" s="2"/>
      <c r="O762" s="2"/>
      <c r="P762" s="2"/>
      <c r="Q762" s="2"/>
      <c r="R762" s="80"/>
      <c r="S762" s="80"/>
      <c r="T762" s="80"/>
      <c r="U762" s="80"/>
      <c r="V762" s="80"/>
      <c r="W762" s="80"/>
      <c r="X762" s="80"/>
      <c r="Y762" s="80"/>
      <c r="Z762" s="80"/>
      <c r="AA762" s="80"/>
      <c r="AB762" s="80"/>
      <c r="AC762" s="80"/>
      <c r="AD762" s="80"/>
      <c r="AE762" s="80"/>
      <c r="AF762" s="80"/>
      <c r="AG762" s="80"/>
      <c r="AH762" s="80"/>
      <c r="AI762" s="80"/>
    </row>
    <row r="763" spans="1:35" x14ac:dyDescent="0.2">
      <c r="A763" s="2"/>
      <c r="B763" s="80"/>
      <c r="C763" s="80"/>
      <c r="D763" s="80"/>
      <c r="E763" s="80"/>
      <c r="F763" s="80"/>
      <c r="G763" s="80"/>
      <c r="H763" s="80"/>
      <c r="I763" s="80"/>
      <c r="J763" s="80"/>
      <c r="K763" s="80"/>
      <c r="L763" s="2"/>
      <c r="M763" s="2"/>
      <c r="N763" s="2"/>
      <c r="O763" s="2"/>
      <c r="P763" s="2"/>
      <c r="Q763" s="2"/>
      <c r="R763" s="80"/>
      <c r="S763" s="80"/>
      <c r="T763" s="80"/>
      <c r="U763" s="80"/>
      <c r="V763" s="80"/>
      <c r="W763" s="80"/>
      <c r="X763" s="80"/>
      <c r="Y763" s="80"/>
      <c r="Z763" s="80"/>
      <c r="AA763" s="80"/>
      <c r="AB763" s="80"/>
      <c r="AC763" s="80"/>
      <c r="AD763" s="80"/>
      <c r="AE763" s="80"/>
      <c r="AF763" s="80"/>
      <c r="AG763" s="80"/>
      <c r="AH763" s="80"/>
      <c r="AI763" s="80"/>
    </row>
    <row r="764" spans="1:35" x14ac:dyDescent="0.2">
      <c r="A764" s="2"/>
      <c r="B764" s="80"/>
      <c r="C764" s="80"/>
      <c r="D764" s="80"/>
      <c r="E764" s="80"/>
      <c r="F764" s="80"/>
      <c r="G764" s="80"/>
      <c r="H764" s="80"/>
      <c r="I764" s="80"/>
      <c r="J764" s="80"/>
      <c r="K764" s="80"/>
      <c r="L764" s="2"/>
      <c r="M764" s="2"/>
      <c r="N764" s="2"/>
      <c r="O764" s="2"/>
      <c r="P764" s="2"/>
      <c r="Q764" s="2"/>
      <c r="R764" s="80"/>
      <c r="S764" s="80"/>
      <c r="T764" s="80"/>
      <c r="U764" s="80"/>
      <c r="V764" s="80"/>
      <c r="W764" s="80"/>
      <c r="X764" s="80"/>
      <c r="Y764" s="80"/>
      <c r="Z764" s="80"/>
      <c r="AA764" s="80"/>
      <c r="AB764" s="80"/>
      <c r="AC764" s="80"/>
      <c r="AD764" s="80"/>
      <c r="AE764" s="80"/>
      <c r="AF764" s="80"/>
      <c r="AG764" s="80"/>
      <c r="AH764" s="80"/>
      <c r="AI764" s="80"/>
    </row>
    <row r="765" spans="1:35" x14ac:dyDescent="0.2">
      <c r="A765" s="2"/>
      <c r="B765" s="80"/>
      <c r="C765" s="80"/>
      <c r="D765" s="80"/>
      <c r="E765" s="80"/>
      <c r="F765" s="80"/>
      <c r="G765" s="80"/>
      <c r="H765" s="80"/>
      <c r="I765" s="80"/>
      <c r="J765" s="80"/>
      <c r="K765" s="80"/>
      <c r="L765" s="2"/>
      <c r="M765" s="2"/>
      <c r="N765" s="2"/>
      <c r="O765" s="2"/>
      <c r="P765" s="2"/>
      <c r="Q765" s="2"/>
      <c r="R765" s="80"/>
      <c r="S765" s="80"/>
      <c r="T765" s="80"/>
      <c r="U765" s="80"/>
      <c r="V765" s="80"/>
      <c r="W765" s="80"/>
      <c r="X765" s="80"/>
      <c r="Y765" s="80"/>
      <c r="Z765" s="80"/>
      <c r="AA765" s="80"/>
      <c r="AB765" s="80"/>
      <c r="AC765" s="80"/>
      <c r="AD765" s="80"/>
      <c r="AE765" s="80"/>
      <c r="AF765" s="80"/>
      <c r="AG765" s="80"/>
      <c r="AH765" s="80"/>
      <c r="AI765" s="80"/>
    </row>
    <row r="766" spans="1:35" x14ac:dyDescent="0.2">
      <c r="A766" s="2"/>
      <c r="B766" s="80"/>
      <c r="C766" s="80"/>
      <c r="D766" s="80"/>
      <c r="E766" s="80"/>
      <c r="F766" s="80"/>
      <c r="G766" s="80"/>
      <c r="H766" s="80"/>
      <c r="I766" s="80"/>
      <c r="J766" s="80"/>
      <c r="K766" s="80"/>
      <c r="L766" s="2"/>
      <c r="M766" s="2"/>
      <c r="N766" s="2"/>
      <c r="O766" s="2"/>
      <c r="P766" s="2"/>
      <c r="Q766" s="2"/>
      <c r="R766" s="80"/>
      <c r="S766" s="80"/>
      <c r="T766" s="80"/>
      <c r="U766" s="80"/>
      <c r="V766" s="80"/>
      <c r="W766" s="80"/>
      <c r="X766" s="80"/>
      <c r="Y766" s="80"/>
      <c r="Z766" s="80"/>
      <c r="AA766" s="80"/>
      <c r="AB766" s="80"/>
      <c r="AC766" s="80"/>
      <c r="AD766" s="80"/>
      <c r="AE766" s="80"/>
      <c r="AF766" s="80"/>
      <c r="AG766" s="80"/>
      <c r="AH766" s="80"/>
      <c r="AI766" s="80"/>
    </row>
    <row r="767" spans="1:35" x14ac:dyDescent="0.2">
      <c r="A767" s="2"/>
      <c r="B767" s="80"/>
      <c r="C767" s="80"/>
      <c r="D767" s="80"/>
      <c r="E767" s="80"/>
      <c r="F767" s="80"/>
      <c r="G767" s="80"/>
      <c r="H767" s="80"/>
      <c r="I767" s="80"/>
      <c r="J767" s="80"/>
      <c r="K767" s="80"/>
      <c r="L767" s="2"/>
      <c r="M767" s="2"/>
      <c r="N767" s="2"/>
      <c r="O767" s="2"/>
      <c r="P767" s="2"/>
      <c r="Q767" s="2"/>
      <c r="R767" s="80"/>
      <c r="S767" s="80"/>
      <c r="T767" s="80"/>
      <c r="U767" s="80"/>
      <c r="V767" s="80"/>
      <c r="W767" s="80"/>
      <c r="X767" s="80"/>
      <c r="Y767" s="80"/>
      <c r="Z767" s="80"/>
      <c r="AA767" s="80"/>
      <c r="AB767" s="80"/>
      <c r="AC767" s="80"/>
      <c r="AD767" s="80"/>
      <c r="AE767" s="80"/>
      <c r="AF767" s="80"/>
      <c r="AG767" s="80"/>
      <c r="AH767" s="80"/>
      <c r="AI767" s="80"/>
    </row>
    <row r="768" spans="1:35" x14ac:dyDescent="0.2">
      <c r="A768" s="2"/>
      <c r="B768" s="80"/>
      <c r="C768" s="80"/>
      <c r="D768" s="80"/>
      <c r="E768" s="80"/>
      <c r="F768" s="80"/>
      <c r="G768" s="80"/>
      <c r="H768" s="80"/>
      <c r="I768" s="80"/>
      <c r="J768" s="80"/>
      <c r="K768" s="80"/>
      <c r="L768" s="2"/>
      <c r="M768" s="2"/>
      <c r="N768" s="2"/>
      <c r="O768" s="2"/>
      <c r="P768" s="2"/>
      <c r="Q768" s="2"/>
      <c r="R768" s="80"/>
      <c r="S768" s="80"/>
      <c r="T768" s="80"/>
      <c r="U768" s="80"/>
      <c r="V768" s="80"/>
      <c r="W768" s="80"/>
      <c r="X768" s="80"/>
      <c r="Y768" s="80"/>
      <c r="Z768" s="80"/>
      <c r="AA768" s="80"/>
      <c r="AB768" s="80"/>
      <c r="AC768" s="80"/>
      <c r="AD768" s="80"/>
      <c r="AE768" s="80"/>
      <c r="AF768" s="80"/>
      <c r="AG768" s="80"/>
      <c r="AH768" s="80"/>
      <c r="AI768" s="80"/>
    </row>
    <row r="769" spans="1:35" x14ac:dyDescent="0.2">
      <c r="A769" s="2"/>
      <c r="B769" s="80"/>
      <c r="C769" s="80"/>
      <c r="D769" s="80"/>
      <c r="E769" s="80"/>
      <c r="F769" s="80"/>
      <c r="G769" s="80"/>
      <c r="H769" s="80"/>
      <c r="I769" s="80"/>
      <c r="J769" s="80"/>
      <c r="K769" s="80"/>
      <c r="L769" s="2"/>
      <c r="M769" s="2"/>
      <c r="N769" s="2"/>
      <c r="O769" s="2"/>
      <c r="P769" s="2"/>
      <c r="Q769" s="2"/>
      <c r="R769" s="80"/>
      <c r="S769" s="80"/>
      <c r="T769" s="80"/>
      <c r="U769" s="80"/>
      <c r="V769" s="80"/>
      <c r="W769" s="80"/>
      <c r="X769" s="80"/>
      <c r="Y769" s="80"/>
      <c r="Z769" s="80"/>
      <c r="AA769" s="80"/>
      <c r="AB769" s="80"/>
      <c r="AC769" s="80"/>
      <c r="AD769" s="80"/>
      <c r="AE769" s="80"/>
      <c r="AF769" s="80"/>
      <c r="AG769" s="80"/>
      <c r="AH769" s="80"/>
      <c r="AI769" s="80"/>
    </row>
    <row r="770" spans="1:35" x14ac:dyDescent="0.2">
      <c r="A770" s="2"/>
      <c r="B770" s="80"/>
      <c r="C770" s="80"/>
      <c r="D770" s="80"/>
      <c r="E770" s="80"/>
      <c r="F770" s="80"/>
      <c r="G770" s="80"/>
      <c r="H770" s="80"/>
      <c r="I770" s="80"/>
      <c r="J770" s="80"/>
      <c r="K770" s="80"/>
      <c r="L770" s="2"/>
      <c r="M770" s="2"/>
      <c r="N770" s="2"/>
      <c r="O770" s="2"/>
      <c r="P770" s="2"/>
      <c r="Q770" s="2"/>
      <c r="R770" s="80"/>
      <c r="S770" s="80"/>
      <c r="T770" s="80"/>
      <c r="U770" s="80"/>
      <c r="V770" s="80"/>
      <c r="W770" s="80"/>
      <c r="X770" s="80"/>
      <c r="Y770" s="80"/>
      <c r="Z770" s="80"/>
      <c r="AA770" s="80"/>
      <c r="AB770" s="80"/>
      <c r="AC770" s="80"/>
      <c r="AD770" s="80"/>
      <c r="AE770" s="80"/>
      <c r="AF770" s="80"/>
      <c r="AG770" s="80"/>
      <c r="AH770" s="80"/>
      <c r="AI770" s="80"/>
    </row>
    <row r="771" spans="1:35" x14ac:dyDescent="0.2">
      <c r="A771" s="2"/>
      <c r="B771" s="80"/>
      <c r="C771" s="80"/>
      <c r="D771" s="80"/>
      <c r="E771" s="80"/>
      <c r="F771" s="80"/>
      <c r="G771" s="80"/>
      <c r="H771" s="80"/>
      <c r="I771" s="80"/>
      <c r="J771" s="80"/>
      <c r="K771" s="80"/>
      <c r="L771" s="2"/>
      <c r="M771" s="2"/>
      <c r="N771" s="2"/>
      <c r="O771" s="2"/>
      <c r="P771" s="2"/>
      <c r="Q771" s="2"/>
      <c r="R771" s="80"/>
      <c r="S771" s="80"/>
      <c r="T771" s="80"/>
      <c r="U771" s="80"/>
      <c r="V771" s="80"/>
      <c r="W771" s="80"/>
      <c r="X771" s="80"/>
      <c r="Y771" s="80"/>
      <c r="Z771" s="80"/>
      <c r="AA771" s="80"/>
      <c r="AB771" s="80"/>
      <c r="AC771" s="80"/>
      <c r="AD771" s="80"/>
      <c r="AE771" s="80"/>
      <c r="AF771" s="80"/>
      <c r="AG771" s="80"/>
      <c r="AH771" s="80"/>
      <c r="AI771" s="80"/>
    </row>
    <row r="772" spans="1:35" x14ac:dyDescent="0.2">
      <c r="A772" s="2"/>
      <c r="B772" s="80"/>
      <c r="C772" s="80"/>
      <c r="D772" s="80"/>
      <c r="E772" s="80"/>
      <c r="F772" s="80"/>
      <c r="G772" s="80"/>
      <c r="H772" s="80"/>
      <c r="I772" s="80"/>
      <c r="J772" s="80"/>
      <c r="K772" s="80"/>
      <c r="L772" s="2"/>
      <c r="M772" s="2"/>
      <c r="N772" s="2"/>
      <c r="O772" s="2"/>
      <c r="P772" s="2"/>
      <c r="Q772" s="2"/>
      <c r="R772" s="80"/>
      <c r="S772" s="80"/>
      <c r="T772" s="80"/>
      <c r="U772" s="80"/>
      <c r="V772" s="80"/>
      <c r="W772" s="80"/>
      <c r="X772" s="80"/>
      <c r="Y772" s="80"/>
      <c r="Z772" s="80"/>
      <c r="AA772" s="80"/>
      <c r="AB772" s="80"/>
      <c r="AC772" s="80"/>
      <c r="AD772" s="80"/>
      <c r="AE772" s="80"/>
      <c r="AF772" s="80"/>
      <c r="AG772" s="80"/>
      <c r="AH772" s="80"/>
      <c r="AI772" s="80"/>
    </row>
    <row r="773" spans="1:35" x14ac:dyDescent="0.2">
      <c r="A773" s="2"/>
      <c r="B773" s="80"/>
      <c r="C773" s="80"/>
      <c r="D773" s="80"/>
      <c r="E773" s="80"/>
      <c r="F773" s="80"/>
      <c r="G773" s="80"/>
      <c r="H773" s="80"/>
      <c r="I773" s="80"/>
      <c r="J773" s="80"/>
      <c r="K773" s="80"/>
      <c r="L773" s="2"/>
      <c r="M773" s="2"/>
      <c r="N773" s="2"/>
      <c r="O773" s="2"/>
      <c r="P773" s="2"/>
      <c r="Q773" s="2"/>
      <c r="R773" s="80"/>
      <c r="S773" s="80"/>
      <c r="T773" s="80"/>
      <c r="U773" s="80"/>
      <c r="V773" s="80"/>
      <c r="W773" s="80"/>
      <c r="X773" s="80"/>
      <c r="Y773" s="80"/>
      <c r="Z773" s="80"/>
      <c r="AA773" s="80"/>
      <c r="AB773" s="80"/>
      <c r="AC773" s="80"/>
      <c r="AD773" s="80"/>
      <c r="AE773" s="80"/>
      <c r="AF773" s="80"/>
      <c r="AG773" s="80"/>
      <c r="AH773" s="80"/>
      <c r="AI773" s="80"/>
    </row>
    <row r="774" spans="1:35" x14ac:dyDescent="0.2">
      <c r="A774" s="2"/>
      <c r="B774" s="80"/>
      <c r="C774" s="80"/>
      <c r="D774" s="80"/>
      <c r="E774" s="80"/>
      <c r="F774" s="80"/>
      <c r="G774" s="80"/>
      <c r="H774" s="80"/>
      <c r="I774" s="80"/>
      <c r="J774" s="80"/>
      <c r="K774" s="80"/>
      <c r="L774" s="2"/>
      <c r="M774" s="2"/>
      <c r="N774" s="2"/>
      <c r="O774" s="2"/>
      <c r="P774" s="2"/>
      <c r="Q774" s="2"/>
      <c r="R774" s="80"/>
      <c r="S774" s="80"/>
      <c r="T774" s="80"/>
      <c r="U774" s="80"/>
      <c r="V774" s="80"/>
      <c r="W774" s="80"/>
      <c r="X774" s="80"/>
      <c r="Y774" s="80"/>
      <c r="Z774" s="80"/>
      <c r="AA774" s="80"/>
      <c r="AB774" s="80"/>
      <c r="AC774" s="80"/>
      <c r="AD774" s="80"/>
      <c r="AE774" s="80"/>
      <c r="AF774" s="80"/>
      <c r="AG774" s="80"/>
      <c r="AH774" s="80"/>
      <c r="AI774" s="80"/>
    </row>
    <row r="775" spans="1:35" x14ac:dyDescent="0.2">
      <c r="A775" s="2"/>
      <c r="B775" s="80"/>
      <c r="C775" s="80"/>
      <c r="D775" s="80"/>
      <c r="E775" s="80"/>
      <c r="F775" s="80"/>
      <c r="G775" s="80"/>
      <c r="H775" s="80"/>
      <c r="I775" s="80"/>
      <c r="J775" s="80"/>
      <c r="K775" s="80"/>
      <c r="L775" s="2"/>
      <c r="M775" s="2"/>
      <c r="N775" s="2"/>
      <c r="O775" s="2"/>
      <c r="P775" s="2"/>
      <c r="Q775" s="2"/>
      <c r="R775" s="80"/>
      <c r="S775" s="80"/>
      <c r="T775" s="80"/>
      <c r="U775" s="80"/>
      <c r="V775" s="80"/>
      <c r="W775" s="80"/>
      <c r="X775" s="80"/>
      <c r="Y775" s="80"/>
      <c r="Z775" s="80"/>
      <c r="AA775" s="80"/>
      <c r="AB775" s="80"/>
      <c r="AC775" s="80"/>
      <c r="AD775" s="80"/>
      <c r="AE775" s="80"/>
      <c r="AF775" s="80"/>
      <c r="AG775" s="80"/>
      <c r="AH775" s="80"/>
      <c r="AI775" s="80"/>
    </row>
    <row r="776" spans="1:35" x14ac:dyDescent="0.2">
      <c r="A776" s="2"/>
      <c r="B776" s="80"/>
      <c r="C776" s="80"/>
      <c r="D776" s="80"/>
      <c r="E776" s="80"/>
      <c r="F776" s="80"/>
      <c r="G776" s="80"/>
      <c r="H776" s="80"/>
      <c r="I776" s="80"/>
      <c r="J776" s="80"/>
      <c r="K776" s="80"/>
      <c r="L776" s="2"/>
      <c r="M776" s="2"/>
      <c r="N776" s="2"/>
      <c r="O776" s="2"/>
      <c r="P776" s="2"/>
      <c r="Q776" s="2"/>
      <c r="R776" s="80"/>
      <c r="S776" s="80"/>
      <c r="T776" s="80"/>
      <c r="U776" s="80"/>
      <c r="V776" s="80"/>
      <c r="W776" s="80"/>
      <c r="X776" s="80"/>
      <c r="Y776" s="80"/>
      <c r="Z776" s="80"/>
      <c r="AA776" s="80"/>
      <c r="AB776" s="80"/>
      <c r="AC776" s="80"/>
      <c r="AD776" s="80"/>
      <c r="AE776" s="80"/>
      <c r="AF776" s="80"/>
      <c r="AG776" s="80"/>
      <c r="AH776" s="80"/>
      <c r="AI776" s="80"/>
    </row>
    <row r="777" spans="1:35" x14ac:dyDescent="0.2">
      <c r="A777" s="2"/>
      <c r="B777" s="80"/>
      <c r="C777" s="80"/>
      <c r="D777" s="80"/>
      <c r="E777" s="80"/>
      <c r="F777" s="80"/>
      <c r="G777" s="80"/>
      <c r="H777" s="80"/>
      <c r="I777" s="80"/>
      <c r="J777" s="80"/>
      <c r="K777" s="80"/>
      <c r="L777" s="2"/>
      <c r="M777" s="2"/>
      <c r="N777" s="2"/>
      <c r="O777" s="2"/>
      <c r="P777" s="2"/>
      <c r="Q777" s="2"/>
      <c r="R777" s="80"/>
      <c r="S777" s="80"/>
      <c r="T777" s="80"/>
      <c r="U777" s="80"/>
      <c r="V777" s="80"/>
      <c r="W777" s="80"/>
      <c r="X777" s="80"/>
      <c r="Y777" s="80"/>
      <c r="Z777" s="80"/>
      <c r="AA777" s="80"/>
      <c r="AB777" s="80"/>
      <c r="AC777" s="80"/>
      <c r="AD777" s="80"/>
      <c r="AE777" s="80"/>
      <c r="AF777" s="80"/>
      <c r="AG777" s="80"/>
      <c r="AH777" s="80"/>
      <c r="AI777" s="80"/>
    </row>
    <row r="778" spans="1:35" x14ac:dyDescent="0.2">
      <c r="A778" s="2"/>
      <c r="B778" s="80"/>
      <c r="C778" s="80"/>
      <c r="D778" s="80"/>
      <c r="E778" s="80"/>
      <c r="F778" s="80"/>
      <c r="G778" s="80"/>
      <c r="H778" s="80"/>
      <c r="I778" s="80"/>
      <c r="J778" s="80"/>
      <c r="K778" s="80"/>
      <c r="L778" s="2"/>
      <c r="M778" s="2"/>
      <c r="N778" s="2"/>
      <c r="O778" s="2"/>
      <c r="P778" s="2"/>
      <c r="Q778" s="2"/>
      <c r="R778" s="80"/>
      <c r="S778" s="80"/>
      <c r="T778" s="80"/>
      <c r="U778" s="80"/>
      <c r="V778" s="80"/>
      <c r="W778" s="80"/>
      <c r="X778" s="80"/>
      <c r="Y778" s="80"/>
      <c r="Z778" s="80"/>
      <c r="AA778" s="80"/>
      <c r="AB778" s="80"/>
      <c r="AC778" s="80"/>
      <c r="AD778" s="80"/>
      <c r="AE778" s="80"/>
      <c r="AF778" s="80"/>
      <c r="AG778" s="80"/>
      <c r="AH778" s="80"/>
      <c r="AI778" s="80"/>
    </row>
    <row r="779" spans="1:35" x14ac:dyDescent="0.2">
      <c r="A779" s="2"/>
      <c r="B779" s="80"/>
      <c r="C779" s="80"/>
      <c r="D779" s="80"/>
      <c r="E779" s="80"/>
      <c r="F779" s="80"/>
      <c r="G779" s="80"/>
      <c r="H779" s="80"/>
      <c r="I779" s="80"/>
      <c r="J779" s="80"/>
      <c r="K779" s="80"/>
      <c r="L779" s="2"/>
      <c r="M779" s="2"/>
      <c r="N779" s="2"/>
      <c r="O779" s="2"/>
      <c r="P779" s="2"/>
      <c r="Q779" s="2"/>
      <c r="R779" s="80"/>
      <c r="S779" s="80"/>
      <c r="T779" s="80"/>
      <c r="U779" s="80"/>
      <c r="V779" s="80"/>
      <c r="W779" s="80"/>
      <c r="X779" s="80"/>
      <c r="Y779" s="80"/>
      <c r="Z779" s="80"/>
      <c r="AA779" s="80"/>
      <c r="AB779" s="80"/>
      <c r="AC779" s="80"/>
      <c r="AD779" s="80"/>
      <c r="AE779" s="80"/>
      <c r="AF779" s="80"/>
      <c r="AG779" s="80"/>
      <c r="AH779" s="80"/>
      <c r="AI779" s="80"/>
    </row>
    <row r="780" spans="1:35" x14ac:dyDescent="0.2">
      <c r="A780" s="2"/>
      <c r="B780" s="80"/>
      <c r="C780" s="80"/>
      <c r="D780" s="80"/>
      <c r="E780" s="80"/>
      <c r="F780" s="80"/>
      <c r="G780" s="80"/>
      <c r="H780" s="80"/>
      <c r="I780" s="80"/>
      <c r="J780" s="80"/>
      <c r="K780" s="80"/>
      <c r="L780" s="2"/>
      <c r="M780" s="2"/>
      <c r="N780" s="2"/>
      <c r="O780" s="2"/>
      <c r="P780" s="2"/>
      <c r="Q780" s="2"/>
      <c r="R780" s="80"/>
      <c r="S780" s="80"/>
      <c r="T780" s="80"/>
      <c r="U780" s="80"/>
      <c r="V780" s="80"/>
      <c r="W780" s="80"/>
      <c r="X780" s="80"/>
      <c r="Y780" s="80"/>
      <c r="Z780" s="80"/>
      <c r="AA780" s="80"/>
      <c r="AB780" s="80"/>
      <c r="AC780" s="80"/>
      <c r="AD780" s="80"/>
      <c r="AE780" s="80"/>
      <c r="AF780" s="80"/>
      <c r="AG780" s="80"/>
      <c r="AH780" s="80"/>
      <c r="AI780" s="80"/>
    </row>
    <row r="781" spans="1:35" x14ac:dyDescent="0.2">
      <c r="A781" s="2"/>
      <c r="B781" s="80"/>
      <c r="C781" s="80"/>
      <c r="D781" s="80"/>
      <c r="E781" s="80"/>
      <c r="F781" s="80"/>
      <c r="G781" s="80"/>
      <c r="H781" s="80"/>
      <c r="I781" s="80"/>
      <c r="J781" s="80"/>
      <c r="K781" s="80"/>
      <c r="L781" s="2"/>
      <c r="M781" s="2"/>
      <c r="N781" s="2"/>
      <c r="O781" s="2"/>
      <c r="P781" s="2"/>
      <c r="Q781" s="2"/>
      <c r="R781" s="80"/>
      <c r="S781" s="80"/>
      <c r="T781" s="80"/>
      <c r="U781" s="80"/>
      <c r="V781" s="80"/>
      <c r="W781" s="80"/>
      <c r="X781" s="80"/>
      <c r="Y781" s="80"/>
      <c r="Z781" s="80"/>
      <c r="AA781" s="80"/>
      <c r="AB781" s="80"/>
      <c r="AC781" s="80"/>
      <c r="AD781" s="80"/>
      <c r="AE781" s="80"/>
      <c r="AF781" s="80"/>
      <c r="AG781" s="80"/>
      <c r="AH781" s="80"/>
      <c r="AI781" s="80"/>
    </row>
    <row r="782" spans="1:35" x14ac:dyDescent="0.2">
      <c r="A782" s="2"/>
      <c r="B782" s="80"/>
      <c r="C782" s="80"/>
      <c r="D782" s="80"/>
      <c r="E782" s="80"/>
      <c r="F782" s="80"/>
      <c r="G782" s="80"/>
      <c r="H782" s="80"/>
      <c r="I782" s="80"/>
      <c r="J782" s="80"/>
      <c r="K782" s="80"/>
      <c r="L782" s="2"/>
      <c r="M782" s="2"/>
      <c r="N782" s="2"/>
      <c r="O782" s="2"/>
      <c r="P782" s="2"/>
      <c r="Q782" s="2"/>
      <c r="R782" s="80"/>
      <c r="S782" s="80"/>
      <c r="T782" s="80"/>
      <c r="U782" s="80"/>
      <c r="V782" s="80"/>
      <c r="W782" s="80"/>
      <c r="X782" s="80"/>
      <c r="Y782" s="80"/>
      <c r="Z782" s="80"/>
      <c r="AA782" s="80"/>
      <c r="AB782" s="80"/>
      <c r="AC782" s="80"/>
      <c r="AD782" s="80"/>
      <c r="AE782" s="80"/>
      <c r="AF782" s="80"/>
      <c r="AG782" s="80"/>
      <c r="AH782" s="80"/>
      <c r="AI782" s="80"/>
    </row>
    <row r="783" spans="1:35" x14ac:dyDescent="0.2">
      <c r="A783" s="2"/>
      <c r="B783" s="80"/>
      <c r="C783" s="80"/>
      <c r="D783" s="80"/>
      <c r="E783" s="80"/>
      <c r="F783" s="80"/>
      <c r="G783" s="80"/>
      <c r="H783" s="80"/>
      <c r="I783" s="80"/>
      <c r="J783" s="80"/>
      <c r="K783" s="80"/>
      <c r="L783" s="2"/>
      <c r="M783" s="2"/>
      <c r="N783" s="2"/>
      <c r="O783" s="2"/>
      <c r="P783" s="2"/>
      <c r="Q783" s="2"/>
      <c r="R783" s="80"/>
      <c r="S783" s="80"/>
      <c r="T783" s="80"/>
      <c r="U783" s="80"/>
      <c r="V783" s="80"/>
      <c r="W783" s="80"/>
      <c r="X783" s="80"/>
      <c r="Y783" s="80"/>
      <c r="Z783" s="80"/>
      <c r="AA783" s="80"/>
      <c r="AB783" s="80"/>
      <c r="AC783" s="80"/>
      <c r="AD783" s="80"/>
      <c r="AE783" s="80"/>
      <c r="AF783" s="80"/>
      <c r="AG783" s="80"/>
      <c r="AH783" s="80"/>
      <c r="AI783" s="80"/>
    </row>
    <row r="784" spans="1:35" x14ac:dyDescent="0.2">
      <c r="A784" s="2"/>
      <c r="B784" s="80"/>
      <c r="C784" s="80"/>
      <c r="D784" s="80"/>
      <c r="E784" s="80"/>
      <c r="F784" s="80"/>
      <c r="G784" s="80"/>
      <c r="H784" s="80"/>
      <c r="I784" s="80"/>
      <c r="J784" s="80"/>
      <c r="K784" s="80"/>
      <c r="L784" s="2"/>
      <c r="M784" s="2"/>
      <c r="N784" s="2"/>
      <c r="O784" s="2"/>
      <c r="P784" s="2"/>
      <c r="Q784" s="2"/>
      <c r="R784" s="80"/>
      <c r="S784" s="80"/>
      <c r="T784" s="80"/>
      <c r="U784" s="80"/>
      <c r="V784" s="80"/>
      <c r="W784" s="80"/>
      <c r="X784" s="80"/>
      <c r="Y784" s="80"/>
      <c r="Z784" s="80"/>
      <c r="AA784" s="80"/>
      <c r="AB784" s="80"/>
      <c r="AC784" s="80"/>
      <c r="AD784" s="80"/>
      <c r="AE784" s="80"/>
      <c r="AF784" s="80"/>
      <c r="AG784" s="80"/>
      <c r="AH784" s="80"/>
      <c r="AI784" s="80"/>
    </row>
    <row r="785" spans="1:35" x14ac:dyDescent="0.2">
      <c r="A785" s="2"/>
      <c r="B785" s="80"/>
      <c r="C785" s="80"/>
      <c r="D785" s="80"/>
      <c r="E785" s="80"/>
      <c r="F785" s="80"/>
      <c r="G785" s="80"/>
      <c r="H785" s="80"/>
      <c r="I785" s="80"/>
      <c r="J785" s="80"/>
      <c r="K785" s="80"/>
      <c r="L785" s="2"/>
      <c r="M785" s="2"/>
      <c r="N785" s="2"/>
      <c r="O785" s="2"/>
      <c r="P785" s="2"/>
      <c r="Q785" s="2"/>
      <c r="R785" s="80"/>
      <c r="S785" s="80"/>
      <c r="T785" s="80"/>
      <c r="U785" s="80"/>
      <c r="V785" s="80"/>
      <c r="W785" s="80"/>
      <c r="X785" s="80"/>
      <c r="Y785" s="80"/>
      <c r="Z785" s="80"/>
      <c r="AA785" s="80"/>
      <c r="AB785" s="80"/>
      <c r="AC785" s="80"/>
      <c r="AD785" s="80"/>
      <c r="AE785" s="80"/>
      <c r="AF785" s="80"/>
      <c r="AG785" s="80"/>
      <c r="AH785" s="80"/>
      <c r="AI785" s="80"/>
    </row>
    <row r="786" spans="1:35" x14ac:dyDescent="0.2">
      <c r="A786" s="2"/>
      <c r="B786" s="80"/>
      <c r="C786" s="80"/>
      <c r="D786" s="80"/>
      <c r="E786" s="80"/>
      <c r="F786" s="80"/>
      <c r="G786" s="80"/>
      <c r="H786" s="80"/>
      <c r="I786" s="80"/>
      <c r="J786" s="80"/>
      <c r="K786" s="80"/>
      <c r="L786" s="2"/>
      <c r="M786" s="2"/>
      <c r="N786" s="2"/>
      <c r="O786" s="2"/>
      <c r="P786" s="2"/>
      <c r="Q786" s="2"/>
      <c r="R786" s="80"/>
      <c r="S786" s="80"/>
      <c r="T786" s="80"/>
      <c r="U786" s="80"/>
      <c r="V786" s="80"/>
      <c r="W786" s="80"/>
      <c r="X786" s="80"/>
      <c r="Y786" s="80"/>
      <c r="Z786" s="80"/>
      <c r="AA786" s="80"/>
      <c r="AB786" s="80"/>
      <c r="AC786" s="80"/>
      <c r="AD786" s="80"/>
      <c r="AE786" s="80"/>
      <c r="AF786" s="80"/>
      <c r="AG786" s="80"/>
      <c r="AH786" s="80"/>
      <c r="AI786" s="80"/>
    </row>
    <row r="787" spans="1:35" x14ac:dyDescent="0.2">
      <c r="A787" s="2"/>
      <c r="B787" s="80"/>
      <c r="C787" s="80"/>
      <c r="D787" s="80"/>
      <c r="E787" s="80"/>
      <c r="F787" s="80"/>
      <c r="G787" s="80"/>
      <c r="H787" s="80"/>
      <c r="I787" s="80"/>
      <c r="J787" s="80"/>
      <c r="K787" s="80"/>
      <c r="L787" s="2"/>
      <c r="M787" s="2"/>
      <c r="N787" s="2"/>
      <c r="O787" s="2"/>
      <c r="P787" s="2"/>
      <c r="Q787" s="2"/>
      <c r="R787" s="80"/>
      <c r="S787" s="80"/>
      <c r="T787" s="80"/>
      <c r="U787" s="80"/>
      <c r="V787" s="80"/>
      <c r="W787" s="80"/>
      <c r="X787" s="80"/>
      <c r="Y787" s="80"/>
      <c r="Z787" s="80"/>
      <c r="AA787" s="80"/>
      <c r="AB787" s="80"/>
      <c r="AC787" s="80"/>
      <c r="AD787" s="80"/>
      <c r="AE787" s="80"/>
      <c r="AF787" s="80"/>
      <c r="AG787" s="80"/>
      <c r="AH787" s="80"/>
      <c r="AI787" s="80"/>
    </row>
    <row r="788" spans="1:35" x14ac:dyDescent="0.2">
      <c r="A788" s="2"/>
      <c r="B788" s="80"/>
      <c r="C788" s="80"/>
      <c r="D788" s="80"/>
      <c r="E788" s="80"/>
      <c r="F788" s="80"/>
      <c r="G788" s="80"/>
      <c r="H788" s="80"/>
      <c r="I788" s="80"/>
      <c r="J788" s="80"/>
      <c r="K788" s="80"/>
      <c r="L788" s="2"/>
      <c r="M788" s="2"/>
      <c r="N788" s="2"/>
      <c r="O788" s="2"/>
      <c r="P788" s="2"/>
      <c r="Q788" s="2"/>
      <c r="R788" s="80"/>
      <c r="S788" s="80"/>
      <c r="T788" s="80"/>
      <c r="U788" s="80"/>
      <c r="V788" s="80"/>
      <c r="W788" s="80"/>
      <c r="X788" s="80"/>
      <c r="Y788" s="80"/>
      <c r="Z788" s="80"/>
      <c r="AA788" s="80"/>
      <c r="AB788" s="80"/>
      <c r="AC788" s="80"/>
      <c r="AD788" s="80"/>
      <c r="AE788" s="80"/>
      <c r="AF788" s="80"/>
      <c r="AG788" s="80"/>
      <c r="AH788" s="80"/>
      <c r="AI788" s="80"/>
    </row>
    <row r="789" spans="1:35" x14ac:dyDescent="0.2">
      <c r="A789" s="2"/>
      <c r="B789" s="80"/>
      <c r="C789" s="80"/>
      <c r="D789" s="80"/>
      <c r="E789" s="80"/>
      <c r="F789" s="80"/>
      <c r="G789" s="80"/>
      <c r="H789" s="80"/>
      <c r="I789" s="80"/>
      <c r="J789" s="80"/>
      <c r="K789" s="80"/>
      <c r="L789" s="2"/>
      <c r="M789" s="2"/>
      <c r="N789" s="2"/>
      <c r="O789" s="2"/>
      <c r="P789" s="2"/>
      <c r="Q789" s="2"/>
      <c r="R789" s="80"/>
      <c r="S789" s="80"/>
      <c r="T789" s="80"/>
      <c r="U789" s="80"/>
      <c r="V789" s="80"/>
      <c r="W789" s="80"/>
      <c r="X789" s="80"/>
      <c r="Y789" s="80"/>
      <c r="Z789" s="80"/>
      <c r="AA789" s="80"/>
      <c r="AB789" s="80"/>
      <c r="AC789" s="80"/>
      <c r="AD789" s="80"/>
      <c r="AE789" s="80"/>
      <c r="AF789" s="80"/>
      <c r="AG789" s="80"/>
      <c r="AH789" s="80"/>
      <c r="AI789" s="80"/>
    </row>
    <row r="790" spans="1:35" x14ac:dyDescent="0.2">
      <c r="A790" s="2"/>
      <c r="B790" s="80"/>
      <c r="C790" s="80"/>
      <c r="D790" s="80"/>
      <c r="E790" s="80"/>
      <c r="F790" s="80"/>
      <c r="G790" s="80"/>
      <c r="H790" s="80"/>
      <c r="I790" s="80"/>
      <c r="J790" s="80"/>
      <c r="K790" s="80"/>
      <c r="L790" s="2"/>
      <c r="M790" s="2"/>
      <c r="N790" s="2"/>
      <c r="O790" s="2"/>
      <c r="P790" s="2"/>
      <c r="Q790" s="2"/>
      <c r="R790" s="80"/>
      <c r="S790" s="80"/>
      <c r="T790" s="80"/>
      <c r="U790" s="80"/>
      <c r="V790" s="80"/>
      <c r="W790" s="80"/>
      <c r="X790" s="80"/>
      <c r="Y790" s="80"/>
      <c r="Z790" s="80"/>
      <c r="AA790" s="80"/>
      <c r="AB790" s="80"/>
      <c r="AC790" s="80"/>
      <c r="AD790" s="80"/>
      <c r="AE790" s="80"/>
      <c r="AF790" s="80"/>
      <c r="AG790" s="80"/>
      <c r="AH790" s="80"/>
      <c r="AI790" s="80"/>
    </row>
    <row r="791" spans="1:35" x14ac:dyDescent="0.2">
      <c r="A791" s="2"/>
      <c r="B791" s="80"/>
      <c r="C791" s="80"/>
      <c r="D791" s="80"/>
      <c r="E791" s="80"/>
      <c r="F791" s="80"/>
      <c r="G791" s="80"/>
      <c r="H791" s="80"/>
      <c r="I791" s="80"/>
      <c r="J791" s="80"/>
      <c r="K791" s="80"/>
      <c r="L791" s="2"/>
      <c r="M791" s="2"/>
      <c r="N791" s="2"/>
      <c r="O791" s="2"/>
      <c r="P791" s="2"/>
      <c r="Q791" s="2"/>
      <c r="R791" s="80"/>
      <c r="S791" s="80"/>
      <c r="T791" s="80"/>
      <c r="U791" s="80"/>
      <c r="V791" s="80"/>
      <c r="W791" s="80"/>
      <c r="X791" s="80"/>
      <c r="Y791" s="80"/>
      <c r="Z791" s="80"/>
      <c r="AA791" s="80"/>
      <c r="AB791" s="80"/>
      <c r="AC791" s="80"/>
      <c r="AD791" s="80"/>
      <c r="AE791" s="80"/>
      <c r="AF791" s="80"/>
      <c r="AG791" s="80"/>
      <c r="AH791" s="80"/>
      <c r="AI791" s="80"/>
    </row>
    <row r="792" spans="1:35" x14ac:dyDescent="0.2">
      <c r="A792" s="2"/>
      <c r="B792" s="80"/>
      <c r="C792" s="80"/>
      <c r="D792" s="80"/>
      <c r="E792" s="80"/>
      <c r="F792" s="80"/>
      <c r="G792" s="80"/>
      <c r="H792" s="80"/>
      <c r="I792" s="80"/>
      <c r="J792" s="80"/>
      <c r="K792" s="80"/>
      <c r="L792" s="2"/>
      <c r="M792" s="2"/>
      <c r="N792" s="2"/>
      <c r="O792" s="2"/>
      <c r="P792" s="2"/>
      <c r="Q792" s="2"/>
      <c r="R792" s="80"/>
      <c r="S792" s="80"/>
      <c r="T792" s="80"/>
      <c r="U792" s="80"/>
      <c r="V792" s="80"/>
      <c r="W792" s="80"/>
      <c r="X792" s="80"/>
      <c r="Y792" s="80"/>
      <c r="Z792" s="80"/>
      <c r="AA792" s="80"/>
      <c r="AB792" s="80"/>
      <c r="AC792" s="80"/>
      <c r="AD792" s="80"/>
      <c r="AE792" s="80"/>
      <c r="AF792" s="80"/>
      <c r="AG792" s="80"/>
      <c r="AH792" s="80"/>
      <c r="AI792" s="80"/>
    </row>
    <row r="793" spans="1:35" x14ac:dyDescent="0.2">
      <c r="A793" s="2"/>
      <c r="B793" s="80"/>
      <c r="C793" s="80"/>
      <c r="D793" s="80"/>
      <c r="E793" s="80"/>
      <c r="F793" s="80"/>
      <c r="G793" s="80"/>
      <c r="H793" s="80"/>
      <c r="I793" s="80"/>
      <c r="J793" s="80"/>
      <c r="K793" s="80"/>
      <c r="L793" s="2"/>
      <c r="M793" s="2"/>
      <c r="N793" s="2"/>
      <c r="O793" s="2"/>
      <c r="P793" s="2"/>
      <c r="Q793" s="2"/>
      <c r="R793" s="80"/>
      <c r="S793" s="80"/>
      <c r="T793" s="80"/>
      <c r="U793" s="80"/>
      <c r="V793" s="80"/>
      <c r="W793" s="80"/>
      <c r="X793" s="80"/>
      <c r="Y793" s="80"/>
      <c r="Z793" s="80"/>
      <c r="AA793" s="80"/>
      <c r="AB793" s="80"/>
      <c r="AC793" s="80"/>
      <c r="AD793" s="80"/>
      <c r="AE793" s="80"/>
      <c r="AF793" s="80"/>
      <c r="AG793" s="80"/>
      <c r="AH793" s="80"/>
      <c r="AI793" s="80"/>
    </row>
    <row r="794" spans="1:35" x14ac:dyDescent="0.2">
      <c r="A794" s="2"/>
      <c r="B794" s="80"/>
      <c r="C794" s="80"/>
      <c r="D794" s="80"/>
      <c r="E794" s="80"/>
      <c r="F794" s="80"/>
      <c r="G794" s="80"/>
      <c r="H794" s="80"/>
      <c r="I794" s="80"/>
      <c r="J794" s="80"/>
      <c r="K794" s="80"/>
      <c r="L794" s="2"/>
      <c r="M794" s="2"/>
      <c r="N794" s="2"/>
      <c r="O794" s="2"/>
      <c r="P794" s="2"/>
      <c r="Q794" s="2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80"/>
      <c r="AC794" s="80"/>
      <c r="AD794" s="80"/>
      <c r="AE794" s="80"/>
      <c r="AF794" s="80"/>
      <c r="AG794" s="80"/>
      <c r="AH794" s="80"/>
      <c r="AI794" s="80"/>
    </row>
    <row r="795" spans="1:35" x14ac:dyDescent="0.2">
      <c r="A795" s="2"/>
      <c r="B795" s="80"/>
      <c r="C795" s="80"/>
      <c r="D795" s="80"/>
      <c r="E795" s="80"/>
      <c r="F795" s="80"/>
      <c r="G795" s="80"/>
      <c r="H795" s="80"/>
      <c r="I795" s="80"/>
      <c r="J795" s="80"/>
      <c r="K795" s="80"/>
      <c r="L795" s="2"/>
      <c r="M795" s="2"/>
      <c r="N795" s="2"/>
      <c r="O795" s="2"/>
      <c r="P795" s="2"/>
      <c r="Q795" s="2"/>
      <c r="R795" s="80"/>
      <c r="S795" s="80"/>
      <c r="T795" s="80"/>
      <c r="U795" s="80"/>
      <c r="V795" s="80"/>
      <c r="W795" s="80"/>
      <c r="X795" s="80"/>
      <c r="Y795" s="80"/>
      <c r="Z795" s="80"/>
      <c r="AA795" s="80"/>
      <c r="AB795" s="80"/>
      <c r="AC795" s="80"/>
      <c r="AD795" s="80"/>
      <c r="AE795" s="80"/>
      <c r="AF795" s="80"/>
      <c r="AG795" s="80"/>
      <c r="AH795" s="80"/>
      <c r="AI795" s="80"/>
    </row>
    <row r="796" spans="1:35" x14ac:dyDescent="0.2">
      <c r="A796" s="2"/>
      <c r="B796" s="80"/>
      <c r="C796" s="80"/>
      <c r="D796" s="80"/>
      <c r="E796" s="80"/>
      <c r="F796" s="80"/>
      <c r="G796" s="80"/>
      <c r="H796" s="80"/>
      <c r="I796" s="80"/>
      <c r="J796" s="80"/>
      <c r="K796" s="80"/>
      <c r="L796" s="2"/>
      <c r="M796" s="2"/>
      <c r="N796" s="2"/>
      <c r="O796" s="2"/>
      <c r="P796" s="2"/>
      <c r="Q796" s="2"/>
      <c r="R796" s="80"/>
      <c r="S796" s="80"/>
      <c r="T796" s="80"/>
      <c r="U796" s="80"/>
      <c r="V796" s="80"/>
      <c r="W796" s="80"/>
      <c r="X796" s="80"/>
      <c r="Y796" s="80"/>
      <c r="Z796" s="80"/>
      <c r="AA796" s="80"/>
      <c r="AB796" s="80"/>
      <c r="AC796" s="80"/>
      <c r="AD796" s="80"/>
      <c r="AE796" s="80"/>
      <c r="AF796" s="80"/>
      <c r="AG796" s="80"/>
      <c r="AH796" s="80"/>
      <c r="AI796" s="80"/>
    </row>
    <row r="797" spans="1:35" x14ac:dyDescent="0.2">
      <c r="A797" s="2"/>
      <c r="B797" s="80"/>
      <c r="C797" s="80"/>
      <c r="D797" s="80"/>
      <c r="E797" s="80"/>
      <c r="F797" s="80"/>
      <c r="G797" s="80"/>
      <c r="H797" s="80"/>
      <c r="I797" s="80"/>
      <c r="J797" s="80"/>
      <c r="K797" s="80"/>
      <c r="L797" s="2"/>
      <c r="M797" s="2"/>
      <c r="N797" s="2"/>
      <c r="O797" s="2"/>
      <c r="P797" s="2"/>
      <c r="Q797" s="2"/>
      <c r="R797" s="80"/>
      <c r="S797" s="80"/>
      <c r="T797" s="80"/>
      <c r="U797" s="80"/>
      <c r="V797" s="80"/>
      <c r="W797" s="80"/>
      <c r="X797" s="80"/>
      <c r="Y797" s="80"/>
      <c r="Z797" s="80"/>
      <c r="AA797" s="80"/>
      <c r="AB797" s="80"/>
      <c r="AC797" s="80"/>
      <c r="AD797" s="80"/>
      <c r="AE797" s="80"/>
      <c r="AF797" s="80"/>
      <c r="AG797" s="80"/>
      <c r="AH797" s="80"/>
      <c r="AI797" s="80"/>
    </row>
    <row r="798" spans="1:35" x14ac:dyDescent="0.2">
      <c r="A798" s="2"/>
      <c r="B798" s="80"/>
      <c r="C798" s="80"/>
      <c r="D798" s="80"/>
      <c r="E798" s="80"/>
      <c r="F798" s="80"/>
      <c r="G798" s="80"/>
      <c r="H798" s="80"/>
      <c r="I798" s="80"/>
      <c r="J798" s="80"/>
      <c r="K798" s="80"/>
      <c r="L798" s="2"/>
      <c r="M798" s="2"/>
      <c r="N798" s="2"/>
      <c r="O798" s="2"/>
      <c r="P798" s="2"/>
      <c r="Q798" s="2"/>
      <c r="R798" s="80"/>
      <c r="S798" s="80"/>
      <c r="T798" s="80"/>
      <c r="U798" s="80"/>
      <c r="V798" s="80"/>
      <c r="W798" s="80"/>
      <c r="X798" s="80"/>
      <c r="Y798" s="80"/>
      <c r="Z798" s="80"/>
      <c r="AA798" s="80"/>
      <c r="AB798" s="80"/>
      <c r="AC798" s="80"/>
      <c r="AD798" s="80"/>
      <c r="AE798" s="80"/>
      <c r="AF798" s="80"/>
      <c r="AG798" s="80"/>
      <c r="AH798" s="80"/>
      <c r="AI798" s="80"/>
    </row>
    <row r="799" spans="1:35" x14ac:dyDescent="0.2">
      <c r="A799" s="2"/>
      <c r="B799" s="80"/>
      <c r="C799" s="80"/>
      <c r="D799" s="80"/>
      <c r="E799" s="80"/>
      <c r="F799" s="80"/>
      <c r="G799" s="80"/>
      <c r="H799" s="80"/>
      <c r="I799" s="80"/>
      <c r="J799" s="80"/>
      <c r="K799" s="80"/>
      <c r="L799" s="2"/>
      <c r="M799" s="2"/>
      <c r="N799" s="2"/>
      <c r="O799" s="2"/>
      <c r="P799" s="2"/>
      <c r="Q799" s="2"/>
      <c r="R799" s="80"/>
      <c r="S799" s="80"/>
      <c r="T799" s="80"/>
      <c r="U799" s="80"/>
      <c r="V799" s="80"/>
      <c r="W799" s="80"/>
      <c r="X799" s="80"/>
      <c r="Y799" s="80"/>
      <c r="Z799" s="80"/>
      <c r="AA799" s="80"/>
      <c r="AB799" s="80"/>
      <c r="AC799" s="80"/>
      <c r="AD799" s="80"/>
      <c r="AE799" s="80"/>
      <c r="AF799" s="80"/>
      <c r="AG799" s="80"/>
      <c r="AH799" s="80"/>
      <c r="AI799" s="80"/>
    </row>
    <row r="800" spans="1:35" x14ac:dyDescent="0.2">
      <c r="A800" s="2"/>
      <c r="B800" s="80"/>
      <c r="C800" s="80"/>
      <c r="D800" s="80"/>
      <c r="E800" s="80"/>
      <c r="F800" s="80"/>
      <c r="G800" s="80"/>
      <c r="H800" s="80"/>
      <c r="I800" s="80"/>
      <c r="J800" s="80"/>
      <c r="K800" s="80"/>
      <c r="L800" s="2"/>
      <c r="M800" s="2"/>
      <c r="N800" s="2"/>
      <c r="O800" s="2"/>
      <c r="P800" s="2"/>
      <c r="Q800" s="2"/>
      <c r="R800" s="80"/>
      <c r="S800" s="80"/>
      <c r="T800" s="80"/>
      <c r="U800" s="80"/>
      <c r="V800" s="80"/>
      <c r="W800" s="80"/>
      <c r="X800" s="80"/>
      <c r="Y800" s="80"/>
      <c r="Z800" s="80"/>
      <c r="AA800" s="80"/>
      <c r="AB800" s="80"/>
      <c r="AC800" s="80"/>
      <c r="AD800" s="80"/>
      <c r="AE800" s="80"/>
      <c r="AF800" s="80"/>
      <c r="AG800" s="80"/>
      <c r="AH800" s="80"/>
      <c r="AI800" s="80"/>
    </row>
    <row r="801" spans="1:35" x14ac:dyDescent="0.2">
      <c r="A801" s="2"/>
      <c r="B801" s="80"/>
      <c r="C801" s="80"/>
      <c r="D801" s="80"/>
      <c r="E801" s="80"/>
      <c r="F801" s="80"/>
      <c r="G801" s="80"/>
      <c r="H801" s="80"/>
      <c r="I801" s="80"/>
      <c r="J801" s="80"/>
      <c r="K801" s="80"/>
      <c r="L801" s="2"/>
      <c r="M801" s="2"/>
      <c r="N801" s="2"/>
      <c r="O801" s="2"/>
      <c r="P801" s="2"/>
      <c r="Q801" s="2"/>
      <c r="R801" s="80"/>
      <c r="S801" s="80"/>
      <c r="T801" s="80"/>
      <c r="U801" s="80"/>
      <c r="V801" s="80"/>
      <c r="W801" s="80"/>
      <c r="X801" s="80"/>
      <c r="Y801" s="80"/>
      <c r="Z801" s="80"/>
      <c r="AA801" s="80"/>
      <c r="AB801" s="80"/>
      <c r="AC801" s="80"/>
      <c r="AD801" s="80"/>
      <c r="AE801" s="80"/>
      <c r="AF801" s="80"/>
      <c r="AG801" s="80"/>
      <c r="AH801" s="80"/>
      <c r="AI801" s="80"/>
    </row>
    <row r="802" spans="1:35" x14ac:dyDescent="0.2">
      <c r="A802" s="2"/>
      <c r="B802" s="80"/>
      <c r="C802" s="80"/>
      <c r="D802" s="80"/>
      <c r="E802" s="80"/>
      <c r="F802" s="80"/>
      <c r="G802" s="80"/>
      <c r="H802" s="80"/>
      <c r="I802" s="80"/>
      <c r="J802" s="80"/>
      <c r="K802" s="80"/>
      <c r="L802" s="2"/>
      <c r="M802" s="2"/>
      <c r="N802" s="2"/>
      <c r="O802" s="2"/>
      <c r="P802" s="2"/>
      <c r="Q802" s="2"/>
      <c r="R802" s="80"/>
      <c r="S802" s="80"/>
      <c r="T802" s="80"/>
      <c r="U802" s="80"/>
      <c r="V802" s="80"/>
      <c r="W802" s="80"/>
      <c r="X802" s="80"/>
      <c r="Y802" s="80"/>
      <c r="Z802" s="80"/>
      <c r="AA802" s="80"/>
      <c r="AB802" s="80"/>
      <c r="AC802" s="80"/>
      <c r="AD802" s="80"/>
      <c r="AE802" s="80"/>
      <c r="AF802" s="80"/>
      <c r="AG802" s="80"/>
      <c r="AH802" s="80"/>
      <c r="AI802" s="80"/>
    </row>
    <row r="803" spans="1:35" x14ac:dyDescent="0.2">
      <c r="A803" s="2"/>
      <c r="B803" s="80"/>
      <c r="C803" s="80"/>
      <c r="D803" s="80"/>
      <c r="E803" s="80"/>
      <c r="F803" s="80"/>
      <c r="G803" s="80"/>
      <c r="H803" s="80"/>
      <c r="I803" s="80"/>
      <c r="J803" s="80"/>
      <c r="K803" s="80"/>
      <c r="L803" s="2"/>
      <c r="M803" s="2"/>
      <c r="N803" s="2"/>
      <c r="O803" s="2"/>
      <c r="P803" s="2"/>
      <c r="Q803" s="2"/>
      <c r="R803" s="80"/>
      <c r="S803" s="80"/>
      <c r="T803" s="80"/>
      <c r="U803" s="80"/>
      <c r="V803" s="80"/>
      <c r="W803" s="80"/>
      <c r="X803" s="80"/>
      <c r="Y803" s="80"/>
      <c r="Z803" s="80"/>
      <c r="AA803" s="80"/>
      <c r="AB803" s="80"/>
      <c r="AC803" s="80"/>
      <c r="AD803" s="80"/>
      <c r="AE803" s="80"/>
      <c r="AF803" s="80"/>
      <c r="AG803" s="80"/>
      <c r="AH803" s="80"/>
      <c r="AI803" s="80"/>
    </row>
    <row r="804" spans="1:35" x14ac:dyDescent="0.2">
      <c r="A804" s="2"/>
      <c r="B804" s="80"/>
      <c r="C804" s="80"/>
      <c r="D804" s="80"/>
      <c r="E804" s="80"/>
      <c r="F804" s="80"/>
      <c r="G804" s="80"/>
      <c r="H804" s="80"/>
      <c r="I804" s="80"/>
      <c r="J804" s="80"/>
      <c r="K804" s="80"/>
      <c r="L804" s="2"/>
      <c r="M804" s="2"/>
      <c r="N804" s="2"/>
      <c r="O804" s="2"/>
      <c r="P804" s="2"/>
      <c r="Q804" s="2"/>
      <c r="R804" s="80"/>
      <c r="S804" s="80"/>
      <c r="T804" s="80"/>
      <c r="U804" s="80"/>
      <c r="V804" s="80"/>
      <c r="W804" s="80"/>
      <c r="X804" s="80"/>
      <c r="Y804" s="80"/>
      <c r="Z804" s="80"/>
      <c r="AA804" s="80"/>
      <c r="AB804" s="80"/>
      <c r="AC804" s="80"/>
      <c r="AD804" s="80"/>
      <c r="AE804" s="80"/>
      <c r="AF804" s="80"/>
      <c r="AG804" s="80"/>
      <c r="AH804" s="80"/>
      <c r="AI804" s="80"/>
    </row>
    <row r="805" spans="1:35" x14ac:dyDescent="0.2">
      <c r="A805" s="2"/>
      <c r="B805" s="80"/>
      <c r="C805" s="80"/>
      <c r="D805" s="80"/>
      <c r="E805" s="80"/>
      <c r="F805" s="80"/>
      <c r="G805" s="80"/>
      <c r="H805" s="80"/>
      <c r="I805" s="80"/>
      <c r="J805" s="80"/>
      <c r="K805" s="80"/>
      <c r="L805" s="2"/>
      <c r="M805" s="2"/>
      <c r="N805" s="2"/>
      <c r="O805" s="2"/>
      <c r="P805" s="2"/>
      <c r="Q805" s="2"/>
      <c r="R805" s="80"/>
      <c r="S805" s="80"/>
      <c r="T805" s="80"/>
      <c r="U805" s="80"/>
      <c r="V805" s="80"/>
      <c r="W805" s="80"/>
      <c r="X805" s="80"/>
      <c r="Y805" s="80"/>
      <c r="Z805" s="80"/>
      <c r="AA805" s="80"/>
      <c r="AB805" s="80"/>
      <c r="AC805" s="80"/>
      <c r="AD805" s="80"/>
      <c r="AE805" s="80"/>
      <c r="AF805" s="80"/>
      <c r="AG805" s="80"/>
      <c r="AH805" s="80"/>
      <c r="AI805" s="80"/>
    </row>
    <row r="806" spans="1:35" x14ac:dyDescent="0.2">
      <c r="A806" s="2"/>
      <c r="B806" s="80"/>
      <c r="C806" s="80"/>
      <c r="D806" s="80"/>
      <c r="E806" s="80"/>
      <c r="F806" s="80"/>
      <c r="G806" s="80"/>
      <c r="H806" s="80"/>
      <c r="I806" s="80"/>
      <c r="J806" s="80"/>
      <c r="K806" s="80"/>
      <c r="L806" s="2"/>
      <c r="M806" s="2"/>
      <c r="N806" s="2"/>
      <c r="O806" s="2"/>
      <c r="P806" s="2"/>
      <c r="Q806" s="2"/>
      <c r="R806" s="80"/>
      <c r="S806" s="80"/>
      <c r="T806" s="80"/>
      <c r="U806" s="80"/>
      <c r="V806" s="80"/>
      <c r="W806" s="80"/>
      <c r="X806" s="80"/>
      <c r="Y806" s="80"/>
      <c r="Z806" s="80"/>
      <c r="AA806" s="80"/>
      <c r="AB806" s="80"/>
      <c r="AC806" s="80"/>
      <c r="AD806" s="80"/>
      <c r="AE806" s="80"/>
      <c r="AF806" s="80"/>
      <c r="AG806" s="80"/>
      <c r="AH806" s="80"/>
      <c r="AI806" s="80"/>
    </row>
    <row r="807" spans="1:35" x14ac:dyDescent="0.2">
      <c r="A807" s="2"/>
      <c r="B807" s="80"/>
      <c r="C807" s="80"/>
      <c r="D807" s="80"/>
      <c r="E807" s="80"/>
      <c r="F807" s="80"/>
      <c r="G807" s="80"/>
      <c r="H807" s="80"/>
      <c r="I807" s="80"/>
      <c r="J807" s="80"/>
      <c r="K807" s="80"/>
      <c r="L807" s="2"/>
      <c r="M807" s="2"/>
      <c r="N807" s="2"/>
      <c r="O807" s="2"/>
      <c r="P807" s="2"/>
      <c r="Q807" s="2"/>
      <c r="R807" s="80"/>
      <c r="S807" s="80"/>
      <c r="T807" s="80"/>
      <c r="U807" s="80"/>
      <c r="V807" s="80"/>
      <c r="W807" s="80"/>
      <c r="X807" s="80"/>
      <c r="Y807" s="80"/>
      <c r="Z807" s="80"/>
      <c r="AA807" s="80"/>
      <c r="AB807" s="80"/>
      <c r="AC807" s="80"/>
      <c r="AD807" s="80"/>
      <c r="AE807" s="80"/>
      <c r="AF807" s="80"/>
      <c r="AG807" s="80"/>
      <c r="AH807" s="80"/>
      <c r="AI807" s="80"/>
    </row>
    <row r="808" spans="1:35" x14ac:dyDescent="0.2">
      <c r="A808" s="2"/>
      <c r="B808" s="80"/>
      <c r="C808" s="80"/>
      <c r="D808" s="80"/>
      <c r="E808" s="80"/>
      <c r="F808" s="80"/>
      <c r="G808" s="80"/>
      <c r="H808" s="80"/>
      <c r="I808" s="80"/>
      <c r="J808" s="80"/>
      <c r="K808" s="80"/>
      <c r="L808" s="2"/>
      <c r="M808" s="2"/>
      <c r="N808" s="2"/>
      <c r="O808" s="2"/>
      <c r="P808" s="2"/>
      <c r="Q808" s="2"/>
      <c r="R808" s="80"/>
      <c r="S808" s="80"/>
      <c r="T808" s="80"/>
      <c r="U808" s="80"/>
      <c r="V808" s="80"/>
      <c r="W808" s="80"/>
      <c r="X808" s="80"/>
      <c r="Y808" s="80"/>
      <c r="Z808" s="80"/>
      <c r="AA808" s="80"/>
      <c r="AB808" s="80"/>
      <c r="AC808" s="80"/>
      <c r="AD808" s="80"/>
      <c r="AE808" s="80"/>
      <c r="AF808" s="80"/>
      <c r="AG808" s="80"/>
      <c r="AH808" s="80"/>
      <c r="AI808" s="80"/>
    </row>
    <row r="809" spans="1:35" x14ac:dyDescent="0.2">
      <c r="A809" s="2"/>
      <c r="B809" s="80"/>
      <c r="C809" s="80"/>
      <c r="D809" s="80"/>
      <c r="E809" s="80"/>
      <c r="F809" s="80"/>
      <c r="G809" s="80"/>
      <c r="H809" s="80"/>
      <c r="I809" s="80"/>
      <c r="J809" s="80"/>
      <c r="K809" s="80"/>
      <c r="L809" s="2"/>
      <c r="M809" s="2"/>
      <c r="N809" s="2"/>
      <c r="O809" s="2"/>
      <c r="P809" s="2"/>
      <c r="Q809" s="2"/>
      <c r="R809" s="80"/>
      <c r="S809" s="80"/>
      <c r="T809" s="80"/>
      <c r="U809" s="80"/>
      <c r="V809" s="80"/>
      <c r="W809" s="80"/>
      <c r="X809" s="80"/>
      <c r="Y809" s="80"/>
      <c r="Z809" s="80"/>
      <c r="AA809" s="80"/>
      <c r="AB809" s="80"/>
      <c r="AC809" s="80"/>
      <c r="AD809" s="80"/>
      <c r="AE809" s="80"/>
      <c r="AF809" s="80"/>
      <c r="AG809" s="80"/>
      <c r="AH809" s="80"/>
      <c r="AI809" s="80"/>
    </row>
    <row r="810" spans="1:35" x14ac:dyDescent="0.2">
      <c r="A810" s="2"/>
      <c r="B810" s="80"/>
      <c r="C810" s="80"/>
      <c r="D810" s="80"/>
      <c r="E810" s="80"/>
      <c r="F810" s="80"/>
      <c r="G810" s="80"/>
      <c r="H810" s="80"/>
      <c r="I810" s="80"/>
      <c r="J810" s="80"/>
      <c r="K810" s="80"/>
      <c r="L810" s="2"/>
      <c r="M810" s="2"/>
      <c r="N810" s="2"/>
      <c r="O810" s="2"/>
      <c r="P810" s="2"/>
      <c r="Q810" s="2"/>
      <c r="R810" s="80"/>
      <c r="S810" s="80"/>
      <c r="T810" s="80"/>
      <c r="U810" s="80"/>
      <c r="V810" s="80"/>
      <c r="W810" s="80"/>
      <c r="X810" s="80"/>
      <c r="Y810" s="80"/>
      <c r="Z810" s="80"/>
      <c r="AA810" s="80"/>
      <c r="AB810" s="80"/>
      <c r="AC810" s="80"/>
      <c r="AD810" s="80"/>
      <c r="AE810" s="80"/>
      <c r="AF810" s="80"/>
      <c r="AG810" s="80"/>
      <c r="AH810" s="80"/>
      <c r="AI810" s="80"/>
    </row>
    <row r="811" spans="1:35" x14ac:dyDescent="0.2">
      <c r="A811" s="2"/>
      <c r="B811" s="80"/>
      <c r="C811" s="80"/>
      <c r="D811" s="80"/>
      <c r="E811" s="80"/>
      <c r="F811" s="80"/>
      <c r="G811" s="80"/>
      <c r="H811" s="80"/>
      <c r="I811" s="80"/>
      <c r="J811" s="80"/>
      <c r="K811" s="80"/>
      <c r="L811" s="2"/>
      <c r="M811" s="2"/>
      <c r="N811" s="2"/>
      <c r="O811" s="2"/>
      <c r="P811" s="2"/>
      <c r="Q811" s="2"/>
      <c r="R811" s="80"/>
      <c r="S811" s="80"/>
      <c r="T811" s="80"/>
      <c r="U811" s="80"/>
      <c r="V811" s="80"/>
      <c r="W811" s="80"/>
      <c r="X811" s="80"/>
      <c r="Y811" s="80"/>
      <c r="Z811" s="80"/>
      <c r="AA811" s="80"/>
      <c r="AB811" s="80"/>
      <c r="AC811" s="80"/>
      <c r="AD811" s="80"/>
      <c r="AE811" s="80"/>
      <c r="AF811" s="80"/>
      <c r="AG811" s="80"/>
      <c r="AH811" s="80"/>
      <c r="AI811" s="80"/>
    </row>
    <row r="812" spans="1:35" x14ac:dyDescent="0.2">
      <c r="A812" s="2"/>
      <c r="B812" s="80"/>
      <c r="C812" s="80"/>
      <c r="D812" s="80"/>
      <c r="E812" s="80"/>
      <c r="F812" s="80"/>
      <c r="G812" s="80"/>
      <c r="H812" s="80"/>
      <c r="I812" s="80"/>
      <c r="J812" s="80"/>
      <c r="K812" s="80"/>
      <c r="L812" s="2"/>
      <c r="M812" s="2"/>
      <c r="N812" s="2"/>
      <c r="O812" s="2"/>
      <c r="P812" s="2"/>
      <c r="Q812" s="2"/>
      <c r="R812" s="80"/>
      <c r="S812" s="80"/>
      <c r="T812" s="80"/>
      <c r="U812" s="80"/>
      <c r="V812" s="80"/>
      <c r="W812" s="80"/>
      <c r="X812" s="80"/>
      <c r="Y812" s="80"/>
      <c r="Z812" s="80"/>
      <c r="AA812" s="80"/>
      <c r="AB812" s="80"/>
      <c r="AC812" s="80"/>
      <c r="AD812" s="80"/>
      <c r="AE812" s="80"/>
      <c r="AF812" s="80"/>
      <c r="AG812" s="80"/>
      <c r="AH812" s="80"/>
      <c r="AI812" s="80"/>
    </row>
    <row r="813" spans="1:35" x14ac:dyDescent="0.2">
      <c r="A813" s="2"/>
      <c r="B813" s="80"/>
      <c r="C813" s="80"/>
      <c r="D813" s="80"/>
      <c r="E813" s="80"/>
      <c r="F813" s="80"/>
      <c r="G813" s="80"/>
      <c r="H813" s="80"/>
      <c r="I813" s="80"/>
      <c r="J813" s="80"/>
      <c r="K813" s="80"/>
      <c r="L813" s="2"/>
      <c r="M813" s="2"/>
      <c r="N813" s="2"/>
      <c r="O813" s="2"/>
      <c r="P813" s="2"/>
      <c r="Q813" s="2"/>
      <c r="R813" s="80"/>
      <c r="S813" s="80"/>
      <c r="T813" s="80"/>
      <c r="U813" s="80"/>
      <c r="V813" s="80"/>
      <c r="W813" s="80"/>
      <c r="X813" s="80"/>
      <c r="Y813" s="80"/>
      <c r="Z813" s="80"/>
      <c r="AA813" s="80"/>
      <c r="AB813" s="80"/>
      <c r="AC813" s="80"/>
      <c r="AD813" s="80"/>
      <c r="AE813" s="80"/>
      <c r="AF813" s="80"/>
      <c r="AG813" s="80"/>
      <c r="AH813" s="80"/>
      <c r="AI813" s="80"/>
    </row>
    <row r="814" spans="1:35" x14ac:dyDescent="0.2">
      <c r="A814" s="2"/>
      <c r="B814" s="80"/>
      <c r="C814" s="80"/>
      <c r="D814" s="80"/>
      <c r="E814" s="80"/>
      <c r="F814" s="80"/>
      <c r="G814" s="80"/>
      <c r="H814" s="80"/>
      <c r="I814" s="80"/>
      <c r="J814" s="80"/>
      <c r="K814" s="80"/>
      <c r="L814" s="2"/>
      <c r="M814" s="2"/>
      <c r="N814" s="2"/>
      <c r="O814" s="2"/>
      <c r="P814" s="2"/>
      <c r="Q814" s="2"/>
      <c r="R814" s="80"/>
      <c r="S814" s="80"/>
      <c r="T814" s="80"/>
      <c r="U814" s="80"/>
      <c r="V814" s="80"/>
      <c r="W814" s="80"/>
      <c r="X814" s="80"/>
      <c r="Y814" s="80"/>
      <c r="Z814" s="80"/>
      <c r="AA814" s="80"/>
      <c r="AB814" s="80"/>
      <c r="AC814" s="80"/>
      <c r="AD814" s="80"/>
      <c r="AE814" s="80"/>
      <c r="AF814" s="80"/>
      <c r="AG814" s="80"/>
      <c r="AH814" s="80"/>
      <c r="AI814" s="80"/>
    </row>
    <row r="815" spans="1:35" x14ac:dyDescent="0.2">
      <c r="A815" s="2"/>
      <c r="B815" s="80"/>
      <c r="C815" s="80"/>
      <c r="D815" s="80"/>
      <c r="E815" s="80"/>
      <c r="F815" s="80"/>
      <c r="G815" s="80"/>
      <c r="H815" s="80"/>
      <c r="I815" s="80"/>
      <c r="J815" s="80"/>
      <c r="K815" s="80"/>
      <c r="L815" s="2"/>
      <c r="M815" s="2"/>
      <c r="N815" s="2"/>
      <c r="O815" s="2"/>
      <c r="P815" s="2"/>
      <c r="Q815" s="2"/>
      <c r="R815" s="80"/>
      <c r="S815" s="80"/>
      <c r="T815" s="80"/>
      <c r="U815" s="80"/>
      <c r="V815" s="80"/>
      <c r="W815" s="80"/>
      <c r="X815" s="80"/>
      <c r="Y815" s="80"/>
      <c r="Z815" s="80"/>
      <c r="AA815" s="80"/>
      <c r="AB815" s="80"/>
      <c r="AC815" s="80"/>
      <c r="AD815" s="80"/>
      <c r="AE815" s="80"/>
      <c r="AF815" s="80"/>
      <c r="AG815" s="80"/>
      <c r="AH815" s="80"/>
      <c r="AI815" s="80"/>
    </row>
    <row r="816" spans="1:35" x14ac:dyDescent="0.2">
      <c r="A816" s="2"/>
      <c r="B816" s="80"/>
      <c r="C816" s="80"/>
      <c r="D816" s="80"/>
      <c r="E816" s="80"/>
      <c r="F816" s="80"/>
      <c r="G816" s="80"/>
      <c r="H816" s="80"/>
      <c r="I816" s="80"/>
      <c r="J816" s="80"/>
      <c r="K816" s="80"/>
      <c r="L816" s="2"/>
      <c r="M816" s="2"/>
      <c r="N816" s="2"/>
      <c r="O816" s="2"/>
      <c r="P816" s="2"/>
      <c r="Q816" s="2"/>
      <c r="R816" s="80"/>
      <c r="S816" s="80"/>
      <c r="T816" s="80"/>
      <c r="U816" s="80"/>
      <c r="V816" s="80"/>
      <c r="W816" s="80"/>
      <c r="X816" s="80"/>
      <c r="Y816" s="80"/>
      <c r="Z816" s="80"/>
      <c r="AA816" s="80"/>
      <c r="AB816" s="80"/>
      <c r="AC816" s="80"/>
      <c r="AD816" s="80"/>
      <c r="AE816" s="80"/>
      <c r="AF816" s="80"/>
      <c r="AG816" s="80"/>
      <c r="AH816" s="80"/>
      <c r="AI816" s="80"/>
    </row>
    <row r="817" spans="1:35" x14ac:dyDescent="0.2">
      <c r="A817" s="2"/>
      <c r="B817" s="80"/>
      <c r="C817" s="80"/>
      <c r="D817" s="80"/>
      <c r="E817" s="80"/>
      <c r="F817" s="80"/>
      <c r="G817" s="80"/>
      <c r="H817" s="80"/>
      <c r="I817" s="80"/>
      <c r="J817" s="80"/>
      <c r="K817" s="80"/>
      <c r="L817" s="2"/>
      <c r="M817" s="2"/>
      <c r="N817" s="2"/>
      <c r="O817" s="2"/>
      <c r="P817" s="2"/>
      <c r="Q817" s="2"/>
      <c r="R817" s="80"/>
      <c r="S817" s="80"/>
      <c r="T817" s="80"/>
      <c r="U817" s="80"/>
      <c r="V817" s="80"/>
      <c r="W817" s="80"/>
      <c r="X817" s="80"/>
      <c r="Y817" s="80"/>
      <c r="Z817" s="80"/>
      <c r="AA817" s="80"/>
      <c r="AB817" s="80"/>
      <c r="AC817" s="80"/>
      <c r="AD817" s="80"/>
      <c r="AE817" s="80"/>
      <c r="AF817" s="80"/>
      <c r="AG817" s="80"/>
      <c r="AH817" s="80"/>
      <c r="AI817" s="80"/>
    </row>
    <row r="818" spans="1:35" x14ac:dyDescent="0.2">
      <c r="A818" s="2"/>
      <c r="B818" s="80"/>
      <c r="C818" s="80"/>
      <c r="D818" s="80"/>
      <c r="E818" s="80"/>
      <c r="F818" s="80"/>
      <c r="G818" s="80"/>
      <c r="H818" s="80"/>
      <c r="I818" s="80"/>
      <c r="J818" s="80"/>
      <c r="K818" s="80"/>
      <c r="L818" s="2"/>
      <c r="M818" s="2"/>
      <c r="N818" s="2"/>
      <c r="O818" s="2"/>
      <c r="P818" s="2"/>
      <c r="Q818" s="2"/>
      <c r="R818" s="80"/>
      <c r="S818" s="80"/>
      <c r="T818" s="80"/>
      <c r="U818" s="80"/>
      <c r="V818" s="80"/>
      <c r="W818" s="80"/>
      <c r="X818" s="80"/>
      <c r="Y818" s="80"/>
      <c r="Z818" s="80"/>
      <c r="AA818" s="80"/>
      <c r="AB818" s="80"/>
      <c r="AC818" s="80"/>
      <c r="AD818" s="80"/>
      <c r="AE818" s="80"/>
      <c r="AF818" s="80"/>
      <c r="AG818" s="80"/>
      <c r="AH818" s="80"/>
      <c r="AI818" s="80"/>
    </row>
    <row r="819" spans="1:35" x14ac:dyDescent="0.2">
      <c r="A819" s="2"/>
      <c r="B819" s="80"/>
      <c r="C819" s="80"/>
      <c r="D819" s="80"/>
      <c r="E819" s="80"/>
      <c r="F819" s="80"/>
      <c r="G819" s="80"/>
      <c r="H819" s="80"/>
      <c r="I819" s="80"/>
      <c r="J819" s="80"/>
      <c r="K819" s="80"/>
      <c r="L819" s="2"/>
      <c r="M819" s="2"/>
      <c r="N819" s="2"/>
      <c r="O819" s="2"/>
      <c r="P819" s="2"/>
      <c r="Q819" s="2"/>
      <c r="R819" s="80"/>
      <c r="S819" s="80"/>
      <c r="T819" s="80"/>
      <c r="U819" s="80"/>
      <c r="V819" s="80"/>
      <c r="W819" s="80"/>
      <c r="X819" s="80"/>
      <c r="Y819" s="80"/>
      <c r="Z819" s="80"/>
      <c r="AA819" s="80"/>
      <c r="AB819" s="80"/>
      <c r="AC819" s="80"/>
      <c r="AD819" s="80"/>
      <c r="AE819" s="80"/>
      <c r="AF819" s="80"/>
      <c r="AG819" s="80"/>
      <c r="AH819" s="80"/>
      <c r="AI819" s="80"/>
    </row>
    <row r="820" spans="1:35" x14ac:dyDescent="0.2">
      <c r="A820" s="2"/>
      <c r="B820" s="80"/>
      <c r="C820" s="80"/>
      <c r="D820" s="80"/>
      <c r="E820" s="80"/>
      <c r="F820" s="80"/>
      <c r="G820" s="80"/>
      <c r="H820" s="80"/>
      <c r="I820" s="80"/>
      <c r="J820" s="80"/>
      <c r="K820" s="80"/>
      <c r="L820" s="2"/>
      <c r="M820" s="2"/>
      <c r="N820" s="2"/>
      <c r="O820" s="2"/>
      <c r="P820" s="2"/>
      <c r="Q820" s="2"/>
      <c r="R820" s="80"/>
      <c r="S820" s="80"/>
      <c r="T820" s="80"/>
      <c r="U820" s="80"/>
      <c r="V820" s="80"/>
      <c r="W820" s="80"/>
      <c r="X820" s="80"/>
      <c r="Y820" s="80"/>
      <c r="Z820" s="80"/>
      <c r="AA820" s="80"/>
      <c r="AB820" s="80"/>
      <c r="AC820" s="80"/>
      <c r="AD820" s="80"/>
      <c r="AE820" s="80"/>
      <c r="AF820" s="80"/>
      <c r="AG820" s="80"/>
      <c r="AH820" s="80"/>
      <c r="AI820" s="80"/>
    </row>
    <row r="821" spans="1:35" x14ac:dyDescent="0.2">
      <c r="A821" s="2"/>
      <c r="B821" s="80"/>
      <c r="C821" s="80"/>
      <c r="D821" s="80"/>
      <c r="E821" s="80"/>
      <c r="F821" s="80"/>
      <c r="G821" s="80"/>
      <c r="H821" s="80"/>
      <c r="I821" s="80"/>
      <c r="J821" s="80"/>
      <c r="K821" s="80"/>
      <c r="L821" s="2"/>
      <c r="M821" s="2"/>
      <c r="N821" s="2"/>
      <c r="O821" s="2"/>
      <c r="P821" s="2"/>
      <c r="Q821" s="2"/>
      <c r="R821" s="80"/>
      <c r="S821" s="80"/>
      <c r="T821" s="80"/>
      <c r="U821" s="80"/>
      <c r="V821" s="80"/>
      <c r="W821" s="80"/>
      <c r="X821" s="80"/>
      <c r="Y821" s="80"/>
      <c r="Z821" s="80"/>
      <c r="AA821" s="80"/>
      <c r="AB821" s="80"/>
      <c r="AC821" s="80"/>
      <c r="AD821" s="80"/>
      <c r="AE821" s="80"/>
      <c r="AF821" s="80"/>
      <c r="AG821" s="80"/>
      <c r="AH821" s="80"/>
      <c r="AI821" s="80"/>
    </row>
    <row r="822" spans="1:35" x14ac:dyDescent="0.2">
      <c r="A822" s="2"/>
      <c r="B822" s="80"/>
      <c r="C822" s="80"/>
      <c r="D822" s="80"/>
      <c r="E822" s="80"/>
      <c r="F822" s="80"/>
      <c r="G822" s="80"/>
      <c r="H822" s="80"/>
      <c r="I822" s="80"/>
      <c r="J822" s="80"/>
      <c r="K822" s="80"/>
      <c r="L822" s="2"/>
      <c r="M822" s="2"/>
      <c r="N822" s="2"/>
      <c r="O822" s="2"/>
      <c r="P822" s="2"/>
      <c r="Q822" s="2"/>
      <c r="R822" s="80"/>
      <c r="S822" s="80"/>
      <c r="T822" s="80"/>
      <c r="U822" s="80"/>
      <c r="V822" s="80"/>
      <c r="W822" s="80"/>
      <c r="X822" s="80"/>
      <c r="Y822" s="80"/>
      <c r="Z822" s="80"/>
      <c r="AA822" s="80"/>
      <c r="AB822" s="80"/>
      <c r="AC822" s="80"/>
      <c r="AD822" s="80"/>
      <c r="AE822" s="80"/>
      <c r="AF822" s="80"/>
      <c r="AG822" s="80"/>
      <c r="AH822" s="80"/>
      <c r="AI822" s="80"/>
    </row>
    <row r="823" spans="1:35" x14ac:dyDescent="0.2">
      <c r="A823" s="2"/>
      <c r="B823" s="80"/>
      <c r="C823" s="80"/>
      <c r="D823" s="80"/>
      <c r="E823" s="80"/>
      <c r="F823" s="80"/>
      <c r="G823" s="80"/>
      <c r="H823" s="80"/>
      <c r="I823" s="80"/>
      <c r="J823" s="80"/>
      <c r="K823" s="80"/>
      <c r="L823" s="2"/>
      <c r="M823" s="2"/>
      <c r="N823" s="2"/>
      <c r="O823" s="2"/>
      <c r="P823" s="2"/>
      <c r="Q823" s="2"/>
      <c r="R823" s="80"/>
      <c r="S823" s="80"/>
      <c r="T823" s="80"/>
      <c r="U823" s="80"/>
      <c r="V823" s="80"/>
      <c r="W823" s="80"/>
      <c r="X823" s="80"/>
      <c r="Y823" s="80"/>
      <c r="Z823" s="80"/>
      <c r="AA823" s="80"/>
      <c r="AB823" s="80"/>
      <c r="AC823" s="80"/>
      <c r="AD823" s="80"/>
      <c r="AE823" s="80"/>
      <c r="AF823" s="80"/>
      <c r="AG823" s="80"/>
      <c r="AH823" s="80"/>
      <c r="AI823" s="80"/>
    </row>
    <row r="824" spans="1:35" x14ac:dyDescent="0.2">
      <c r="A824" s="2"/>
      <c r="B824" s="80"/>
      <c r="C824" s="80"/>
      <c r="D824" s="80"/>
      <c r="E824" s="80"/>
      <c r="F824" s="80"/>
      <c r="G824" s="80"/>
      <c r="H824" s="80"/>
      <c r="I824" s="80"/>
      <c r="J824" s="80"/>
      <c r="K824" s="80"/>
      <c r="L824" s="2"/>
      <c r="M824" s="2"/>
      <c r="N824" s="2"/>
      <c r="O824" s="2"/>
      <c r="P824" s="2"/>
      <c r="Q824" s="2"/>
      <c r="R824" s="80"/>
      <c r="S824" s="80"/>
      <c r="T824" s="80"/>
      <c r="U824" s="80"/>
      <c r="V824" s="80"/>
      <c r="W824" s="80"/>
      <c r="X824" s="80"/>
      <c r="Y824" s="80"/>
      <c r="Z824" s="80"/>
      <c r="AA824" s="80"/>
      <c r="AB824" s="80"/>
      <c r="AC824" s="80"/>
      <c r="AD824" s="80"/>
      <c r="AE824" s="80"/>
      <c r="AF824" s="80"/>
      <c r="AG824" s="80"/>
      <c r="AH824" s="80"/>
      <c r="AI824" s="80"/>
    </row>
    <row r="825" spans="1:35" x14ac:dyDescent="0.2">
      <c r="A825" s="2"/>
      <c r="B825" s="80"/>
      <c r="C825" s="80"/>
      <c r="D825" s="80"/>
      <c r="E825" s="80"/>
      <c r="F825" s="80"/>
      <c r="G825" s="80"/>
      <c r="H825" s="80"/>
      <c r="I825" s="80"/>
      <c r="J825" s="80"/>
      <c r="K825" s="80"/>
      <c r="L825" s="2"/>
      <c r="M825" s="2"/>
      <c r="N825" s="2"/>
      <c r="O825" s="2"/>
      <c r="P825" s="2"/>
      <c r="Q825" s="2"/>
      <c r="R825" s="80"/>
      <c r="S825" s="80"/>
      <c r="T825" s="80"/>
      <c r="U825" s="80"/>
      <c r="V825" s="80"/>
      <c r="W825" s="80"/>
      <c r="X825" s="80"/>
      <c r="Y825" s="80"/>
      <c r="Z825" s="80"/>
      <c r="AA825" s="80"/>
      <c r="AB825" s="80"/>
      <c r="AC825" s="80"/>
      <c r="AD825" s="80"/>
      <c r="AE825" s="80"/>
      <c r="AF825" s="80"/>
      <c r="AG825" s="80"/>
      <c r="AH825" s="80"/>
      <c r="AI825" s="80"/>
    </row>
    <row r="826" spans="1:35" x14ac:dyDescent="0.2">
      <c r="A826" s="2"/>
      <c r="B826" s="80"/>
      <c r="C826" s="80"/>
      <c r="D826" s="80"/>
      <c r="E826" s="80"/>
      <c r="F826" s="80"/>
      <c r="G826" s="80"/>
      <c r="H826" s="80"/>
      <c r="I826" s="80"/>
      <c r="J826" s="80"/>
      <c r="K826" s="80"/>
      <c r="L826" s="2"/>
      <c r="M826" s="2"/>
      <c r="N826" s="2"/>
      <c r="O826" s="2"/>
      <c r="P826" s="2"/>
      <c r="Q826" s="2"/>
      <c r="R826" s="80"/>
      <c r="S826" s="80"/>
      <c r="T826" s="80"/>
      <c r="U826" s="80"/>
      <c r="V826" s="80"/>
      <c r="W826" s="80"/>
      <c r="X826" s="80"/>
      <c r="Y826" s="80"/>
      <c r="Z826" s="80"/>
      <c r="AA826" s="80"/>
      <c r="AB826" s="80"/>
      <c r="AC826" s="80"/>
      <c r="AD826" s="80"/>
      <c r="AE826" s="80"/>
      <c r="AF826" s="80"/>
      <c r="AG826" s="80"/>
      <c r="AH826" s="80"/>
      <c r="AI826" s="80"/>
    </row>
    <row r="827" spans="1:35" x14ac:dyDescent="0.2">
      <c r="A827" s="2"/>
      <c r="B827" s="80"/>
      <c r="C827" s="80"/>
      <c r="D827" s="80"/>
      <c r="E827" s="80"/>
      <c r="F827" s="80"/>
      <c r="G827" s="80"/>
      <c r="H827" s="80"/>
      <c r="I827" s="80"/>
      <c r="J827" s="80"/>
      <c r="K827" s="80"/>
      <c r="L827" s="2"/>
      <c r="M827" s="2"/>
      <c r="N827" s="2"/>
      <c r="O827" s="2"/>
      <c r="P827" s="2"/>
      <c r="Q827" s="2"/>
      <c r="R827" s="80"/>
      <c r="S827" s="80"/>
      <c r="T827" s="80"/>
      <c r="U827" s="80"/>
      <c r="V827" s="80"/>
      <c r="W827" s="80"/>
      <c r="X827" s="80"/>
      <c r="Y827" s="80"/>
      <c r="Z827" s="80"/>
      <c r="AA827" s="80"/>
      <c r="AB827" s="80"/>
      <c r="AC827" s="80"/>
      <c r="AD827" s="80"/>
      <c r="AE827" s="80"/>
      <c r="AF827" s="80"/>
      <c r="AG827" s="80"/>
      <c r="AH827" s="80"/>
      <c r="AI827" s="80"/>
    </row>
    <row r="828" spans="1:35" x14ac:dyDescent="0.2">
      <c r="A828" s="2"/>
      <c r="B828" s="80"/>
      <c r="C828" s="80"/>
      <c r="D828" s="80"/>
      <c r="E828" s="80"/>
      <c r="F828" s="80"/>
      <c r="G828" s="80"/>
      <c r="H828" s="80"/>
      <c r="I828" s="80"/>
      <c r="J828" s="80"/>
      <c r="K828" s="80"/>
      <c r="L828" s="2"/>
      <c r="M828" s="2"/>
      <c r="N828" s="2"/>
      <c r="O828" s="2"/>
      <c r="P828" s="2"/>
      <c r="Q828" s="2"/>
      <c r="R828" s="80"/>
      <c r="S828" s="80"/>
      <c r="T828" s="80"/>
      <c r="U828" s="80"/>
      <c r="V828" s="80"/>
      <c r="W828" s="80"/>
      <c r="X828" s="80"/>
      <c r="Y828" s="80"/>
      <c r="Z828" s="80"/>
      <c r="AA828" s="80"/>
      <c r="AB828" s="80"/>
      <c r="AC828" s="80"/>
      <c r="AD828" s="80"/>
      <c r="AE828" s="80"/>
      <c r="AF828" s="80"/>
      <c r="AG828" s="80"/>
      <c r="AH828" s="80"/>
      <c r="AI828" s="80"/>
    </row>
    <row r="829" spans="1:35" x14ac:dyDescent="0.2">
      <c r="A829" s="2"/>
      <c r="B829" s="80"/>
      <c r="C829" s="80"/>
      <c r="D829" s="80"/>
      <c r="E829" s="80"/>
      <c r="F829" s="80"/>
      <c r="G829" s="80"/>
      <c r="H829" s="80"/>
      <c r="I829" s="80"/>
      <c r="J829" s="80"/>
      <c r="K829" s="80"/>
      <c r="L829" s="2"/>
      <c r="M829" s="2"/>
      <c r="N829" s="2"/>
      <c r="O829" s="2"/>
      <c r="P829" s="2"/>
      <c r="Q829" s="2"/>
      <c r="R829" s="80"/>
      <c r="S829" s="80"/>
      <c r="T829" s="80"/>
      <c r="U829" s="80"/>
      <c r="V829" s="80"/>
      <c r="W829" s="80"/>
      <c r="X829" s="80"/>
      <c r="Y829" s="80"/>
      <c r="Z829" s="80"/>
      <c r="AA829" s="80"/>
      <c r="AB829" s="80"/>
      <c r="AC829" s="80"/>
      <c r="AD829" s="80"/>
      <c r="AE829" s="80"/>
      <c r="AF829" s="80"/>
      <c r="AG829" s="80"/>
      <c r="AH829" s="80"/>
      <c r="AI829" s="80"/>
    </row>
    <row r="830" spans="1:35" x14ac:dyDescent="0.2">
      <c r="A830" s="2"/>
      <c r="B830" s="80"/>
      <c r="C830" s="80"/>
      <c r="D830" s="80"/>
      <c r="E830" s="80"/>
      <c r="F830" s="80"/>
      <c r="G830" s="80"/>
      <c r="H830" s="80"/>
      <c r="I830" s="80"/>
      <c r="J830" s="80"/>
      <c r="K830" s="80"/>
      <c r="L830" s="2"/>
      <c r="M830" s="2"/>
      <c r="N830" s="2"/>
      <c r="O830" s="2"/>
      <c r="P830" s="2"/>
      <c r="Q830" s="2"/>
      <c r="R830" s="80"/>
      <c r="S830" s="80"/>
      <c r="T830" s="80"/>
      <c r="U830" s="80"/>
      <c r="V830" s="80"/>
      <c r="W830" s="80"/>
      <c r="X830" s="80"/>
      <c r="Y830" s="80"/>
      <c r="Z830" s="80"/>
      <c r="AA830" s="80"/>
      <c r="AB830" s="80"/>
      <c r="AC830" s="80"/>
      <c r="AD830" s="80"/>
      <c r="AE830" s="80"/>
      <c r="AF830" s="80"/>
      <c r="AG830" s="80"/>
      <c r="AH830" s="80"/>
      <c r="AI830" s="80"/>
    </row>
    <row r="831" spans="1:35" x14ac:dyDescent="0.2">
      <c r="A831" s="2"/>
      <c r="B831" s="80"/>
      <c r="C831" s="80"/>
      <c r="D831" s="80"/>
      <c r="E831" s="80"/>
      <c r="F831" s="80"/>
      <c r="G831" s="80"/>
      <c r="H831" s="80"/>
      <c r="I831" s="80"/>
      <c r="J831" s="80"/>
      <c r="K831" s="80"/>
      <c r="L831" s="2"/>
      <c r="M831" s="2"/>
      <c r="N831" s="2"/>
      <c r="O831" s="2"/>
      <c r="P831" s="2"/>
      <c r="Q831" s="2"/>
      <c r="R831" s="80"/>
      <c r="S831" s="80"/>
      <c r="T831" s="80"/>
      <c r="U831" s="80"/>
      <c r="V831" s="80"/>
      <c r="W831" s="80"/>
      <c r="X831" s="80"/>
      <c r="Y831" s="80"/>
      <c r="Z831" s="80"/>
      <c r="AA831" s="80"/>
      <c r="AB831" s="80"/>
      <c r="AC831" s="80"/>
      <c r="AD831" s="80"/>
      <c r="AE831" s="80"/>
      <c r="AF831" s="80"/>
      <c r="AG831" s="80"/>
      <c r="AH831" s="80"/>
      <c r="AI831" s="80"/>
    </row>
    <row r="832" spans="1:35" x14ac:dyDescent="0.2">
      <c r="A832" s="2"/>
      <c r="B832" s="80"/>
      <c r="C832" s="80"/>
      <c r="D832" s="80"/>
      <c r="E832" s="80"/>
      <c r="F832" s="80"/>
      <c r="G832" s="80"/>
      <c r="H832" s="80"/>
      <c r="I832" s="80"/>
      <c r="J832" s="80"/>
      <c r="K832" s="80"/>
      <c r="L832" s="2"/>
      <c r="M832" s="2"/>
      <c r="N832" s="2"/>
      <c r="O832" s="2"/>
      <c r="P832" s="2"/>
      <c r="Q832" s="2"/>
      <c r="R832" s="80"/>
      <c r="S832" s="80"/>
      <c r="T832" s="80"/>
      <c r="U832" s="80"/>
      <c r="V832" s="80"/>
      <c r="W832" s="80"/>
      <c r="X832" s="80"/>
      <c r="Y832" s="80"/>
      <c r="Z832" s="80"/>
      <c r="AA832" s="80"/>
      <c r="AB832" s="80"/>
      <c r="AC832" s="80"/>
      <c r="AD832" s="80"/>
      <c r="AE832" s="80"/>
      <c r="AF832" s="80"/>
      <c r="AG832" s="80"/>
      <c r="AH832" s="80"/>
      <c r="AI832" s="80"/>
    </row>
    <row r="833" spans="1:35" x14ac:dyDescent="0.2">
      <c r="A833" s="2"/>
      <c r="B833" s="80"/>
      <c r="C833" s="80"/>
      <c r="D833" s="80"/>
      <c r="E833" s="80"/>
      <c r="F833" s="80"/>
      <c r="G833" s="80"/>
      <c r="H833" s="80"/>
      <c r="I833" s="80"/>
      <c r="J833" s="80"/>
      <c r="K833" s="80"/>
      <c r="L833" s="2"/>
      <c r="M833" s="2"/>
      <c r="N833" s="2"/>
      <c r="O833" s="2"/>
      <c r="P833" s="2"/>
      <c r="Q833" s="2"/>
      <c r="R833" s="80"/>
      <c r="S833" s="80"/>
      <c r="T833" s="80"/>
      <c r="U833" s="80"/>
      <c r="V833" s="80"/>
      <c r="W833" s="80"/>
      <c r="X833" s="80"/>
      <c r="Y833" s="80"/>
      <c r="Z833" s="80"/>
      <c r="AA833" s="80"/>
      <c r="AB833" s="80"/>
      <c r="AC833" s="80"/>
      <c r="AD833" s="80"/>
      <c r="AE833" s="80"/>
      <c r="AF833" s="80"/>
      <c r="AG833" s="80"/>
      <c r="AH833" s="80"/>
      <c r="AI833" s="80"/>
    </row>
    <row r="834" spans="1:35" x14ac:dyDescent="0.2">
      <c r="A834" s="2"/>
      <c r="B834" s="80"/>
      <c r="C834" s="80"/>
      <c r="D834" s="80"/>
      <c r="E834" s="80"/>
      <c r="F834" s="80"/>
      <c r="G834" s="80"/>
      <c r="H834" s="80"/>
      <c r="I834" s="80"/>
      <c r="J834" s="80"/>
      <c r="K834" s="80"/>
      <c r="L834" s="2"/>
      <c r="M834" s="2"/>
      <c r="N834" s="2"/>
      <c r="O834" s="2"/>
      <c r="P834" s="2"/>
      <c r="Q834" s="2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E834" s="80"/>
      <c r="AF834" s="80"/>
      <c r="AG834" s="80"/>
      <c r="AH834" s="80"/>
      <c r="AI834" s="80"/>
    </row>
    <row r="835" spans="1:35" x14ac:dyDescent="0.2">
      <c r="A835" s="2"/>
      <c r="B835" s="80"/>
      <c r="C835" s="80"/>
      <c r="D835" s="80"/>
      <c r="E835" s="80"/>
      <c r="F835" s="80"/>
      <c r="G835" s="80"/>
      <c r="H835" s="80"/>
      <c r="I835" s="80"/>
      <c r="J835" s="80"/>
      <c r="K835" s="80"/>
      <c r="L835" s="2"/>
      <c r="M835" s="2"/>
      <c r="N835" s="2"/>
      <c r="O835" s="2"/>
      <c r="P835" s="2"/>
      <c r="Q835" s="2"/>
      <c r="R835" s="80"/>
      <c r="S835" s="80"/>
      <c r="T835" s="80"/>
      <c r="U835" s="80"/>
      <c r="V835" s="80"/>
      <c r="W835" s="80"/>
      <c r="X835" s="80"/>
      <c r="Y835" s="80"/>
      <c r="Z835" s="80"/>
      <c r="AA835" s="80"/>
      <c r="AB835" s="80"/>
      <c r="AC835" s="80"/>
      <c r="AD835" s="80"/>
      <c r="AE835" s="80"/>
      <c r="AF835" s="80"/>
      <c r="AG835" s="80"/>
      <c r="AH835" s="80"/>
      <c r="AI835" s="80"/>
    </row>
    <row r="836" spans="1:35" x14ac:dyDescent="0.2">
      <c r="A836" s="2"/>
      <c r="B836" s="80"/>
      <c r="C836" s="80"/>
      <c r="D836" s="80"/>
      <c r="E836" s="80"/>
      <c r="F836" s="80"/>
      <c r="G836" s="80"/>
      <c r="H836" s="80"/>
      <c r="I836" s="80"/>
      <c r="J836" s="80"/>
      <c r="K836" s="80"/>
      <c r="L836" s="2"/>
      <c r="M836" s="2"/>
      <c r="N836" s="2"/>
      <c r="O836" s="2"/>
      <c r="P836" s="2"/>
      <c r="Q836" s="2"/>
      <c r="R836" s="80"/>
      <c r="S836" s="80"/>
      <c r="T836" s="80"/>
      <c r="U836" s="80"/>
      <c r="V836" s="80"/>
      <c r="W836" s="80"/>
      <c r="X836" s="80"/>
      <c r="Y836" s="80"/>
      <c r="Z836" s="80"/>
      <c r="AA836" s="80"/>
      <c r="AB836" s="80"/>
      <c r="AC836" s="80"/>
      <c r="AD836" s="80"/>
      <c r="AE836" s="80"/>
      <c r="AF836" s="80"/>
      <c r="AG836" s="80"/>
      <c r="AH836" s="80"/>
      <c r="AI836" s="80"/>
    </row>
    <row r="837" spans="1:35" x14ac:dyDescent="0.2">
      <c r="A837" s="2"/>
      <c r="B837" s="80"/>
      <c r="C837" s="80"/>
      <c r="D837" s="80"/>
      <c r="E837" s="80"/>
      <c r="F837" s="80"/>
      <c r="G837" s="80"/>
      <c r="H837" s="80"/>
      <c r="I837" s="80"/>
      <c r="J837" s="80"/>
      <c r="K837" s="80"/>
      <c r="L837" s="2"/>
      <c r="M837" s="2"/>
      <c r="N837" s="2"/>
      <c r="O837" s="2"/>
      <c r="P837" s="2"/>
      <c r="Q837" s="2"/>
      <c r="R837" s="80"/>
      <c r="S837" s="80"/>
      <c r="T837" s="80"/>
      <c r="U837" s="80"/>
      <c r="V837" s="80"/>
      <c r="W837" s="80"/>
      <c r="X837" s="80"/>
      <c r="Y837" s="80"/>
      <c r="Z837" s="80"/>
      <c r="AA837" s="80"/>
      <c r="AB837" s="80"/>
      <c r="AC837" s="80"/>
      <c r="AD837" s="80"/>
      <c r="AE837" s="80"/>
      <c r="AF837" s="80"/>
      <c r="AG837" s="80"/>
      <c r="AH837" s="80"/>
      <c r="AI837" s="80"/>
    </row>
    <row r="838" spans="1:35" x14ac:dyDescent="0.2">
      <c r="A838" s="2"/>
      <c r="B838" s="80"/>
      <c r="C838" s="80"/>
      <c r="D838" s="80"/>
      <c r="E838" s="80"/>
      <c r="F838" s="80"/>
      <c r="G838" s="80"/>
      <c r="H838" s="80"/>
      <c r="I838" s="80"/>
      <c r="J838" s="80"/>
      <c r="K838" s="80"/>
      <c r="L838" s="2"/>
      <c r="M838" s="2"/>
      <c r="N838" s="2"/>
      <c r="O838" s="2"/>
      <c r="P838" s="2"/>
      <c r="Q838" s="2"/>
      <c r="R838" s="80"/>
      <c r="S838" s="80"/>
      <c r="T838" s="80"/>
      <c r="U838" s="80"/>
      <c r="V838" s="80"/>
      <c r="W838" s="80"/>
      <c r="X838" s="80"/>
      <c r="Y838" s="80"/>
      <c r="Z838" s="80"/>
      <c r="AA838" s="80"/>
      <c r="AB838" s="80"/>
      <c r="AC838" s="80"/>
      <c r="AD838" s="80"/>
      <c r="AE838" s="80"/>
      <c r="AF838" s="80"/>
      <c r="AG838" s="80"/>
      <c r="AH838" s="80"/>
      <c r="AI838" s="80"/>
    </row>
    <row r="839" spans="1:35" x14ac:dyDescent="0.2">
      <c r="A839" s="2"/>
      <c r="B839" s="80"/>
      <c r="C839" s="80"/>
      <c r="D839" s="80"/>
      <c r="E839" s="80"/>
      <c r="F839" s="80"/>
      <c r="G839" s="80"/>
      <c r="H839" s="80"/>
      <c r="I839" s="80"/>
      <c r="J839" s="80"/>
      <c r="K839" s="80"/>
      <c r="L839" s="2"/>
      <c r="M839" s="2"/>
      <c r="N839" s="2"/>
      <c r="O839" s="2"/>
      <c r="P839" s="2"/>
      <c r="Q839" s="2"/>
      <c r="R839" s="80"/>
      <c r="S839" s="80"/>
      <c r="T839" s="80"/>
      <c r="U839" s="80"/>
      <c r="V839" s="80"/>
      <c r="W839" s="80"/>
      <c r="X839" s="80"/>
      <c r="Y839" s="80"/>
      <c r="Z839" s="80"/>
      <c r="AA839" s="80"/>
      <c r="AB839" s="80"/>
      <c r="AC839" s="80"/>
      <c r="AD839" s="80"/>
      <c r="AE839" s="80"/>
      <c r="AF839" s="80"/>
      <c r="AG839" s="80"/>
      <c r="AH839" s="80"/>
      <c r="AI839" s="80"/>
    </row>
    <row r="840" spans="1:35" x14ac:dyDescent="0.2">
      <c r="A840" s="2"/>
      <c r="B840" s="80"/>
      <c r="C840" s="80"/>
      <c r="D840" s="80"/>
      <c r="E840" s="80"/>
      <c r="F840" s="80"/>
      <c r="G840" s="80"/>
      <c r="H840" s="80"/>
      <c r="I840" s="80"/>
      <c r="J840" s="80"/>
      <c r="K840" s="80"/>
      <c r="L840" s="2"/>
      <c r="M840" s="2"/>
      <c r="N840" s="2"/>
      <c r="O840" s="2"/>
      <c r="P840" s="2"/>
      <c r="Q840" s="2"/>
      <c r="R840" s="80"/>
      <c r="S840" s="80"/>
      <c r="T840" s="80"/>
      <c r="U840" s="80"/>
      <c r="V840" s="80"/>
      <c r="W840" s="80"/>
      <c r="X840" s="80"/>
      <c r="Y840" s="80"/>
      <c r="Z840" s="80"/>
      <c r="AA840" s="80"/>
      <c r="AB840" s="80"/>
      <c r="AC840" s="80"/>
      <c r="AD840" s="80"/>
      <c r="AE840" s="80"/>
      <c r="AF840" s="80"/>
      <c r="AG840" s="80"/>
      <c r="AH840" s="80"/>
      <c r="AI840" s="80"/>
    </row>
    <row r="841" spans="1:35" x14ac:dyDescent="0.2">
      <c r="A841" s="2"/>
      <c r="B841" s="80"/>
      <c r="C841" s="80"/>
      <c r="D841" s="80"/>
      <c r="E841" s="80"/>
      <c r="F841" s="80"/>
      <c r="G841" s="80"/>
      <c r="H841" s="80"/>
      <c r="I841" s="80"/>
      <c r="J841" s="80"/>
      <c r="K841" s="80"/>
      <c r="L841" s="2"/>
      <c r="M841" s="2"/>
      <c r="N841" s="2"/>
      <c r="O841" s="2"/>
      <c r="P841" s="2"/>
      <c r="Q841" s="2"/>
      <c r="R841" s="80"/>
      <c r="S841" s="80"/>
      <c r="T841" s="80"/>
      <c r="U841" s="80"/>
      <c r="V841" s="80"/>
      <c r="W841" s="80"/>
      <c r="X841" s="80"/>
      <c r="Y841" s="80"/>
      <c r="Z841" s="80"/>
      <c r="AA841" s="80"/>
      <c r="AB841" s="80"/>
      <c r="AC841" s="80"/>
      <c r="AD841" s="80"/>
      <c r="AE841" s="80"/>
      <c r="AF841" s="80"/>
      <c r="AG841" s="80"/>
      <c r="AH841" s="80"/>
      <c r="AI841" s="80"/>
    </row>
    <row r="842" spans="1:35" x14ac:dyDescent="0.2">
      <c r="A842" s="2"/>
      <c r="B842" s="80"/>
      <c r="C842" s="80"/>
      <c r="D842" s="80"/>
      <c r="E842" s="80"/>
      <c r="F842" s="80"/>
      <c r="G842" s="80"/>
      <c r="H842" s="80"/>
      <c r="I842" s="80"/>
      <c r="J842" s="80"/>
      <c r="K842" s="80"/>
      <c r="L842" s="2"/>
      <c r="M842" s="2"/>
      <c r="N842" s="2"/>
      <c r="O842" s="2"/>
      <c r="P842" s="2"/>
      <c r="Q842" s="2"/>
      <c r="R842" s="80"/>
      <c r="S842" s="80"/>
      <c r="T842" s="80"/>
      <c r="U842" s="80"/>
      <c r="V842" s="80"/>
      <c r="W842" s="80"/>
      <c r="X842" s="80"/>
      <c r="Y842" s="80"/>
      <c r="Z842" s="80"/>
      <c r="AA842" s="80"/>
      <c r="AB842" s="80"/>
      <c r="AC842" s="80"/>
      <c r="AD842" s="80"/>
      <c r="AE842" s="80"/>
      <c r="AF842" s="80"/>
      <c r="AG842" s="80"/>
      <c r="AH842" s="80"/>
      <c r="AI842" s="80"/>
    </row>
    <row r="843" spans="1:35" x14ac:dyDescent="0.2">
      <c r="A843" s="2"/>
      <c r="B843" s="80"/>
      <c r="C843" s="80"/>
      <c r="D843" s="80"/>
      <c r="E843" s="80"/>
      <c r="F843" s="80"/>
      <c r="G843" s="80"/>
      <c r="H843" s="80"/>
      <c r="I843" s="80"/>
      <c r="J843" s="80"/>
      <c r="K843" s="80"/>
      <c r="L843" s="2"/>
      <c r="M843" s="2"/>
      <c r="N843" s="2"/>
      <c r="O843" s="2"/>
      <c r="P843" s="2"/>
      <c r="Q843" s="2"/>
      <c r="R843" s="80"/>
      <c r="S843" s="80"/>
      <c r="T843" s="80"/>
      <c r="U843" s="80"/>
      <c r="V843" s="80"/>
      <c r="W843" s="80"/>
      <c r="X843" s="80"/>
      <c r="Y843" s="80"/>
      <c r="Z843" s="80"/>
      <c r="AA843" s="80"/>
      <c r="AB843" s="80"/>
      <c r="AC843" s="80"/>
      <c r="AD843" s="80"/>
      <c r="AE843" s="80"/>
      <c r="AF843" s="80"/>
      <c r="AG843" s="80"/>
      <c r="AH843" s="80"/>
      <c r="AI843" s="80"/>
    </row>
    <row r="844" spans="1:35" x14ac:dyDescent="0.2">
      <c r="A844" s="2"/>
      <c r="B844" s="80"/>
      <c r="C844" s="80"/>
      <c r="D844" s="80"/>
      <c r="E844" s="80"/>
      <c r="F844" s="80"/>
      <c r="G844" s="80"/>
      <c r="H844" s="80"/>
      <c r="I844" s="80"/>
      <c r="J844" s="80"/>
      <c r="K844" s="80"/>
      <c r="L844" s="2"/>
      <c r="M844" s="2"/>
      <c r="N844" s="2"/>
      <c r="O844" s="2"/>
      <c r="P844" s="2"/>
      <c r="Q844" s="2"/>
      <c r="R844" s="80"/>
      <c r="S844" s="80"/>
      <c r="T844" s="80"/>
      <c r="U844" s="80"/>
      <c r="V844" s="80"/>
      <c r="W844" s="80"/>
      <c r="X844" s="80"/>
      <c r="Y844" s="80"/>
      <c r="Z844" s="80"/>
      <c r="AA844" s="80"/>
      <c r="AB844" s="80"/>
      <c r="AC844" s="80"/>
      <c r="AD844" s="80"/>
      <c r="AE844" s="80"/>
      <c r="AF844" s="80"/>
      <c r="AG844" s="80"/>
      <c r="AH844" s="80"/>
      <c r="AI844" s="80"/>
    </row>
    <row r="845" spans="1:35" x14ac:dyDescent="0.2">
      <c r="A845" s="2"/>
      <c r="B845" s="80"/>
      <c r="C845" s="80"/>
      <c r="D845" s="80"/>
      <c r="E845" s="80"/>
      <c r="F845" s="80"/>
      <c r="G845" s="80"/>
      <c r="H845" s="80"/>
      <c r="I845" s="80"/>
      <c r="J845" s="80"/>
      <c r="K845" s="80"/>
      <c r="L845" s="2"/>
      <c r="M845" s="2"/>
      <c r="N845" s="2"/>
      <c r="O845" s="2"/>
      <c r="P845" s="2"/>
      <c r="Q845" s="2"/>
      <c r="R845" s="80"/>
      <c r="S845" s="80"/>
      <c r="T845" s="80"/>
      <c r="U845" s="80"/>
      <c r="V845" s="80"/>
      <c r="W845" s="80"/>
      <c r="X845" s="80"/>
      <c r="Y845" s="80"/>
      <c r="Z845" s="80"/>
      <c r="AA845" s="80"/>
      <c r="AB845" s="80"/>
      <c r="AC845" s="80"/>
      <c r="AD845" s="80"/>
      <c r="AE845" s="80"/>
      <c r="AF845" s="80"/>
      <c r="AG845" s="80"/>
      <c r="AH845" s="80"/>
      <c r="AI845" s="80"/>
    </row>
    <row r="846" spans="1:35" x14ac:dyDescent="0.2">
      <c r="A846" s="2"/>
      <c r="B846" s="80"/>
      <c r="C846" s="80"/>
      <c r="D846" s="80"/>
      <c r="E846" s="80"/>
      <c r="F846" s="80"/>
      <c r="G846" s="80"/>
      <c r="H846" s="80"/>
      <c r="I846" s="80"/>
      <c r="J846" s="80"/>
      <c r="K846" s="80"/>
      <c r="L846" s="2"/>
      <c r="M846" s="2"/>
      <c r="N846" s="2"/>
      <c r="O846" s="2"/>
      <c r="P846" s="2"/>
      <c r="Q846" s="2"/>
      <c r="R846" s="80"/>
      <c r="S846" s="80"/>
      <c r="T846" s="80"/>
      <c r="U846" s="80"/>
      <c r="V846" s="80"/>
      <c r="W846" s="80"/>
      <c r="X846" s="80"/>
      <c r="Y846" s="80"/>
      <c r="Z846" s="80"/>
      <c r="AA846" s="80"/>
      <c r="AB846" s="80"/>
      <c r="AC846" s="80"/>
      <c r="AD846" s="80"/>
      <c r="AE846" s="80"/>
      <c r="AF846" s="80"/>
      <c r="AG846" s="80"/>
      <c r="AH846" s="80"/>
      <c r="AI846" s="80"/>
    </row>
    <row r="847" spans="1:35" x14ac:dyDescent="0.2">
      <c r="A847" s="2"/>
      <c r="B847" s="80"/>
      <c r="C847" s="80"/>
      <c r="D847" s="80"/>
      <c r="E847" s="80"/>
      <c r="F847" s="80"/>
      <c r="G847" s="80"/>
      <c r="H847" s="80"/>
      <c r="I847" s="80"/>
      <c r="J847" s="80"/>
      <c r="K847" s="80"/>
      <c r="L847" s="2"/>
      <c r="M847" s="2"/>
      <c r="N847" s="2"/>
      <c r="O847" s="2"/>
      <c r="P847" s="2"/>
      <c r="Q847" s="2"/>
      <c r="R847" s="80"/>
      <c r="S847" s="80"/>
      <c r="T847" s="80"/>
      <c r="U847" s="80"/>
      <c r="V847" s="80"/>
      <c r="W847" s="80"/>
      <c r="X847" s="80"/>
      <c r="Y847" s="80"/>
      <c r="Z847" s="80"/>
      <c r="AA847" s="80"/>
      <c r="AB847" s="80"/>
      <c r="AC847" s="80"/>
      <c r="AD847" s="80"/>
      <c r="AE847" s="80"/>
      <c r="AF847" s="80"/>
      <c r="AG847" s="80"/>
      <c r="AH847" s="80"/>
      <c r="AI847" s="80"/>
    </row>
    <row r="848" spans="1:35" x14ac:dyDescent="0.2">
      <c r="A848" s="2"/>
      <c r="B848" s="80"/>
      <c r="C848" s="80"/>
      <c r="D848" s="80"/>
      <c r="E848" s="80"/>
      <c r="F848" s="80"/>
      <c r="G848" s="80"/>
      <c r="H848" s="80"/>
      <c r="I848" s="80"/>
      <c r="J848" s="80"/>
      <c r="K848" s="80"/>
      <c r="L848" s="2"/>
      <c r="M848" s="2"/>
      <c r="N848" s="2"/>
      <c r="O848" s="2"/>
      <c r="P848" s="2"/>
      <c r="Q848" s="2"/>
      <c r="R848" s="80"/>
      <c r="S848" s="80"/>
      <c r="T848" s="80"/>
      <c r="U848" s="80"/>
      <c r="V848" s="80"/>
      <c r="W848" s="80"/>
      <c r="X848" s="80"/>
      <c r="Y848" s="80"/>
      <c r="Z848" s="80"/>
      <c r="AA848" s="80"/>
      <c r="AB848" s="80"/>
      <c r="AC848" s="80"/>
      <c r="AD848" s="80"/>
      <c r="AE848" s="80"/>
      <c r="AF848" s="80"/>
      <c r="AG848" s="80"/>
      <c r="AH848" s="80"/>
      <c r="AI848" s="80"/>
    </row>
    <row r="849" spans="1:35" x14ac:dyDescent="0.2">
      <c r="A849" s="2"/>
      <c r="B849" s="80"/>
      <c r="C849" s="80"/>
      <c r="D849" s="80"/>
      <c r="E849" s="80"/>
      <c r="F849" s="80"/>
      <c r="G849" s="80"/>
      <c r="H849" s="80"/>
      <c r="I849" s="80"/>
      <c r="J849" s="80"/>
      <c r="K849" s="80"/>
      <c r="L849" s="2"/>
      <c r="M849" s="2"/>
      <c r="N849" s="2"/>
      <c r="O849" s="2"/>
      <c r="P849" s="2"/>
      <c r="Q849" s="2"/>
      <c r="R849" s="80"/>
      <c r="S849" s="80"/>
      <c r="T849" s="80"/>
      <c r="U849" s="80"/>
      <c r="V849" s="80"/>
      <c r="W849" s="80"/>
      <c r="X849" s="80"/>
      <c r="Y849" s="80"/>
      <c r="Z849" s="80"/>
      <c r="AA849" s="80"/>
      <c r="AB849" s="80"/>
      <c r="AC849" s="80"/>
      <c r="AD849" s="80"/>
      <c r="AE849" s="80"/>
      <c r="AF849" s="80"/>
      <c r="AG849" s="80"/>
      <c r="AH849" s="80"/>
      <c r="AI849" s="80"/>
    </row>
    <row r="850" spans="1:35" x14ac:dyDescent="0.2">
      <c r="A850" s="2"/>
      <c r="B850" s="80"/>
      <c r="C850" s="80"/>
      <c r="D850" s="80"/>
      <c r="E850" s="80"/>
      <c r="F850" s="80"/>
      <c r="G850" s="80"/>
      <c r="H850" s="80"/>
      <c r="I850" s="80"/>
      <c r="J850" s="80"/>
      <c r="K850" s="80"/>
      <c r="L850" s="2"/>
      <c r="M850" s="2"/>
      <c r="N850" s="2"/>
      <c r="O850" s="2"/>
      <c r="P850" s="2"/>
      <c r="Q850" s="2"/>
      <c r="R850" s="80"/>
      <c r="S850" s="80"/>
      <c r="T850" s="80"/>
      <c r="U850" s="80"/>
      <c r="V850" s="80"/>
      <c r="W850" s="80"/>
      <c r="X850" s="80"/>
      <c r="Y850" s="80"/>
      <c r="Z850" s="80"/>
      <c r="AA850" s="80"/>
      <c r="AB850" s="80"/>
      <c r="AC850" s="80"/>
      <c r="AD850" s="80"/>
      <c r="AE850" s="80"/>
      <c r="AF850" s="80"/>
      <c r="AG850" s="80"/>
      <c r="AH850" s="80"/>
      <c r="AI850" s="80"/>
    </row>
    <row r="851" spans="1:35" x14ac:dyDescent="0.2">
      <c r="A851" s="2"/>
      <c r="B851" s="80"/>
      <c r="C851" s="80"/>
      <c r="D851" s="80"/>
      <c r="E851" s="80"/>
      <c r="F851" s="80"/>
      <c r="G851" s="80"/>
      <c r="H851" s="80"/>
      <c r="I851" s="80"/>
      <c r="J851" s="80"/>
      <c r="K851" s="80"/>
      <c r="L851" s="2"/>
      <c r="M851" s="2"/>
      <c r="N851" s="2"/>
      <c r="O851" s="2"/>
      <c r="P851" s="2"/>
      <c r="Q851" s="2"/>
      <c r="R851" s="80"/>
      <c r="S851" s="80"/>
      <c r="T851" s="80"/>
      <c r="U851" s="80"/>
      <c r="V851" s="80"/>
      <c r="W851" s="80"/>
      <c r="X851" s="80"/>
      <c r="Y851" s="80"/>
      <c r="Z851" s="80"/>
      <c r="AA851" s="80"/>
      <c r="AB851" s="80"/>
      <c r="AC851" s="80"/>
      <c r="AD851" s="80"/>
      <c r="AE851" s="80"/>
      <c r="AF851" s="80"/>
      <c r="AG851" s="80"/>
      <c r="AH851" s="80"/>
      <c r="AI851" s="80"/>
    </row>
    <row r="852" spans="1:35" x14ac:dyDescent="0.2">
      <c r="A852" s="2"/>
      <c r="B852" s="80"/>
      <c r="C852" s="80"/>
      <c r="D852" s="80"/>
      <c r="E852" s="80"/>
      <c r="F852" s="80"/>
      <c r="G852" s="80"/>
      <c r="H852" s="80"/>
      <c r="I852" s="80"/>
      <c r="J852" s="80"/>
      <c r="K852" s="80"/>
      <c r="L852" s="2"/>
      <c r="M852" s="2"/>
      <c r="N852" s="2"/>
      <c r="O852" s="2"/>
      <c r="P852" s="2"/>
      <c r="Q852" s="2"/>
      <c r="R852" s="80"/>
      <c r="S852" s="80"/>
      <c r="T852" s="80"/>
      <c r="U852" s="80"/>
      <c r="V852" s="80"/>
      <c r="W852" s="80"/>
      <c r="X852" s="80"/>
      <c r="Y852" s="80"/>
      <c r="Z852" s="80"/>
      <c r="AA852" s="80"/>
      <c r="AB852" s="80"/>
      <c r="AC852" s="80"/>
      <c r="AD852" s="80"/>
      <c r="AE852" s="80"/>
      <c r="AF852" s="80"/>
      <c r="AG852" s="80"/>
      <c r="AH852" s="80"/>
      <c r="AI852" s="80"/>
    </row>
    <row r="853" spans="1:35" x14ac:dyDescent="0.2">
      <c r="A853" s="2"/>
      <c r="B853" s="80"/>
      <c r="C853" s="80"/>
      <c r="D853" s="80"/>
      <c r="E853" s="80"/>
      <c r="F853" s="80"/>
      <c r="G853" s="80"/>
      <c r="H853" s="80"/>
      <c r="I853" s="80"/>
      <c r="J853" s="80"/>
      <c r="K853" s="80"/>
      <c r="L853" s="2"/>
      <c r="M853" s="2"/>
      <c r="N853" s="2"/>
      <c r="O853" s="2"/>
      <c r="P853" s="2"/>
      <c r="Q853" s="2"/>
      <c r="R853" s="80"/>
      <c r="S853" s="80"/>
      <c r="T853" s="80"/>
      <c r="U853" s="80"/>
      <c r="V853" s="80"/>
      <c r="W853" s="80"/>
      <c r="X853" s="80"/>
      <c r="Y853" s="80"/>
      <c r="Z853" s="80"/>
      <c r="AA853" s="80"/>
      <c r="AB853" s="80"/>
      <c r="AC853" s="80"/>
      <c r="AD853" s="80"/>
      <c r="AE853" s="80"/>
      <c r="AF853" s="80"/>
      <c r="AG853" s="80"/>
      <c r="AH853" s="80"/>
      <c r="AI853" s="80"/>
    </row>
    <row r="854" spans="1:35" x14ac:dyDescent="0.2">
      <c r="A854" s="2"/>
      <c r="B854" s="80"/>
      <c r="C854" s="80"/>
      <c r="D854" s="80"/>
      <c r="E854" s="80"/>
      <c r="F854" s="80"/>
      <c r="G854" s="80"/>
      <c r="H854" s="80"/>
      <c r="I854" s="80"/>
      <c r="J854" s="80"/>
      <c r="K854" s="80"/>
      <c r="L854" s="2"/>
      <c r="M854" s="2"/>
      <c r="N854" s="2"/>
      <c r="O854" s="2"/>
      <c r="P854" s="2"/>
      <c r="Q854" s="2"/>
      <c r="R854" s="80"/>
      <c r="S854" s="80"/>
      <c r="T854" s="80"/>
      <c r="U854" s="80"/>
      <c r="V854" s="80"/>
      <c r="W854" s="80"/>
      <c r="X854" s="80"/>
      <c r="Y854" s="80"/>
      <c r="Z854" s="80"/>
      <c r="AA854" s="80"/>
      <c r="AB854" s="80"/>
      <c r="AC854" s="80"/>
      <c r="AD854" s="80"/>
      <c r="AE854" s="80"/>
      <c r="AF854" s="80"/>
      <c r="AG854" s="80"/>
      <c r="AH854" s="80"/>
      <c r="AI854" s="80"/>
    </row>
    <row r="855" spans="1:35" x14ac:dyDescent="0.2">
      <c r="A855" s="2"/>
      <c r="B855" s="80"/>
      <c r="C855" s="80"/>
      <c r="D855" s="80"/>
      <c r="E855" s="80"/>
      <c r="F855" s="80"/>
      <c r="G855" s="80"/>
      <c r="H855" s="80"/>
      <c r="I855" s="80"/>
      <c r="J855" s="80"/>
      <c r="K855" s="80"/>
      <c r="L855" s="2"/>
      <c r="M855" s="2"/>
      <c r="N855" s="2"/>
      <c r="O855" s="2"/>
      <c r="P855" s="2"/>
      <c r="Q855" s="2"/>
      <c r="R855" s="80"/>
      <c r="S855" s="80"/>
      <c r="T855" s="80"/>
      <c r="U855" s="80"/>
      <c r="V855" s="80"/>
      <c r="W855" s="80"/>
      <c r="X855" s="80"/>
      <c r="Y855" s="80"/>
      <c r="Z855" s="80"/>
      <c r="AA855" s="80"/>
      <c r="AB855" s="80"/>
      <c r="AC855" s="80"/>
      <c r="AD855" s="80"/>
      <c r="AE855" s="80"/>
      <c r="AF855" s="80"/>
      <c r="AG855" s="80"/>
      <c r="AH855" s="80"/>
      <c r="AI855" s="80"/>
    </row>
    <row r="856" spans="1:35" x14ac:dyDescent="0.2">
      <c r="A856" s="2"/>
      <c r="B856" s="80"/>
      <c r="C856" s="80"/>
      <c r="D856" s="80"/>
      <c r="E856" s="80"/>
      <c r="F856" s="80"/>
      <c r="G856" s="80"/>
      <c r="H856" s="80"/>
      <c r="I856" s="80"/>
      <c r="J856" s="80"/>
      <c r="K856" s="80"/>
      <c r="L856" s="2"/>
      <c r="M856" s="2"/>
      <c r="N856" s="2"/>
      <c r="O856" s="2"/>
      <c r="P856" s="2"/>
      <c r="Q856" s="2"/>
      <c r="R856" s="80"/>
      <c r="S856" s="80"/>
      <c r="T856" s="80"/>
      <c r="U856" s="80"/>
      <c r="V856" s="80"/>
      <c r="W856" s="80"/>
      <c r="X856" s="80"/>
      <c r="Y856" s="80"/>
      <c r="Z856" s="80"/>
      <c r="AA856" s="80"/>
      <c r="AB856" s="80"/>
      <c r="AC856" s="80"/>
      <c r="AD856" s="80"/>
      <c r="AE856" s="80"/>
      <c r="AF856" s="80"/>
      <c r="AG856" s="80"/>
      <c r="AH856" s="80"/>
      <c r="AI856" s="80"/>
    </row>
    <row r="857" spans="1:35" x14ac:dyDescent="0.2">
      <c r="A857" s="2"/>
      <c r="B857" s="80"/>
      <c r="C857" s="80"/>
      <c r="D857" s="80"/>
      <c r="E857" s="80"/>
      <c r="F857" s="80"/>
      <c r="G857" s="80"/>
      <c r="H857" s="80"/>
      <c r="I857" s="80"/>
      <c r="J857" s="80"/>
      <c r="K857" s="80"/>
      <c r="L857" s="2"/>
      <c r="M857" s="2"/>
      <c r="N857" s="2"/>
      <c r="O857" s="2"/>
      <c r="P857" s="2"/>
      <c r="Q857" s="2"/>
      <c r="R857" s="80"/>
      <c r="S857" s="80"/>
      <c r="T857" s="80"/>
      <c r="U857" s="80"/>
      <c r="V857" s="80"/>
      <c r="W857" s="80"/>
      <c r="X857" s="80"/>
      <c r="Y857" s="80"/>
      <c r="Z857" s="80"/>
      <c r="AA857" s="80"/>
      <c r="AB857" s="80"/>
      <c r="AC857" s="80"/>
      <c r="AD857" s="80"/>
      <c r="AE857" s="80"/>
      <c r="AF857" s="80"/>
      <c r="AG857" s="80"/>
      <c r="AH857" s="80"/>
      <c r="AI857" s="80"/>
    </row>
    <row r="858" spans="1:35" x14ac:dyDescent="0.2">
      <c r="A858" s="2"/>
      <c r="B858" s="80"/>
      <c r="C858" s="80"/>
      <c r="D858" s="80"/>
      <c r="E858" s="80"/>
      <c r="F858" s="80"/>
      <c r="G858" s="80"/>
      <c r="H858" s="80"/>
      <c r="I858" s="80"/>
      <c r="J858" s="80"/>
      <c r="K858" s="80"/>
      <c r="L858" s="2"/>
      <c r="M858" s="2"/>
      <c r="N858" s="2"/>
      <c r="O858" s="2"/>
      <c r="P858" s="2"/>
      <c r="Q858" s="2"/>
      <c r="R858" s="80"/>
      <c r="S858" s="80"/>
      <c r="T858" s="80"/>
      <c r="U858" s="80"/>
      <c r="V858" s="80"/>
      <c r="W858" s="80"/>
      <c r="X858" s="80"/>
      <c r="Y858" s="80"/>
      <c r="Z858" s="80"/>
      <c r="AA858" s="80"/>
      <c r="AB858" s="80"/>
      <c r="AC858" s="80"/>
      <c r="AD858" s="80"/>
      <c r="AE858" s="80"/>
      <c r="AF858" s="80"/>
      <c r="AG858" s="80"/>
      <c r="AH858" s="80"/>
      <c r="AI858" s="80"/>
    </row>
    <row r="859" spans="1:35" x14ac:dyDescent="0.2">
      <c r="A859" s="2"/>
      <c r="B859" s="80"/>
      <c r="C859" s="80"/>
      <c r="D859" s="80"/>
      <c r="E859" s="80"/>
      <c r="F859" s="80"/>
      <c r="G859" s="80"/>
      <c r="H859" s="80"/>
      <c r="I859" s="80"/>
      <c r="J859" s="80"/>
      <c r="K859" s="80"/>
      <c r="L859" s="2"/>
      <c r="M859" s="2"/>
      <c r="N859" s="2"/>
      <c r="O859" s="2"/>
      <c r="P859" s="2"/>
      <c r="Q859" s="2"/>
      <c r="R859" s="80"/>
      <c r="S859" s="80"/>
      <c r="T859" s="80"/>
      <c r="U859" s="80"/>
      <c r="V859" s="80"/>
      <c r="W859" s="80"/>
      <c r="X859" s="80"/>
      <c r="Y859" s="80"/>
      <c r="Z859" s="80"/>
      <c r="AA859" s="80"/>
      <c r="AB859" s="80"/>
      <c r="AC859" s="80"/>
      <c r="AD859" s="80"/>
      <c r="AE859" s="80"/>
      <c r="AF859" s="80"/>
      <c r="AG859" s="80"/>
      <c r="AH859" s="80"/>
      <c r="AI859" s="80"/>
    </row>
    <row r="860" spans="1:35" x14ac:dyDescent="0.2">
      <c r="A860" s="2"/>
      <c r="B860" s="80"/>
      <c r="C860" s="80"/>
      <c r="D860" s="80"/>
      <c r="E860" s="80"/>
      <c r="F860" s="80"/>
      <c r="G860" s="80"/>
      <c r="H860" s="80"/>
      <c r="I860" s="80"/>
      <c r="J860" s="80"/>
      <c r="K860" s="80"/>
      <c r="L860" s="2"/>
      <c r="M860" s="2"/>
      <c r="N860" s="2"/>
      <c r="O860" s="2"/>
      <c r="P860" s="2"/>
      <c r="Q860" s="2"/>
      <c r="R860" s="80"/>
      <c r="S860" s="80"/>
      <c r="T860" s="80"/>
      <c r="U860" s="80"/>
      <c r="V860" s="80"/>
      <c r="W860" s="80"/>
      <c r="X860" s="80"/>
      <c r="Y860" s="80"/>
      <c r="Z860" s="80"/>
      <c r="AA860" s="80"/>
      <c r="AB860" s="80"/>
      <c r="AC860" s="80"/>
      <c r="AD860" s="80"/>
      <c r="AE860" s="80"/>
      <c r="AF860" s="80"/>
      <c r="AG860" s="80"/>
      <c r="AH860" s="80"/>
      <c r="AI860" s="80"/>
    </row>
    <row r="861" spans="1:35" x14ac:dyDescent="0.2">
      <c r="A861" s="2"/>
      <c r="B861" s="80"/>
      <c r="C861" s="80"/>
      <c r="D861" s="80"/>
      <c r="E861" s="80"/>
      <c r="F861" s="80"/>
      <c r="G861" s="80"/>
      <c r="H861" s="80"/>
      <c r="I861" s="80"/>
      <c r="J861" s="80"/>
      <c r="K861" s="80"/>
      <c r="L861" s="2"/>
      <c r="M861" s="2"/>
      <c r="N861" s="2"/>
      <c r="O861" s="2"/>
      <c r="P861" s="2"/>
      <c r="Q861" s="2"/>
      <c r="R861" s="80"/>
      <c r="S861" s="80"/>
      <c r="T861" s="80"/>
      <c r="U861" s="80"/>
      <c r="V861" s="80"/>
      <c r="W861" s="80"/>
      <c r="X861" s="80"/>
      <c r="Y861" s="80"/>
      <c r="Z861" s="80"/>
      <c r="AA861" s="80"/>
      <c r="AB861" s="80"/>
      <c r="AC861" s="80"/>
      <c r="AD861" s="80"/>
      <c r="AE861" s="80"/>
      <c r="AF861" s="80"/>
      <c r="AG861" s="80"/>
      <c r="AH861" s="80"/>
      <c r="AI861" s="80"/>
    </row>
    <row r="862" spans="1:35" x14ac:dyDescent="0.2">
      <c r="A862" s="2"/>
      <c r="B862" s="80"/>
      <c r="C862" s="80"/>
      <c r="D862" s="80"/>
      <c r="E862" s="80"/>
      <c r="F862" s="80"/>
      <c r="G862" s="80"/>
      <c r="H862" s="80"/>
      <c r="I862" s="80"/>
      <c r="J862" s="80"/>
      <c r="K862" s="80"/>
      <c r="L862" s="2"/>
      <c r="M862" s="2"/>
      <c r="N862" s="2"/>
      <c r="O862" s="2"/>
      <c r="P862" s="2"/>
      <c r="Q862" s="2"/>
      <c r="R862" s="80"/>
      <c r="S862" s="80"/>
      <c r="T862" s="80"/>
      <c r="U862" s="80"/>
      <c r="V862" s="80"/>
      <c r="W862" s="80"/>
      <c r="X862" s="80"/>
      <c r="Y862" s="80"/>
      <c r="Z862" s="80"/>
      <c r="AA862" s="80"/>
      <c r="AB862" s="80"/>
      <c r="AC862" s="80"/>
      <c r="AD862" s="80"/>
      <c r="AE862" s="80"/>
      <c r="AF862" s="80"/>
      <c r="AG862" s="80"/>
      <c r="AH862" s="80"/>
      <c r="AI862" s="80"/>
    </row>
    <row r="863" spans="1:35" x14ac:dyDescent="0.2">
      <c r="A863" s="2"/>
      <c r="B863" s="80"/>
      <c r="C863" s="80"/>
      <c r="D863" s="80"/>
      <c r="E863" s="80"/>
      <c r="F863" s="80"/>
      <c r="G863" s="80"/>
      <c r="H863" s="80"/>
      <c r="I863" s="80"/>
      <c r="J863" s="80"/>
      <c r="K863" s="80"/>
      <c r="L863" s="2"/>
      <c r="M863" s="2"/>
      <c r="N863" s="2"/>
      <c r="O863" s="2"/>
      <c r="P863" s="2"/>
      <c r="Q863" s="2"/>
      <c r="R863" s="80"/>
      <c r="S863" s="80"/>
      <c r="T863" s="80"/>
      <c r="U863" s="80"/>
      <c r="V863" s="80"/>
      <c r="W863" s="80"/>
      <c r="X863" s="80"/>
      <c r="Y863" s="80"/>
      <c r="Z863" s="80"/>
      <c r="AA863" s="80"/>
      <c r="AB863" s="80"/>
      <c r="AC863" s="80"/>
      <c r="AD863" s="80"/>
      <c r="AE863" s="80"/>
      <c r="AF863" s="80"/>
      <c r="AG863" s="80"/>
      <c r="AH863" s="80"/>
      <c r="AI863" s="80"/>
    </row>
    <row r="864" spans="1:35" x14ac:dyDescent="0.2">
      <c r="A864" s="2"/>
      <c r="B864" s="80"/>
      <c r="C864" s="80"/>
      <c r="D864" s="80"/>
      <c r="E864" s="80"/>
      <c r="F864" s="80"/>
      <c r="G864" s="80"/>
      <c r="H864" s="80"/>
      <c r="I864" s="80"/>
      <c r="J864" s="80"/>
      <c r="K864" s="80"/>
      <c r="L864" s="2"/>
      <c r="M864" s="2"/>
      <c r="N864" s="2"/>
      <c r="O864" s="2"/>
      <c r="P864" s="2"/>
      <c r="Q864" s="2"/>
      <c r="R864" s="80"/>
      <c r="S864" s="80"/>
      <c r="T864" s="80"/>
      <c r="U864" s="80"/>
      <c r="V864" s="80"/>
      <c r="W864" s="80"/>
      <c r="X864" s="80"/>
      <c r="Y864" s="80"/>
      <c r="Z864" s="80"/>
      <c r="AA864" s="80"/>
      <c r="AB864" s="80"/>
      <c r="AC864" s="80"/>
      <c r="AD864" s="80"/>
      <c r="AE864" s="80"/>
      <c r="AF864" s="80"/>
      <c r="AG864" s="80"/>
      <c r="AH864" s="80"/>
      <c r="AI864" s="80"/>
    </row>
    <row r="865" spans="1:35" x14ac:dyDescent="0.2">
      <c r="A865" s="2"/>
      <c r="B865" s="80"/>
      <c r="C865" s="80"/>
      <c r="D865" s="80"/>
      <c r="E865" s="80"/>
      <c r="F865" s="80"/>
      <c r="G865" s="80"/>
      <c r="H865" s="80"/>
      <c r="I865" s="80"/>
      <c r="J865" s="80"/>
      <c r="K865" s="80"/>
      <c r="L865" s="2"/>
      <c r="M865" s="2"/>
      <c r="N865" s="2"/>
      <c r="O865" s="2"/>
      <c r="P865" s="2"/>
      <c r="Q865" s="2"/>
      <c r="R865" s="80"/>
      <c r="S865" s="80"/>
      <c r="T865" s="80"/>
      <c r="U865" s="80"/>
      <c r="V865" s="80"/>
      <c r="W865" s="80"/>
      <c r="X865" s="80"/>
      <c r="Y865" s="80"/>
      <c r="Z865" s="80"/>
      <c r="AA865" s="80"/>
      <c r="AB865" s="80"/>
      <c r="AC865" s="80"/>
      <c r="AD865" s="80"/>
      <c r="AE865" s="80"/>
      <c r="AF865" s="80"/>
      <c r="AG865" s="80"/>
      <c r="AH865" s="80"/>
      <c r="AI865" s="80"/>
    </row>
    <row r="866" spans="1:35" x14ac:dyDescent="0.2">
      <c r="A866" s="2"/>
      <c r="B866" s="80"/>
      <c r="C866" s="80"/>
      <c r="D866" s="80"/>
      <c r="E866" s="80"/>
      <c r="F866" s="80"/>
      <c r="G866" s="80"/>
      <c r="H866" s="80"/>
      <c r="I866" s="80"/>
      <c r="J866" s="80"/>
      <c r="K866" s="80"/>
      <c r="L866" s="2"/>
      <c r="M866" s="2"/>
      <c r="N866" s="2"/>
      <c r="O866" s="2"/>
      <c r="P866" s="2"/>
      <c r="Q866" s="2"/>
      <c r="R866" s="80"/>
      <c r="S866" s="80"/>
      <c r="T866" s="80"/>
      <c r="U866" s="80"/>
      <c r="V866" s="80"/>
      <c r="W866" s="80"/>
      <c r="X866" s="80"/>
      <c r="Y866" s="80"/>
      <c r="Z866" s="80"/>
      <c r="AA866" s="80"/>
      <c r="AB866" s="80"/>
      <c r="AC866" s="80"/>
      <c r="AD866" s="80"/>
      <c r="AE866" s="80"/>
      <c r="AF866" s="80"/>
      <c r="AG866" s="80"/>
      <c r="AH866" s="80"/>
      <c r="AI866" s="80"/>
    </row>
    <row r="867" spans="1:35" x14ac:dyDescent="0.2">
      <c r="A867" s="2"/>
      <c r="B867" s="80"/>
      <c r="C867" s="80"/>
      <c r="D867" s="80"/>
      <c r="E867" s="80"/>
      <c r="F867" s="80"/>
      <c r="G867" s="80"/>
      <c r="H867" s="80"/>
      <c r="I867" s="80"/>
      <c r="J867" s="80"/>
      <c r="K867" s="80"/>
      <c r="L867" s="2"/>
      <c r="M867" s="2"/>
      <c r="N867" s="2"/>
      <c r="O867" s="2"/>
      <c r="P867" s="2"/>
      <c r="Q867" s="2"/>
      <c r="R867" s="80"/>
      <c r="S867" s="80"/>
      <c r="T867" s="80"/>
      <c r="U867" s="80"/>
      <c r="V867" s="80"/>
      <c r="W867" s="80"/>
      <c r="X867" s="80"/>
      <c r="Y867" s="80"/>
      <c r="Z867" s="80"/>
      <c r="AA867" s="80"/>
      <c r="AB867" s="80"/>
      <c r="AC867" s="80"/>
      <c r="AD867" s="80"/>
      <c r="AE867" s="80"/>
      <c r="AF867" s="80"/>
      <c r="AG867" s="80"/>
      <c r="AH867" s="80"/>
      <c r="AI867" s="80"/>
    </row>
    <row r="868" spans="1:35" x14ac:dyDescent="0.2">
      <c r="A868" s="2"/>
      <c r="B868" s="80"/>
      <c r="C868" s="80"/>
      <c r="D868" s="80"/>
      <c r="E868" s="80"/>
      <c r="F868" s="80"/>
      <c r="G868" s="80"/>
      <c r="H868" s="80"/>
      <c r="I868" s="80"/>
      <c r="J868" s="80"/>
      <c r="K868" s="80"/>
      <c r="L868" s="2"/>
      <c r="M868" s="2"/>
      <c r="N868" s="2"/>
      <c r="O868" s="2"/>
      <c r="P868" s="2"/>
      <c r="Q868" s="2"/>
      <c r="R868" s="80"/>
      <c r="S868" s="80"/>
      <c r="T868" s="80"/>
      <c r="U868" s="80"/>
      <c r="V868" s="80"/>
      <c r="W868" s="80"/>
      <c r="X868" s="80"/>
      <c r="Y868" s="80"/>
      <c r="Z868" s="80"/>
      <c r="AA868" s="80"/>
      <c r="AB868" s="80"/>
      <c r="AC868" s="80"/>
      <c r="AD868" s="80"/>
      <c r="AE868" s="80"/>
      <c r="AF868" s="80"/>
      <c r="AG868" s="80"/>
      <c r="AH868" s="80"/>
      <c r="AI868" s="80"/>
    </row>
    <row r="869" spans="1:35" x14ac:dyDescent="0.2">
      <c r="A869" s="2"/>
      <c r="B869" s="80"/>
      <c r="C869" s="80"/>
      <c r="D869" s="80"/>
      <c r="E869" s="80"/>
      <c r="F869" s="80"/>
      <c r="G869" s="80"/>
      <c r="H869" s="80"/>
      <c r="I869" s="80"/>
      <c r="J869" s="80"/>
      <c r="K869" s="80"/>
      <c r="L869" s="2"/>
      <c r="M869" s="2"/>
      <c r="N869" s="2"/>
      <c r="O869" s="2"/>
      <c r="P869" s="2"/>
      <c r="Q869" s="2"/>
      <c r="R869" s="80"/>
      <c r="S869" s="80"/>
      <c r="T869" s="80"/>
      <c r="U869" s="80"/>
      <c r="V869" s="80"/>
      <c r="W869" s="80"/>
      <c r="X869" s="80"/>
      <c r="Y869" s="80"/>
      <c r="Z869" s="80"/>
      <c r="AA869" s="80"/>
      <c r="AB869" s="80"/>
      <c r="AC869" s="80"/>
      <c r="AD869" s="80"/>
      <c r="AE869" s="80"/>
      <c r="AF869" s="80"/>
      <c r="AG869" s="80"/>
      <c r="AH869" s="80"/>
      <c r="AI869" s="80"/>
    </row>
    <row r="870" spans="1:35" x14ac:dyDescent="0.2">
      <c r="A870" s="2"/>
      <c r="B870" s="80"/>
      <c r="C870" s="80"/>
      <c r="D870" s="80"/>
      <c r="E870" s="80"/>
      <c r="F870" s="80"/>
      <c r="G870" s="80"/>
      <c r="H870" s="80"/>
      <c r="I870" s="80"/>
      <c r="J870" s="80"/>
      <c r="K870" s="80"/>
      <c r="L870" s="2"/>
      <c r="M870" s="2"/>
      <c r="N870" s="2"/>
      <c r="O870" s="2"/>
      <c r="P870" s="2"/>
      <c r="Q870" s="2"/>
      <c r="R870" s="80"/>
      <c r="S870" s="80"/>
      <c r="T870" s="80"/>
      <c r="U870" s="80"/>
      <c r="V870" s="80"/>
      <c r="W870" s="80"/>
      <c r="X870" s="80"/>
      <c r="Y870" s="80"/>
      <c r="Z870" s="80"/>
      <c r="AA870" s="80"/>
      <c r="AB870" s="80"/>
      <c r="AC870" s="80"/>
      <c r="AD870" s="80"/>
      <c r="AE870" s="80"/>
      <c r="AF870" s="80"/>
      <c r="AG870" s="80"/>
      <c r="AH870" s="80"/>
      <c r="AI870" s="80"/>
    </row>
    <row r="871" spans="1:35" x14ac:dyDescent="0.2">
      <c r="A871" s="2"/>
      <c r="B871" s="80"/>
      <c r="C871" s="80"/>
      <c r="D871" s="80"/>
      <c r="E871" s="80"/>
      <c r="F871" s="80"/>
      <c r="G871" s="80"/>
      <c r="H871" s="80"/>
      <c r="I871" s="80"/>
      <c r="J871" s="80"/>
      <c r="K871" s="80"/>
      <c r="L871" s="2"/>
      <c r="M871" s="2"/>
      <c r="N871" s="2"/>
      <c r="O871" s="2"/>
      <c r="P871" s="2"/>
      <c r="Q871" s="2"/>
      <c r="R871" s="80"/>
      <c r="S871" s="80"/>
      <c r="T871" s="80"/>
      <c r="U871" s="80"/>
      <c r="V871" s="80"/>
      <c r="W871" s="80"/>
      <c r="X871" s="80"/>
      <c r="Y871" s="80"/>
      <c r="Z871" s="80"/>
      <c r="AA871" s="80"/>
      <c r="AB871" s="80"/>
      <c r="AC871" s="80"/>
      <c r="AD871" s="80"/>
      <c r="AE871" s="80"/>
      <c r="AF871" s="80"/>
      <c r="AG871" s="80"/>
      <c r="AH871" s="80"/>
      <c r="AI871" s="80"/>
    </row>
    <row r="872" spans="1:35" x14ac:dyDescent="0.2">
      <c r="A872" s="2"/>
      <c r="B872" s="80"/>
      <c r="C872" s="80"/>
      <c r="D872" s="80"/>
      <c r="E872" s="80"/>
      <c r="F872" s="80"/>
      <c r="G872" s="80"/>
      <c r="H872" s="80"/>
      <c r="I872" s="80"/>
      <c r="J872" s="80"/>
      <c r="K872" s="80"/>
      <c r="L872" s="2"/>
      <c r="M872" s="2"/>
      <c r="N872" s="2"/>
      <c r="O872" s="2"/>
      <c r="P872" s="2"/>
      <c r="Q872" s="2"/>
      <c r="R872" s="80"/>
      <c r="S872" s="80"/>
      <c r="T872" s="80"/>
      <c r="U872" s="80"/>
      <c r="V872" s="80"/>
      <c r="W872" s="80"/>
      <c r="X872" s="80"/>
      <c r="Y872" s="80"/>
      <c r="Z872" s="80"/>
      <c r="AA872" s="80"/>
      <c r="AB872" s="80"/>
      <c r="AC872" s="80"/>
      <c r="AD872" s="80"/>
      <c r="AE872" s="80"/>
      <c r="AF872" s="80"/>
      <c r="AG872" s="80"/>
      <c r="AH872" s="80"/>
      <c r="AI872" s="80"/>
    </row>
    <row r="873" spans="1:35" x14ac:dyDescent="0.2">
      <c r="A873" s="2"/>
      <c r="B873" s="80"/>
      <c r="C873" s="80"/>
      <c r="D873" s="80"/>
      <c r="E873" s="80"/>
      <c r="F873" s="80"/>
      <c r="G873" s="80"/>
      <c r="H873" s="80"/>
      <c r="I873" s="80"/>
      <c r="J873" s="80"/>
      <c r="K873" s="80"/>
      <c r="L873" s="2"/>
      <c r="M873" s="2"/>
      <c r="N873" s="2"/>
      <c r="O873" s="2"/>
      <c r="P873" s="2"/>
      <c r="Q873" s="2"/>
      <c r="R873" s="80"/>
      <c r="S873" s="80"/>
      <c r="T873" s="80"/>
      <c r="U873" s="80"/>
      <c r="V873" s="80"/>
      <c r="W873" s="80"/>
      <c r="X873" s="80"/>
      <c r="Y873" s="80"/>
      <c r="Z873" s="80"/>
      <c r="AA873" s="80"/>
      <c r="AB873" s="80"/>
      <c r="AC873" s="80"/>
      <c r="AD873" s="80"/>
      <c r="AE873" s="80"/>
      <c r="AF873" s="80"/>
      <c r="AG873" s="80"/>
      <c r="AH873" s="80"/>
      <c r="AI873" s="80"/>
    </row>
    <row r="874" spans="1:35" x14ac:dyDescent="0.2">
      <c r="A874" s="2"/>
      <c r="B874" s="80"/>
      <c r="C874" s="80"/>
      <c r="D874" s="80"/>
      <c r="E874" s="80"/>
      <c r="F874" s="80"/>
      <c r="G874" s="80"/>
      <c r="H874" s="80"/>
      <c r="I874" s="80"/>
      <c r="J874" s="80"/>
      <c r="K874" s="80"/>
      <c r="L874" s="2"/>
      <c r="M874" s="2"/>
      <c r="N874" s="2"/>
      <c r="O874" s="2"/>
      <c r="P874" s="2"/>
      <c r="Q874" s="2"/>
      <c r="R874" s="80"/>
      <c r="S874" s="80"/>
      <c r="T874" s="80"/>
      <c r="U874" s="80"/>
      <c r="V874" s="80"/>
      <c r="W874" s="80"/>
      <c r="X874" s="80"/>
      <c r="Y874" s="80"/>
      <c r="Z874" s="80"/>
      <c r="AA874" s="80"/>
      <c r="AB874" s="80"/>
      <c r="AC874" s="80"/>
      <c r="AD874" s="80"/>
      <c r="AE874" s="80"/>
      <c r="AF874" s="80"/>
      <c r="AG874" s="80"/>
      <c r="AH874" s="80"/>
      <c r="AI874" s="80"/>
    </row>
    <row r="875" spans="1:35" x14ac:dyDescent="0.2">
      <c r="A875" s="2"/>
      <c r="B875" s="80"/>
      <c r="C875" s="80"/>
      <c r="D875" s="80"/>
      <c r="E875" s="80"/>
      <c r="F875" s="80"/>
      <c r="G875" s="80"/>
      <c r="H875" s="80"/>
      <c r="I875" s="80"/>
      <c r="J875" s="80"/>
      <c r="K875" s="80"/>
      <c r="L875" s="2"/>
      <c r="M875" s="2"/>
      <c r="N875" s="2"/>
      <c r="O875" s="2"/>
      <c r="P875" s="2"/>
      <c r="Q875" s="2"/>
      <c r="R875" s="80"/>
      <c r="S875" s="80"/>
      <c r="T875" s="80"/>
      <c r="U875" s="80"/>
      <c r="V875" s="80"/>
      <c r="W875" s="80"/>
      <c r="X875" s="80"/>
      <c r="Y875" s="80"/>
      <c r="Z875" s="80"/>
      <c r="AA875" s="80"/>
      <c r="AB875" s="80"/>
      <c r="AC875" s="80"/>
      <c r="AD875" s="80"/>
      <c r="AE875" s="80"/>
      <c r="AF875" s="80"/>
      <c r="AG875" s="80"/>
      <c r="AH875" s="80"/>
      <c r="AI875" s="80"/>
    </row>
    <row r="876" spans="1:35" x14ac:dyDescent="0.2">
      <c r="A876" s="2"/>
      <c r="B876" s="80"/>
      <c r="C876" s="80"/>
      <c r="D876" s="80"/>
      <c r="E876" s="80"/>
      <c r="F876" s="80"/>
      <c r="G876" s="80"/>
      <c r="H876" s="80"/>
      <c r="I876" s="80"/>
      <c r="J876" s="80"/>
      <c r="K876" s="80"/>
      <c r="L876" s="2"/>
      <c r="M876" s="2"/>
      <c r="N876" s="2"/>
      <c r="O876" s="2"/>
      <c r="P876" s="2"/>
      <c r="Q876" s="2"/>
      <c r="R876" s="80"/>
      <c r="S876" s="80"/>
      <c r="T876" s="80"/>
      <c r="U876" s="80"/>
      <c r="V876" s="80"/>
      <c r="W876" s="80"/>
      <c r="X876" s="80"/>
      <c r="Y876" s="80"/>
      <c r="Z876" s="80"/>
      <c r="AA876" s="80"/>
      <c r="AB876" s="80"/>
      <c r="AC876" s="80"/>
      <c r="AD876" s="80"/>
      <c r="AE876" s="80"/>
      <c r="AF876" s="80"/>
      <c r="AG876" s="80"/>
      <c r="AH876" s="80"/>
      <c r="AI876" s="80"/>
    </row>
    <row r="877" spans="1:35" x14ac:dyDescent="0.2">
      <c r="A877" s="2"/>
      <c r="B877" s="80"/>
      <c r="C877" s="80"/>
      <c r="D877" s="80"/>
      <c r="E877" s="80"/>
      <c r="F877" s="80"/>
      <c r="G877" s="80"/>
      <c r="H877" s="80"/>
      <c r="I877" s="80"/>
      <c r="J877" s="80"/>
      <c r="K877" s="80"/>
      <c r="L877" s="2"/>
      <c r="M877" s="2"/>
      <c r="N877" s="2"/>
      <c r="O877" s="2"/>
      <c r="P877" s="2"/>
      <c r="Q877" s="2"/>
      <c r="R877" s="80"/>
      <c r="S877" s="80"/>
      <c r="T877" s="80"/>
      <c r="U877" s="80"/>
      <c r="V877" s="80"/>
      <c r="W877" s="80"/>
      <c r="X877" s="80"/>
      <c r="Y877" s="80"/>
      <c r="Z877" s="80"/>
      <c r="AA877" s="80"/>
      <c r="AB877" s="80"/>
      <c r="AC877" s="80"/>
      <c r="AD877" s="80"/>
      <c r="AE877" s="80"/>
      <c r="AF877" s="80"/>
      <c r="AG877" s="80"/>
      <c r="AH877" s="80"/>
      <c r="AI877" s="80"/>
    </row>
    <row r="878" spans="1:35" x14ac:dyDescent="0.2">
      <c r="A878" s="2"/>
      <c r="B878" s="80"/>
      <c r="C878" s="80"/>
      <c r="D878" s="80"/>
      <c r="E878" s="80"/>
      <c r="F878" s="80"/>
      <c r="G878" s="80"/>
      <c r="H878" s="80"/>
      <c r="I878" s="80"/>
      <c r="J878" s="80"/>
      <c r="K878" s="80"/>
      <c r="L878" s="2"/>
      <c r="M878" s="2"/>
      <c r="N878" s="2"/>
      <c r="O878" s="2"/>
      <c r="P878" s="2"/>
      <c r="Q878" s="2"/>
      <c r="R878" s="80"/>
      <c r="S878" s="80"/>
      <c r="T878" s="80"/>
      <c r="U878" s="80"/>
      <c r="V878" s="80"/>
      <c r="W878" s="80"/>
      <c r="X878" s="80"/>
      <c r="Y878" s="80"/>
      <c r="Z878" s="80"/>
      <c r="AA878" s="80"/>
      <c r="AB878" s="80"/>
      <c r="AC878" s="80"/>
      <c r="AD878" s="80"/>
      <c r="AE878" s="80"/>
      <c r="AF878" s="80"/>
      <c r="AG878" s="80"/>
      <c r="AH878" s="80"/>
      <c r="AI878" s="80"/>
    </row>
    <row r="879" spans="1:35" x14ac:dyDescent="0.2">
      <c r="A879" s="2"/>
      <c r="B879" s="80"/>
      <c r="C879" s="80"/>
      <c r="D879" s="80"/>
      <c r="E879" s="80"/>
      <c r="F879" s="80"/>
      <c r="G879" s="80"/>
      <c r="H879" s="80"/>
      <c r="I879" s="80"/>
      <c r="J879" s="80"/>
      <c r="K879" s="80"/>
      <c r="L879" s="2"/>
      <c r="M879" s="2"/>
      <c r="N879" s="2"/>
      <c r="O879" s="2"/>
      <c r="P879" s="2"/>
      <c r="Q879" s="2"/>
      <c r="R879" s="80"/>
      <c r="S879" s="80"/>
      <c r="T879" s="80"/>
      <c r="U879" s="80"/>
      <c r="V879" s="80"/>
      <c r="W879" s="80"/>
      <c r="X879" s="80"/>
      <c r="Y879" s="80"/>
      <c r="Z879" s="80"/>
      <c r="AA879" s="80"/>
      <c r="AB879" s="80"/>
      <c r="AC879" s="80"/>
      <c r="AD879" s="80"/>
      <c r="AE879" s="80"/>
      <c r="AF879" s="80"/>
      <c r="AG879" s="80"/>
      <c r="AH879" s="80"/>
      <c r="AI879" s="80"/>
    </row>
    <row r="880" spans="1:35" x14ac:dyDescent="0.2">
      <c r="A880" s="2"/>
      <c r="B880" s="80"/>
      <c r="C880" s="80"/>
      <c r="D880" s="80"/>
      <c r="E880" s="80"/>
      <c r="F880" s="80"/>
      <c r="G880" s="80"/>
      <c r="H880" s="80"/>
      <c r="I880" s="80"/>
      <c r="J880" s="80"/>
      <c r="K880" s="80"/>
      <c r="L880" s="2"/>
      <c r="M880" s="2"/>
      <c r="N880" s="2"/>
      <c r="O880" s="2"/>
      <c r="P880" s="2"/>
      <c r="Q880" s="2"/>
      <c r="R880" s="80"/>
      <c r="S880" s="80"/>
      <c r="T880" s="80"/>
      <c r="U880" s="80"/>
      <c r="V880" s="80"/>
      <c r="W880" s="80"/>
      <c r="X880" s="80"/>
      <c r="Y880" s="80"/>
      <c r="Z880" s="80"/>
      <c r="AA880" s="80"/>
      <c r="AB880" s="80"/>
      <c r="AC880" s="80"/>
      <c r="AD880" s="80"/>
      <c r="AE880" s="80"/>
      <c r="AF880" s="80"/>
      <c r="AG880" s="80"/>
      <c r="AH880" s="80"/>
      <c r="AI880" s="80"/>
    </row>
    <row r="881" spans="1:35" x14ac:dyDescent="0.2">
      <c r="A881" s="2"/>
      <c r="B881" s="80"/>
      <c r="C881" s="80"/>
      <c r="D881" s="80"/>
      <c r="E881" s="80"/>
      <c r="F881" s="80"/>
      <c r="G881" s="80"/>
      <c r="H881" s="80"/>
      <c r="I881" s="80"/>
      <c r="J881" s="80"/>
      <c r="K881" s="80"/>
      <c r="L881" s="2"/>
      <c r="M881" s="2"/>
      <c r="N881" s="2"/>
      <c r="O881" s="2"/>
      <c r="P881" s="2"/>
      <c r="Q881" s="2"/>
      <c r="R881" s="80"/>
      <c r="S881" s="80"/>
      <c r="T881" s="80"/>
      <c r="U881" s="80"/>
      <c r="V881" s="80"/>
      <c r="W881" s="80"/>
      <c r="X881" s="80"/>
      <c r="Y881" s="80"/>
      <c r="Z881" s="80"/>
      <c r="AA881" s="80"/>
      <c r="AB881" s="80"/>
      <c r="AC881" s="80"/>
      <c r="AD881" s="80"/>
      <c r="AE881" s="80"/>
      <c r="AF881" s="80"/>
      <c r="AG881" s="80"/>
      <c r="AH881" s="80"/>
      <c r="AI881" s="80"/>
    </row>
    <row r="882" spans="1:35" x14ac:dyDescent="0.2">
      <c r="A882" s="2"/>
      <c r="B882" s="80"/>
      <c r="C882" s="80"/>
      <c r="D882" s="80"/>
      <c r="E882" s="80"/>
      <c r="F882" s="80"/>
      <c r="G882" s="80"/>
      <c r="H882" s="80"/>
      <c r="I882" s="80"/>
      <c r="J882" s="80"/>
      <c r="K882" s="80"/>
      <c r="L882" s="2"/>
      <c r="M882" s="2"/>
      <c r="N882" s="2"/>
      <c r="O882" s="2"/>
      <c r="P882" s="2"/>
      <c r="Q882" s="2"/>
      <c r="R882" s="80"/>
      <c r="S882" s="80"/>
      <c r="T882" s="80"/>
      <c r="U882" s="80"/>
      <c r="V882" s="80"/>
      <c r="W882" s="80"/>
      <c r="X882" s="80"/>
      <c r="Y882" s="80"/>
      <c r="Z882" s="80"/>
      <c r="AA882" s="80"/>
      <c r="AB882" s="80"/>
      <c r="AC882" s="80"/>
      <c r="AD882" s="80"/>
      <c r="AE882" s="80"/>
      <c r="AF882" s="80"/>
      <c r="AG882" s="80"/>
      <c r="AH882" s="80"/>
      <c r="AI882" s="80"/>
    </row>
    <row r="883" spans="1:35" x14ac:dyDescent="0.2">
      <c r="A883" s="2"/>
      <c r="B883" s="80"/>
      <c r="C883" s="80"/>
      <c r="D883" s="80"/>
      <c r="E883" s="80"/>
      <c r="F883" s="80"/>
      <c r="G883" s="80"/>
      <c r="H883" s="80"/>
      <c r="I883" s="80"/>
      <c r="J883" s="80"/>
      <c r="K883" s="80"/>
      <c r="L883" s="2"/>
      <c r="M883" s="2"/>
      <c r="N883" s="2"/>
      <c r="O883" s="2"/>
      <c r="P883" s="2"/>
      <c r="Q883" s="2"/>
      <c r="R883" s="80"/>
      <c r="S883" s="80"/>
      <c r="T883" s="80"/>
      <c r="U883" s="80"/>
      <c r="V883" s="80"/>
      <c r="W883" s="80"/>
      <c r="X883" s="80"/>
      <c r="Y883" s="80"/>
      <c r="Z883" s="80"/>
      <c r="AA883" s="80"/>
      <c r="AB883" s="80"/>
      <c r="AC883" s="80"/>
      <c r="AD883" s="80"/>
      <c r="AE883" s="80"/>
      <c r="AF883" s="80"/>
      <c r="AG883" s="80"/>
      <c r="AH883" s="80"/>
      <c r="AI883" s="80"/>
    </row>
    <row r="884" spans="1:35" x14ac:dyDescent="0.2">
      <c r="A884" s="2"/>
      <c r="B884" s="80"/>
      <c r="C884" s="80"/>
      <c r="D884" s="80"/>
      <c r="E884" s="80"/>
      <c r="F884" s="80"/>
      <c r="G884" s="80"/>
      <c r="H884" s="80"/>
      <c r="I884" s="80"/>
      <c r="J884" s="80"/>
      <c r="K884" s="80"/>
      <c r="L884" s="2"/>
      <c r="M884" s="2"/>
      <c r="N884" s="2"/>
      <c r="O884" s="2"/>
      <c r="P884" s="2"/>
      <c r="Q884" s="2"/>
      <c r="R884" s="80"/>
      <c r="S884" s="80"/>
      <c r="T884" s="80"/>
      <c r="U884" s="80"/>
      <c r="V884" s="80"/>
      <c r="W884" s="80"/>
      <c r="X884" s="80"/>
      <c r="Y884" s="80"/>
      <c r="Z884" s="80"/>
      <c r="AA884" s="80"/>
      <c r="AB884" s="80"/>
      <c r="AC884" s="80"/>
      <c r="AD884" s="80"/>
      <c r="AE884" s="80"/>
      <c r="AF884" s="80"/>
      <c r="AG884" s="80"/>
      <c r="AH884" s="80"/>
      <c r="AI884" s="80"/>
    </row>
    <row r="885" spans="1:35" x14ac:dyDescent="0.2">
      <c r="A885" s="2"/>
      <c r="B885" s="80"/>
      <c r="C885" s="80"/>
      <c r="D885" s="80"/>
      <c r="E885" s="80"/>
      <c r="F885" s="80"/>
      <c r="G885" s="80"/>
      <c r="H885" s="80"/>
      <c r="I885" s="80"/>
      <c r="J885" s="80"/>
      <c r="K885" s="80"/>
      <c r="L885" s="2"/>
      <c r="M885" s="2"/>
      <c r="N885" s="2"/>
      <c r="O885" s="2"/>
      <c r="P885" s="2"/>
      <c r="Q885" s="2"/>
      <c r="R885" s="80"/>
      <c r="S885" s="80"/>
      <c r="T885" s="80"/>
      <c r="U885" s="80"/>
      <c r="V885" s="80"/>
      <c r="W885" s="80"/>
      <c r="X885" s="80"/>
      <c r="Y885" s="80"/>
      <c r="Z885" s="80"/>
      <c r="AA885" s="80"/>
      <c r="AB885" s="80"/>
      <c r="AC885" s="80"/>
      <c r="AD885" s="80"/>
      <c r="AE885" s="80"/>
      <c r="AF885" s="80"/>
      <c r="AG885" s="80"/>
      <c r="AH885" s="80"/>
      <c r="AI885" s="80"/>
    </row>
    <row r="886" spans="1:35" x14ac:dyDescent="0.2">
      <c r="A886" s="2"/>
      <c r="B886" s="80"/>
      <c r="C886" s="80"/>
      <c r="D886" s="80"/>
      <c r="E886" s="80"/>
      <c r="F886" s="80"/>
      <c r="G886" s="80"/>
      <c r="H886" s="80"/>
      <c r="I886" s="80"/>
      <c r="J886" s="80"/>
      <c r="K886" s="80"/>
      <c r="L886" s="2"/>
      <c r="M886" s="2"/>
      <c r="N886" s="2"/>
      <c r="O886" s="2"/>
      <c r="P886" s="2"/>
      <c r="Q886" s="2"/>
      <c r="R886" s="80"/>
      <c r="S886" s="80"/>
      <c r="T886" s="80"/>
      <c r="U886" s="80"/>
      <c r="V886" s="80"/>
      <c r="W886" s="80"/>
      <c r="X886" s="80"/>
      <c r="Y886" s="80"/>
      <c r="Z886" s="80"/>
      <c r="AA886" s="80"/>
      <c r="AB886" s="80"/>
      <c r="AC886" s="80"/>
      <c r="AD886" s="80"/>
      <c r="AE886" s="80"/>
      <c r="AF886" s="80"/>
      <c r="AG886" s="80"/>
      <c r="AH886" s="80"/>
      <c r="AI886" s="80"/>
    </row>
    <row r="887" spans="1:35" x14ac:dyDescent="0.2">
      <c r="A887" s="2"/>
      <c r="B887" s="80"/>
      <c r="C887" s="80"/>
      <c r="D887" s="80"/>
      <c r="E887" s="80"/>
      <c r="F887" s="80"/>
      <c r="G887" s="80"/>
      <c r="H887" s="80"/>
      <c r="I887" s="80"/>
      <c r="J887" s="80"/>
      <c r="K887" s="80"/>
      <c r="L887" s="2"/>
      <c r="M887" s="2"/>
      <c r="N887" s="2"/>
      <c r="O887" s="2"/>
      <c r="P887" s="2"/>
      <c r="Q887" s="2"/>
      <c r="R887" s="80"/>
      <c r="S887" s="80"/>
      <c r="T887" s="80"/>
      <c r="U887" s="80"/>
      <c r="V887" s="80"/>
      <c r="W887" s="80"/>
      <c r="X887" s="80"/>
      <c r="Y887" s="80"/>
      <c r="Z887" s="80"/>
      <c r="AA887" s="80"/>
      <c r="AB887" s="80"/>
      <c r="AC887" s="80"/>
      <c r="AD887" s="80"/>
      <c r="AE887" s="80"/>
      <c r="AF887" s="80"/>
      <c r="AG887" s="80"/>
      <c r="AH887" s="80"/>
      <c r="AI887" s="80"/>
    </row>
    <row r="888" spans="1:35" x14ac:dyDescent="0.2">
      <c r="A888" s="2"/>
      <c r="B888" s="80"/>
      <c r="C888" s="80"/>
      <c r="D888" s="80"/>
      <c r="E888" s="80"/>
      <c r="F888" s="80"/>
      <c r="G888" s="80"/>
      <c r="H888" s="80"/>
      <c r="I888" s="80"/>
      <c r="J888" s="80"/>
      <c r="K888" s="80"/>
      <c r="L888" s="2"/>
      <c r="M888" s="2"/>
      <c r="N888" s="2"/>
      <c r="O888" s="2"/>
      <c r="P888" s="2"/>
      <c r="Q888" s="2"/>
      <c r="R888" s="80"/>
      <c r="S888" s="80"/>
      <c r="T888" s="80"/>
      <c r="U888" s="80"/>
      <c r="V888" s="80"/>
      <c r="W888" s="80"/>
      <c r="X888" s="80"/>
      <c r="Y888" s="80"/>
      <c r="Z888" s="80"/>
      <c r="AA888" s="80"/>
      <c r="AB888" s="80"/>
      <c r="AC888" s="80"/>
      <c r="AD888" s="80"/>
      <c r="AE888" s="80"/>
      <c r="AF888" s="80"/>
      <c r="AG888" s="80"/>
      <c r="AH888" s="80"/>
      <c r="AI888" s="80"/>
    </row>
    <row r="889" spans="1:35" x14ac:dyDescent="0.2">
      <c r="A889" s="2"/>
      <c r="B889" s="80"/>
      <c r="C889" s="80"/>
      <c r="D889" s="80"/>
      <c r="E889" s="80"/>
      <c r="F889" s="80"/>
      <c r="G889" s="80"/>
      <c r="H889" s="80"/>
      <c r="I889" s="80"/>
      <c r="J889" s="80"/>
      <c r="K889" s="80"/>
      <c r="L889" s="2"/>
      <c r="M889" s="2"/>
      <c r="N889" s="2"/>
      <c r="O889" s="2"/>
      <c r="P889" s="2"/>
      <c r="Q889" s="2"/>
      <c r="R889" s="80"/>
      <c r="S889" s="80"/>
      <c r="T889" s="80"/>
      <c r="U889" s="80"/>
      <c r="V889" s="80"/>
      <c r="W889" s="80"/>
      <c r="X889" s="80"/>
      <c r="Y889" s="80"/>
      <c r="Z889" s="80"/>
      <c r="AA889" s="80"/>
      <c r="AB889" s="80"/>
      <c r="AC889" s="80"/>
      <c r="AD889" s="80"/>
      <c r="AE889" s="80"/>
      <c r="AF889" s="80"/>
      <c r="AG889" s="80"/>
      <c r="AH889" s="80"/>
      <c r="AI889" s="80"/>
    </row>
    <row r="890" spans="1:35" x14ac:dyDescent="0.2">
      <c r="A890" s="2"/>
      <c r="B890" s="80"/>
      <c r="C890" s="80"/>
      <c r="D890" s="80"/>
      <c r="E890" s="80"/>
      <c r="F890" s="80"/>
      <c r="G890" s="80"/>
      <c r="H890" s="80"/>
      <c r="I890" s="80"/>
      <c r="J890" s="80"/>
      <c r="K890" s="80"/>
      <c r="L890" s="2"/>
      <c r="M890" s="2"/>
      <c r="N890" s="2"/>
      <c r="O890" s="2"/>
      <c r="P890" s="2"/>
      <c r="Q890" s="2"/>
      <c r="R890" s="80"/>
      <c r="S890" s="80"/>
      <c r="T890" s="80"/>
      <c r="U890" s="80"/>
      <c r="V890" s="80"/>
      <c r="W890" s="80"/>
      <c r="X890" s="80"/>
      <c r="Y890" s="80"/>
      <c r="Z890" s="80"/>
      <c r="AA890" s="80"/>
      <c r="AB890" s="80"/>
      <c r="AC890" s="80"/>
      <c r="AD890" s="80"/>
      <c r="AE890" s="80"/>
      <c r="AF890" s="80"/>
      <c r="AG890" s="80"/>
      <c r="AH890" s="80"/>
      <c r="AI890" s="80"/>
    </row>
    <row r="891" spans="1:35" x14ac:dyDescent="0.2">
      <c r="A891" s="2"/>
      <c r="B891" s="80"/>
      <c r="C891" s="80"/>
      <c r="D891" s="80"/>
      <c r="E891" s="80"/>
      <c r="F891" s="80"/>
      <c r="G891" s="80"/>
      <c r="H891" s="80"/>
      <c r="I891" s="80"/>
      <c r="J891" s="80"/>
      <c r="K891" s="80"/>
      <c r="L891" s="2"/>
      <c r="M891" s="2"/>
      <c r="N891" s="2"/>
      <c r="O891" s="2"/>
      <c r="P891" s="2"/>
      <c r="Q891" s="2"/>
      <c r="R891" s="80"/>
      <c r="S891" s="80"/>
      <c r="T891" s="80"/>
      <c r="U891" s="80"/>
      <c r="V891" s="80"/>
      <c r="W891" s="80"/>
      <c r="X891" s="80"/>
      <c r="Y891" s="80"/>
      <c r="Z891" s="80"/>
      <c r="AA891" s="80"/>
      <c r="AB891" s="80"/>
      <c r="AC891" s="80"/>
      <c r="AD891" s="80"/>
      <c r="AE891" s="80"/>
      <c r="AF891" s="80"/>
      <c r="AG891" s="80"/>
      <c r="AH891" s="80"/>
      <c r="AI891" s="80"/>
    </row>
    <row r="892" spans="1:35" x14ac:dyDescent="0.2">
      <c r="A892" s="2"/>
      <c r="B892" s="80"/>
      <c r="C892" s="80"/>
      <c r="D892" s="80"/>
      <c r="E892" s="80"/>
      <c r="F892" s="80"/>
      <c r="G892" s="80"/>
      <c r="H892" s="80"/>
      <c r="I892" s="80"/>
      <c r="J892" s="80"/>
      <c r="K892" s="80"/>
      <c r="L892" s="2"/>
      <c r="M892" s="2"/>
      <c r="N892" s="2"/>
      <c r="O892" s="2"/>
      <c r="P892" s="2"/>
      <c r="Q892" s="2"/>
      <c r="R892" s="80"/>
      <c r="S892" s="80"/>
      <c r="T892" s="80"/>
      <c r="U892" s="80"/>
      <c r="V892" s="80"/>
      <c r="W892" s="80"/>
      <c r="X892" s="80"/>
      <c r="Y892" s="80"/>
      <c r="Z892" s="80"/>
      <c r="AA892" s="80"/>
      <c r="AB892" s="80"/>
      <c r="AC892" s="80"/>
      <c r="AD892" s="80"/>
      <c r="AE892" s="80"/>
      <c r="AF892" s="80"/>
      <c r="AG892" s="80"/>
      <c r="AH892" s="80"/>
      <c r="AI892" s="80"/>
    </row>
    <row r="893" spans="1:35" x14ac:dyDescent="0.2">
      <c r="A893" s="2"/>
      <c r="B893" s="80"/>
      <c r="C893" s="80"/>
      <c r="D893" s="80"/>
      <c r="E893" s="80"/>
      <c r="F893" s="80"/>
      <c r="G893" s="80"/>
      <c r="H893" s="80"/>
      <c r="I893" s="80"/>
      <c r="J893" s="80"/>
      <c r="K893" s="80"/>
      <c r="L893" s="2"/>
      <c r="M893" s="2"/>
      <c r="N893" s="2"/>
      <c r="O893" s="2"/>
      <c r="P893" s="2"/>
      <c r="Q893" s="2"/>
      <c r="R893" s="80"/>
      <c r="S893" s="80"/>
      <c r="T893" s="80"/>
      <c r="U893" s="80"/>
      <c r="V893" s="80"/>
      <c r="W893" s="80"/>
      <c r="X893" s="80"/>
      <c r="Y893" s="80"/>
      <c r="Z893" s="80"/>
      <c r="AA893" s="80"/>
      <c r="AB893" s="80"/>
      <c r="AC893" s="80"/>
      <c r="AD893" s="80"/>
      <c r="AE893" s="80"/>
      <c r="AF893" s="80"/>
      <c r="AG893" s="80"/>
      <c r="AH893" s="80"/>
      <c r="AI893" s="80"/>
    </row>
    <row r="894" spans="1:35" x14ac:dyDescent="0.2">
      <c r="A894" s="2"/>
      <c r="B894" s="80"/>
      <c r="C894" s="80"/>
      <c r="D894" s="80"/>
      <c r="E894" s="80"/>
      <c r="F894" s="80"/>
      <c r="G894" s="80"/>
      <c r="H894" s="80"/>
      <c r="I894" s="80"/>
      <c r="J894" s="80"/>
      <c r="K894" s="80"/>
      <c r="L894" s="2"/>
      <c r="M894" s="2"/>
      <c r="N894" s="2"/>
      <c r="O894" s="2"/>
      <c r="P894" s="2"/>
      <c r="Q894" s="2"/>
      <c r="R894" s="80"/>
      <c r="S894" s="80"/>
      <c r="T894" s="80"/>
      <c r="U894" s="80"/>
      <c r="V894" s="80"/>
      <c r="W894" s="80"/>
      <c r="X894" s="80"/>
      <c r="Y894" s="80"/>
      <c r="Z894" s="80"/>
      <c r="AA894" s="80"/>
      <c r="AB894" s="80"/>
      <c r="AC894" s="80"/>
      <c r="AD894" s="80"/>
      <c r="AE894" s="80"/>
      <c r="AF894" s="80"/>
      <c r="AG894" s="80"/>
      <c r="AH894" s="80"/>
      <c r="AI894" s="80"/>
    </row>
    <row r="895" spans="1:35" x14ac:dyDescent="0.2">
      <c r="A895" s="2"/>
      <c r="B895" s="80"/>
      <c r="C895" s="80"/>
      <c r="D895" s="80"/>
      <c r="E895" s="80"/>
      <c r="F895" s="80"/>
      <c r="G895" s="80"/>
      <c r="H895" s="80"/>
      <c r="I895" s="80"/>
      <c r="J895" s="80"/>
      <c r="K895" s="80"/>
      <c r="L895" s="2"/>
      <c r="M895" s="2"/>
      <c r="N895" s="2"/>
      <c r="O895" s="2"/>
      <c r="P895" s="2"/>
      <c r="Q895" s="2"/>
      <c r="R895" s="80"/>
      <c r="S895" s="80"/>
      <c r="T895" s="80"/>
      <c r="U895" s="80"/>
      <c r="V895" s="80"/>
      <c r="W895" s="80"/>
      <c r="X895" s="80"/>
      <c r="Y895" s="80"/>
      <c r="Z895" s="80"/>
      <c r="AA895" s="80"/>
      <c r="AB895" s="80"/>
      <c r="AC895" s="80"/>
      <c r="AD895" s="80"/>
      <c r="AE895" s="80"/>
      <c r="AF895" s="80"/>
      <c r="AG895" s="80"/>
      <c r="AH895" s="80"/>
      <c r="AI895" s="80"/>
    </row>
    <row r="896" spans="1:35" x14ac:dyDescent="0.2">
      <c r="A896" s="2"/>
      <c r="B896" s="80"/>
      <c r="C896" s="80"/>
      <c r="D896" s="80"/>
      <c r="E896" s="80"/>
      <c r="F896" s="80"/>
      <c r="G896" s="80"/>
      <c r="H896" s="80"/>
      <c r="I896" s="80"/>
      <c r="J896" s="80"/>
      <c r="K896" s="80"/>
      <c r="L896" s="2"/>
      <c r="M896" s="2"/>
      <c r="N896" s="2"/>
      <c r="O896" s="2"/>
      <c r="P896" s="2"/>
      <c r="Q896" s="2"/>
      <c r="R896" s="80"/>
      <c r="S896" s="80"/>
      <c r="T896" s="80"/>
      <c r="U896" s="80"/>
      <c r="V896" s="80"/>
      <c r="W896" s="80"/>
      <c r="X896" s="80"/>
      <c r="Y896" s="80"/>
      <c r="Z896" s="80"/>
      <c r="AA896" s="80"/>
      <c r="AB896" s="80"/>
      <c r="AC896" s="80"/>
      <c r="AD896" s="80"/>
      <c r="AE896" s="80"/>
      <c r="AF896" s="80"/>
      <c r="AG896" s="80"/>
      <c r="AH896" s="80"/>
      <c r="AI896" s="80"/>
    </row>
    <row r="897" spans="1:35" x14ac:dyDescent="0.2">
      <c r="A897" s="2"/>
      <c r="B897" s="80"/>
      <c r="C897" s="80"/>
      <c r="D897" s="80"/>
      <c r="E897" s="80"/>
      <c r="F897" s="80"/>
      <c r="G897" s="80"/>
      <c r="H897" s="80"/>
      <c r="I897" s="80"/>
      <c r="J897" s="80"/>
      <c r="K897" s="80"/>
      <c r="L897" s="2"/>
      <c r="M897" s="2"/>
      <c r="N897" s="2"/>
      <c r="O897" s="2"/>
      <c r="P897" s="2"/>
      <c r="Q897" s="2"/>
      <c r="R897" s="80"/>
      <c r="S897" s="80"/>
      <c r="T897" s="80"/>
      <c r="U897" s="80"/>
      <c r="V897" s="80"/>
      <c r="W897" s="80"/>
      <c r="X897" s="80"/>
      <c r="Y897" s="80"/>
      <c r="Z897" s="80"/>
      <c r="AA897" s="80"/>
      <c r="AB897" s="80"/>
      <c r="AC897" s="80"/>
      <c r="AD897" s="80"/>
      <c r="AE897" s="80"/>
      <c r="AF897" s="80"/>
      <c r="AG897" s="80"/>
      <c r="AH897" s="80"/>
      <c r="AI897" s="80"/>
    </row>
    <row r="898" spans="1:35" x14ac:dyDescent="0.2">
      <c r="A898" s="2"/>
      <c r="B898" s="80"/>
      <c r="C898" s="80"/>
      <c r="D898" s="80"/>
      <c r="E898" s="80"/>
      <c r="F898" s="80"/>
      <c r="G898" s="80"/>
      <c r="H898" s="80"/>
      <c r="I898" s="80"/>
      <c r="J898" s="80"/>
      <c r="K898" s="80"/>
      <c r="L898" s="2"/>
      <c r="M898" s="2"/>
      <c r="N898" s="2"/>
      <c r="O898" s="2"/>
      <c r="P898" s="2"/>
      <c r="Q898" s="2"/>
      <c r="R898" s="80"/>
      <c r="S898" s="80"/>
      <c r="T898" s="80"/>
      <c r="U898" s="80"/>
      <c r="V898" s="80"/>
      <c r="W898" s="80"/>
      <c r="X898" s="80"/>
      <c r="Y898" s="80"/>
      <c r="Z898" s="80"/>
      <c r="AA898" s="80"/>
      <c r="AB898" s="80"/>
      <c r="AC898" s="80"/>
      <c r="AD898" s="80"/>
      <c r="AE898" s="80"/>
      <c r="AF898" s="80"/>
      <c r="AG898" s="80"/>
      <c r="AH898" s="80"/>
      <c r="AI898" s="80"/>
    </row>
    <row r="899" spans="1:35" x14ac:dyDescent="0.2">
      <c r="A899" s="2"/>
      <c r="B899" s="80"/>
      <c r="C899" s="80"/>
      <c r="D899" s="80"/>
      <c r="E899" s="80"/>
      <c r="F899" s="80"/>
      <c r="G899" s="80"/>
      <c r="H899" s="80"/>
      <c r="I899" s="80"/>
      <c r="J899" s="80"/>
      <c r="K899" s="80"/>
      <c r="L899" s="2"/>
      <c r="M899" s="2"/>
      <c r="N899" s="2"/>
      <c r="O899" s="2"/>
      <c r="P899" s="2"/>
      <c r="Q899" s="2"/>
      <c r="R899" s="80"/>
      <c r="S899" s="80"/>
      <c r="T899" s="80"/>
      <c r="U899" s="80"/>
      <c r="V899" s="80"/>
      <c r="W899" s="80"/>
      <c r="X899" s="80"/>
      <c r="Y899" s="80"/>
      <c r="Z899" s="80"/>
      <c r="AA899" s="80"/>
      <c r="AB899" s="80"/>
      <c r="AC899" s="80"/>
      <c r="AD899" s="80"/>
      <c r="AE899" s="80"/>
      <c r="AF899" s="80"/>
      <c r="AG899" s="80"/>
      <c r="AH899" s="80"/>
      <c r="AI899" s="80"/>
    </row>
    <row r="900" spans="1:35" x14ac:dyDescent="0.2">
      <c r="A900" s="2"/>
      <c r="B900" s="80"/>
      <c r="C900" s="80"/>
      <c r="D900" s="80"/>
      <c r="E900" s="80"/>
      <c r="F900" s="80"/>
      <c r="G900" s="80"/>
      <c r="H900" s="80"/>
      <c r="I900" s="80"/>
      <c r="J900" s="80"/>
      <c r="K900" s="80"/>
      <c r="L900" s="2"/>
      <c r="M900" s="2"/>
      <c r="N900" s="2"/>
      <c r="O900" s="2"/>
      <c r="P900" s="2"/>
      <c r="Q900" s="2"/>
      <c r="R900" s="80"/>
      <c r="S900" s="80"/>
      <c r="T900" s="80"/>
      <c r="U900" s="80"/>
      <c r="V900" s="80"/>
      <c r="W900" s="80"/>
      <c r="X900" s="80"/>
      <c r="Y900" s="80"/>
      <c r="Z900" s="80"/>
      <c r="AA900" s="80"/>
      <c r="AB900" s="80"/>
      <c r="AC900" s="80"/>
      <c r="AD900" s="80"/>
      <c r="AE900" s="80"/>
      <c r="AF900" s="80"/>
      <c r="AG900" s="80"/>
      <c r="AH900" s="80"/>
      <c r="AI900" s="80"/>
    </row>
    <row r="901" spans="1:35" x14ac:dyDescent="0.2">
      <c r="A901" s="2"/>
      <c r="B901" s="80"/>
      <c r="C901" s="80"/>
      <c r="D901" s="80"/>
      <c r="E901" s="80"/>
      <c r="F901" s="80"/>
      <c r="G901" s="80"/>
      <c r="H901" s="80"/>
      <c r="I901" s="80"/>
      <c r="J901" s="80"/>
      <c r="K901" s="80"/>
      <c r="L901" s="2"/>
      <c r="M901" s="2"/>
      <c r="N901" s="2"/>
      <c r="O901" s="2"/>
      <c r="P901" s="2"/>
      <c r="Q901" s="2"/>
      <c r="R901" s="80"/>
      <c r="S901" s="80"/>
      <c r="T901" s="80"/>
      <c r="U901" s="80"/>
      <c r="V901" s="80"/>
      <c r="W901" s="80"/>
      <c r="X901" s="80"/>
      <c r="Y901" s="80"/>
      <c r="Z901" s="80"/>
      <c r="AA901" s="80"/>
      <c r="AB901" s="80"/>
      <c r="AC901" s="80"/>
      <c r="AD901" s="80"/>
      <c r="AE901" s="80"/>
      <c r="AF901" s="80"/>
      <c r="AG901" s="80"/>
      <c r="AH901" s="80"/>
      <c r="AI901" s="80"/>
    </row>
    <row r="902" spans="1:35" x14ac:dyDescent="0.2">
      <c r="A902" s="2"/>
      <c r="B902" s="80"/>
      <c r="C902" s="80"/>
      <c r="D902" s="80"/>
      <c r="E902" s="80"/>
      <c r="F902" s="80"/>
      <c r="G902" s="80"/>
      <c r="H902" s="80"/>
      <c r="I902" s="80"/>
      <c r="J902" s="80"/>
      <c r="K902" s="80"/>
      <c r="L902" s="2"/>
      <c r="M902" s="2"/>
      <c r="N902" s="2"/>
      <c r="O902" s="2"/>
      <c r="P902" s="2"/>
      <c r="Q902" s="2"/>
      <c r="R902" s="80"/>
      <c r="S902" s="80"/>
      <c r="T902" s="80"/>
      <c r="U902" s="80"/>
      <c r="V902" s="80"/>
      <c r="W902" s="80"/>
      <c r="X902" s="80"/>
      <c r="Y902" s="80"/>
      <c r="Z902" s="80"/>
      <c r="AA902" s="80"/>
      <c r="AB902" s="80"/>
      <c r="AC902" s="80"/>
      <c r="AD902" s="80"/>
      <c r="AE902" s="80"/>
      <c r="AF902" s="80"/>
      <c r="AG902" s="80"/>
      <c r="AH902" s="80"/>
      <c r="AI902" s="80"/>
    </row>
    <row r="903" spans="1:35" x14ac:dyDescent="0.2">
      <c r="A903" s="2"/>
      <c r="B903" s="80"/>
      <c r="C903" s="80"/>
      <c r="D903" s="80"/>
      <c r="E903" s="80"/>
      <c r="F903" s="80"/>
      <c r="G903" s="80"/>
      <c r="H903" s="80"/>
      <c r="I903" s="80"/>
      <c r="J903" s="80"/>
      <c r="K903" s="80"/>
      <c r="L903" s="2"/>
      <c r="M903" s="2"/>
      <c r="N903" s="2"/>
      <c r="O903" s="2"/>
      <c r="P903" s="2"/>
      <c r="Q903" s="2"/>
      <c r="R903" s="80"/>
      <c r="S903" s="80"/>
      <c r="T903" s="80"/>
      <c r="U903" s="80"/>
      <c r="V903" s="80"/>
      <c r="W903" s="80"/>
      <c r="X903" s="80"/>
      <c r="Y903" s="80"/>
      <c r="Z903" s="80"/>
      <c r="AA903" s="80"/>
      <c r="AB903" s="80"/>
      <c r="AC903" s="80"/>
      <c r="AD903" s="80"/>
      <c r="AE903" s="80"/>
      <c r="AF903" s="80"/>
      <c r="AG903" s="80"/>
      <c r="AH903" s="80"/>
      <c r="AI903" s="80"/>
    </row>
    <row r="904" spans="1:35" x14ac:dyDescent="0.2">
      <c r="A904" s="2"/>
      <c r="B904" s="80"/>
      <c r="C904" s="80"/>
      <c r="D904" s="80"/>
      <c r="E904" s="80"/>
      <c r="F904" s="80"/>
      <c r="G904" s="80"/>
      <c r="H904" s="80"/>
      <c r="I904" s="80"/>
      <c r="J904" s="80"/>
      <c r="K904" s="80"/>
      <c r="L904" s="2"/>
      <c r="M904" s="2"/>
      <c r="N904" s="2"/>
      <c r="O904" s="2"/>
      <c r="P904" s="2"/>
      <c r="Q904" s="2"/>
      <c r="R904" s="80"/>
      <c r="S904" s="80"/>
      <c r="T904" s="80"/>
      <c r="U904" s="80"/>
      <c r="V904" s="80"/>
      <c r="W904" s="80"/>
      <c r="X904" s="80"/>
      <c r="Y904" s="80"/>
      <c r="Z904" s="80"/>
      <c r="AA904" s="80"/>
      <c r="AB904" s="80"/>
      <c r="AC904" s="80"/>
      <c r="AD904" s="80"/>
      <c r="AE904" s="80"/>
      <c r="AF904" s="80"/>
      <c r="AG904" s="80"/>
      <c r="AH904" s="80"/>
      <c r="AI904" s="80"/>
    </row>
    <row r="905" spans="1:35" x14ac:dyDescent="0.2">
      <c r="A905" s="2"/>
      <c r="B905" s="80"/>
      <c r="C905" s="80"/>
      <c r="D905" s="80"/>
      <c r="E905" s="80"/>
      <c r="F905" s="80"/>
      <c r="G905" s="80"/>
      <c r="H905" s="80"/>
      <c r="I905" s="80"/>
      <c r="J905" s="80"/>
      <c r="K905" s="80"/>
      <c r="L905" s="2"/>
      <c r="M905" s="2"/>
      <c r="N905" s="2"/>
      <c r="O905" s="2"/>
      <c r="P905" s="2"/>
      <c r="Q905" s="2"/>
      <c r="R905" s="80"/>
      <c r="S905" s="80"/>
      <c r="T905" s="80"/>
      <c r="U905" s="80"/>
      <c r="V905" s="80"/>
      <c r="W905" s="80"/>
      <c r="X905" s="80"/>
      <c r="Y905" s="80"/>
      <c r="Z905" s="80"/>
      <c r="AA905" s="80"/>
      <c r="AB905" s="80"/>
      <c r="AC905" s="80"/>
      <c r="AD905" s="80"/>
      <c r="AE905" s="80"/>
      <c r="AF905" s="80"/>
      <c r="AG905" s="80"/>
      <c r="AH905" s="80"/>
      <c r="AI905" s="80"/>
    </row>
    <row r="906" spans="1:35" x14ac:dyDescent="0.2">
      <c r="A906" s="2"/>
      <c r="B906" s="80"/>
      <c r="C906" s="80"/>
      <c r="D906" s="80"/>
      <c r="E906" s="80"/>
      <c r="F906" s="80"/>
      <c r="G906" s="80"/>
      <c r="H906" s="80"/>
      <c r="I906" s="80"/>
      <c r="J906" s="80"/>
      <c r="K906" s="80"/>
      <c r="L906" s="2"/>
      <c r="M906" s="2"/>
      <c r="N906" s="2"/>
      <c r="O906" s="2"/>
      <c r="P906" s="2"/>
      <c r="Q906" s="2"/>
      <c r="R906" s="80"/>
      <c r="S906" s="80"/>
      <c r="T906" s="80"/>
      <c r="U906" s="80"/>
      <c r="V906" s="80"/>
      <c r="W906" s="80"/>
      <c r="X906" s="80"/>
      <c r="Y906" s="80"/>
      <c r="Z906" s="80"/>
      <c r="AA906" s="80"/>
      <c r="AB906" s="80"/>
      <c r="AC906" s="80"/>
      <c r="AD906" s="80"/>
      <c r="AE906" s="80"/>
      <c r="AF906" s="80"/>
      <c r="AG906" s="80"/>
      <c r="AH906" s="80"/>
      <c r="AI906" s="80"/>
    </row>
    <row r="907" spans="1:35" x14ac:dyDescent="0.2">
      <c r="A907" s="2"/>
      <c r="B907" s="80"/>
      <c r="C907" s="80"/>
      <c r="D907" s="80"/>
      <c r="E907" s="80"/>
      <c r="F907" s="80"/>
      <c r="G907" s="80"/>
      <c r="H907" s="80"/>
      <c r="I907" s="80"/>
      <c r="J907" s="80"/>
      <c r="K907" s="80"/>
      <c r="L907" s="2"/>
      <c r="M907" s="2"/>
      <c r="N907" s="2"/>
      <c r="O907" s="2"/>
      <c r="P907" s="2"/>
      <c r="Q907" s="2"/>
      <c r="R907" s="80"/>
      <c r="S907" s="80"/>
      <c r="T907" s="80"/>
      <c r="U907" s="80"/>
      <c r="V907" s="80"/>
      <c r="W907" s="80"/>
      <c r="X907" s="80"/>
      <c r="Y907" s="80"/>
      <c r="Z907" s="80"/>
      <c r="AA907" s="80"/>
      <c r="AB907" s="80"/>
      <c r="AC907" s="80"/>
      <c r="AD907" s="80"/>
      <c r="AE907" s="80"/>
      <c r="AF907" s="80"/>
      <c r="AG907" s="80"/>
      <c r="AH907" s="80"/>
      <c r="AI907" s="80"/>
    </row>
    <row r="908" spans="1:35" x14ac:dyDescent="0.2">
      <c r="A908" s="2"/>
      <c r="B908" s="80"/>
      <c r="C908" s="80"/>
      <c r="D908" s="80"/>
      <c r="E908" s="80"/>
      <c r="F908" s="80"/>
      <c r="G908" s="80"/>
      <c r="H908" s="80"/>
      <c r="I908" s="80"/>
      <c r="J908" s="80"/>
      <c r="K908" s="80"/>
      <c r="L908" s="2"/>
      <c r="M908" s="2"/>
      <c r="N908" s="2"/>
      <c r="O908" s="2"/>
      <c r="P908" s="2"/>
      <c r="Q908" s="2"/>
      <c r="R908" s="80"/>
      <c r="S908" s="80"/>
      <c r="T908" s="80"/>
      <c r="U908" s="80"/>
      <c r="V908" s="80"/>
      <c r="W908" s="80"/>
      <c r="X908" s="80"/>
      <c r="Y908" s="80"/>
      <c r="Z908" s="80"/>
      <c r="AA908" s="80"/>
      <c r="AB908" s="80"/>
      <c r="AC908" s="80"/>
      <c r="AD908" s="80"/>
      <c r="AE908" s="80"/>
      <c r="AF908" s="80"/>
      <c r="AG908" s="80"/>
      <c r="AH908" s="80"/>
      <c r="AI908" s="80"/>
    </row>
    <row r="909" spans="1:35" x14ac:dyDescent="0.2">
      <c r="A909" s="2"/>
      <c r="B909" s="80"/>
      <c r="C909" s="80"/>
      <c r="D909" s="80"/>
      <c r="E909" s="80"/>
      <c r="F909" s="80"/>
      <c r="G909" s="80"/>
      <c r="H909" s="80"/>
      <c r="I909" s="80"/>
      <c r="J909" s="80"/>
      <c r="K909" s="80"/>
      <c r="L909" s="2"/>
      <c r="M909" s="2"/>
      <c r="N909" s="2"/>
      <c r="O909" s="2"/>
      <c r="P909" s="2"/>
      <c r="Q909" s="2"/>
      <c r="R909" s="80"/>
      <c r="S909" s="80"/>
      <c r="T909" s="80"/>
      <c r="U909" s="80"/>
      <c r="V909" s="80"/>
      <c r="W909" s="80"/>
      <c r="X909" s="80"/>
      <c r="Y909" s="80"/>
      <c r="Z909" s="80"/>
      <c r="AA909" s="80"/>
      <c r="AB909" s="80"/>
      <c r="AC909" s="80"/>
      <c r="AD909" s="80"/>
      <c r="AE909" s="80"/>
      <c r="AF909" s="80"/>
      <c r="AG909" s="80"/>
      <c r="AH909" s="80"/>
      <c r="AI909" s="80"/>
    </row>
    <row r="910" spans="1:35" x14ac:dyDescent="0.2">
      <c r="A910" s="2"/>
      <c r="B910" s="80"/>
      <c r="C910" s="80"/>
      <c r="D910" s="80"/>
      <c r="E910" s="80"/>
      <c r="F910" s="80"/>
      <c r="G910" s="80"/>
      <c r="H910" s="80"/>
      <c r="I910" s="80"/>
      <c r="J910" s="80"/>
      <c r="K910" s="80"/>
      <c r="L910" s="2"/>
      <c r="M910" s="2"/>
      <c r="N910" s="2"/>
      <c r="O910" s="2"/>
      <c r="P910" s="2"/>
      <c r="Q910" s="2"/>
      <c r="R910" s="80"/>
      <c r="S910" s="80"/>
      <c r="T910" s="80"/>
      <c r="U910" s="80"/>
      <c r="V910" s="80"/>
      <c r="W910" s="80"/>
      <c r="X910" s="80"/>
      <c r="Y910" s="80"/>
      <c r="Z910" s="80"/>
      <c r="AA910" s="80"/>
      <c r="AB910" s="80"/>
      <c r="AC910" s="80"/>
      <c r="AD910" s="80"/>
      <c r="AE910" s="80"/>
      <c r="AF910" s="80"/>
      <c r="AG910" s="80"/>
      <c r="AH910" s="80"/>
      <c r="AI910" s="80"/>
    </row>
    <row r="911" spans="1:35" x14ac:dyDescent="0.2">
      <c r="A911" s="2"/>
      <c r="B911" s="80"/>
      <c r="C911" s="80"/>
      <c r="D911" s="80"/>
      <c r="E911" s="80"/>
      <c r="F911" s="80"/>
      <c r="G911" s="80"/>
      <c r="H911" s="80"/>
      <c r="I911" s="80"/>
      <c r="J911" s="80"/>
      <c r="K911" s="80"/>
      <c r="L911" s="2"/>
      <c r="M911" s="2"/>
      <c r="N911" s="2"/>
      <c r="O911" s="2"/>
      <c r="P911" s="2"/>
      <c r="Q911" s="2"/>
      <c r="R911" s="80"/>
      <c r="S911" s="80"/>
      <c r="T911" s="80"/>
      <c r="U911" s="80"/>
      <c r="V911" s="80"/>
      <c r="W911" s="80"/>
      <c r="X911" s="80"/>
      <c r="Y911" s="80"/>
      <c r="Z911" s="80"/>
      <c r="AA911" s="80"/>
      <c r="AB911" s="80"/>
      <c r="AC911" s="80"/>
      <c r="AD911" s="80"/>
      <c r="AE911" s="80"/>
      <c r="AF911" s="80"/>
      <c r="AG911" s="80"/>
      <c r="AH911" s="80"/>
      <c r="AI911" s="80"/>
    </row>
    <row r="912" spans="1:35" x14ac:dyDescent="0.2">
      <c r="A912" s="2"/>
      <c r="B912" s="80"/>
      <c r="C912" s="80"/>
      <c r="D912" s="80"/>
      <c r="E912" s="80"/>
      <c r="F912" s="80"/>
      <c r="G912" s="80"/>
      <c r="H912" s="80"/>
      <c r="I912" s="80"/>
      <c r="J912" s="80"/>
      <c r="K912" s="80"/>
      <c r="L912" s="2"/>
      <c r="M912" s="2"/>
      <c r="N912" s="2"/>
      <c r="O912" s="2"/>
      <c r="P912" s="2"/>
      <c r="Q912" s="2"/>
      <c r="R912" s="80"/>
      <c r="S912" s="80"/>
      <c r="T912" s="80"/>
      <c r="U912" s="80"/>
      <c r="V912" s="80"/>
      <c r="W912" s="80"/>
      <c r="X912" s="80"/>
      <c r="Y912" s="80"/>
      <c r="Z912" s="80"/>
      <c r="AA912" s="80"/>
      <c r="AB912" s="80"/>
      <c r="AC912" s="80"/>
      <c r="AD912" s="80"/>
      <c r="AE912" s="80"/>
      <c r="AF912" s="80"/>
      <c r="AG912" s="80"/>
      <c r="AH912" s="80"/>
      <c r="AI912" s="80"/>
    </row>
    <row r="913" spans="1:35" x14ac:dyDescent="0.2">
      <c r="A913" s="2"/>
      <c r="B913" s="80"/>
      <c r="C913" s="80"/>
      <c r="D913" s="80"/>
      <c r="E913" s="80"/>
      <c r="F913" s="80"/>
      <c r="G913" s="80"/>
      <c r="H913" s="80"/>
      <c r="I913" s="80"/>
      <c r="J913" s="80"/>
      <c r="K913" s="80"/>
      <c r="L913" s="2"/>
      <c r="M913" s="2"/>
      <c r="N913" s="2"/>
      <c r="O913" s="2"/>
      <c r="P913" s="2"/>
      <c r="Q913" s="2"/>
      <c r="R913" s="80"/>
      <c r="S913" s="80"/>
      <c r="T913" s="80"/>
      <c r="U913" s="80"/>
      <c r="V913" s="80"/>
      <c r="W913" s="80"/>
      <c r="X913" s="80"/>
      <c r="Y913" s="80"/>
      <c r="Z913" s="80"/>
      <c r="AA913" s="80"/>
      <c r="AB913" s="80"/>
      <c r="AC913" s="80"/>
      <c r="AD913" s="80"/>
      <c r="AE913" s="80"/>
      <c r="AF913" s="80"/>
      <c r="AG913" s="80"/>
      <c r="AH913" s="80"/>
      <c r="AI913" s="80"/>
    </row>
    <row r="914" spans="1:35" x14ac:dyDescent="0.2">
      <c r="A914" s="2"/>
      <c r="B914" s="80"/>
      <c r="C914" s="80"/>
      <c r="D914" s="80"/>
      <c r="E914" s="80"/>
      <c r="F914" s="80"/>
      <c r="G914" s="80"/>
      <c r="H914" s="80"/>
      <c r="I914" s="80"/>
      <c r="J914" s="80"/>
      <c r="K914" s="80"/>
      <c r="L914" s="2"/>
      <c r="M914" s="2"/>
      <c r="N914" s="2"/>
      <c r="O914" s="2"/>
      <c r="P914" s="2"/>
      <c r="Q914" s="2"/>
      <c r="R914" s="80"/>
      <c r="S914" s="80"/>
      <c r="T914" s="80"/>
      <c r="U914" s="80"/>
      <c r="V914" s="80"/>
      <c r="W914" s="80"/>
      <c r="X914" s="80"/>
      <c r="Y914" s="80"/>
      <c r="Z914" s="80"/>
      <c r="AA914" s="80"/>
      <c r="AB914" s="80"/>
      <c r="AC914" s="80"/>
      <c r="AD914" s="80"/>
      <c r="AE914" s="80"/>
      <c r="AF914" s="80"/>
      <c r="AG914" s="80"/>
      <c r="AH914" s="80"/>
      <c r="AI914" s="80"/>
    </row>
    <row r="915" spans="1:35" x14ac:dyDescent="0.2">
      <c r="A915" s="2"/>
      <c r="B915" s="80"/>
      <c r="C915" s="80"/>
      <c r="D915" s="80"/>
      <c r="E915" s="80"/>
      <c r="F915" s="80"/>
      <c r="G915" s="80"/>
      <c r="H915" s="80"/>
      <c r="I915" s="80"/>
      <c r="J915" s="80"/>
      <c r="K915" s="80"/>
      <c r="L915" s="2"/>
      <c r="M915" s="2"/>
      <c r="N915" s="2"/>
      <c r="O915" s="2"/>
      <c r="P915" s="2"/>
      <c r="Q915" s="2"/>
      <c r="R915" s="80"/>
      <c r="S915" s="80"/>
      <c r="T915" s="80"/>
      <c r="U915" s="80"/>
      <c r="V915" s="80"/>
      <c r="W915" s="80"/>
      <c r="X915" s="80"/>
      <c r="Y915" s="80"/>
      <c r="Z915" s="80"/>
      <c r="AA915" s="80"/>
      <c r="AB915" s="80"/>
      <c r="AC915" s="80"/>
      <c r="AD915" s="80"/>
      <c r="AE915" s="80"/>
      <c r="AF915" s="80"/>
      <c r="AG915" s="80"/>
      <c r="AH915" s="80"/>
      <c r="AI915" s="80"/>
    </row>
    <row r="916" spans="1:35" x14ac:dyDescent="0.2">
      <c r="A916" s="2"/>
      <c r="B916" s="80"/>
      <c r="C916" s="80"/>
      <c r="D916" s="80"/>
      <c r="E916" s="80"/>
      <c r="F916" s="80"/>
      <c r="G916" s="80"/>
      <c r="H916" s="80"/>
      <c r="I916" s="80"/>
      <c r="J916" s="80"/>
      <c r="K916" s="80"/>
      <c r="L916" s="2"/>
      <c r="M916" s="2"/>
      <c r="N916" s="2"/>
      <c r="O916" s="2"/>
      <c r="P916" s="2"/>
      <c r="Q916" s="2"/>
      <c r="R916" s="80"/>
      <c r="S916" s="80"/>
      <c r="T916" s="80"/>
      <c r="U916" s="80"/>
      <c r="V916" s="80"/>
      <c r="W916" s="80"/>
      <c r="X916" s="80"/>
      <c r="Y916" s="80"/>
      <c r="Z916" s="80"/>
      <c r="AA916" s="80"/>
      <c r="AB916" s="80"/>
      <c r="AC916" s="80"/>
      <c r="AD916" s="80"/>
      <c r="AE916" s="80"/>
      <c r="AF916" s="80"/>
      <c r="AG916" s="80"/>
      <c r="AH916" s="80"/>
      <c r="AI916" s="80"/>
    </row>
    <row r="917" spans="1:35" x14ac:dyDescent="0.2">
      <c r="A917" s="2"/>
      <c r="B917" s="80"/>
      <c r="C917" s="80"/>
      <c r="D917" s="80"/>
      <c r="E917" s="80"/>
      <c r="F917" s="80"/>
      <c r="G917" s="80"/>
      <c r="H917" s="80"/>
      <c r="I917" s="80"/>
      <c r="J917" s="80"/>
      <c r="K917" s="80"/>
      <c r="L917" s="2"/>
      <c r="M917" s="2"/>
      <c r="N917" s="2"/>
      <c r="O917" s="2"/>
      <c r="P917" s="2"/>
      <c r="Q917" s="2"/>
      <c r="R917" s="80"/>
      <c r="S917" s="80"/>
      <c r="T917" s="80"/>
      <c r="U917" s="80"/>
      <c r="V917" s="80"/>
      <c r="W917" s="80"/>
      <c r="X917" s="80"/>
      <c r="Y917" s="80"/>
      <c r="Z917" s="80"/>
      <c r="AA917" s="80"/>
      <c r="AB917" s="80"/>
      <c r="AC917" s="80"/>
      <c r="AD917" s="80"/>
      <c r="AE917" s="80"/>
      <c r="AF917" s="80"/>
      <c r="AG917" s="80"/>
      <c r="AH917" s="80"/>
      <c r="AI917" s="80"/>
    </row>
    <row r="918" spans="1:35" x14ac:dyDescent="0.2">
      <c r="A918" s="2"/>
      <c r="B918" s="80"/>
      <c r="C918" s="80"/>
      <c r="D918" s="80"/>
      <c r="E918" s="80"/>
      <c r="F918" s="80"/>
      <c r="G918" s="80"/>
      <c r="H918" s="80"/>
      <c r="I918" s="80"/>
      <c r="J918" s="80"/>
      <c r="K918" s="80"/>
      <c r="L918" s="2"/>
      <c r="M918" s="2"/>
      <c r="N918" s="2"/>
      <c r="O918" s="2"/>
      <c r="P918" s="2"/>
      <c r="Q918" s="2"/>
      <c r="R918" s="80"/>
      <c r="S918" s="80"/>
      <c r="T918" s="80"/>
      <c r="U918" s="80"/>
      <c r="V918" s="80"/>
      <c r="W918" s="80"/>
      <c r="X918" s="80"/>
      <c r="Y918" s="80"/>
      <c r="Z918" s="80"/>
      <c r="AA918" s="80"/>
      <c r="AB918" s="80"/>
      <c r="AC918" s="80"/>
      <c r="AD918" s="80"/>
      <c r="AE918" s="80"/>
      <c r="AF918" s="80"/>
      <c r="AG918" s="80"/>
      <c r="AH918" s="80"/>
      <c r="AI918" s="80"/>
    </row>
    <row r="919" spans="1:35" x14ac:dyDescent="0.2">
      <c r="A919" s="2"/>
      <c r="B919" s="80"/>
      <c r="C919" s="80"/>
      <c r="D919" s="80"/>
      <c r="E919" s="80"/>
      <c r="F919" s="80"/>
      <c r="G919" s="80"/>
      <c r="H919" s="80"/>
      <c r="I919" s="80"/>
      <c r="J919" s="80"/>
      <c r="K919" s="80"/>
      <c r="L919" s="2"/>
      <c r="M919" s="2"/>
      <c r="N919" s="2"/>
      <c r="O919" s="2"/>
      <c r="P919" s="2"/>
      <c r="Q919" s="2"/>
      <c r="R919" s="80"/>
      <c r="S919" s="80"/>
      <c r="T919" s="80"/>
      <c r="U919" s="80"/>
      <c r="V919" s="80"/>
      <c r="W919" s="80"/>
      <c r="X919" s="80"/>
      <c r="Y919" s="80"/>
      <c r="Z919" s="80"/>
      <c r="AA919" s="80"/>
      <c r="AB919" s="80"/>
      <c r="AC919" s="80"/>
      <c r="AD919" s="80"/>
      <c r="AE919" s="80"/>
      <c r="AF919" s="80"/>
      <c r="AG919" s="80"/>
      <c r="AH919" s="80"/>
      <c r="AI919" s="80"/>
    </row>
    <row r="920" spans="1:35" x14ac:dyDescent="0.2">
      <c r="A920" s="2"/>
      <c r="B920" s="80"/>
      <c r="C920" s="80"/>
      <c r="D920" s="80"/>
      <c r="E920" s="80"/>
      <c r="F920" s="80"/>
      <c r="G920" s="80"/>
      <c r="H920" s="80"/>
      <c r="I920" s="80"/>
      <c r="J920" s="80"/>
      <c r="K920" s="80"/>
      <c r="L920" s="2"/>
      <c r="M920" s="2"/>
      <c r="N920" s="2"/>
      <c r="O920" s="2"/>
      <c r="P920" s="2"/>
      <c r="Q920" s="2"/>
      <c r="R920" s="80"/>
      <c r="S920" s="80"/>
      <c r="T920" s="80"/>
      <c r="U920" s="80"/>
      <c r="V920" s="80"/>
      <c r="W920" s="80"/>
      <c r="X920" s="80"/>
      <c r="Y920" s="80"/>
      <c r="Z920" s="80"/>
      <c r="AA920" s="80"/>
      <c r="AB920" s="80"/>
      <c r="AC920" s="80"/>
      <c r="AD920" s="80"/>
      <c r="AE920" s="80"/>
      <c r="AF920" s="80"/>
      <c r="AG920" s="80"/>
      <c r="AH920" s="80"/>
      <c r="AI920" s="80"/>
    </row>
    <row r="921" spans="1:35" x14ac:dyDescent="0.2">
      <c r="A921" s="2"/>
      <c r="B921" s="80"/>
      <c r="C921" s="80"/>
      <c r="D921" s="80"/>
      <c r="E921" s="80"/>
      <c r="F921" s="80"/>
      <c r="G921" s="80"/>
      <c r="H921" s="80"/>
      <c r="I921" s="80"/>
      <c r="J921" s="80"/>
      <c r="K921" s="80"/>
      <c r="L921" s="2"/>
      <c r="M921" s="2"/>
      <c r="N921" s="2"/>
      <c r="O921" s="2"/>
      <c r="P921" s="2"/>
      <c r="Q921" s="2"/>
      <c r="R921" s="80"/>
      <c r="S921" s="80"/>
      <c r="T921" s="80"/>
      <c r="U921" s="80"/>
      <c r="V921" s="80"/>
      <c r="W921" s="80"/>
      <c r="X921" s="80"/>
      <c r="Y921" s="80"/>
      <c r="Z921" s="80"/>
      <c r="AA921" s="80"/>
      <c r="AB921" s="80"/>
      <c r="AC921" s="80"/>
      <c r="AD921" s="80"/>
      <c r="AE921" s="80"/>
      <c r="AF921" s="80"/>
      <c r="AG921" s="80"/>
      <c r="AH921" s="80"/>
      <c r="AI921" s="80"/>
    </row>
    <row r="922" spans="1:35" x14ac:dyDescent="0.2">
      <c r="A922" s="2"/>
      <c r="B922" s="80"/>
      <c r="C922" s="80"/>
      <c r="D922" s="80"/>
      <c r="E922" s="80"/>
      <c r="F922" s="80"/>
      <c r="G922" s="80"/>
      <c r="H922" s="80"/>
      <c r="I922" s="80"/>
      <c r="J922" s="80"/>
      <c r="K922" s="80"/>
      <c r="L922" s="2"/>
      <c r="M922" s="2"/>
      <c r="N922" s="2"/>
      <c r="O922" s="2"/>
      <c r="P922" s="2"/>
      <c r="Q922" s="2"/>
      <c r="R922" s="80"/>
      <c r="S922" s="80"/>
      <c r="T922" s="80"/>
      <c r="U922" s="80"/>
      <c r="V922" s="80"/>
      <c r="W922" s="80"/>
      <c r="X922" s="80"/>
      <c r="Y922" s="80"/>
      <c r="Z922" s="80"/>
      <c r="AA922" s="80"/>
      <c r="AB922" s="80"/>
      <c r="AC922" s="80"/>
      <c r="AD922" s="80"/>
      <c r="AE922" s="80"/>
      <c r="AF922" s="80"/>
      <c r="AG922" s="80"/>
      <c r="AH922" s="80"/>
      <c r="AI922" s="80"/>
    </row>
    <row r="923" spans="1:35" x14ac:dyDescent="0.2">
      <c r="A923" s="2"/>
      <c r="B923" s="80"/>
      <c r="C923" s="80"/>
      <c r="D923" s="80"/>
      <c r="E923" s="80"/>
      <c r="F923" s="80"/>
      <c r="G923" s="80"/>
      <c r="H923" s="80"/>
      <c r="I923" s="80"/>
      <c r="J923" s="80"/>
      <c r="K923" s="80"/>
      <c r="L923" s="2"/>
      <c r="M923" s="2"/>
      <c r="N923" s="2"/>
      <c r="O923" s="2"/>
      <c r="P923" s="2"/>
      <c r="Q923" s="2"/>
      <c r="R923" s="80"/>
      <c r="S923" s="80"/>
      <c r="T923" s="80"/>
      <c r="U923" s="80"/>
      <c r="V923" s="80"/>
      <c r="W923" s="80"/>
      <c r="X923" s="80"/>
      <c r="Y923" s="80"/>
      <c r="Z923" s="80"/>
      <c r="AA923" s="80"/>
      <c r="AB923" s="80"/>
      <c r="AC923" s="80"/>
      <c r="AD923" s="80"/>
      <c r="AE923" s="80"/>
      <c r="AF923" s="80"/>
      <c r="AG923" s="80"/>
      <c r="AH923" s="80"/>
      <c r="AI923" s="80"/>
    </row>
    <row r="924" spans="1:35" x14ac:dyDescent="0.2">
      <c r="A924" s="2"/>
      <c r="B924" s="80"/>
      <c r="C924" s="80"/>
      <c r="D924" s="80"/>
      <c r="E924" s="80"/>
      <c r="F924" s="80"/>
      <c r="G924" s="80"/>
      <c r="H924" s="80"/>
      <c r="I924" s="80"/>
      <c r="J924" s="80"/>
      <c r="K924" s="80"/>
      <c r="L924" s="2"/>
      <c r="M924" s="2"/>
      <c r="N924" s="2"/>
      <c r="O924" s="2"/>
      <c r="P924" s="2"/>
      <c r="Q924" s="2"/>
      <c r="R924" s="80"/>
      <c r="S924" s="80"/>
      <c r="T924" s="80"/>
      <c r="U924" s="80"/>
      <c r="V924" s="80"/>
      <c r="W924" s="80"/>
      <c r="X924" s="80"/>
      <c r="Y924" s="80"/>
      <c r="Z924" s="80"/>
      <c r="AA924" s="80"/>
      <c r="AB924" s="80"/>
      <c r="AC924" s="80"/>
      <c r="AD924" s="80"/>
      <c r="AE924" s="80"/>
      <c r="AF924" s="80"/>
      <c r="AG924" s="80"/>
      <c r="AH924" s="80"/>
      <c r="AI924" s="80"/>
    </row>
    <row r="925" spans="1:35" x14ac:dyDescent="0.2">
      <c r="A925" s="2"/>
      <c r="B925" s="80"/>
      <c r="C925" s="80"/>
      <c r="D925" s="80"/>
      <c r="E925" s="80"/>
      <c r="F925" s="80"/>
      <c r="G925" s="80"/>
      <c r="H925" s="80"/>
      <c r="I925" s="80"/>
      <c r="J925" s="80"/>
      <c r="K925" s="80"/>
      <c r="L925" s="2"/>
      <c r="M925" s="2"/>
      <c r="N925" s="2"/>
      <c r="O925" s="2"/>
      <c r="P925" s="2"/>
      <c r="Q925" s="2"/>
      <c r="R925" s="80"/>
      <c r="S925" s="80"/>
      <c r="T925" s="80"/>
      <c r="U925" s="80"/>
      <c r="V925" s="80"/>
      <c r="W925" s="80"/>
      <c r="X925" s="80"/>
      <c r="Y925" s="80"/>
      <c r="Z925" s="80"/>
      <c r="AA925" s="80"/>
      <c r="AB925" s="80"/>
      <c r="AC925" s="80"/>
      <c r="AD925" s="80"/>
      <c r="AE925" s="80"/>
      <c r="AF925" s="80"/>
      <c r="AG925" s="80"/>
      <c r="AH925" s="80"/>
      <c r="AI925" s="80"/>
    </row>
    <row r="926" spans="1:35" x14ac:dyDescent="0.2">
      <c r="A926" s="2"/>
      <c r="B926" s="80"/>
      <c r="C926" s="80"/>
      <c r="D926" s="80"/>
      <c r="E926" s="80"/>
      <c r="F926" s="80"/>
      <c r="G926" s="80"/>
      <c r="H926" s="80"/>
      <c r="I926" s="80"/>
      <c r="J926" s="80"/>
      <c r="K926" s="80"/>
      <c r="L926" s="2"/>
      <c r="M926" s="2"/>
      <c r="N926" s="2"/>
      <c r="O926" s="2"/>
      <c r="P926" s="2"/>
      <c r="Q926" s="2"/>
      <c r="R926" s="80"/>
      <c r="S926" s="80"/>
      <c r="T926" s="80"/>
      <c r="U926" s="80"/>
      <c r="V926" s="80"/>
      <c r="W926" s="80"/>
      <c r="X926" s="80"/>
      <c r="Y926" s="80"/>
      <c r="Z926" s="80"/>
      <c r="AA926" s="80"/>
      <c r="AB926" s="80"/>
      <c r="AC926" s="80"/>
      <c r="AD926" s="80"/>
      <c r="AE926" s="80"/>
      <c r="AF926" s="80"/>
      <c r="AG926" s="80"/>
      <c r="AH926" s="80"/>
      <c r="AI926" s="80"/>
    </row>
    <row r="927" spans="1:35" x14ac:dyDescent="0.2">
      <c r="A927" s="2"/>
      <c r="B927" s="80"/>
      <c r="C927" s="80"/>
      <c r="D927" s="80"/>
      <c r="E927" s="80"/>
      <c r="F927" s="80"/>
      <c r="G927" s="80"/>
      <c r="H927" s="80"/>
      <c r="I927" s="80"/>
      <c r="J927" s="80"/>
      <c r="K927" s="80"/>
      <c r="L927" s="2"/>
      <c r="M927" s="2"/>
      <c r="N927" s="2"/>
      <c r="O927" s="2"/>
      <c r="P927" s="2"/>
      <c r="Q927" s="2"/>
      <c r="R927" s="80"/>
      <c r="S927" s="80"/>
      <c r="T927" s="80"/>
      <c r="U927" s="80"/>
      <c r="V927" s="80"/>
      <c r="W927" s="80"/>
      <c r="X927" s="80"/>
      <c r="Y927" s="80"/>
      <c r="Z927" s="80"/>
      <c r="AA927" s="80"/>
      <c r="AB927" s="80"/>
      <c r="AC927" s="80"/>
      <c r="AD927" s="80"/>
      <c r="AE927" s="80"/>
      <c r="AF927" s="80"/>
      <c r="AG927" s="80"/>
      <c r="AH927" s="80"/>
      <c r="AI927" s="80"/>
    </row>
    <row r="928" spans="1:35" x14ac:dyDescent="0.2">
      <c r="A928" s="2"/>
      <c r="B928" s="80"/>
      <c r="C928" s="80"/>
      <c r="D928" s="80"/>
      <c r="E928" s="80"/>
      <c r="F928" s="80"/>
      <c r="G928" s="80"/>
      <c r="H928" s="80"/>
      <c r="I928" s="80"/>
      <c r="J928" s="80"/>
      <c r="K928" s="80"/>
      <c r="L928" s="2"/>
      <c r="M928" s="2"/>
      <c r="N928" s="2"/>
      <c r="O928" s="2"/>
      <c r="P928" s="2"/>
      <c r="Q928" s="2"/>
      <c r="R928" s="80"/>
      <c r="S928" s="80"/>
      <c r="T928" s="80"/>
      <c r="U928" s="80"/>
      <c r="V928" s="80"/>
      <c r="W928" s="80"/>
      <c r="X928" s="80"/>
      <c r="Y928" s="80"/>
      <c r="Z928" s="80"/>
      <c r="AA928" s="80"/>
      <c r="AB928" s="80"/>
      <c r="AC928" s="80"/>
      <c r="AD928" s="80"/>
      <c r="AE928" s="80"/>
      <c r="AF928" s="80"/>
      <c r="AG928" s="80"/>
      <c r="AH928" s="80"/>
      <c r="AI928" s="80"/>
    </row>
    <row r="929" spans="1:35" x14ac:dyDescent="0.2">
      <c r="A929" s="2"/>
      <c r="B929" s="80"/>
      <c r="C929" s="80"/>
      <c r="D929" s="80"/>
      <c r="E929" s="80"/>
      <c r="F929" s="80"/>
      <c r="G929" s="80"/>
      <c r="H929" s="80"/>
      <c r="I929" s="80"/>
      <c r="J929" s="80"/>
      <c r="K929" s="80"/>
      <c r="L929" s="2"/>
      <c r="M929" s="2"/>
      <c r="N929" s="2"/>
      <c r="O929" s="2"/>
      <c r="P929" s="2"/>
      <c r="Q929" s="2"/>
      <c r="R929" s="80"/>
      <c r="S929" s="80"/>
      <c r="T929" s="80"/>
      <c r="U929" s="80"/>
      <c r="V929" s="80"/>
      <c r="W929" s="80"/>
      <c r="X929" s="80"/>
      <c r="Y929" s="80"/>
      <c r="Z929" s="80"/>
      <c r="AA929" s="80"/>
      <c r="AB929" s="80"/>
      <c r="AC929" s="80"/>
      <c r="AD929" s="80"/>
      <c r="AE929" s="80"/>
      <c r="AF929" s="80"/>
      <c r="AG929" s="80"/>
      <c r="AH929" s="80"/>
      <c r="AI929" s="80"/>
    </row>
    <row r="930" spans="1:35" x14ac:dyDescent="0.2">
      <c r="A930" s="2"/>
      <c r="B930" s="80"/>
      <c r="C930" s="80"/>
      <c r="D930" s="80"/>
      <c r="E930" s="80"/>
      <c r="F930" s="80"/>
      <c r="G930" s="80"/>
      <c r="H930" s="80"/>
      <c r="I930" s="80"/>
      <c r="J930" s="80"/>
      <c r="K930" s="80"/>
      <c r="L930" s="2"/>
      <c r="M930" s="2"/>
      <c r="N930" s="2"/>
      <c r="O930" s="2"/>
      <c r="P930" s="2"/>
      <c r="Q930" s="2"/>
      <c r="R930" s="80"/>
      <c r="S930" s="80"/>
      <c r="T930" s="80"/>
      <c r="U930" s="80"/>
      <c r="V930" s="80"/>
      <c r="W930" s="80"/>
      <c r="X930" s="80"/>
      <c r="Y930" s="80"/>
      <c r="Z930" s="80"/>
      <c r="AA930" s="80"/>
      <c r="AB930" s="80"/>
      <c r="AC930" s="80"/>
      <c r="AD930" s="80"/>
      <c r="AE930" s="80"/>
      <c r="AF930" s="80"/>
      <c r="AG930" s="80"/>
      <c r="AH930" s="80"/>
      <c r="AI930" s="80"/>
    </row>
    <row r="931" spans="1:35" x14ac:dyDescent="0.2">
      <c r="A931" s="2"/>
      <c r="B931" s="80"/>
      <c r="C931" s="80"/>
      <c r="D931" s="80"/>
      <c r="E931" s="80"/>
      <c r="F931" s="80"/>
      <c r="G931" s="80"/>
      <c r="H931" s="80"/>
      <c r="I931" s="80"/>
      <c r="J931" s="80"/>
      <c r="K931" s="80"/>
      <c r="L931" s="2"/>
      <c r="M931" s="2"/>
      <c r="N931" s="2"/>
      <c r="O931" s="2"/>
      <c r="P931" s="2"/>
      <c r="Q931" s="2"/>
      <c r="R931" s="80"/>
      <c r="S931" s="80"/>
      <c r="T931" s="80"/>
      <c r="U931" s="80"/>
      <c r="V931" s="80"/>
      <c r="W931" s="80"/>
      <c r="X931" s="80"/>
      <c r="Y931" s="80"/>
      <c r="Z931" s="80"/>
      <c r="AA931" s="80"/>
      <c r="AB931" s="80"/>
      <c r="AC931" s="80"/>
      <c r="AD931" s="80"/>
      <c r="AE931" s="80"/>
      <c r="AF931" s="80"/>
      <c r="AG931" s="80"/>
      <c r="AH931" s="80"/>
      <c r="AI931" s="80"/>
    </row>
    <row r="932" spans="1:35" x14ac:dyDescent="0.2">
      <c r="A932" s="2"/>
      <c r="B932" s="80"/>
      <c r="C932" s="80"/>
      <c r="D932" s="80"/>
      <c r="E932" s="80"/>
      <c r="F932" s="80"/>
      <c r="G932" s="80"/>
      <c r="H932" s="80"/>
      <c r="I932" s="80"/>
      <c r="J932" s="80"/>
      <c r="K932" s="80"/>
      <c r="L932" s="2"/>
      <c r="M932" s="2"/>
      <c r="N932" s="2"/>
      <c r="O932" s="2"/>
      <c r="P932" s="2"/>
      <c r="Q932" s="2"/>
      <c r="R932" s="80"/>
      <c r="S932" s="80"/>
      <c r="T932" s="80"/>
      <c r="U932" s="80"/>
      <c r="V932" s="80"/>
      <c r="W932" s="80"/>
      <c r="X932" s="80"/>
      <c r="Y932" s="80"/>
      <c r="Z932" s="80"/>
      <c r="AA932" s="80"/>
      <c r="AB932" s="80"/>
      <c r="AC932" s="80"/>
      <c r="AD932" s="80"/>
      <c r="AE932" s="80"/>
      <c r="AF932" s="80"/>
      <c r="AG932" s="80"/>
      <c r="AH932" s="80"/>
      <c r="AI932" s="80"/>
    </row>
    <row r="933" spans="1:35" x14ac:dyDescent="0.2">
      <c r="A933" s="2"/>
      <c r="B933" s="80"/>
      <c r="C933" s="80"/>
      <c r="D933" s="80"/>
      <c r="E933" s="80"/>
      <c r="F933" s="80"/>
      <c r="G933" s="80"/>
      <c r="H933" s="80"/>
      <c r="I933" s="80"/>
      <c r="J933" s="80"/>
      <c r="K933" s="80"/>
      <c r="L933" s="2"/>
      <c r="M933" s="2"/>
      <c r="N933" s="2"/>
      <c r="O933" s="2"/>
      <c r="P933" s="2"/>
      <c r="Q933" s="2"/>
      <c r="R933" s="80"/>
      <c r="S933" s="80"/>
      <c r="T933" s="80"/>
      <c r="U933" s="80"/>
      <c r="V933" s="80"/>
      <c r="W933" s="80"/>
      <c r="X933" s="80"/>
      <c r="Y933" s="80"/>
      <c r="Z933" s="80"/>
      <c r="AA933" s="80"/>
      <c r="AB933" s="80"/>
      <c r="AC933" s="80"/>
      <c r="AD933" s="80"/>
      <c r="AE933" s="80"/>
      <c r="AF933" s="80"/>
      <c r="AG933" s="80"/>
      <c r="AH933" s="80"/>
      <c r="AI933" s="80"/>
    </row>
    <row r="934" spans="1:35" x14ac:dyDescent="0.2">
      <c r="A934" s="2"/>
      <c r="B934" s="80"/>
      <c r="C934" s="80"/>
      <c r="D934" s="80"/>
      <c r="E934" s="80"/>
      <c r="F934" s="80"/>
      <c r="G934" s="80"/>
      <c r="H934" s="80"/>
      <c r="I934" s="80"/>
      <c r="J934" s="80"/>
      <c r="K934" s="80"/>
      <c r="L934" s="2"/>
      <c r="M934" s="2"/>
      <c r="N934" s="2"/>
      <c r="O934" s="2"/>
      <c r="P934" s="2"/>
      <c r="Q934" s="2"/>
      <c r="R934" s="80"/>
      <c r="S934" s="80"/>
      <c r="T934" s="80"/>
      <c r="U934" s="80"/>
      <c r="V934" s="80"/>
      <c r="W934" s="80"/>
      <c r="X934" s="80"/>
      <c r="Y934" s="80"/>
      <c r="Z934" s="80"/>
      <c r="AA934" s="80"/>
      <c r="AB934" s="80"/>
      <c r="AC934" s="80"/>
      <c r="AD934" s="80"/>
      <c r="AE934" s="80"/>
      <c r="AF934" s="80"/>
      <c r="AG934" s="80"/>
      <c r="AH934" s="80"/>
      <c r="AI934" s="80"/>
    </row>
    <row r="935" spans="1:35" x14ac:dyDescent="0.2">
      <c r="A935" s="2"/>
      <c r="B935" s="80"/>
      <c r="C935" s="80"/>
      <c r="D935" s="80"/>
      <c r="E935" s="80"/>
      <c r="F935" s="80"/>
      <c r="G935" s="80"/>
      <c r="H935" s="80"/>
      <c r="I935" s="80"/>
      <c r="J935" s="80"/>
      <c r="K935" s="80"/>
      <c r="L935" s="2"/>
      <c r="M935" s="2"/>
      <c r="N935" s="2"/>
      <c r="O935" s="2"/>
      <c r="P935" s="2"/>
      <c r="Q935" s="2"/>
      <c r="R935" s="80"/>
      <c r="S935" s="80"/>
      <c r="T935" s="80"/>
      <c r="U935" s="80"/>
      <c r="V935" s="80"/>
      <c r="W935" s="80"/>
      <c r="X935" s="80"/>
      <c r="Y935" s="80"/>
      <c r="Z935" s="80"/>
      <c r="AA935" s="80"/>
      <c r="AB935" s="80"/>
      <c r="AC935" s="80"/>
      <c r="AD935" s="80"/>
      <c r="AE935" s="80"/>
      <c r="AF935" s="80"/>
      <c r="AG935" s="80"/>
      <c r="AH935" s="80"/>
      <c r="AI935" s="80"/>
    </row>
    <row r="936" spans="1:35" x14ac:dyDescent="0.2">
      <c r="A936" s="2"/>
      <c r="B936" s="80"/>
      <c r="C936" s="80"/>
      <c r="D936" s="80"/>
      <c r="E936" s="80"/>
      <c r="F936" s="80"/>
      <c r="G936" s="80"/>
      <c r="H936" s="80"/>
      <c r="I936" s="80"/>
      <c r="J936" s="80"/>
      <c r="K936" s="80"/>
      <c r="L936" s="2"/>
      <c r="M936" s="2"/>
      <c r="N936" s="2"/>
      <c r="O936" s="2"/>
      <c r="P936" s="2"/>
      <c r="Q936" s="2"/>
      <c r="R936" s="80"/>
      <c r="S936" s="80"/>
      <c r="T936" s="80"/>
      <c r="U936" s="80"/>
      <c r="V936" s="80"/>
      <c r="W936" s="80"/>
      <c r="X936" s="80"/>
      <c r="Y936" s="80"/>
      <c r="Z936" s="80"/>
      <c r="AA936" s="80"/>
      <c r="AB936" s="80"/>
      <c r="AC936" s="80"/>
      <c r="AD936" s="80"/>
      <c r="AE936" s="80"/>
      <c r="AF936" s="80"/>
      <c r="AG936" s="80"/>
      <c r="AH936" s="80"/>
      <c r="AI936" s="80"/>
    </row>
    <row r="937" spans="1:35" x14ac:dyDescent="0.2">
      <c r="A937" s="2"/>
      <c r="B937" s="80"/>
      <c r="C937" s="80"/>
      <c r="D937" s="80"/>
      <c r="E937" s="80"/>
      <c r="F937" s="80"/>
      <c r="G937" s="80"/>
      <c r="H937" s="80"/>
      <c r="I937" s="80"/>
      <c r="J937" s="80"/>
      <c r="K937" s="80"/>
      <c r="L937" s="2"/>
      <c r="M937" s="2"/>
      <c r="N937" s="2"/>
      <c r="O937" s="2"/>
      <c r="P937" s="2"/>
      <c r="Q937" s="2"/>
      <c r="R937" s="80"/>
      <c r="S937" s="80"/>
      <c r="T937" s="80"/>
      <c r="U937" s="80"/>
      <c r="V937" s="80"/>
      <c r="W937" s="80"/>
      <c r="X937" s="80"/>
      <c r="Y937" s="80"/>
      <c r="Z937" s="80"/>
      <c r="AA937" s="80"/>
      <c r="AB937" s="80"/>
      <c r="AC937" s="80"/>
      <c r="AD937" s="80"/>
      <c r="AE937" s="80"/>
      <c r="AF937" s="80"/>
      <c r="AG937" s="80"/>
      <c r="AH937" s="80"/>
      <c r="AI937" s="80"/>
    </row>
    <row r="938" spans="1:35" x14ac:dyDescent="0.2">
      <c r="A938" s="2"/>
      <c r="B938" s="80"/>
      <c r="C938" s="80"/>
      <c r="D938" s="80"/>
      <c r="E938" s="80"/>
      <c r="F938" s="80"/>
      <c r="G938" s="80"/>
      <c r="H938" s="80"/>
      <c r="I938" s="80"/>
      <c r="J938" s="80"/>
      <c r="K938" s="80"/>
      <c r="L938" s="2"/>
      <c r="M938" s="2"/>
      <c r="N938" s="2"/>
      <c r="O938" s="2"/>
      <c r="P938" s="2"/>
      <c r="Q938" s="2"/>
      <c r="R938" s="80"/>
      <c r="S938" s="80"/>
      <c r="T938" s="80"/>
      <c r="U938" s="80"/>
      <c r="V938" s="80"/>
      <c r="W938" s="80"/>
      <c r="X938" s="80"/>
      <c r="Y938" s="80"/>
      <c r="Z938" s="80"/>
      <c r="AA938" s="80"/>
      <c r="AB938" s="80"/>
      <c r="AC938" s="80"/>
      <c r="AD938" s="80"/>
      <c r="AE938" s="80"/>
      <c r="AF938" s="80"/>
      <c r="AG938" s="80"/>
      <c r="AH938" s="80"/>
      <c r="AI938" s="80"/>
    </row>
    <row r="939" spans="1:35" x14ac:dyDescent="0.2">
      <c r="A939" s="2"/>
      <c r="B939" s="80"/>
      <c r="C939" s="80"/>
      <c r="D939" s="80"/>
      <c r="E939" s="80"/>
      <c r="F939" s="80"/>
      <c r="G939" s="80"/>
      <c r="H939" s="80"/>
      <c r="I939" s="80"/>
      <c r="J939" s="80"/>
      <c r="K939" s="80"/>
      <c r="L939" s="2"/>
      <c r="M939" s="2"/>
      <c r="N939" s="2"/>
      <c r="O939" s="2"/>
      <c r="P939" s="2"/>
      <c r="Q939" s="2"/>
      <c r="R939" s="80"/>
      <c r="S939" s="80"/>
      <c r="T939" s="80"/>
      <c r="U939" s="80"/>
      <c r="V939" s="80"/>
      <c r="W939" s="80"/>
      <c r="X939" s="80"/>
      <c r="Y939" s="80"/>
      <c r="Z939" s="80"/>
      <c r="AA939" s="80"/>
      <c r="AB939" s="80"/>
      <c r="AC939" s="80"/>
      <c r="AD939" s="80"/>
      <c r="AE939" s="80"/>
      <c r="AF939" s="80"/>
      <c r="AG939" s="80"/>
      <c r="AH939" s="80"/>
      <c r="AI939" s="80"/>
    </row>
    <row r="940" spans="1:35" x14ac:dyDescent="0.2">
      <c r="A940" s="2"/>
      <c r="B940" s="80"/>
      <c r="C940" s="80"/>
      <c r="D940" s="80"/>
      <c r="E940" s="80"/>
      <c r="F940" s="80"/>
      <c r="G940" s="80"/>
      <c r="H940" s="80"/>
      <c r="I940" s="80"/>
      <c r="J940" s="80"/>
      <c r="K940" s="80"/>
      <c r="L940" s="2"/>
      <c r="M940" s="2"/>
      <c r="N940" s="2"/>
      <c r="O940" s="2"/>
      <c r="P940" s="2"/>
      <c r="Q940" s="2"/>
      <c r="R940" s="80"/>
      <c r="S940" s="80"/>
      <c r="T940" s="80"/>
      <c r="U940" s="80"/>
      <c r="V940" s="80"/>
      <c r="W940" s="80"/>
      <c r="X940" s="80"/>
      <c r="Y940" s="80"/>
      <c r="Z940" s="80"/>
      <c r="AA940" s="80"/>
      <c r="AB940" s="80"/>
      <c r="AC940" s="80"/>
      <c r="AD940" s="80"/>
      <c r="AE940" s="80"/>
      <c r="AF940" s="80"/>
      <c r="AG940" s="80"/>
      <c r="AH940" s="80"/>
      <c r="AI940" s="80"/>
    </row>
    <row r="941" spans="1:35" x14ac:dyDescent="0.2">
      <c r="A941" s="2"/>
      <c r="B941" s="80"/>
      <c r="C941" s="80"/>
      <c r="D941" s="80"/>
      <c r="E941" s="80"/>
      <c r="F941" s="80"/>
      <c r="G941" s="80"/>
      <c r="H941" s="80"/>
      <c r="I941" s="80"/>
      <c r="J941" s="80"/>
      <c r="K941" s="80"/>
      <c r="L941" s="2"/>
      <c r="M941" s="2"/>
      <c r="N941" s="2"/>
      <c r="O941" s="2"/>
      <c r="P941" s="2"/>
      <c r="Q941" s="2"/>
      <c r="R941" s="80"/>
      <c r="S941" s="80"/>
      <c r="T941" s="80"/>
      <c r="U941" s="80"/>
      <c r="V941" s="80"/>
      <c r="W941" s="80"/>
      <c r="X941" s="80"/>
      <c r="Y941" s="80"/>
      <c r="Z941" s="80"/>
      <c r="AA941" s="80"/>
      <c r="AB941" s="80"/>
      <c r="AC941" s="80"/>
      <c r="AD941" s="80"/>
      <c r="AE941" s="80"/>
      <c r="AF941" s="80"/>
      <c r="AG941" s="80"/>
      <c r="AH941" s="80"/>
      <c r="AI941" s="80"/>
    </row>
    <row r="942" spans="1:35" x14ac:dyDescent="0.2">
      <c r="A942" s="2"/>
      <c r="B942" s="80"/>
      <c r="C942" s="80"/>
      <c r="D942" s="80"/>
      <c r="E942" s="80"/>
      <c r="F942" s="80"/>
      <c r="G942" s="80"/>
      <c r="H942" s="80"/>
      <c r="I942" s="80"/>
      <c r="J942" s="80"/>
      <c r="K942" s="80"/>
      <c r="L942" s="2"/>
      <c r="M942" s="2"/>
      <c r="N942" s="2"/>
      <c r="O942" s="2"/>
      <c r="P942" s="2"/>
      <c r="Q942" s="2"/>
      <c r="R942" s="80"/>
      <c r="S942" s="80"/>
      <c r="T942" s="80"/>
      <c r="U942" s="80"/>
      <c r="V942" s="80"/>
      <c r="W942" s="80"/>
      <c r="X942" s="80"/>
      <c r="Y942" s="80"/>
      <c r="Z942" s="80"/>
      <c r="AA942" s="80"/>
      <c r="AB942" s="80"/>
      <c r="AC942" s="80"/>
      <c r="AD942" s="80"/>
      <c r="AE942" s="80"/>
      <c r="AF942" s="80"/>
      <c r="AG942" s="80"/>
      <c r="AH942" s="80"/>
      <c r="AI942" s="80"/>
    </row>
    <row r="943" spans="1:35" x14ac:dyDescent="0.2">
      <c r="A943" s="2"/>
      <c r="B943" s="80"/>
      <c r="C943" s="80"/>
      <c r="D943" s="80"/>
      <c r="E943" s="80"/>
      <c r="F943" s="80"/>
      <c r="G943" s="80"/>
      <c r="H943" s="80"/>
      <c r="I943" s="80"/>
      <c r="J943" s="80"/>
      <c r="K943" s="80"/>
      <c r="L943" s="2"/>
      <c r="M943" s="2"/>
      <c r="N943" s="2"/>
      <c r="O943" s="2"/>
      <c r="P943" s="2"/>
      <c r="Q943" s="2"/>
      <c r="R943" s="80"/>
      <c r="S943" s="80"/>
      <c r="T943" s="80"/>
      <c r="U943" s="80"/>
      <c r="V943" s="80"/>
      <c r="W943" s="80"/>
      <c r="X943" s="80"/>
      <c r="Y943" s="80"/>
      <c r="Z943" s="80"/>
      <c r="AA943" s="80"/>
      <c r="AB943" s="80"/>
      <c r="AC943" s="80"/>
      <c r="AD943" s="80"/>
      <c r="AE943" s="80"/>
      <c r="AF943" s="80"/>
      <c r="AG943" s="80"/>
      <c r="AH943" s="80"/>
      <c r="AI943" s="80"/>
    </row>
    <row r="944" spans="1:35" x14ac:dyDescent="0.2">
      <c r="A944" s="2"/>
      <c r="B944" s="80"/>
      <c r="C944" s="80"/>
      <c r="D944" s="80"/>
      <c r="E944" s="80"/>
      <c r="F944" s="80"/>
      <c r="G944" s="80"/>
      <c r="H944" s="80"/>
      <c r="I944" s="80"/>
      <c r="J944" s="80"/>
      <c r="K944" s="80"/>
      <c r="L944" s="2"/>
      <c r="M944" s="2"/>
      <c r="N944" s="2"/>
      <c r="O944" s="2"/>
      <c r="P944" s="2"/>
      <c r="Q944" s="2"/>
      <c r="R944" s="80"/>
      <c r="S944" s="80"/>
      <c r="T944" s="80"/>
      <c r="U944" s="80"/>
      <c r="V944" s="80"/>
      <c r="W944" s="80"/>
      <c r="X944" s="80"/>
      <c r="Y944" s="80"/>
      <c r="Z944" s="80"/>
      <c r="AA944" s="80"/>
      <c r="AB944" s="80"/>
      <c r="AC944" s="80"/>
      <c r="AD944" s="80"/>
      <c r="AE944" s="80"/>
      <c r="AF944" s="80"/>
      <c r="AG944" s="80"/>
      <c r="AH944" s="80"/>
      <c r="AI944" s="80"/>
    </row>
    <row r="945" spans="1:35" x14ac:dyDescent="0.2">
      <c r="A945" s="2"/>
      <c r="B945" s="80"/>
      <c r="C945" s="80"/>
      <c r="D945" s="80"/>
      <c r="E945" s="80"/>
      <c r="F945" s="80"/>
      <c r="G945" s="80"/>
      <c r="H945" s="80"/>
      <c r="I945" s="80"/>
      <c r="J945" s="80"/>
      <c r="K945" s="80"/>
      <c r="L945" s="2"/>
      <c r="M945" s="2"/>
      <c r="N945" s="2"/>
      <c r="O945" s="2"/>
      <c r="P945" s="2"/>
      <c r="Q945" s="2"/>
      <c r="R945" s="80"/>
      <c r="S945" s="80"/>
      <c r="T945" s="80"/>
      <c r="U945" s="80"/>
      <c r="V945" s="80"/>
      <c r="W945" s="80"/>
      <c r="X945" s="80"/>
      <c r="Y945" s="80"/>
      <c r="Z945" s="80"/>
      <c r="AA945" s="80"/>
      <c r="AB945" s="80"/>
      <c r="AC945" s="80"/>
      <c r="AD945" s="80"/>
      <c r="AE945" s="80"/>
      <c r="AF945" s="80"/>
      <c r="AG945" s="80"/>
      <c r="AH945" s="80"/>
      <c r="AI945" s="80"/>
    </row>
    <row r="946" spans="1:35" x14ac:dyDescent="0.2">
      <c r="A946" s="2"/>
      <c r="B946" s="80"/>
      <c r="C946" s="80"/>
      <c r="D946" s="80"/>
      <c r="E946" s="80"/>
      <c r="F946" s="80"/>
      <c r="G946" s="80"/>
      <c r="H946" s="80"/>
      <c r="I946" s="80"/>
      <c r="J946" s="80"/>
      <c r="K946" s="80"/>
      <c r="L946" s="2"/>
      <c r="M946" s="2"/>
      <c r="N946" s="2"/>
      <c r="O946" s="2"/>
      <c r="P946" s="2"/>
      <c r="Q946" s="2"/>
      <c r="R946" s="80"/>
      <c r="S946" s="80"/>
      <c r="T946" s="80"/>
      <c r="U946" s="80"/>
      <c r="V946" s="80"/>
      <c r="W946" s="80"/>
      <c r="X946" s="80"/>
      <c r="Y946" s="80"/>
      <c r="Z946" s="80"/>
      <c r="AA946" s="80"/>
      <c r="AB946" s="80"/>
      <c r="AC946" s="80"/>
      <c r="AD946" s="80"/>
      <c r="AE946" s="80"/>
      <c r="AF946" s="80"/>
      <c r="AG946" s="80"/>
      <c r="AH946" s="80"/>
      <c r="AI946" s="80"/>
    </row>
    <row r="947" spans="1:35" x14ac:dyDescent="0.2">
      <c r="A947" s="2"/>
      <c r="B947" s="80"/>
      <c r="C947" s="80"/>
      <c r="D947" s="80"/>
      <c r="E947" s="80"/>
      <c r="F947" s="80"/>
      <c r="G947" s="80"/>
      <c r="H947" s="80"/>
      <c r="I947" s="80"/>
      <c r="J947" s="80"/>
      <c r="K947" s="80"/>
      <c r="L947" s="2"/>
      <c r="M947" s="2"/>
      <c r="N947" s="2"/>
      <c r="O947" s="2"/>
      <c r="P947" s="2"/>
      <c r="Q947" s="2"/>
      <c r="R947" s="80"/>
      <c r="S947" s="80"/>
      <c r="T947" s="80"/>
      <c r="U947" s="80"/>
      <c r="V947" s="80"/>
      <c r="W947" s="80"/>
      <c r="X947" s="80"/>
      <c r="Y947" s="80"/>
      <c r="Z947" s="80"/>
      <c r="AA947" s="80"/>
      <c r="AB947" s="80"/>
      <c r="AC947" s="80"/>
      <c r="AD947" s="80"/>
      <c r="AE947" s="80"/>
      <c r="AF947" s="80"/>
      <c r="AG947" s="80"/>
      <c r="AH947" s="80"/>
      <c r="AI947" s="80"/>
    </row>
    <row r="948" spans="1:35" x14ac:dyDescent="0.2">
      <c r="A948" s="2"/>
      <c r="B948" s="80"/>
      <c r="C948" s="80"/>
      <c r="D948" s="80"/>
      <c r="E948" s="80"/>
      <c r="F948" s="80"/>
      <c r="G948" s="80"/>
      <c r="H948" s="80"/>
      <c r="I948" s="80"/>
      <c r="J948" s="80"/>
      <c r="K948" s="80"/>
      <c r="L948" s="2"/>
      <c r="M948" s="2"/>
      <c r="N948" s="2"/>
      <c r="O948" s="2"/>
      <c r="P948" s="2"/>
      <c r="Q948" s="2"/>
      <c r="R948" s="80"/>
      <c r="S948" s="80"/>
      <c r="T948" s="80"/>
      <c r="U948" s="80"/>
      <c r="V948" s="80"/>
      <c r="W948" s="80"/>
      <c r="X948" s="80"/>
      <c r="Y948" s="80"/>
      <c r="Z948" s="80"/>
      <c r="AA948" s="80"/>
      <c r="AB948" s="80"/>
      <c r="AC948" s="80"/>
      <c r="AD948" s="80"/>
      <c r="AE948" s="80"/>
      <c r="AF948" s="80"/>
      <c r="AG948" s="80"/>
      <c r="AH948" s="80"/>
      <c r="AI948" s="80"/>
    </row>
    <row r="949" spans="1:35" x14ac:dyDescent="0.2">
      <c r="A949" s="2"/>
      <c r="B949" s="80"/>
      <c r="C949" s="80"/>
      <c r="D949" s="80"/>
      <c r="E949" s="80"/>
      <c r="F949" s="80"/>
      <c r="G949" s="80"/>
      <c r="H949" s="80"/>
      <c r="I949" s="80"/>
      <c r="J949" s="80"/>
      <c r="K949" s="80"/>
      <c r="L949" s="2"/>
      <c r="M949" s="2"/>
      <c r="N949" s="2"/>
      <c r="O949" s="2"/>
      <c r="P949" s="2"/>
      <c r="Q949" s="2"/>
      <c r="R949" s="80"/>
      <c r="S949" s="80"/>
      <c r="T949" s="80"/>
      <c r="U949" s="80"/>
      <c r="V949" s="80"/>
      <c r="W949" s="80"/>
      <c r="X949" s="80"/>
      <c r="Y949" s="80"/>
      <c r="Z949" s="80"/>
      <c r="AA949" s="80"/>
      <c r="AB949" s="80"/>
      <c r="AC949" s="80"/>
      <c r="AD949" s="80"/>
      <c r="AE949" s="80"/>
      <c r="AF949" s="80"/>
      <c r="AG949" s="80"/>
      <c r="AH949" s="80"/>
      <c r="AI949" s="80"/>
    </row>
    <row r="950" spans="1:35" x14ac:dyDescent="0.2">
      <c r="A950" s="2"/>
      <c r="B950" s="80"/>
      <c r="C950" s="80"/>
      <c r="D950" s="80"/>
      <c r="E950" s="80"/>
      <c r="F950" s="80"/>
      <c r="G950" s="80"/>
      <c r="H950" s="80"/>
      <c r="I950" s="80"/>
      <c r="J950" s="80"/>
      <c r="K950" s="80"/>
      <c r="L950" s="2"/>
      <c r="M950" s="2"/>
      <c r="N950" s="2"/>
      <c r="O950" s="2"/>
      <c r="P950" s="2"/>
      <c r="Q950" s="2"/>
      <c r="R950" s="80"/>
      <c r="S950" s="80"/>
      <c r="T950" s="80"/>
      <c r="U950" s="80"/>
      <c r="V950" s="80"/>
      <c r="W950" s="80"/>
      <c r="X950" s="80"/>
      <c r="Y950" s="80"/>
      <c r="Z950" s="80"/>
      <c r="AA950" s="80"/>
      <c r="AB950" s="80"/>
      <c r="AC950" s="80"/>
      <c r="AD950" s="80"/>
      <c r="AE950" s="80"/>
      <c r="AF950" s="80"/>
      <c r="AG950" s="80"/>
      <c r="AH950" s="80"/>
      <c r="AI950" s="80"/>
    </row>
    <row r="951" spans="1:35" x14ac:dyDescent="0.2">
      <c r="A951" s="2"/>
      <c r="B951" s="80"/>
      <c r="C951" s="80"/>
      <c r="D951" s="80"/>
      <c r="E951" s="80"/>
      <c r="F951" s="80"/>
      <c r="G951" s="80"/>
      <c r="H951" s="80"/>
      <c r="I951" s="80"/>
      <c r="J951" s="80"/>
      <c r="K951" s="80"/>
      <c r="L951" s="2"/>
      <c r="M951" s="2"/>
      <c r="N951" s="2"/>
      <c r="O951" s="2"/>
      <c r="P951" s="2"/>
      <c r="Q951" s="2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E951" s="80"/>
      <c r="AF951" s="80"/>
      <c r="AG951" s="80"/>
      <c r="AH951" s="80"/>
      <c r="AI951" s="80"/>
    </row>
    <row r="952" spans="1:35" x14ac:dyDescent="0.2">
      <c r="A952" s="2"/>
      <c r="B952" s="80"/>
      <c r="C952" s="80"/>
      <c r="D952" s="80"/>
      <c r="E952" s="80"/>
      <c r="F952" s="80"/>
      <c r="G952" s="80"/>
      <c r="H952" s="80"/>
      <c r="I952" s="80"/>
      <c r="J952" s="80"/>
      <c r="K952" s="80"/>
      <c r="L952" s="2"/>
      <c r="M952" s="2"/>
      <c r="N952" s="2"/>
      <c r="O952" s="2"/>
      <c r="P952" s="2"/>
      <c r="Q952" s="2"/>
      <c r="R952" s="80"/>
      <c r="S952" s="80"/>
      <c r="T952" s="80"/>
      <c r="U952" s="80"/>
      <c r="V952" s="80"/>
      <c r="W952" s="80"/>
      <c r="X952" s="80"/>
      <c r="Y952" s="80"/>
      <c r="Z952" s="80"/>
      <c r="AA952" s="80"/>
      <c r="AB952" s="80"/>
      <c r="AC952" s="80"/>
      <c r="AD952" s="80"/>
      <c r="AE952" s="80"/>
      <c r="AF952" s="80"/>
      <c r="AG952" s="80"/>
      <c r="AH952" s="80"/>
      <c r="AI952" s="80"/>
    </row>
    <row r="953" spans="1:35" x14ac:dyDescent="0.2">
      <c r="A953" s="2"/>
      <c r="B953" s="80"/>
      <c r="C953" s="80"/>
      <c r="D953" s="80"/>
      <c r="E953" s="80"/>
      <c r="F953" s="80"/>
      <c r="G953" s="80"/>
      <c r="H953" s="80"/>
      <c r="I953" s="80"/>
      <c r="J953" s="80"/>
      <c r="K953" s="80"/>
      <c r="L953" s="2"/>
      <c r="M953" s="2"/>
      <c r="N953" s="2"/>
      <c r="O953" s="2"/>
      <c r="P953" s="2"/>
      <c r="Q953" s="2"/>
      <c r="R953" s="80"/>
      <c r="S953" s="80"/>
      <c r="T953" s="80"/>
      <c r="U953" s="80"/>
      <c r="V953" s="80"/>
      <c r="W953" s="80"/>
      <c r="X953" s="80"/>
      <c r="Y953" s="80"/>
      <c r="Z953" s="80"/>
      <c r="AA953" s="80"/>
      <c r="AB953" s="80"/>
      <c r="AC953" s="80"/>
      <c r="AD953" s="80"/>
      <c r="AE953" s="80"/>
      <c r="AF953" s="80"/>
      <c r="AG953" s="80"/>
      <c r="AH953" s="80"/>
      <c r="AI953" s="80"/>
    </row>
    <row r="954" spans="1:35" x14ac:dyDescent="0.2">
      <c r="A954" s="2"/>
      <c r="B954" s="80"/>
      <c r="C954" s="80"/>
      <c r="D954" s="80"/>
      <c r="E954" s="80"/>
      <c r="F954" s="80"/>
      <c r="G954" s="80"/>
      <c r="H954" s="80"/>
      <c r="I954" s="80"/>
      <c r="J954" s="80"/>
      <c r="K954" s="80"/>
      <c r="L954" s="2"/>
      <c r="M954" s="2"/>
      <c r="N954" s="2"/>
      <c r="O954" s="2"/>
      <c r="P954" s="2"/>
      <c r="Q954" s="2"/>
      <c r="R954" s="80"/>
      <c r="S954" s="80"/>
      <c r="T954" s="80"/>
      <c r="U954" s="80"/>
      <c r="V954" s="80"/>
      <c r="W954" s="80"/>
      <c r="X954" s="80"/>
      <c r="Y954" s="80"/>
      <c r="Z954" s="80"/>
      <c r="AA954" s="80"/>
      <c r="AB954" s="80"/>
      <c r="AC954" s="80"/>
      <c r="AD954" s="80"/>
      <c r="AE954" s="80"/>
      <c r="AF954" s="80"/>
      <c r="AG954" s="80"/>
      <c r="AH954" s="80"/>
      <c r="AI954" s="80"/>
    </row>
    <row r="955" spans="1:35" x14ac:dyDescent="0.2">
      <c r="A955" s="2"/>
      <c r="B955" s="80"/>
      <c r="C955" s="80"/>
      <c r="D955" s="80"/>
      <c r="E955" s="80"/>
      <c r="F955" s="80"/>
      <c r="G955" s="80"/>
      <c r="H955" s="80"/>
      <c r="I955" s="80"/>
      <c r="J955" s="80"/>
      <c r="K955" s="80"/>
      <c r="L955" s="2"/>
      <c r="M955" s="2"/>
      <c r="N955" s="2"/>
      <c r="O955" s="2"/>
      <c r="P955" s="2"/>
      <c r="Q955" s="2"/>
      <c r="R955" s="80"/>
      <c r="S955" s="80"/>
      <c r="T955" s="80"/>
      <c r="U955" s="80"/>
      <c r="V955" s="80"/>
      <c r="W955" s="80"/>
      <c r="X955" s="80"/>
      <c r="Y955" s="80"/>
      <c r="Z955" s="80"/>
      <c r="AA955" s="80"/>
      <c r="AB955" s="80"/>
      <c r="AC955" s="80"/>
      <c r="AD955" s="80"/>
      <c r="AE955" s="80"/>
      <c r="AF955" s="80"/>
      <c r="AG955" s="80"/>
      <c r="AH955" s="80"/>
      <c r="AI955" s="80"/>
    </row>
    <row r="956" spans="1:35" x14ac:dyDescent="0.2">
      <c r="A956" s="2"/>
      <c r="B956" s="80"/>
      <c r="C956" s="80"/>
      <c r="D956" s="80"/>
      <c r="E956" s="80"/>
      <c r="F956" s="80"/>
      <c r="G956" s="80"/>
      <c r="H956" s="80"/>
      <c r="I956" s="80"/>
      <c r="J956" s="80"/>
      <c r="K956" s="80"/>
      <c r="L956" s="2"/>
      <c r="M956" s="2"/>
      <c r="N956" s="2"/>
      <c r="O956" s="2"/>
      <c r="P956" s="2"/>
      <c r="Q956" s="2"/>
      <c r="R956" s="80"/>
      <c r="S956" s="80"/>
      <c r="T956" s="80"/>
      <c r="U956" s="80"/>
      <c r="V956" s="80"/>
      <c r="W956" s="80"/>
      <c r="X956" s="80"/>
      <c r="Y956" s="80"/>
      <c r="Z956" s="80"/>
      <c r="AA956" s="80"/>
      <c r="AB956" s="80"/>
      <c r="AC956" s="80"/>
      <c r="AD956" s="80"/>
      <c r="AE956" s="80"/>
      <c r="AF956" s="80"/>
      <c r="AG956" s="80"/>
      <c r="AH956" s="80"/>
      <c r="AI956" s="80"/>
    </row>
    <row r="957" spans="1:35" x14ac:dyDescent="0.2">
      <c r="A957" s="2"/>
      <c r="B957" s="80"/>
      <c r="C957" s="80"/>
      <c r="D957" s="80"/>
      <c r="E957" s="80"/>
      <c r="F957" s="80"/>
      <c r="G957" s="80"/>
      <c r="H957" s="80"/>
      <c r="I957" s="80"/>
      <c r="J957" s="80"/>
      <c r="K957" s="80"/>
      <c r="L957" s="2"/>
      <c r="M957" s="2"/>
      <c r="N957" s="2"/>
      <c r="O957" s="2"/>
      <c r="P957" s="2"/>
      <c r="Q957" s="2"/>
      <c r="R957" s="80"/>
      <c r="S957" s="80"/>
      <c r="T957" s="80"/>
      <c r="U957" s="80"/>
      <c r="V957" s="80"/>
      <c r="W957" s="80"/>
      <c r="X957" s="80"/>
      <c r="Y957" s="80"/>
      <c r="Z957" s="80"/>
      <c r="AA957" s="80"/>
      <c r="AB957" s="80"/>
      <c r="AC957" s="80"/>
      <c r="AD957" s="80"/>
      <c r="AE957" s="80"/>
      <c r="AF957" s="80"/>
      <c r="AG957" s="80"/>
      <c r="AH957" s="80"/>
      <c r="AI957" s="80"/>
    </row>
    <row r="958" spans="1:35" x14ac:dyDescent="0.2">
      <c r="A958" s="2"/>
      <c r="B958" s="80"/>
      <c r="C958" s="80"/>
      <c r="D958" s="80"/>
      <c r="E958" s="80"/>
      <c r="F958" s="80"/>
      <c r="G958" s="80"/>
      <c r="H958" s="80"/>
      <c r="I958" s="80"/>
      <c r="J958" s="80"/>
      <c r="K958" s="80"/>
      <c r="L958" s="2"/>
      <c r="M958" s="2"/>
      <c r="N958" s="2"/>
      <c r="O958" s="2"/>
      <c r="P958" s="2"/>
      <c r="Q958" s="2"/>
      <c r="R958" s="80"/>
      <c r="S958" s="80"/>
      <c r="T958" s="80"/>
      <c r="U958" s="80"/>
      <c r="V958" s="80"/>
      <c r="W958" s="80"/>
      <c r="X958" s="80"/>
      <c r="Y958" s="80"/>
      <c r="Z958" s="80"/>
      <c r="AA958" s="80"/>
      <c r="AB958" s="80"/>
      <c r="AC958" s="80"/>
      <c r="AD958" s="80"/>
      <c r="AE958" s="80"/>
      <c r="AF958" s="80"/>
      <c r="AG958" s="80"/>
      <c r="AH958" s="80"/>
      <c r="AI958" s="80"/>
    </row>
    <row r="959" spans="1:35" x14ac:dyDescent="0.2">
      <c r="A959" s="2"/>
      <c r="B959" s="80"/>
      <c r="C959" s="80"/>
      <c r="D959" s="80"/>
      <c r="E959" s="80"/>
      <c r="F959" s="80"/>
      <c r="G959" s="80"/>
      <c r="H959" s="80"/>
      <c r="I959" s="80"/>
      <c r="J959" s="80"/>
      <c r="K959" s="80"/>
      <c r="L959" s="2"/>
      <c r="M959" s="2"/>
      <c r="N959" s="2"/>
      <c r="O959" s="2"/>
      <c r="P959" s="2"/>
      <c r="Q959" s="2"/>
      <c r="R959" s="80"/>
      <c r="S959" s="80"/>
      <c r="T959" s="80"/>
      <c r="U959" s="80"/>
      <c r="V959" s="80"/>
      <c r="W959" s="80"/>
      <c r="X959" s="80"/>
      <c r="Y959" s="80"/>
      <c r="Z959" s="80"/>
      <c r="AA959" s="80"/>
      <c r="AB959" s="80"/>
      <c r="AC959" s="80"/>
      <c r="AD959" s="80"/>
      <c r="AE959" s="80"/>
      <c r="AF959" s="80"/>
      <c r="AG959" s="80"/>
      <c r="AH959" s="80"/>
      <c r="AI959" s="80"/>
    </row>
    <row r="960" spans="1:35" x14ac:dyDescent="0.2">
      <c r="A960" s="2"/>
      <c r="B960" s="80"/>
      <c r="C960" s="80"/>
      <c r="D960" s="80"/>
      <c r="E960" s="80"/>
      <c r="F960" s="80"/>
      <c r="G960" s="80"/>
      <c r="H960" s="80"/>
      <c r="I960" s="80"/>
      <c r="J960" s="80"/>
      <c r="K960" s="80"/>
      <c r="L960" s="2"/>
      <c r="M960" s="2"/>
      <c r="N960" s="2"/>
      <c r="O960" s="2"/>
      <c r="P960" s="2"/>
      <c r="Q960" s="2"/>
      <c r="R960" s="80"/>
      <c r="S960" s="80"/>
      <c r="T960" s="80"/>
      <c r="U960" s="80"/>
      <c r="V960" s="80"/>
      <c r="W960" s="80"/>
      <c r="X960" s="80"/>
      <c r="Y960" s="80"/>
      <c r="Z960" s="80"/>
      <c r="AA960" s="80"/>
      <c r="AB960" s="80"/>
      <c r="AC960" s="80"/>
      <c r="AD960" s="80"/>
      <c r="AE960" s="80"/>
      <c r="AF960" s="80"/>
      <c r="AG960" s="80"/>
      <c r="AH960" s="80"/>
      <c r="AI960" s="80"/>
    </row>
    <row r="961" spans="1:35" x14ac:dyDescent="0.2">
      <c r="A961" s="2"/>
      <c r="B961" s="80"/>
      <c r="C961" s="80"/>
      <c r="D961" s="80"/>
      <c r="E961" s="80"/>
      <c r="F961" s="80"/>
      <c r="G961" s="80"/>
      <c r="H961" s="80"/>
      <c r="I961" s="80"/>
      <c r="J961" s="80"/>
      <c r="K961" s="80"/>
      <c r="L961" s="2"/>
      <c r="M961" s="2"/>
      <c r="N961" s="2"/>
      <c r="O961" s="2"/>
      <c r="P961" s="2"/>
      <c r="Q961" s="2"/>
      <c r="R961" s="80"/>
      <c r="S961" s="80"/>
      <c r="T961" s="80"/>
      <c r="U961" s="80"/>
      <c r="V961" s="80"/>
      <c r="W961" s="80"/>
      <c r="X961" s="80"/>
      <c r="Y961" s="80"/>
      <c r="Z961" s="80"/>
      <c r="AA961" s="80"/>
      <c r="AB961" s="80"/>
      <c r="AC961" s="80"/>
      <c r="AD961" s="80"/>
      <c r="AE961" s="80"/>
      <c r="AF961" s="80"/>
      <c r="AG961" s="80"/>
      <c r="AH961" s="80"/>
      <c r="AI961" s="80"/>
    </row>
    <row r="962" spans="1:35" x14ac:dyDescent="0.2">
      <c r="A962" s="2"/>
      <c r="B962" s="80"/>
      <c r="C962" s="80"/>
      <c r="D962" s="80"/>
      <c r="E962" s="80"/>
      <c r="F962" s="80"/>
      <c r="G962" s="80"/>
      <c r="H962" s="80"/>
      <c r="I962" s="80"/>
      <c r="J962" s="80"/>
      <c r="K962" s="80"/>
      <c r="L962" s="2"/>
      <c r="M962" s="2"/>
      <c r="N962" s="2"/>
      <c r="O962" s="2"/>
      <c r="P962" s="2"/>
      <c r="Q962" s="2"/>
      <c r="R962" s="80"/>
      <c r="S962" s="80"/>
      <c r="T962" s="80"/>
      <c r="U962" s="80"/>
      <c r="V962" s="80"/>
      <c r="W962" s="80"/>
      <c r="X962" s="80"/>
      <c r="Y962" s="80"/>
      <c r="Z962" s="80"/>
      <c r="AA962" s="80"/>
      <c r="AB962" s="80"/>
      <c r="AC962" s="80"/>
      <c r="AD962" s="80"/>
      <c r="AE962" s="80"/>
      <c r="AF962" s="80"/>
      <c r="AG962" s="80"/>
      <c r="AH962" s="80"/>
      <c r="AI962" s="80"/>
    </row>
    <row r="963" spans="1:35" x14ac:dyDescent="0.2">
      <c r="A963" s="2"/>
      <c r="B963" s="80"/>
      <c r="C963" s="80"/>
      <c r="D963" s="80"/>
      <c r="E963" s="80"/>
      <c r="F963" s="80"/>
      <c r="G963" s="80"/>
      <c r="H963" s="80"/>
      <c r="I963" s="80"/>
      <c r="J963" s="80"/>
      <c r="K963" s="80"/>
      <c r="L963" s="2"/>
      <c r="M963" s="2"/>
      <c r="N963" s="2"/>
      <c r="O963" s="2"/>
      <c r="P963" s="2"/>
      <c r="Q963" s="2"/>
      <c r="R963" s="80"/>
      <c r="S963" s="80"/>
      <c r="T963" s="80"/>
      <c r="U963" s="80"/>
      <c r="V963" s="80"/>
      <c r="W963" s="80"/>
      <c r="X963" s="80"/>
      <c r="Y963" s="80"/>
      <c r="Z963" s="80"/>
      <c r="AA963" s="80"/>
      <c r="AB963" s="80"/>
      <c r="AC963" s="80"/>
      <c r="AD963" s="80"/>
      <c r="AE963" s="80"/>
      <c r="AF963" s="80"/>
      <c r="AG963" s="80"/>
      <c r="AH963" s="80"/>
      <c r="AI963" s="80"/>
    </row>
    <row r="964" spans="1:35" x14ac:dyDescent="0.2">
      <c r="A964" s="2"/>
      <c r="B964" s="80"/>
      <c r="C964" s="80"/>
      <c r="D964" s="80"/>
      <c r="E964" s="80"/>
      <c r="F964" s="80"/>
      <c r="G964" s="80"/>
      <c r="H964" s="80"/>
      <c r="I964" s="80"/>
      <c r="J964" s="80"/>
      <c r="K964" s="80"/>
      <c r="L964" s="2"/>
      <c r="M964" s="2"/>
      <c r="N964" s="2"/>
      <c r="O964" s="2"/>
      <c r="P964" s="2"/>
      <c r="Q964" s="2"/>
      <c r="R964" s="80"/>
      <c r="S964" s="80"/>
      <c r="T964" s="80"/>
      <c r="U964" s="80"/>
      <c r="V964" s="80"/>
      <c r="W964" s="80"/>
      <c r="X964" s="80"/>
      <c r="Y964" s="80"/>
      <c r="Z964" s="80"/>
      <c r="AA964" s="80"/>
      <c r="AB964" s="80"/>
      <c r="AC964" s="80"/>
      <c r="AD964" s="80"/>
      <c r="AE964" s="80"/>
      <c r="AF964" s="80"/>
      <c r="AG964" s="80"/>
      <c r="AH964" s="80"/>
      <c r="AI964" s="80"/>
    </row>
    <row r="965" spans="1:35" x14ac:dyDescent="0.2">
      <c r="A965" s="2"/>
      <c r="B965" s="80"/>
      <c r="C965" s="80"/>
      <c r="D965" s="80"/>
      <c r="E965" s="80"/>
      <c r="F965" s="80"/>
      <c r="G965" s="80"/>
      <c r="H965" s="80"/>
      <c r="I965" s="80"/>
      <c r="J965" s="80"/>
      <c r="K965" s="80"/>
      <c r="L965" s="2"/>
      <c r="M965" s="2"/>
      <c r="N965" s="2"/>
      <c r="O965" s="2"/>
      <c r="P965" s="2"/>
      <c r="Q965" s="2"/>
      <c r="R965" s="80"/>
      <c r="S965" s="80"/>
      <c r="T965" s="80"/>
      <c r="U965" s="80"/>
      <c r="V965" s="80"/>
      <c r="W965" s="80"/>
      <c r="X965" s="80"/>
      <c r="Y965" s="80"/>
      <c r="Z965" s="80"/>
      <c r="AA965" s="80"/>
      <c r="AB965" s="80"/>
      <c r="AC965" s="80"/>
      <c r="AD965" s="80"/>
      <c r="AE965" s="80"/>
      <c r="AF965" s="80"/>
      <c r="AG965" s="80"/>
      <c r="AH965" s="80"/>
      <c r="AI965" s="80"/>
    </row>
    <row r="966" spans="1:35" x14ac:dyDescent="0.2">
      <c r="A966" s="2"/>
      <c r="B966" s="80"/>
      <c r="C966" s="80"/>
      <c r="D966" s="80"/>
      <c r="E966" s="80"/>
      <c r="F966" s="80"/>
      <c r="G966" s="80"/>
      <c r="H966" s="80"/>
      <c r="I966" s="80"/>
      <c r="J966" s="80"/>
      <c r="K966" s="80"/>
      <c r="L966" s="2"/>
      <c r="M966" s="2"/>
      <c r="N966" s="2"/>
      <c r="O966" s="2"/>
      <c r="P966" s="2"/>
      <c r="Q966" s="2"/>
      <c r="R966" s="80"/>
      <c r="S966" s="80"/>
      <c r="T966" s="80"/>
      <c r="U966" s="80"/>
      <c r="V966" s="80"/>
      <c r="W966" s="80"/>
      <c r="X966" s="80"/>
      <c r="Y966" s="80"/>
      <c r="Z966" s="80"/>
      <c r="AA966" s="80"/>
      <c r="AB966" s="80"/>
      <c r="AC966" s="80"/>
      <c r="AD966" s="80"/>
      <c r="AE966" s="80"/>
      <c r="AF966" s="80"/>
      <c r="AG966" s="80"/>
      <c r="AH966" s="80"/>
      <c r="AI966" s="80"/>
    </row>
    <row r="967" spans="1:35" x14ac:dyDescent="0.2">
      <c r="A967" s="2"/>
      <c r="B967" s="80"/>
      <c r="C967" s="80"/>
      <c r="D967" s="80"/>
      <c r="E967" s="80"/>
      <c r="F967" s="80"/>
      <c r="G967" s="80"/>
      <c r="H967" s="80"/>
      <c r="I967" s="80"/>
      <c r="J967" s="80"/>
      <c r="K967" s="80"/>
      <c r="L967" s="2"/>
      <c r="M967" s="2"/>
      <c r="N967" s="2"/>
      <c r="O967" s="2"/>
      <c r="P967" s="2"/>
      <c r="Q967" s="2"/>
      <c r="R967" s="80"/>
      <c r="S967" s="80"/>
      <c r="T967" s="80"/>
      <c r="U967" s="80"/>
      <c r="V967" s="80"/>
      <c r="W967" s="80"/>
      <c r="X967" s="80"/>
      <c r="Y967" s="80"/>
      <c r="Z967" s="80"/>
      <c r="AA967" s="80"/>
      <c r="AB967" s="80"/>
      <c r="AC967" s="80"/>
      <c r="AD967" s="80"/>
      <c r="AE967" s="80"/>
      <c r="AF967" s="80"/>
      <c r="AG967" s="80"/>
      <c r="AH967" s="80"/>
      <c r="AI967" s="80"/>
    </row>
    <row r="968" spans="1:35" x14ac:dyDescent="0.2">
      <c r="A968" s="2"/>
      <c r="B968" s="80"/>
      <c r="C968" s="80"/>
      <c r="D968" s="80"/>
      <c r="E968" s="80"/>
      <c r="F968" s="80"/>
      <c r="G968" s="80"/>
      <c r="H968" s="80"/>
      <c r="I968" s="80"/>
      <c r="J968" s="80"/>
      <c r="K968" s="80"/>
      <c r="L968" s="2"/>
      <c r="M968" s="2"/>
      <c r="N968" s="2"/>
      <c r="O968" s="2"/>
      <c r="P968" s="2"/>
      <c r="Q968" s="2"/>
      <c r="R968" s="80"/>
      <c r="S968" s="80"/>
      <c r="T968" s="80"/>
      <c r="U968" s="80"/>
      <c r="V968" s="80"/>
      <c r="W968" s="80"/>
      <c r="X968" s="80"/>
      <c r="Y968" s="80"/>
      <c r="Z968" s="80"/>
      <c r="AA968" s="80"/>
      <c r="AB968" s="80"/>
      <c r="AC968" s="80"/>
      <c r="AD968" s="80"/>
      <c r="AE968" s="80"/>
      <c r="AF968" s="80"/>
      <c r="AG968" s="80"/>
      <c r="AH968" s="80"/>
      <c r="AI968" s="80"/>
    </row>
    <row r="969" spans="1:35" x14ac:dyDescent="0.2">
      <c r="A969" s="2"/>
      <c r="B969" s="80"/>
      <c r="C969" s="80"/>
      <c r="D969" s="80"/>
      <c r="E969" s="80"/>
      <c r="F969" s="80"/>
      <c r="G969" s="80"/>
      <c r="H969" s="80"/>
      <c r="I969" s="80"/>
      <c r="J969" s="80"/>
      <c r="K969" s="80"/>
      <c r="L969" s="2"/>
      <c r="M969" s="2"/>
      <c r="N969" s="2"/>
      <c r="O969" s="2"/>
      <c r="P969" s="2"/>
      <c r="Q969" s="2"/>
      <c r="R969" s="80"/>
      <c r="S969" s="80"/>
      <c r="T969" s="80"/>
      <c r="U969" s="80"/>
      <c r="V969" s="80"/>
      <c r="W969" s="80"/>
      <c r="X969" s="80"/>
      <c r="Y969" s="80"/>
      <c r="Z969" s="80"/>
      <c r="AA969" s="80"/>
      <c r="AB969" s="80"/>
      <c r="AC969" s="80"/>
      <c r="AD969" s="80"/>
      <c r="AE969" s="80"/>
      <c r="AF969" s="80"/>
      <c r="AG969" s="80"/>
      <c r="AH969" s="80"/>
      <c r="AI969" s="80"/>
    </row>
    <row r="970" spans="1:35" x14ac:dyDescent="0.2">
      <c r="A970" s="2"/>
      <c r="B970" s="80"/>
      <c r="C970" s="80"/>
      <c r="D970" s="80"/>
      <c r="E970" s="80"/>
      <c r="F970" s="80"/>
      <c r="G970" s="80"/>
      <c r="H970" s="80"/>
      <c r="I970" s="80"/>
      <c r="J970" s="80"/>
      <c r="K970" s="80"/>
      <c r="L970" s="2"/>
      <c r="M970" s="2"/>
      <c r="N970" s="2"/>
      <c r="O970" s="2"/>
      <c r="P970" s="2"/>
      <c r="Q970" s="2"/>
      <c r="R970" s="80"/>
      <c r="S970" s="80"/>
      <c r="T970" s="80"/>
      <c r="U970" s="80"/>
      <c r="V970" s="80"/>
      <c r="W970" s="80"/>
      <c r="X970" s="80"/>
      <c r="Y970" s="80"/>
      <c r="Z970" s="80"/>
      <c r="AA970" s="80"/>
      <c r="AB970" s="80"/>
      <c r="AC970" s="80"/>
      <c r="AD970" s="80"/>
      <c r="AE970" s="80"/>
      <c r="AF970" s="80"/>
      <c r="AG970" s="80"/>
      <c r="AH970" s="80"/>
      <c r="AI970" s="80"/>
    </row>
    <row r="971" spans="1:35" x14ac:dyDescent="0.2">
      <c r="A971" s="2"/>
      <c r="B971" s="80"/>
      <c r="C971" s="80"/>
      <c r="D971" s="80"/>
      <c r="E971" s="80"/>
      <c r="F971" s="80"/>
      <c r="G971" s="80"/>
      <c r="H971" s="80"/>
      <c r="I971" s="80"/>
      <c r="J971" s="80"/>
      <c r="K971" s="80"/>
      <c r="L971" s="2"/>
      <c r="M971" s="2"/>
      <c r="N971" s="2"/>
      <c r="O971" s="2"/>
      <c r="P971" s="2"/>
      <c r="Q971" s="2"/>
      <c r="R971" s="80"/>
      <c r="S971" s="80"/>
      <c r="T971" s="80"/>
      <c r="U971" s="80"/>
      <c r="V971" s="80"/>
      <c r="W971" s="80"/>
      <c r="X971" s="80"/>
      <c r="Y971" s="80"/>
      <c r="Z971" s="80"/>
      <c r="AA971" s="80"/>
      <c r="AB971" s="80"/>
      <c r="AC971" s="80"/>
      <c r="AD971" s="80"/>
      <c r="AE971" s="80"/>
      <c r="AF971" s="80"/>
      <c r="AG971" s="80"/>
      <c r="AH971" s="80"/>
      <c r="AI971" s="80"/>
    </row>
    <row r="972" spans="1:35" x14ac:dyDescent="0.2">
      <c r="A972" s="2"/>
      <c r="B972" s="80"/>
      <c r="C972" s="80"/>
      <c r="D972" s="80"/>
      <c r="E972" s="80"/>
      <c r="F972" s="80"/>
      <c r="G972" s="80"/>
      <c r="H972" s="80"/>
      <c r="I972" s="80"/>
      <c r="J972" s="80"/>
      <c r="K972" s="80"/>
      <c r="L972" s="2"/>
      <c r="M972" s="2"/>
      <c r="N972" s="2"/>
      <c r="O972" s="2"/>
      <c r="P972" s="2"/>
      <c r="Q972" s="2"/>
      <c r="R972" s="80"/>
      <c r="S972" s="80"/>
      <c r="T972" s="80"/>
      <c r="U972" s="80"/>
      <c r="V972" s="80"/>
      <c r="W972" s="80"/>
      <c r="X972" s="80"/>
      <c r="Y972" s="80"/>
      <c r="Z972" s="80"/>
      <c r="AA972" s="80"/>
      <c r="AB972" s="80"/>
      <c r="AC972" s="80"/>
      <c r="AD972" s="80"/>
      <c r="AE972" s="80"/>
      <c r="AF972" s="80"/>
      <c r="AG972" s="80"/>
      <c r="AH972" s="80"/>
      <c r="AI972" s="80"/>
    </row>
    <row r="973" spans="1:35" x14ac:dyDescent="0.2">
      <c r="A973" s="2"/>
      <c r="B973" s="80"/>
      <c r="C973" s="80"/>
      <c r="D973" s="80"/>
      <c r="E973" s="80"/>
      <c r="F973" s="80"/>
      <c r="G973" s="80"/>
      <c r="H973" s="80"/>
      <c r="I973" s="80"/>
      <c r="J973" s="80"/>
      <c r="K973" s="80"/>
      <c r="L973" s="2"/>
      <c r="M973" s="2"/>
      <c r="N973" s="2"/>
      <c r="O973" s="2"/>
      <c r="P973" s="2"/>
      <c r="Q973" s="2"/>
      <c r="R973" s="80"/>
      <c r="S973" s="80"/>
      <c r="T973" s="80"/>
      <c r="U973" s="80"/>
      <c r="V973" s="80"/>
      <c r="W973" s="80"/>
      <c r="X973" s="80"/>
      <c r="Y973" s="80"/>
      <c r="Z973" s="80"/>
      <c r="AA973" s="80"/>
      <c r="AB973" s="80"/>
      <c r="AC973" s="80"/>
      <c r="AD973" s="80"/>
      <c r="AE973" s="80"/>
      <c r="AF973" s="80"/>
      <c r="AG973" s="80"/>
      <c r="AH973" s="80"/>
      <c r="AI973" s="80"/>
    </row>
    <row r="974" spans="1:35" x14ac:dyDescent="0.2">
      <c r="A974" s="2"/>
      <c r="B974" s="80"/>
      <c r="C974" s="80"/>
      <c r="D974" s="80"/>
      <c r="E974" s="80"/>
      <c r="F974" s="80"/>
      <c r="G974" s="80"/>
      <c r="H974" s="80"/>
      <c r="I974" s="80"/>
      <c r="J974" s="80"/>
      <c r="K974" s="80"/>
      <c r="L974" s="2"/>
      <c r="M974" s="2"/>
      <c r="N974" s="2"/>
      <c r="O974" s="2"/>
      <c r="P974" s="2"/>
      <c r="Q974" s="2"/>
      <c r="R974" s="80"/>
      <c r="S974" s="80"/>
      <c r="T974" s="80"/>
      <c r="U974" s="80"/>
      <c r="V974" s="80"/>
      <c r="W974" s="80"/>
      <c r="X974" s="80"/>
      <c r="Y974" s="80"/>
      <c r="Z974" s="80"/>
      <c r="AA974" s="80"/>
      <c r="AB974" s="80"/>
      <c r="AC974" s="80"/>
      <c r="AD974" s="80"/>
      <c r="AE974" s="80"/>
      <c r="AF974" s="80"/>
      <c r="AG974" s="80"/>
      <c r="AH974" s="80"/>
      <c r="AI974" s="80"/>
    </row>
    <row r="975" spans="1:35" x14ac:dyDescent="0.2">
      <c r="A975" s="2"/>
      <c r="B975" s="80"/>
      <c r="C975" s="80"/>
      <c r="D975" s="80"/>
      <c r="E975" s="80"/>
      <c r="F975" s="80"/>
      <c r="G975" s="80"/>
      <c r="H975" s="80"/>
      <c r="I975" s="80"/>
      <c r="J975" s="80"/>
      <c r="K975" s="80"/>
      <c r="L975" s="2"/>
      <c r="M975" s="2"/>
      <c r="N975" s="2"/>
      <c r="O975" s="2"/>
      <c r="P975" s="2"/>
      <c r="Q975" s="2"/>
      <c r="R975" s="80"/>
      <c r="S975" s="80"/>
      <c r="T975" s="80"/>
      <c r="U975" s="80"/>
      <c r="V975" s="80"/>
      <c r="W975" s="80"/>
      <c r="X975" s="80"/>
      <c r="Y975" s="80"/>
      <c r="Z975" s="80"/>
      <c r="AA975" s="80"/>
      <c r="AB975" s="80"/>
      <c r="AC975" s="80"/>
      <c r="AD975" s="80"/>
      <c r="AE975" s="80"/>
      <c r="AF975" s="80"/>
      <c r="AG975" s="80"/>
      <c r="AH975" s="80"/>
      <c r="AI975" s="80"/>
    </row>
    <row r="976" spans="1:35" x14ac:dyDescent="0.2">
      <c r="A976" s="2"/>
      <c r="B976" s="80"/>
      <c r="C976" s="80"/>
      <c r="D976" s="80"/>
      <c r="E976" s="80"/>
      <c r="F976" s="80"/>
      <c r="G976" s="80"/>
      <c r="H976" s="80"/>
      <c r="I976" s="80"/>
      <c r="J976" s="80"/>
      <c r="K976" s="80"/>
      <c r="L976" s="2"/>
      <c r="M976" s="2"/>
      <c r="N976" s="2"/>
      <c r="O976" s="2"/>
      <c r="P976" s="2"/>
      <c r="Q976" s="2"/>
      <c r="R976" s="80"/>
      <c r="S976" s="80"/>
      <c r="T976" s="80"/>
      <c r="U976" s="80"/>
      <c r="V976" s="80"/>
      <c r="W976" s="80"/>
      <c r="X976" s="80"/>
      <c r="Y976" s="80"/>
      <c r="Z976" s="80"/>
      <c r="AA976" s="80"/>
      <c r="AB976" s="80"/>
      <c r="AC976" s="80"/>
      <c r="AD976" s="80"/>
      <c r="AE976" s="80"/>
      <c r="AF976" s="80"/>
      <c r="AG976" s="80"/>
      <c r="AH976" s="80"/>
      <c r="AI976" s="80"/>
    </row>
    <row r="977" spans="1:35" x14ac:dyDescent="0.2">
      <c r="A977" s="2"/>
      <c r="B977" s="80"/>
      <c r="C977" s="80"/>
      <c r="D977" s="80"/>
      <c r="E977" s="80"/>
      <c r="F977" s="80"/>
      <c r="G977" s="80"/>
      <c r="H977" s="80"/>
      <c r="I977" s="80"/>
      <c r="J977" s="80"/>
      <c r="K977" s="80"/>
      <c r="L977" s="2"/>
      <c r="M977" s="2"/>
      <c r="N977" s="2"/>
      <c r="O977" s="2"/>
      <c r="P977" s="2"/>
      <c r="Q977" s="2"/>
      <c r="R977" s="80"/>
      <c r="S977" s="80"/>
      <c r="T977" s="80"/>
      <c r="U977" s="80"/>
      <c r="V977" s="80"/>
      <c r="W977" s="80"/>
      <c r="X977" s="80"/>
      <c r="Y977" s="80"/>
      <c r="Z977" s="80"/>
      <c r="AA977" s="80"/>
      <c r="AB977" s="80"/>
      <c r="AC977" s="80"/>
      <c r="AD977" s="80"/>
      <c r="AE977" s="80"/>
      <c r="AF977" s="80"/>
      <c r="AG977" s="80"/>
      <c r="AH977" s="80"/>
      <c r="AI977" s="80"/>
    </row>
    <row r="978" spans="1:35" x14ac:dyDescent="0.2">
      <c r="A978" s="2"/>
      <c r="B978" s="80"/>
      <c r="C978" s="80"/>
      <c r="D978" s="80"/>
      <c r="E978" s="80"/>
      <c r="F978" s="80"/>
      <c r="G978" s="80"/>
      <c r="H978" s="80"/>
      <c r="I978" s="80"/>
      <c r="J978" s="80"/>
      <c r="K978" s="80"/>
      <c r="L978" s="2"/>
      <c r="M978" s="2"/>
      <c r="N978" s="2"/>
      <c r="O978" s="2"/>
      <c r="P978" s="2"/>
      <c r="Q978" s="2"/>
      <c r="R978" s="80"/>
      <c r="S978" s="80"/>
      <c r="T978" s="80"/>
      <c r="U978" s="80"/>
      <c r="V978" s="80"/>
      <c r="W978" s="80"/>
      <c r="X978" s="80"/>
      <c r="Y978" s="80"/>
      <c r="Z978" s="80"/>
      <c r="AA978" s="80"/>
      <c r="AB978" s="80"/>
      <c r="AC978" s="80"/>
      <c r="AD978" s="80"/>
      <c r="AE978" s="80"/>
      <c r="AF978" s="80"/>
      <c r="AG978" s="80"/>
      <c r="AH978" s="80"/>
      <c r="AI978" s="80"/>
    </row>
    <row r="979" spans="1:35" x14ac:dyDescent="0.2">
      <c r="A979" s="2"/>
      <c r="B979" s="80"/>
      <c r="C979" s="80"/>
      <c r="D979" s="80"/>
      <c r="E979" s="80"/>
      <c r="F979" s="80"/>
      <c r="G979" s="80"/>
      <c r="H979" s="80"/>
      <c r="I979" s="80"/>
      <c r="J979" s="80"/>
      <c r="K979" s="80"/>
      <c r="L979" s="2"/>
      <c r="M979" s="2"/>
      <c r="N979" s="2"/>
      <c r="O979" s="2"/>
      <c r="P979" s="2"/>
      <c r="Q979" s="2"/>
      <c r="R979" s="80"/>
      <c r="S979" s="80"/>
      <c r="T979" s="80"/>
      <c r="U979" s="80"/>
      <c r="V979" s="80"/>
      <c r="W979" s="80"/>
      <c r="X979" s="80"/>
      <c r="Y979" s="80"/>
      <c r="Z979" s="80"/>
      <c r="AA979" s="80"/>
      <c r="AB979" s="80"/>
      <c r="AC979" s="80"/>
      <c r="AD979" s="80"/>
      <c r="AE979" s="80"/>
      <c r="AF979" s="80"/>
      <c r="AG979" s="80"/>
      <c r="AH979" s="80"/>
      <c r="AI979" s="80"/>
    </row>
    <row r="980" spans="1:35" x14ac:dyDescent="0.2">
      <c r="A980" s="2"/>
      <c r="B980" s="80"/>
      <c r="C980" s="80"/>
      <c r="D980" s="80"/>
      <c r="E980" s="80"/>
      <c r="F980" s="80"/>
      <c r="G980" s="80"/>
      <c r="H980" s="80"/>
      <c r="I980" s="80"/>
      <c r="J980" s="80"/>
      <c r="K980" s="80"/>
      <c r="L980" s="2"/>
      <c r="M980" s="2"/>
      <c r="N980" s="2"/>
      <c r="O980" s="2"/>
      <c r="P980" s="2"/>
      <c r="Q980" s="2"/>
      <c r="R980" s="80"/>
      <c r="S980" s="80"/>
      <c r="T980" s="80"/>
      <c r="U980" s="80"/>
      <c r="V980" s="80"/>
      <c r="W980" s="80"/>
      <c r="X980" s="80"/>
      <c r="Y980" s="80"/>
      <c r="Z980" s="80"/>
      <c r="AA980" s="80"/>
      <c r="AB980" s="80"/>
      <c r="AC980" s="80"/>
      <c r="AD980" s="80"/>
      <c r="AE980" s="80"/>
      <c r="AF980" s="80"/>
      <c r="AG980" s="80"/>
      <c r="AH980" s="80"/>
      <c r="AI980" s="80"/>
    </row>
    <row r="981" spans="1:35" x14ac:dyDescent="0.2">
      <c r="A981" s="2"/>
      <c r="B981" s="80"/>
      <c r="C981" s="80"/>
      <c r="D981" s="80"/>
      <c r="E981" s="80"/>
      <c r="F981" s="80"/>
      <c r="G981" s="80"/>
      <c r="H981" s="80"/>
      <c r="I981" s="80"/>
      <c r="J981" s="80"/>
      <c r="K981" s="80"/>
      <c r="L981" s="2"/>
      <c r="M981" s="2"/>
      <c r="N981" s="2"/>
      <c r="O981" s="2"/>
      <c r="P981" s="2"/>
      <c r="Q981" s="2"/>
      <c r="R981" s="80"/>
      <c r="S981" s="80"/>
      <c r="T981" s="80"/>
      <c r="U981" s="80"/>
      <c r="V981" s="80"/>
      <c r="W981" s="80"/>
      <c r="X981" s="80"/>
      <c r="Y981" s="80"/>
      <c r="Z981" s="80"/>
      <c r="AA981" s="80"/>
      <c r="AB981" s="80"/>
      <c r="AC981" s="80"/>
      <c r="AD981" s="80"/>
      <c r="AE981" s="80"/>
      <c r="AF981" s="80"/>
      <c r="AG981" s="80"/>
      <c r="AH981" s="80"/>
      <c r="AI981" s="80"/>
    </row>
    <row r="982" spans="1:35" x14ac:dyDescent="0.2">
      <c r="A982" s="2"/>
      <c r="B982" s="80"/>
      <c r="C982" s="80"/>
      <c r="D982" s="80"/>
      <c r="E982" s="80"/>
      <c r="F982" s="80"/>
      <c r="G982" s="80"/>
      <c r="H982" s="80"/>
      <c r="I982" s="80"/>
      <c r="J982" s="80"/>
      <c r="K982" s="80"/>
      <c r="L982" s="2"/>
      <c r="M982" s="2"/>
      <c r="N982" s="2"/>
      <c r="O982" s="2"/>
      <c r="P982" s="2"/>
      <c r="Q982" s="2"/>
      <c r="R982" s="80"/>
      <c r="S982" s="80"/>
      <c r="T982" s="80"/>
      <c r="U982" s="80"/>
      <c r="V982" s="80"/>
      <c r="W982" s="80"/>
      <c r="X982" s="80"/>
      <c r="Y982" s="80"/>
      <c r="Z982" s="80"/>
      <c r="AA982" s="80"/>
      <c r="AB982" s="80"/>
      <c r="AC982" s="80"/>
      <c r="AD982" s="80"/>
      <c r="AE982" s="80"/>
      <c r="AF982" s="80"/>
      <c r="AG982" s="80"/>
      <c r="AH982" s="80"/>
      <c r="AI982" s="80"/>
    </row>
    <row r="983" spans="1:35" x14ac:dyDescent="0.2">
      <c r="A983" s="2"/>
      <c r="B983" s="80"/>
      <c r="C983" s="80"/>
      <c r="D983" s="80"/>
      <c r="E983" s="80"/>
      <c r="F983" s="80"/>
      <c r="G983" s="80"/>
      <c r="H983" s="80"/>
      <c r="I983" s="80"/>
      <c r="J983" s="80"/>
      <c r="K983" s="80"/>
      <c r="L983" s="2"/>
      <c r="M983" s="2"/>
      <c r="N983" s="2"/>
      <c r="O983" s="2"/>
      <c r="P983" s="2"/>
      <c r="Q983" s="2"/>
      <c r="R983" s="80"/>
      <c r="S983" s="80"/>
      <c r="T983" s="80"/>
      <c r="U983" s="80"/>
      <c r="V983" s="80"/>
      <c r="W983" s="80"/>
      <c r="X983" s="80"/>
      <c r="Y983" s="80"/>
      <c r="Z983" s="80"/>
      <c r="AA983" s="80"/>
      <c r="AB983" s="80"/>
      <c r="AC983" s="80"/>
      <c r="AD983" s="80"/>
      <c r="AE983" s="80"/>
      <c r="AF983" s="80"/>
      <c r="AG983" s="80"/>
      <c r="AH983" s="80"/>
      <c r="AI983" s="80"/>
    </row>
    <row r="984" spans="1:35" x14ac:dyDescent="0.2">
      <c r="A984" s="2"/>
      <c r="B984" s="80"/>
      <c r="C984" s="80"/>
      <c r="D984" s="80"/>
      <c r="E984" s="80"/>
      <c r="F984" s="80"/>
      <c r="G984" s="80"/>
      <c r="H984" s="80"/>
      <c r="I984" s="80"/>
      <c r="J984" s="80"/>
      <c r="K984" s="80"/>
      <c r="L984" s="2"/>
      <c r="M984" s="2"/>
      <c r="N984" s="2"/>
      <c r="O984" s="2"/>
      <c r="P984" s="2"/>
      <c r="Q984" s="2"/>
      <c r="R984" s="80"/>
      <c r="S984" s="80"/>
      <c r="T984" s="80"/>
      <c r="U984" s="80"/>
      <c r="V984" s="80"/>
      <c r="W984" s="80"/>
      <c r="X984" s="80"/>
      <c r="Y984" s="80"/>
      <c r="Z984" s="80"/>
      <c r="AA984" s="80"/>
      <c r="AB984" s="80"/>
      <c r="AC984" s="80"/>
      <c r="AD984" s="80"/>
      <c r="AE984" s="80"/>
      <c r="AF984" s="80"/>
      <c r="AG984" s="80"/>
      <c r="AH984" s="80"/>
      <c r="AI984" s="80"/>
    </row>
    <row r="985" spans="1:35" x14ac:dyDescent="0.2">
      <c r="A985" s="2"/>
      <c r="B985" s="80"/>
      <c r="C985" s="80"/>
      <c r="D985" s="80"/>
      <c r="E985" s="80"/>
      <c r="F985" s="80"/>
      <c r="G985" s="80"/>
      <c r="H985" s="80"/>
      <c r="I985" s="80"/>
      <c r="J985" s="80"/>
      <c r="K985" s="80"/>
      <c r="L985" s="2"/>
      <c r="M985" s="2"/>
      <c r="N985" s="2"/>
      <c r="O985" s="2"/>
      <c r="P985" s="2"/>
      <c r="Q985" s="2"/>
      <c r="R985" s="80"/>
      <c r="S985" s="80"/>
      <c r="T985" s="80"/>
      <c r="U985" s="80"/>
      <c r="V985" s="80"/>
      <c r="W985" s="80"/>
      <c r="X985" s="80"/>
      <c r="Y985" s="80"/>
      <c r="Z985" s="80"/>
      <c r="AA985" s="80"/>
      <c r="AB985" s="80"/>
      <c r="AC985" s="80"/>
      <c r="AD985" s="80"/>
      <c r="AE985" s="80"/>
      <c r="AF985" s="80"/>
      <c r="AG985" s="80"/>
      <c r="AH985" s="80"/>
      <c r="AI985" s="80"/>
    </row>
    <row r="986" spans="1:35" x14ac:dyDescent="0.2">
      <c r="A986" s="2"/>
      <c r="B986" s="80"/>
      <c r="C986" s="80"/>
      <c r="D986" s="80"/>
      <c r="E986" s="80"/>
      <c r="F986" s="80"/>
      <c r="G986" s="80"/>
      <c r="H986" s="80"/>
      <c r="I986" s="80"/>
      <c r="J986" s="80"/>
      <c r="K986" s="80"/>
      <c r="L986" s="2"/>
      <c r="M986" s="2"/>
      <c r="N986" s="2"/>
      <c r="O986" s="2"/>
      <c r="P986" s="2"/>
      <c r="Q986" s="2"/>
      <c r="R986" s="80"/>
      <c r="S986" s="80"/>
      <c r="T986" s="80"/>
      <c r="U986" s="80"/>
      <c r="V986" s="80"/>
      <c r="W986" s="80"/>
      <c r="X986" s="80"/>
      <c r="Y986" s="80"/>
      <c r="Z986" s="80"/>
      <c r="AA986" s="80"/>
      <c r="AB986" s="80"/>
      <c r="AC986" s="80"/>
      <c r="AD986" s="80"/>
      <c r="AE986" s="80"/>
      <c r="AF986" s="80"/>
      <c r="AG986" s="80"/>
      <c r="AH986" s="80"/>
      <c r="AI986" s="80"/>
    </row>
    <row r="987" spans="1:35" x14ac:dyDescent="0.2">
      <c r="A987" s="2"/>
      <c r="B987" s="80"/>
      <c r="C987" s="80"/>
      <c r="D987" s="80"/>
      <c r="E987" s="80"/>
      <c r="F987" s="80"/>
      <c r="G987" s="80"/>
      <c r="H987" s="80"/>
      <c r="I987" s="80"/>
      <c r="J987" s="80"/>
      <c r="K987" s="80"/>
      <c r="L987" s="2"/>
      <c r="M987" s="2"/>
      <c r="N987" s="2"/>
      <c r="O987" s="2"/>
      <c r="P987" s="2"/>
      <c r="Q987" s="2"/>
      <c r="R987" s="80"/>
      <c r="S987" s="80"/>
      <c r="T987" s="80"/>
      <c r="U987" s="80"/>
      <c r="V987" s="80"/>
      <c r="W987" s="80"/>
      <c r="X987" s="80"/>
      <c r="Y987" s="80"/>
      <c r="Z987" s="80"/>
      <c r="AA987" s="80"/>
      <c r="AB987" s="80"/>
      <c r="AC987" s="80"/>
      <c r="AD987" s="80"/>
      <c r="AE987" s="80"/>
      <c r="AF987" s="80"/>
      <c r="AG987" s="80"/>
      <c r="AH987" s="80"/>
      <c r="AI987" s="80"/>
    </row>
    <row r="988" spans="1:35" x14ac:dyDescent="0.2">
      <c r="A988" s="2"/>
      <c r="B988" s="80"/>
      <c r="C988" s="80"/>
      <c r="D988" s="80"/>
      <c r="E988" s="80"/>
      <c r="F988" s="80"/>
      <c r="G988" s="80"/>
      <c r="H988" s="80"/>
      <c r="I988" s="80"/>
      <c r="J988" s="80"/>
      <c r="K988" s="80"/>
      <c r="L988" s="2"/>
      <c r="M988" s="2"/>
      <c r="N988" s="2"/>
      <c r="O988" s="2"/>
      <c r="P988" s="2"/>
      <c r="Q988" s="2"/>
      <c r="R988" s="80"/>
      <c r="S988" s="80"/>
      <c r="T988" s="80"/>
      <c r="U988" s="80"/>
      <c r="V988" s="80"/>
      <c r="W988" s="80"/>
      <c r="X988" s="80"/>
      <c r="Y988" s="80"/>
      <c r="Z988" s="80"/>
      <c r="AA988" s="80"/>
      <c r="AB988" s="80"/>
      <c r="AC988" s="80"/>
      <c r="AD988" s="80"/>
      <c r="AE988" s="80"/>
      <c r="AF988" s="80"/>
      <c r="AG988" s="80"/>
      <c r="AH988" s="80"/>
      <c r="AI988" s="80"/>
    </row>
    <row r="989" spans="1:35" x14ac:dyDescent="0.2">
      <c r="A989" s="2"/>
      <c r="B989" s="80"/>
      <c r="C989" s="80"/>
      <c r="D989" s="80"/>
      <c r="E989" s="80"/>
      <c r="F989" s="80"/>
      <c r="G989" s="80"/>
      <c r="H989" s="80"/>
      <c r="I989" s="80"/>
      <c r="J989" s="80"/>
      <c r="K989" s="80"/>
      <c r="L989" s="2"/>
      <c r="M989" s="2"/>
      <c r="N989" s="2"/>
      <c r="O989" s="2"/>
      <c r="P989" s="2"/>
      <c r="Q989" s="2"/>
      <c r="R989" s="80"/>
      <c r="S989" s="80"/>
      <c r="T989" s="80"/>
      <c r="U989" s="80"/>
      <c r="V989" s="80"/>
      <c r="W989" s="80"/>
      <c r="X989" s="80"/>
      <c r="Y989" s="80"/>
      <c r="Z989" s="80"/>
      <c r="AA989" s="80"/>
      <c r="AB989" s="80"/>
      <c r="AC989" s="80"/>
      <c r="AD989" s="80"/>
      <c r="AE989" s="80"/>
      <c r="AF989" s="80"/>
      <c r="AG989" s="80"/>
      <c r="AH989" s="80"/>
      <c r="AI989" s="80"/>
    </row>
    <row r="990" spans="1:35" x14ac:dyDescent="0.2">
      <c r="A990" s="2"/>
      <c r="B990" s="80"/>
      <c r="C990" s="80"/>
      <c r="D990" s="80"/>
      <c r="E990" s="80"/>
      <c r="F990" s="80"/>
      <c r="G990" s="80"/>
      <c r="H990" s="80"/>
      <c r="I990" s="80"/>
      <c r="J990" s="80"/>
      <c r="K990" s="80"/>
      <c r="L990" s="2"/>
      <c r="M990" s="2"/>
      <c r="N990" s="2"/>
      <c r="O990" s="2"/>
      <c r="P990" s="2"/>
      <c r="Q990" s="2"/>
      <c r="R990" s="80"/>
      <c r="S990" s="80"/>
      <c r="T990" s="80"/>
      <c r="U990" s="80"/>
      <c r="V990" s="80"/>
      <c r="W990" s="80"/>
      <c r="X990" s="80"/>
      <c r="Y990" s="80"/>
      <c r="Z990" s="80"/>
      <c r="AA990" s="80"/>
      <c r="AB990" s="80"/>
      <c r="AC990" s="80"/>
      <c r="AD990" s="80"/>
      <c r="AE990" s="80"/>
      <c r="AF990" s="80"/>
      <c r="AG990" s="80"/>
      <c r="AH990" s="80"/>
      <c r="AI990" s="80"/>
    </row>
    <row r="991" spans="1:35" x14ac:dyDescent="0.2">
      <c r="A991" s="2"/>
      <c r="B991" s="80"/>
      <c r="C991" s="80"/>
      <c r="D991" s="80"/>
      <c r="E991" s="80"/>
      <c r="F991" s="80"/>
      <c r="G991" s="80"/>
      <c r="H991" s="80"/>
      <c r="I991" s="80"/>
      <c r="J991" s="80"/>
      <c r="K991" s="80"/>
      <c r="L991" s="2"/>
      <c r="M991" s="2"/>
      <c r="N991" s="2"/>
      <c r="O991" s="2"/>
      <c r="P991" s="2"/>
      <c r="Q991" s="2"/>
      <c r="R991" s="80"/>
      <c r="S991" s="80"/>
      <c r="T991" s="80"/>
      <c r="U991" s="80"/>
      <c r="V991" s="80"/>
      <c r="W991" s="80"/>
      <c r="X991" s="80"/>
      <c r="Y991" s="80"/>
      <c r="Z991" s="80"/>
      <c r="AA991" s="80"/>
      <c r="AB991" s="80"/>
      <c r="AC991" s="80"/>
      <c r="AD991" s="80"/>
      <c r="AE991" s="80"/>
      <c r="AF991" s="80"/>
      <c r="AG991" s="80"/>
      <c r="AH991" s="80"/>
      <c r="AI991" s="80"/>
    </row>
    <row r="992" spans="1:35" x14ac:dyDescent="0.2">
      <c r="A992" s="2"/>
      <c r="B992" s="80"/>
      <c r="C992" s="80"/>
      <c r="D992" s="80"/>
      <c r="E992" s="80"/>
      <c r="F992" s="80"/>
      <c r="G992" s="80"/>
      <c r="H992" s="80"/>
      <c r="I992" s="80"/>
      <c r="J992" s="80"/>
      <c r="K992" s="80"/>
      <c r="L992" s="2"/>
      <c r="M992" s="2"/>
      <c r="N992" s="2"/>
      <c r="O992" s="2"/>
      <c r="P992" s="2"/>
      <c r="Q992" s="2"/>
      <c r="R992" s="80"/>
      <c r="S992" s="80"/>
      <c r="T992" s="80"/>
      <c r="U992" s="80"/>
      <c r="V992" s="80"/>
      <c r="W992" s="80"/>
      <c r="X992" s="80"/>
      <c r="Y992" s="80"/>
      <c r="Z992" s="80"/>
      <c r="AA992" s="80"/>
      <c r="AB992" s="80"/>
      <c r="AC992" s="80"/>
      <c r="AD992" s="80"/>
      <c r="AE992" s="80"/>
      <c r="AF992" s="80"/>
      <c r="AG992" s="80"/>
      <c r="AH992" s="80"/>
      <c r="AI992" s="80"/>
    </row>
    <row r="993" spans="1:35" x14ac:dyDescent="0.2">
      <c r="A993" s="2"/>
      <c r="B993" s="80"/>
      <c r="C993" s="80"/>
      <c r="D993" s="80"/>
      <c r="E993" s="80"/>
      <c r="F993" s="80"/>
      <c r="G993" s="80"/>
      <c r="H993" s="80"/>
      <c r="I993" s="80"/>
      <c r="J993" s="80"/>
      <c r="K993" s="80"/>
      <c r="L993" s="2"/>
      <c r="M993" s="2"/>
      <c r="N993" s="2"/>
      <c r="O993" s="2"/>
      <c r="P993" s="2"/>
      <c r="Q993" s="2"/>
      <c r="R993" s="80"/>
      <c r="S993" s="80"/>
      <c r="T993" s="80"/>
      <c r="U993" s="80"/>
      <c r="V993" s="80"/>
      <c r="W993" s="80"/>
      <c r="X993" s="80"/>
      <c r="Y993" s="80"/>
      <c r="Z993" s="80"/>
      <c r="AA993" s="80"/>
      <c r="AB993" s="80"/>
      <c r="AC993" s="80"/>
      <c r="AD993" s="80"/>
      <c r="AE993" s="80"/>
      <c r="AF993" s="80"/>
      <c r="AG993" s="80"/>
      <c r="AH993" s="80"/>
      <c r="AI993" s="80"/>
    </row>
    <row r="994" spans="1:35" x14ac:dyDescent="0.2">
      <c r="A994" s="2"/>
      <c r="B994" s="80"/>
      <c r="C994" s="80"/>
      <c r="D994" s="80"/>
      <c r="E994" s="80"/>
      <c r="F994" s="80"/>
      <c r="G994" s="80"/>
      <c r="H994" s="80"/>
      <c r="I994" s="80"/>
      <c r="J994" s="80"/>
      <c r="K994" s="80"/>
      <c r="L994" s="2"/>
      <c r="M994" s="2"/>
      <c r="N994" s="2"/>
      <c r="O994" s="2"/>
      <c r="P994" s="2"/>
      <c r="Q994" s="2"/>
      <c r="R994" s="80"/>
      <c r="S994" s="80"/>
      <c r="T994" s="80"/>
      <c r="U994" s="80"/>
      <c r="V994" s="80"/>
      <c r="W994" s="80"/>
      <c r="X994" s="80"/>
      <c r="Y994" s="80"/>
      <c r="Z994" s="80"/>
      <c r="AA994" s="80"/>
      <c r="AB994" s="80"/>
      <c r="AC994" s="80"/>
      <c r="AD994" s="80"/>
      <c r="AE994" s="80"/>
      <c r="AF994" s="80"/>
      <c r="AG994" s="80"/>
      <c r="AH994" s="80"/>
      <c r="AI994" s="80"/>
    </row>
    <row r="995" spans="1:35" x14ac:dyDescent="0.2">
      <c r="A995" s="2"/>
      <c r="B995" s="80"/>
      <c r="C995" s="80"/>
      <c r="D995" s="80"/>
      <c r="E995" s="80"/>
      <c r="F995" s="80"/>
      <c r="G995" s="80"/>
      <c r="H995" s="80"/>
      <c r="I995" s="80"/>
      <c r="J995" s="80"/>
      <c r="K995" s="80"/>
      <c r="L995" s="2"/>
      <c r="M995" s="2"/>
      <c r="N995" s="2"/>
      <c r="O995" s="2"/>
      <c r="P995" s="2"/>
      <c r="Q995" s="2"/>
      <c r="R995" s="80"/>
      <c r="S995" s="80"/>
      <c r="T995" s="80"/>
      <c r="U995" s="80"/>
      <c r="V995" s="80"/>
      <c r="W995" s="80"/>
      <c r="X995" s="80"/>
      <c r="Y995" s="80"/>
      <c r="Z995" s="80"/>
      <c r="AA995" s="80"/>
      <c r="AB995" s="80"/>
      <c r="AC995" s="80"/>
      <c r="AD995" s="80"/>
      <c r="AE995" s="80"/>
      <c r="AF995" s="80"/>
      <c r="AG995" s="80"/>
      <c r="AH995" s="80"/>
      <c r="AI995" s="80"/>
    </row>
    <row r="996" spans="1:35" x14ac:dyDescent="0.2">
      <c r="A996" s="2"/>
      <c r="B996" s="80"/>
      <c r="C996" s="80"/>
      <c r="D996" s="80"/>
      <c r="E996" s="80"/>
      <c r="F996" s="80"/>
      <c r="G996" s="80"/>
      <c r="H996" s="80"/>
      <c r="I996" s="80"/>
      <c r="J996" s="80"/>
      <c r="K996" s="80"/>
      <c r="L996" s="2"/>
      <c r="M996" s="2"/>
      <c r="N996" s="2"/>
      <c r="O996" s="2"/>
      <c r="P996" s="2"/>
      <c r="Q996" s="2"/>
      <c r="R996" s="80"/>
      <c r="S996" s="80"/>
      <c r="T996" s="80"/>
      <c r="U996" s="80"/>
      <c r="V996" s="80"/>
      <c r="W996" s="80"/>
      <c r="X996" s="80"/>
      <c r="Y996" s="80"/>
      <c r="Z996" s="80"/>
      <c r="AA996" s="80"/>
      <c r="AB996" s="80"/>
      <c r="AC996" s="80"/>
      <c r="AD996" s="80"/>
      <c r="AE996" s="80"/>
      <c r="AF996" s="80"/>
      <c r="AG996" s="80"/>
      <c r="AH996" s="80"/>
      <c r="AI996" s="80"/>
    </row>
    <row r="997" spans="1:35" x14ac:dyDescent="0.2">
      <c r="A997" s="2"/>
      <c r="B997" s="80"/>
      <c r="C997" s="80"/>
      <c r="D997" s="80"/>
      <c r="E997" s="80"/>
      <c r="F997" s="80"/>
      <c r="G997" s="80"/>
      <c r="H997" s="80"/>
      <c r="I997" s="80"/>
      <c r="J997" s="80"/>
      <c r="K997" s="80"/>
      <c r="L997" s="2"/>
      <c r="M997" s="2"/>
      <c r="N997" s="2"/>
      <c r="O997" s="2"/>
      <c r="P997" s="2"/>
      <c r="Q997" s="2"/>
      <c r="R997" s="80"/>
      <c r="S997" s="80"/>
      <c r="T997" s="80"/>
      <c r="U997" s="80"/>
      <c r="V997" s="80"/>
      <c r="W997" s="80"/>
      <c r="X997" s="80"/>
      <c r="Y997" s="80"/>
      <c r="Z997" s="80"/>
      <c r="AA997" s="80"/>
      <c r="AB997" s="80"/>
      <c r="AC997" s="80"/>
      <c r="AD997" s="80"/>
      <c r="AE997" s="80"/>
      <c r="AF997" s="80"/>
      <c r="AG997" s="80"/>
      <c r="AH997" s="80"/>
      <c r="AI997" s="80"/>
    </row>
    <row r="998" spans="1:35" x14ac:dyDescent="0.2">
      <c r="A998" s="2"/>
      <c r="B998" s="80"/>
      <c r="C998" s="80"/>
      <c r="D998" s="80"/>
      <c r="E998" s="80"/>
      <c r="F998" s="80"/>
      <c r="G998" s="80"/>
      <c r="H998" s="80"/>
      <c r="I998" s="80"/>
      <c r="J998" s="80"/>
      <c r="K998" s="80"/>
      <c r="L998" s="2"/>
      <c r="M998" s="2"/>
      <c r="N998" s="2"/>
      <c r="O998" s="2"/>
      <c r="P998" s="2"/>
      <c r="Q998" s="2"/>
      <c r="R998" s="80"/>
      <c r="S998" s="80"/>
      <c r="T998" s="80"/>
      <c r="U998" s="80"/>
      <c r="V998" s="80"/>
      <c r="W998" s="80"/>
      <c r="X998" s="80"/>
      <c r="Y998" s="80"/>
      <c r="Z998" s="80"/>
      <c r="AA998" s="80"/>
      <c r="AB998" s="80"/>
      <c r="AC998" s="80"/>
      <c r="AD998" s="80"/>
      <c r="AE998" s="80"/>
      <c r="AF998" s="80"/>
      <c r="AG998" s="80"/>
      <c r="AH998" s="80"/>
      <c r="AI998" s="80"/>
    </row>
    <row r="999" spans="1:35" x14ac:dyDescent="0.2">
      <c r="A999" s="2"/>
      <c r="B999" s="80"/>
      <c r="C999" s="80"/>
      <c r="D999" s="80"/>
      <c r="E999" s="80"/>
      <c r="F999" s="80"/>
      <c r="G999" s="80"/>
      <c r="H999" s="80"/>
      <c r="I999" s="80"/>
      <c r="J999" s="80"/>
      <c r="K999" s="80"/>
      <c r="L999" s="2"/>
      <c r="M999" s="2"/>
      <c r="N999" s="2"/>
      <c r="O999" s="2"/>
      <c r="P999" s="2"/>
      <c r="Q999" s="2"/>
      <c r="R999" s="80"/>
      <c r="S999" s="80"/>
      <c r="T999" s="80"/>
      <c r="U999" s="80"/>
      <c r="V999" s="80"/>
      <c r="W999" s="80"/>
      <c r="X999" s="80"/>
      <c r="Y999" s="80"/>
      <c r="Z999" s="80"/>
      <c r="AA999" s="80"/>
      <c r="AB999" s="80"/>
      <c r="AC999" s="80"/>
      <c r="AD999" s="80"/>
      <c r="AE999" s="80"/>
      <c r="AF999" s="80"/>
      <c r="AG999" s="80"/>
      <c r="AH999" s="80"/>
      <c r="AI999" s="80"/>
    </row>
    <row r="1000" spans="1:35" x14ac:dyDescent="0.2">
      <c r="A1000" s="2"/>
      <c r="B1000" s="80"/>
      <c r="C1000" s="80"/>
      <c r="D1000" s="80"/>
      <c r="E1000" s="80"/>
      <c r="F1000" s="80"/>
      <c r="G1000" s="80"/>
      <c r="H1000" s="80"/>
      <c r="I1000" s="80"/>
      <c r="J1000" s="80"/>
      <c r="K1000" s="80"/>
      <c r="L1000" s="2"/>
      <c r="M1000" s="2"/>
      <c r="N1000" s="2"/>
      <c r="O1000" s="2"/>
      <c r="P1000" s="2"/>
      <c r="Q1000" s="2"/>
      <c r="R1000" s="80"/>
      <c r="S1000" s="80"/>
      <c r="T1000" s="80"/>
      <c r="U1000" s="80"/>
      <c r="V1000" s="80"/>
      <c r="W1000" s="80"/>
      <c r="X1000" s="80"/>
      <c r="Y1000" s="80"/>
      <c r="Z1000" s="80"/>
      <c r="AA1000" s="80"/>
      <c r="AB1000" s="80"/>
      <c r="AC1000" s="80"/>
      <c r="AD1000" s="80"/>
      <c r="AE1000" s="80"/>
      <c r="AF1000" s="80"/>
      <c r="AG1000" s="80"/>
      <c r="AH1000" s="80"/>
      <c r="AI1000" s="80"/>
    </row>
    <row r="1001" spans="1:35" x14ac:dyDescent="0.2">
      <c r="A1001" s="2"/>
      <c r="B1001" s="80"/>
      <c r="C1001" s="80"/>
      <c r="D1001" s="80"/>
      <c r="E1001" s="80"/>
      <c r="F1001" s="80"/>
      <c r="G1001" s="80"/>
      <c r="H1001" s="80"/>
      <c r="I1001" s="80"/>
      <c r="J1001" s="80"/>
      <c r="K1001" s="80"/>
      <c r="L1001" s="2"/>
      <c r="M1001" s="2"/>
      <c r="N1001" s="2"/>
      <c r="O1001" s="2"/>
      <c r="P1001" s="2"/>
      <c r="Q1001" s="2"/>
      <c r="R1001" s="80"/>
      <c r="S1001" s="80"/>
      <c r="T1001" s="80"/>
      <c r="U1001" s="80"/>
      <c r="V1001" s="80"/>
      <c r="W1001" s="80"/>
      <c r="X1001" s="80"/>
      <c r="Y1001" s="80"/>
      <c r="Z1001" s="80"/>
      <c r="AA1001" s="80"/>
      <c r="AB1001" s="80"/>
      <c r="AC1001" s="80"/>
      <c r="AD1001" s="80"/>
      <c r="AE1001" s="80"/>
      <c r="AF1001" s="80"/>
      <c r="AG1001" s="80"/>
      <c r="AH1001" s="80"/>
      <c r="AI1001" s="80"/>
    </row>
    <row r="1002" spans="1:35" x14ac:dyDescent="0.2">
      <c r="A1002" s="2"/>
      <c r="B1002" s="80"/>
      <c r="C1002" s="80"/>
      <c r="D1002" s="80"/>
      <c r="E1002" s="80"/>
      <c r="F1002" s="80"/>
      <c r="G1002" s="80"/>
      <c r="H1002" s="80"/>
      <c r="I1002" s="80"/>
      <c r="J1002" s="80"/>
      <c r="K1002" s="80"/>
      <c r="L1002" s="2"/>
      <c r="M1002" s="2"/>
      <c r="N1002" s="2"/>
      <c r="O1002" s="2"/>
      <c r="P1002" s="2"/>
      <c r="Q1002" s="2"/>
      <c r="R1002" s="80"/>
      <c r="S1002" s="80"/>
      <c r="T1002" s="80"/>
      <c r="U1002" s="80"/>
      <c r="V1002" s="80"/>
      <c r="W1002" s="80"/>
      <c r="X1002" s="80"/>
      <c r="Y1002" s="80"/>
      <c r="Z1002" s="80"/>
      <c r="AA1002" s="80"/>
      <c r="AB1002" s="80"/>
      <c r="AC1002" s="80"/>
      <c r="AD1002" s="80"/>
      <c r="AE1002" s="80"/>
      <c r="AF1002" s="80"/>
      <c r="AG1002" s="80"/>
      <c r="AH1002" s="80"/>
      <c r="AI1002" s="80"/>
    </row>
    <row r="1003" spans="1:35" x14ac:dyDescent="0.2">
      <c r="A1003" s="2"/>
      <c r="B1003" s="80"/>
      <c r="C1003" s="80"/>
      <c r="D1003" s="80"/>
      <c r="E1003" s="80"/>
      <c r="F1003" s="80"/>
      <c r="G1003" s="80"/>
      <c r="H1003" s="80"/>
      <c r="I1003" s="80"/>
      <c r="J1003" s="80"/>
      <c r="K1003" s="80"/>
      <c r="L1003" s="2"/>
      <c r="M1003" s="2"/>
      <c r="N1003" s="2"/>
      <c r="O1003" s="2"/>
      <c r="P1003" s="2"/>
      <c r="Q1003" s="2"/>
      <c r="R1003" s="80"/>
      <c r="S1003" s="80"/>
      <c r="T1003" s="80"/>
      <c r="U1003" s="80"/>
      <c r="V1003" s="80"/>
      <c r="W1003" s="80"/>
      <c r="X1003" s="80"/>
      <c r="Y1003" s="80"/>
      <c r="Z1003" s="80"/>
      <c r="AA1003" s="80"/>
      <c r="AB1003" s="80"/>
      <c r="AC1003" s="80"/>
      <c r="AD1003" s="80"/>
      <c r="AE1003" s="80"/>
      <c r="AF1003" s="80"/>
      <c r="AG1003" s="80"/>
      <c r="AH1003" s="80"/>
      <c r="AI1003" s="80"/>
    </row>
    <row r="1004" spans="1:35" x14ac:dyDescent="0.2">
      <c r="A1004" s="2"/>
      <c r="B1004" s="80"/>
      <c r="C1004" s="80"/>
      <c r="D1004" s="80"/>
      <c r="E1004" s="80"/>
      <c r="F1004" s="80"/>
      <c r="G1004" s="80"/>
      <c r="H1004" s="80"/>
      <c r="I1004" s="80"/>
      <c r="J1004" s="80"/>
      <c r="K1004" s="80"/>
      <c r="L1004" s="2"/>
      <c r="M1004" s="2"/>
      <c r="N1004" s="2"/>
      <c r="O1004" s="2"/>
      <c r="P1004" s="2"/>
      <c r="Q1004" s="2"/>
      <c r="R1004" s="80"/>
      <c r="S1004" s="80"/>
      <c r="T1004" s="80"/>
      <c r="U1004" s="80"/>
      <c r="V1004" s="80"/>
      <c r="W1004" s="80"/>
      <c r="X1004" s="80"/>
      <c r="Y1004" s="80"/>
      <c r="Z1004" s="80"/>
      <c r="AA1004" s="80"/>
      <c r="AB1004" s="80"/>
      <c r="AC1004" s="80"/>
      <c r="AD1004" s="80"/>
      <c r="AE1004" s="80"/>
      <c r="AF1004" s="80"/>
      <c r="AG1004" s="80"/>
      <c r="AH1004" s="80"/>
      <c r="AI1004" s="80"/>
    </row>
    <row r="1005" spans="1:35" x14ac:dyDescent="0.2">
      <c r="A1005" s="2"/>
      <c r="B1005" s="80"/>
      <c r="C1005" s="80"/>
      <c r="D1005" s="80"/>
      <c r="E1005" s="80"/>
      <c r="F1005" s="80"/>
      <c r="G1005" s="80"/>
      <c r="H1005" s="80"/>
      <c r="I1005" s="80"/>
      <c r="J1005" s="80"/>
      <c r="K1005" s="80"/>
      <c r="L1005" s="2"/>
      <c r="M1005" s="2"/>
      <c r="N1005" s="2"/>
      <c r="O1005" s="2"/>
      <c r="P1005" s="2"/>
      <c r="Q1005" s="2"/>
      <c r="R1005" s="80"/>
      <c r="S1005" s="80"/>
      <c r="T1005" s="80"/>
      <c r="U1005" s="80"/>
      <c r="V1005" s="80"/>
      <c r="W1005" s="80"/>
      <c r="X1005" s="80"/>
      <c r="Y1005" s="80"/>
      <c r="Z1005" s="80"/>
      <c r="AA1005" s="80"/>
      <c r="AB1005" s="80"/>
      <c r="AC1005" s="80"/>
      <c r="AD1005" s="80"/>
      <c r="AE1005" s="80"/>
      <c r="AF1005" s="80"/>
      <c r="AG1005" s="80"/>
      <c r="AH1005" s="80"/>
      <c r="AI1005" s="80"/>
    </row>
    <row r="1006" spans="1:35" x14ac:dyDescent="0.2">
      <c r="A1006" s="2"/>
      <c r="B1006" s="80"/>
      <c r="C1006" s="80"/>
      <c r="D1006" s="80"/>
      <c r="E1006" s="80"/>
      <c r="F1006" s="80"/>
      <c r="G1006" s="80"/>
      <c r="H1006" s="80"/>
      <c r="I1006" s="80"/>
      <c r="J1006" s="80"/>
      <c r="K1006" s="80"/>
      <c r="L1006" s="2"/>
      <c r="M1006" s="2"/>
      <c r="N1006" s="2"/>
      <c r="O1006" s="2"/>
      <c r="P1006" s="2"/>
      <c r="Q1006" s="2"/>
      <c r="R1006" s="80"/>
      <c r="S1006" s="80"/>
      <c r="T1006" s="80"/>
      <c r="U1006" s="80"/>
      <c r="V1006" s="80"/>
      <c r="W1006" s="80"/>
      <c r="X1006" s="80"/>
      <c r="Y1006" s="80"/>
      <c r="Z1006" s="80"/>
      <c r="AA1006" s="80"/>
      <c r="AB1006" s="80"/>
      <c r="AC1006" s="80"/>
      <c r="AD1006" s="80"/>
      <c r="AE1006" s="80"/>
      <c r="AF1006" s="80"/>
      <c r="AG1006" s="80"/>
      <c r="AH1006" s="80"/>
      <c r="AI1006" s="80"/>
    </row>
    <row r="1007" spans="1:35" x14ac:dyDescent="0.2">
      <c r="A1007" s="2"/>
      <c r="B1007" s="80"/>
      <c r="C1007" s="80"/>
      <c r="D1007" s="80"/>
      <c r="E1007" s="80"/>
      <c r="F1007" s="80"/>
      <c r="G1007" s="80"/>
      <c r="H1007" s="80"/>
      <c r="I1007" s="80"/>
      <c r="J1007" s="80"/>
      <c r="K1007" s="80"/>
      <c r="L1007" s="2"/>
      <c r="M1007" s="2"/>
      <c r="N1007" s="2"/>
      <c r="O1007" s="2"/>
      <c r="P1007" s="2"/>
      <c r="Q1007" s="2"/>
      <c r="R1007" s="80"/>
      <c r="S1007" s="80"/>
      <c r="T1007" s="80"/>
      <c r="U1007" s="80"/>
      <c r="V1007" s="80"/>
      <c r="W1007" s="80"/>
      <c r="X1007" s="80"/>
      <c r="Y1007" s="80"/>
      <c r="Z1007" s="80"/>
      <c r="AA1007" s="80"/>
      <c r="AB1007" s="80"/>
      <c r="AC1007" s="80"/>
      <c r="AD1007" s="80"/>
      <c r="AE1007" s="80"/>
      <c r="AF1007" s="80"/>
      <c r="AG1007" s="80"/>
      <c r="AH1007" s="80"/>
      <c r="AI1007" s="80"/>
    </row>
    <row r="1008" spans="1:35" x14ac:dyDescent="0.2">
      <c r="A1008" s="2"/>
      <c r="B1008" s="80"/>
      <c r="C1008" s="80"/>
      <c r="D1008" s="80"/>
      <c r="E1008" s="80"/>
      <c r="F1008" s="80"/>
      <c r="G1008" s="80"/>
      <c r="H1008" s="80"/>
      <c r="I1008" s="80"/>
      <c r="J1008" s="80"/>
      <c r="K1008" s="80"/>
      <c r="L1008" s="2"/>
      <c r="M1008" s="2"/>
      <c r="N1008" s="2"/>
      <c r="O1008" s="2"/>
      <c r="P1008" s="2"/>
      <c r="Q1008" s="2"/>
      <c r="R1008" s="80"/>
      <c r="S1008" s="80"/>
      <c r="T1008" s="80"/>
      <c r="U1008" s="80"/>
      <c r="V1008" s="80"/>
      <c r="W1008" s="80"/>
      <c r="X1008" s="80"/>
      <c r="Y1008" s="80"/>
      <c r="Z1008" s="80"/>
      <c r="AA1008" s="80"/>
      <c r="AB1008" s="80"/>
      <c r="AC1008" s="80"/>
      <c r="AD1008" s="80"/>
      <c r="AE1008" s="80"/>
      <c r="AF1008" s="80"/>
      <c r="AG1008" s="80"/>
      <c r="AH1008" s="80"/>
      <c r="AI1008" s="80"/>
    </row>
    <row r="1009" spans="1:35" x14ac:dyDescent="0.2">
      <c r="A1009" s="2"/>
      <c r="B1009" s="80"/>
      <c r="C1009" s="80"/>
      <c r="D1009" s="80"/>
      <c r="E1009" s="80"/>
      <c r="F1009" s="80"/>
      <c r="G1009" s="80"/>
      <c r="H1009" s="80"/>
      <c r="I1009" s="80"/>
      <c r="J1009" s="80"/>
      <c r="K1009" s="80"/>
      <c r="L1009" s="2"/>
      <c r="M1009" s="2"/>
      <c r="N1009" s="2"/>
      <c r="O1009" s="2"/>
      <c r="P1009" s="2"/>
      <c r="Q1009" s="2"/>
      <c r="R1009" s="80"/>
      <c r="S1009" s="80"/>
      <c r="T1009" s="80"/>
      <c r="U1009" s="80"/>
      <c r="V1009" s="80"/>
      <c r="W1009" s="80"/>
      <c r="X1009" s="80"/>
      <c r="Y1009" s="80"/>
      <c r="Z1009" s="80"/>
      <c r="AA1009" s="80"/>
      <c r="AB1009" s="80"/>
      <c r="AC1009" s="80"/>
      <c r="AD1009" s="80"/>
      <c r="AE1009" s="80"/>
      <c r="AF1009" s="80"/>
      <c r="AG1009" s="80"/>
      <c r="AH1009" s="80"/>
      <c r="AI1009" s="80"/>
    </row>
    <row r="1010" spans="1:35" x14ac:dyDescent="0.2">
      <c r="A1010" s="2"/>
      <c r="B1010" s="80"/>
      <c r="C1010" s="80"/>
      <c r="D1010" s="80"/>
      <c r="E1010" s="80"/>
      <c r="F1010" s="80"/>
      <c r="G1010" s="80"/>
      <c r="H1010" s="80"/>
      <c r="I1010" s="80"/>
      <c r="J1010" s="80"/>
      <c r="K1010" s="80"/>
      <c r="L1010" s="2"/>
      <c r="M1010" s="2"/>
      <c r="N1010" s="2"/>
      <c r="O1010" s="2"/>
      <c r="P1010" s="2"/>
      <c r="Q1010" s="2"/>
      <c r="R1010" s="80"/>
      <c r="S1010" s="80"/>
      <c r="T1010" s="80"/>
      <c r="U1010" s="80"/>
      <c r="V1010" s="80"/>
      <c r="W1010" s="80"/>
      <c r="X1010" s="80"/>
      <c r="Y1010" s="80"/>
      <c r="Z1010" s="80"/>
      <c r="AA1010" s="80"/>
      <c r="AB1010" s="80"/>
      <c r="AC1010" s="80"/>
      <c r="AD1010" s="80"/>
      <c r="AE1010" s="80"/>
      <c r="AF1010" s="80"/>
      <c r="AG1010" s="80"/>
      <c r="AH1010" s="80"/>
      <c r="AI1010" s="80"/>
    </row>
    <row r="1011" spans="1:35" x14ac:dyDescent="0.2">
      <c r="A1011" s="2"/>
      <c r="B1011" s="80"/>
      <c r="C1011" s="80"/>
      <c r="D1011" s="80"/>
      <c r="E1011" s="80"/>
      <c r="F1011" s="80"/>
      <c r="G1011" s="80"/>
      <c r="H1011" s="80"/>
      <c r="I1011" s="80"/>
      <c r="J1011" s="80"/>
      <c r="K1011" s="80"/>
      <c r="L1011" s="2"/>
      <c r="M1011" s="2"/>
      <c r="N1011" s="2"/>
      <c r="O1011" s="2"/>
      <c r="P1011" s="2"/>
      <c r="Q1011" s="2"/>
      <c r="R1011" s="80"/>
      <c r="S1011" s="80"/>
      <c r="T1011" s="80"/>
      <c r="U1011" s="80"/>
      <c r="V1011" s="80"/>
      <c r="W1011" s="80"/>
      <c r="X1011" s="80"/>
      <c r="Y1011" s="80"/>
      <c r="Z1011" s="80"/>
      <c r="AA1011" s="80"/>
      <c r="AB1011" s="80"/>
      <c r="AC1011" s="80"/>
      <c r="AD1011" s="80"/>
      <c r="AE1011" s="80"/>
      <c r="AF1011" s="80"/>
      <c r="AG1011" s="80"/>
      <c r="AH1011" s="80"/>
      <c r="AI1011" s="80"/>
    </row>
    <row r="1012" spans="1:35" x14ac:dyDescent="0.2">
      <c r="A1012" s="2"/>
      <c r="B1012" s="80"/>
      <c r="C1012" s="80"/>
      <c r="D1012" s="80"/>
      <c r="E1012" s="80"/>
      <c r="F1012" s="80"/>
      <c r="G1012" s="80"/>
      <c r="H1012" s="80"/>
      <c r="I1012" s="80"/>
      <c r="J1012" s="80"/>
      <c r="K1012" s="80"/>
      <c r="L1012" s="2"/>
      <c r="M1012" s="2"/>
      <c r="N1012" s="2"/>
      <c r="O1012" s="2"/>
      <c r="P1012" s="2"/>
      <c r="Q1012" s="2"/>
      <c r="R1012" s="80"/>
      <c r="S1012" s="80"/>
      <c r="T1012" s="80"/>
      <c r="U1012" s="80"/>
      <c r="V1012" s="80"/>
      <c r="W1012" s="80"/>
      <c r="X1012" s="80"/>
      <c r="Y1012" s="80"/>
      <c r="Z1012" s="80"/>
      <c r="AA1012" s="80"/>
      <c r="AB1012" s="80"/>
      <c r="AC1012" s="80"/>
      <c r="AD1012" s="80"/>
      <c r="AE1012" s="80"/>
      <c r="AF1012" s="80"/>
      <c r="AG1012" s="80"/>
      <c r="AH1012" s="80"/>
      <c r="AI1012" s="80"/>
    </row>
    <row r="1013" spans="1:35" x14ac:dyDescent="0.2">
      <c r="A1013" s="2"/>
      <c r="B1013" s="80"/>
      <c r="C1013" s="80"/>
      <c r="D1013" s="80"/>
      <c r="E1013" s="80"/>
      <c r="F1013" s="80"/>
      <c r="G1013" s="80"/>
      <c r="H1013" s="80"/>
      <c r="I1013" s="80"/>
      <c r="J1013" s="80"/>
      <c r="K1013" s="80"/>
      <c r="L1013" s="2"/>
      <c r="M1013" s="2"/>
      <c r="N1013" s="2"/>
      <c r="O1013" s="2"/>
      <c r="P1013" s="2"/>
      <c r="Q1013" s="2"/>
      <c r="R1013" s="80"/>
      <c r="S1013" s="80"/>
      <c r="T1013" s="80"/>
      <c r="U1013" s="80"/>
      <c r="V1013" s="80"/>
      <c r="W1013" s="80"/>
      <c r="X1013" s="80"/>
      <c r="Y1013" s="80"/>
      <c r="Z1013" s="80"/>
      <c r="AA1013" s="80"/>
      <c r="AB1013" s="80"/>
      <c r="AC1013" s="80"/>
      <c r="AD1013" s="80"/>
      <c r="AE1013" s="80"/>
      <c r="AF1013" s="80"/>
      <c r="AG1013" s="80"/>
      <c r="AH1013" s="80"/>
      <c r="AI1013" s="80"/>
    </row>
    <row r="1014" spans="1:35" x14ac:dyDescent="0.2">
      <c r="A1014" s="2"/>
      <c r="B1014" s="80"/>
      <c r="C1014" s="80"/>
      <c r="D1014" s="80"/>
      <c r="E1014" s="80"/>
      <c r="F1014" s="80"/>
      <c r="G1014" s="80"/>
      <c r="H1014" s="80"/>
      <c r="I1014" s="80"/>
      <c r="J1014" s="80"/>
      <c r="K1014" s="80"/>
      <c r="L1014" s="2"/>
      <c r="M1014" s="2"/>
      <c r="N1014" s="2"/>
      <c r="O1014" s="2"/>
      <c r="P1014" s="2"/>
      <c r="Q1014" s="2"/>
      <c r="R1014" s="80"/>
      <c r="S1014" s="80"/>
      <c r="T1014" s="80"/>
      <c r="U1014" s="80"/>
      <c r="V1014" s="80"/>
      <c r="W1014" s="80"/>
      <c r="X1014" s="80"/>
      <c r="Y1014" s="80"/>
      <c r="Z1014" s="80"/>
      <c r="AA1014" s="80"/>
      <c r="AB1014" s="80"/>
      <c r="AC1014" s="80"/>
      <c r="AD1014" s="80"/>
      <c r="AE1014" s="80"/>
      <c r="AF1014" s="80"/>
      <c r="AG1014" s="80"/>
      <c r="AH1014" s="80"/>
      <c r="AI1014" s="80"/>
    </row>
    <row r="1015" spans="1:35" x14ac:dyDescent="0.2">
      <c r="A1015" s="2"/>
      <c r="B1015" s="80"/>
      <c r="C1015" s="80"/>
      <c r="D1015" s="80"/>
      <c r="E1015" s="80"/>
      <c r="F1015" s="80"/>
      <c r="G1015" s="80"/>
      <c r="H1015" s="80"/>
      <c r="I1015" s="80"/>
      <c r="J1015" s="80"/>
      <c r="K1015" s="80"/>
      <c r="L1015" s="2"/>
      <c r="M1015" s="2"/>
      <c r="N1015" s="2"/>
      <c r="O1015" s="2"/>
      <c r="P1015" s="2"/>
      <c r="Q1015" s="2"/>
      <c r="R1015" s="80"/>
      <c r="S1015" s="80"/>
      <c r="T1015" s="80"/>
      <c r="U1015" s="80"/>
      <c r="V1015" s="80"/>
      <c r="W1015" s="80"/>
      <c r="X1015" s="80"/>
      <c r="Y1015" s="80"/>
      <c r="Z1015" s="80"/>
      <c r="AA1015" s="80"/>
      <c r="AB1015" s="80"/>
      <c r="AC1015" s="80"/>
      <c r="AD1015" s="80"/>
      <c r="AE1015" s="80"/>
      <c r="AF1015" s="80"/>
      <c r="AG1015" s="80"/>
      <c r="AH1015" s="80"/>
      <c r="AI1015" s="80"/>
    </row>
    <row r="1016" spans="1:35" x14ac:dyDescent="0.2">
      <c r="A1016" s="2"/>
      <c r="B1016" s="80"/>
      <c r="C1016" s="80"/>
      <c r="D1016" s="80"/>
      <c r="E1016" s="80"/>
      <c r="F1016" s="80"/>
      <c r="G1016" s="80"/>
      <c r="H1016" s="80"/>
      <c r="I1016" s="80"/>
      <c r="J1016" s="80"/>
      <c r="K1016" s="80"/>
      <c r="L1016" s="2"/>
      <c r="M1016" s="2"/>
      <c r="N1016" s="2"/>
      <c r="O1016" s="2"/>
      <c r="P1016" s="2"/>
      <c r="Q1016" s="2"/>
      <c r="R1016" s="80"/>
      <c r="S1016" s="80"/>
      <c r="T1016" s="80"/>
      <c r="U1016" s="80"/>
      <c r="V1016" s="80"/>
      <c r="W1016" s="80"/>
      <c r="X1016" s="80"/>
      <c r="Y1016" s="80"/>
      <c r="Z1016" s="80"/>
      <c r="AA1016" s="80"/>
      <c r="AB1016" s="80"/>
      <c r="AC1016" s="80"/>
      <c r="AD1016" s="80"/>
      <c r="AE1016" s="80"/>
      <c r="AF1016" s="80"/>
      <c r="AG1016" s="80"/>
      <c r="AH1016" s="80"/>
      <c r="AI1016" s="80"/>
    </row>
    <row r="1017" spans="1:35" x14ac:dyDescent="0.2">
      <c r="A1017" s="2"/>
      <c r="B1017" s="80"/>
      <c r="C1017" s="80"/>
      <c r="D1017" s="80"/>
      <c r="E1017" s="80"/>
      <c r="F1017" s="80"/>
      <c r="G1017" s="80"/>
      <c r="H1017" s="80"/>
      <c r="I1017" s="80"/>
      <c r="J1017" s="80"/>
      <c r="K1017" s="80"/>
      <c r="L1017" s="2"/>
      <c r="M1017" s="2"/>
      <c r="N1017" s="2"/>
      <c r="O1017" s="2"/>
      <c r="P1017" s="2"/>
      <c r="Q1017" s="2"/>
      <c r="R1017" s="80"/>
      <c r="S1017" s="80"/>
      <c r="T1017" s="80"/>
      <c r="U1017" s="80"/>
      <c r="V1017" s="80"/>
      <c r="W1017" s="80"/>
      <c r="X1017" s="80"/>
      <c r="Y1017" s="80"/>
      <c r="Z1017" s="80"/>
      <c r="AA1017" s="80"/>
      <c r="AB1017" s="80"/>
      <c r="AC1017" s="80"/>
      <c r="AD1017" s="80"/>
      <c r="AE1017" s="80"/>
      <c r="AF1017" s="80"/>
      <c r="AG1017" s="80"/>
      <c r="AH1017" s="80"/>
      <c r="AI1017" s="80"/>
    </row>
    <row r="1018" spans="1:35" x14ac:dyDescent="0.2">
      <c r="A1018" s="2"/>
      <c r="B1018" s="80"/>
      <c r="C1018" s="80"/>
      <c r="D1018" s="80"/>
      <c r="E1018" s="80"/>
      <c r="F1018" s="80"/>
      <c r="G1018" s="80"/>
      <c r="H1018" s="80"/>
      <c r="I1018" s="80"/>
      <c r="J1018" s="80"/>
      <c r="K1018" s="80"/>
      <c r="L1018" s="2"/>
      <c r="M1018" s="2"/>
      <c r="N1018" s="2"/>
      <c r="O1018" s="2"/>
      <c r="P1018" s="2"/>
      <c r="Q1018" s="2"/>
      <c r="R1018" s="80"/>
      <c r="S1018" s="80"/>
      <c r="T1018" s="80"/>
      <c r="U1018" s="80"/>
      <c r="V1018" s="80"/>
      <c r="W1018" s="80"/>
      <c r="X1018" s="80"/>
      <c r="Y1018" s="80"/>
      <c r="Z1018" s="80"/>
      <c r="AA1018" s="80"/>
      <c r="AB1018" s="80"/>
      <c r="AC1018" s="80"/>
      <c r="AD1018" s="80"/>
      <c r="AE1018" s="80"/>
      <c r="AF1018" s="80"/>
      <c r="AG1018" s="80"/>
      <c r="AH1018" s="80"/>
      <c r="AI1018" s="80"/>
    </row>
    <row r="1019" spans="1:35" x14ac:dyDescent="0.2">
      <c r="A1019" s="2"/>
      <c r="B1019" s="80"/>
      <c r="C1019" s="80"/>
      <c r="D1019" s="80"/>
      <c r="E1019" s="80"/>
      <c r="F1019" s="80"/>
      <c r="G1019" s="80"/>
      <c r="H1019" s="80"/>
      <c r="I1019" s="80"/>
      <c r="J1019" s="80"/>
      <c r="K1019" s="80"/>
      <c r="L1019" s="2"/>
      <c r="M1019" s="2"/>
      <c r="N1019" s="2"/>
      <c r="O1019" s="2"/>
      <c r="P1019" s="2"/>
      <c r="Q1019" s="2"/>
      <c r="R1019" s="80"/>
      <c r="S1019" s="80"/>
      <c r="T1019" s="80"/>
      <c r="U1019" s="80"/>
      <c r="V1019" s="80"/>
      <c r="W1019" s="80"/>
      <c r="X1019" s="80"/>
      <c r="Y1019" s="80"/>
      <c r="Z1019" s="80"/>
      <c r="AA1019" s="80"/>
      <c r="AB1019" s="80"/>
      <c r="AC1019" s="80"/>
      <c r="AD1019" s="80"/>
      <c r="AE1019" s="80"/>
      <c r="AF1019" s="80"/>
      <c r="AG1019" s="80"/>
      <c r="AH1019" s="80"/>
      <c r="AI1019" s="80"/>
    </row>
    <row r="1020" spans="1:35" x14ac:dyDescent="0.2">
      <c r="A1020" s="2"/>
      <c r="B1020" s="80"/>
      <c r="C1020" s="80"/>
      <c r="D1020" s="80"/>
      <c r="E1020" s="80"/>
      <c r="F1020" s="80"/>
      <c r="G1020" s="80"/>
      <c r="H1020" s="80"/>
      <c r="I1020" s="80"/>
      <c r="J1020" s="80"/>
      <c r="K1020" s="80"/>
      <c r="L1020" s="2"/>
      <c r="M1020" s="2"/>
      <c r="N1020" s="2"/>
      <c r="O1020" s="2"/>
      <c r="P1020" s="2"/>
      <c r="Q1020" s="2"/>
      <c r="R1020" s="80"/>
      <c r="S1020" s="80"/>
      <c r="T1020" s="80"/>
      <c r="U1020" s="80"/>
      <c r="V1020" s="80"/>
      <c r="W1020" s="80"/>
      <c r="X1020" s="80"/>
      <c r="Y1020" s="80"/>
      <c r="Z1020" s="80"/>
      <c r="AA1020" s="80"/>
      <c r="AB1020" s="80"/>
      <c r="AC1020" s="80"/>
      <c r="AD1020" s="80"/>
      <c r="AE1020" s="80"/>
      <c r="AF1020" s="80"/>
      <c r="AG1020" s="80"/>
      <c r="AH1020" s="80"/>
      <c r="AI1020" s="80"/>
    </row>
    <row r="1021" spans="1:35" x14ac:dyDescent="0.2">
      <c r="A1021" s="2"/>
      <c r="B1021" s="80"/>
      <c r="C1021" s="80"/>
      <c r="D1021" s="80"/>
      <c r="E1021" s="80"/>
      <c r="F1021" s="80"/>
      <c r="G1021" s="80"/>
      <c r="H1021" s="80"/>
      <c r="I1021" s="80"/>
      <c r="J1021" s="80"/>
      <c r="K1021" s="80"/>
      <c r="L1021" s="2"/>
      <c r="M1021" s="2"/>
      <c r="N1021" s="2"/>
      <c r="O1021" s="2"/>
      <c r="P1021" s="2"/>
      <c r="Q1021" s="2"/>
      <c r="R1021" s="80"/>
      <c r="S1021" s="80"/>
      <c r="T1021" s="80"/>
      <c r="U1021" s="80"/>
      <c r="V1021" s="80"/>
      <c r="W1021" s="80"/>
      <c r="X1021" s="80"/>
      <c r="Y1021" s="80"/>
      <c r="Z1021" s="80"/>
      <c r="AA1021" s="80"/>
      <c r="AB1021" s="80"/>
      <c r="AC1021" s="80"/>
      <c r="AD1021" s="80"/>
      <c r="AE1021" s="80"/>
      <c r="AF1021" s="80"/>
      <c r="AG1021" s="80"/>
      <c r="AH1021" s="80"/>
      <c r="AI1021" s="80"/>
    </row>
    <row r="1022" spans="1:35" x14ac:dyDescent="0.2">
      <c r="A1022" s="2"/>
      <c r="B1022" s="80"/>
      <c r="C1022" s="80"/>
      <c r="D1022" s="80"/>
      <c r="E1022" s="80"/>
      <c r="F1022" s="80"/>
      <c r="G1022" s="80"/>
      <c r="H1022" s="80"/>
      <c r="I1022" s="80"/>
      <c r="J1022" s="80"/>
      <c r="K1022" s="80"/>
      <c r="L1022" s="2"/>
      <c r="M1022" s="2"/>
      <c r="N1022" s="2"/>
      <c r="O1022" s="2"/>
      <c r="P1022" s="2"/>
      <c r="Q1022" s="2"/>
      <c r="R1022" s="80"/>
      <c r="S1022" s="80"/>
      <c r="T1022" s="80"/>
      <c r="U1022" s="80"/>
      <c r="V1022" s="80"/>
      <c r="W1022" s="80"/>
      <c r="X1022" s="80"/>
      <c r="Y1022" s="80"/>
      <c r="Z1022" s="80"/>
      <c r="AA1022" s="80"/>
      <c r="AB1022" s="80"/>
      <c r="AC1022" s="80"/>
      <c r="AD1022" s="80"/>
      <c r="AE1022" s="80"/>
      <c r="AF1022" s="80"/>
      <c r="AG1022" s="80"/>
      <c r="AH1022" s="80"/>
      <c r="AI1022" s="80"/>
    </row>
    <row r="1023" spans="1:35" x14ac:dyDescent="0.2">
      <c r="A1023" s="2"/>
      <c r="B1023" s="80"/>
      <c r="C1023" s="80"/>
      <c r="D1023" s="80"/>
      <c r="E1023" s="80"/>
      <c r="F1023" s="80"/>
      <c r="G1023" s="80"/>
      <c r="H1023" s="80"/>
      <c r="I1023" s="80"/>
      <c r="J1023" s="80"/>
      <c r="K1023" s="80"/>
      <c r="L1023" s="2"/>
      <c r="M1023" s="2"/>
      <c r="N1023" s="2"/>
      <c r="O1023" s="2"/>
      <c r="P1023" s="2"/>
      <c r="Q1023" s="2"/>
      <c r="R1023" s="80"/>
      <c r="S1023" s="80"/>
      <c r="T1023" s="80"/>
      <c r="U1023" s="80"/>
      <c r="V1023" s="80"/>
      <c r="W1023" s="80"/>
      <c r="X1023" s="80"/>
      <c r="Y1023" s="80"/>
      <c r="Z1023" s="80"/>
      <c r="AA1023" s="80"/>
      <c r="AB1023" s="80"/>
      <c r="AC1023" s="80"/>
      <c r="AD1023" s="80"/>
      <c r="AE1023" s="80"/>
      <c r="AF1023" s="80"/>
      <c r="AG1023" s="80"/>
      <c r="AH1023" s="80"/>
      <c r="AI1023" s="80"/>
    </row>
    <row r="1024" spans="1:35" x14ac:dyDescent="0.2">
      <c r="A1024" s="2"/>
      <c r="B1024" s="80"/>
      <c r="C1024" s="80"/>
      <c r="D1024" s="80"/>
      <c r="E1024" s="80"/>
      <c r="F1024" s="80"/>
      <c r="G1024" s="80"/>
      <c r="H1024" s="80"/>
      <c r="I1024" s="80"/>
      <c r="J1024" s="80"/>
      <c r="K1024" s="80"/>
      <c r="L1024" s="2"/>
      <c r="M1024" s="2"/>
      <c r="N1024" s="2"/>
      <c r="O1024" s="2"/>
      <c r="P1024" s="2"/>
      <c r="Q1024" s="2"/>
      <c r="R1024" s="80"/>
      <c r="S1024" s="80"/>
      <c r="T1024" s="80"/>
      <c r="U1024" s="80"/>
      <c r="V1024" s="80"/>
      <c r="W1024" s="80"/>
      <c r="X1024" s="80"/>
      <c r="Y1024" s="80"/>
      <c r="Z1024" s="80"/>
      <c r="AA1024" s="80"/>
      <c r="AB1024" s="80"/>
      <c r="AC1024" s="80"/>
      <c r="AD1024" s="80"/>
      <c r="AE1024" s="80"/>
      <c r="AF1024" s="80"/>
      <c r="AG1024" s="80"/>
      <c r="AH1024" s="80"/>
      <c r="AI1024" s="80"/>
    </row>
    <row r="1025" spans="1:35" x14ac:dyDescent="0.2">
      <c r="A1025" s="2"/>
      <c r="B1025" s="80"/>
      <c r="C1025" s="80"/>
      <c r="D1025" s="80"/>
      <c r="E1025" s="80"/>
      <c r="F1025" s="80"/>
      <c r="G1025" s="80"/>
      <c r="H1025" s="80"/>
      <c r="I1025" s="80"/>
      <c r="J1025" s="80"/>
      <c r="K1025" s="80"/>
      <c r="L1025" s="2"/>
      <c r="M1025" s="2"/>
      <c r="N1025" s="2"/>
      <c r="O1025" s="2"/>
      <c r="P1025" s="2"/>
      <c r="Q1025" s="2"/>
      <c r="R1025" s="80"/>
      <c r="S1025" s="80"/>
      <c r="T1025" s="80"/>
      <c r="U1025" s="80"/>
      <c r="V1025" s="80"/>
      <c r="W1025" s="80"/>
      <c r="X1025" s="80"/>
      <c r="Y1025" s="80"/>
      <c r="Z1025" s="80"/>
      <c r="AA1025" s="80"/>
      <c r="AB1025" s="80"/>
      <c r="AC1025" s="80"/>
      <c r="AD1025" s="80"/>
      <c r="AE1025" s="80"/>
      <c r="AF1025" s="80"/>
      <c r="AG1025" s="80"/>
      <c r="AH1025" s="80"/>
      <c r="AI1025" s="80"/>
    </row>
    <row r="1026" spans="1:35" x14ac:dyDescent="0.2">
      <c r="A1026" s="2"/>
      <c r="B1026" s="80"/>
      <c r="C1026" s="80"/>
      <c r="D1026" s="80"/>
      <c r="E1026" s="80"/>
      <c r="F1026" s="80"/>
      <c r="G1026" s="80"/>
      <c r="H1026" s="80"/>
      <c r="I1026" s="80"/>
      <c r="J1026" s="80"/>
      <c r="K1026" s="80"/>
      <c r="L1026" s="2"/>
      <c r="M1026" s="2"/>
      <c r="N1026" s="2"/>
      <c r="O1026" s="2"/>
      <c r="P1026" s="2"/>
      <c r="Q1026" s="2"/>
      <c r="R1026" s="80"/>
      <c r="S1026" s="80"/>
      <c r="T1026" s="80"/>
      <c r="U1026" s="80"/>
      <c r="V1026" s="80"/>
      <c r="W1026" s="80"/>
      <c r="X1026" s="80"/>
      <c r="Y1026" s="80"/>
      <c r="Z1026" s="80"/>
      <c r="AA1026" s="80"/>
      <c r="AB1026" s="80"/>
      <c r="AC1026" s="80"/>
      <c r="AD1026" s="80"/>
      <c r="AE1026" s="80"/>
      <c r="AF1026" s="80"/>
      <c r="AG1026" s="80"/>
      <c r="AH1026" s="80"/>
      <c r="AI1026" s="80"/>
    </row>
    <row r="1027" spans="1:35" x14ac:dyDescent="0.2">
      <c r="A1027" s="2"/>
      <c r="B1027" s="80"/>
      <c r="C1027" s="80"/>
      <c r="D1027" s="80"/>
      <c r="E1027" s="80"/>
      <c r="F1027" s="80"/>
      <c r="G1027" s="80"/>
      <c r="H1027" s="80"/>
      <c r="I1027" s="80"/>
      <c r="J1027" s="80"/>
      <c r="K1027" s="80"/>
      <c r="L1027" s="2"/>
      <c r="M1027" s="2"/>
      <c r="N1027" s="2"/>
      <c r="O1027" s="2"/>
      <c r="P1027" s="2"/>
      <c r="Q1027" s="2"/>
      <c r="R1027" s="80"/>
      <c r="S1027" s="80"/>
      <c r="T1027" s="80"/>
      <c r="U1027" s="80"/>
      <c r="V1027" s="80"/>
      <c r="W1027" s="80"/>
      <c r="X1027" s="80"/>
      <c r="Y1027" s="80"/>
      <c r="Z1027" s="80"/>
      <c r="AA1027" s="80"/>
      <c r="AB1027" s="80"/>
      <c r="AC1027" s="80"/>
      <c r="AD1027" s="80"/>
      <c r="AE1027" s="80"/>
      <c r="AF1027" s="80"/>
      <c r="AG1027" s="80"/>
      <c r="AH1027" s="80"/>
      <c r="AI1027" s="80"/>
    </row>
    <row r="1028" spans="1:35" x14ac:dyDescent="0.2">
      <c r="A1028" s="2"/>
      <c r="B1028" s="80"/>
      <c r="C1028" s="80"/>
      <c r="D1028" s="80"/>
      <c r="E1028" s="80"/>
      <c r="F1028" s="80"/>
      <c r="G1028" s="80"/>
      <c r="H1028" s="80"/>
      <c r="I1028" s="80"/>
      <c r="J1028" s="80"/>
      <c r="K1028" s="80"/>
      <c r="L1028" s="2"/>
      <c r="M1028" s="2"/>
      <c r="N1028" s="2"/>
      <c r="O1028" s="2"/>
      <c r="P1028" s="2"/>
      <c r="Q1028" s="2"/>
      <c r="R1028" s="80"/>
      <c r="S1028" s="80"/>
      <c r="T1028" s="80"/>
      <c r="U1028" s="80"/>
      <c r="V1028" s="80"/>
      <c r="W1028" s="80"/>
      <c r="X1028" s="80"/>
      <c r="Y1028" s="80"/>
      <c r="Z1028" s="80"/>
      <c r="AA1028" s="80"/>
      <c r="AB1028" s="80"/>
      <c r="AC1028" s="80"/>
      <c r="AD1028" s="80"/>
      <c r="AE1028" s="80"/>
      <c r="AF1028" s="80"/>
      <c r="AG1028" s="80"/>
      <c r="AH1028" s="80"/>
      <c r="AI1028" s="80"/>
    </row>
    <row r="1029" spans="1:35" x14ac:dyDescent="0.2">
      <c r="A1029" s="2"/>
      <c r="B1029" s="80"/>
      <c r="C1029" s="80"/>
      <c r="D1029" s="80"/>
      <c r="E1029" s="80"/>
      <c r="F1029" s="80"/>
      <c r="G1029" s="80"/>
      <c r="H1029" s="80"/>
      <c r="I1029" s="80"/>
      <c r="J1029" s="80"/>
      <c r="K1029" s="80"/>
      <c r="L1029" s="2"/>
      <c r="M1029" s="2"/>
      <c r="N1029" s="2"/>
      <c r="O1029" s="2"/>
      <c r="P1029" s="2"/>
      <c r="Q1029" s="2"/>
      <c r="R1029" s="80"/>
      <c r="S1029" s="80"/>
      <c r="T1029" s="80"/>
      <c r="U1029" s="80"/>
      <c r="V1029" s="80"/>
      <c r="W1029" s="80"/>
      <c r="X1029" s="80"/>
      <c r="Y1029" s="80"/>
      <c r="Z1029" s="80"/>
      <c r="AA1029" s="80"/>
      <c r="AB1029" s="80"/>
      <c r="AC1029" s="80"/>
      <c r="AD1029" s="80"/>
      <c r="AE1029" s="80"/>
      <c r="AF1029" s="80"/>
      <c r="AG1029" s="80"/>
      <c r="AH1029" s="80"/>
      <c r="AI1029" s="80"/>
    </row>
    <row r="1030" spans="1:35" x14ac:dyDescent="0.2">
      <c r="A1030" s="2"/>
      <c r="B1030" s="80"/>
      <c r="C1030" s="80"/>
      <c r="D1030" s="80"/>
      <c r="E1030" s="80"/>
      <c r="F1030" s="80"/>
      <c r="G1030" s="80"/>
      <c r="H1030" s="80"/>
      <c r="I1030" s="80"/>
      <c r="J1030" s="80"/>
      <c r="K1030" s="80"/>
      <c r="L1030" s="2"/>
      <c r="M1030" s="2"/>
      <c r="N1030" s="2"/>
      <c r="O1030" s="2"/>
      <c r="P1030" s="2"/>
      <c r="Q1030" s="2"/>
      <c r="R1030" s="80"/>
      <c r="S1030" s="80"/>
      <c r="T1030" s="80"/>
      <c r="U1030" s="80"/>
      <c r="V1030" s="80"/>
      <c r="W1030" s="80"/>
      <c r="X1030" s="80"/>
      <c r="Y1030" s="80"/>
      <c r="Z1030" s="80"/>
      <c r="AA1030" s="80"/>
      <c r="AB1030" s="80"/>
      <c r="AC1030" s="80"/>
      <c r="AD1030" s="80"/>
      <c r="AE1030" s="80"/>
      <c r="AF1030" s="80"/>
      <c r="AG1030" s="80"/>
      <c r="AH1030" s="80"/>
      <c r="AI1030" s="80"/>
    </row>
    <row r="1031" spans="1:35" x14ac:dyDescent="0.2">
      <c r="A1031" s="2"/>
      <c r="B1031" s="80"/>
      <c r="C1031" s="80"/>
      <c r="D1031" s="80"/>
      <c r="E1031" s="80"/>
      <c r="F1031" s="80"/>
      <c r="G1031" s="80"/>
      <c r="H1031" s="80"/>
      <c r="I1031" s="80"/>
      <c r="J1031" s="80"/>
      <c r="K1031" s="80"/>
      <c r="L1031" s="2"/>
      <c r="M1031" s="2"/>
      <c r="N1031" s="2"/>
      <c r="O1031" s="2"/>
      <c r="P1031" s="2"/>
      <c r="Q1031" s="2"/>
      <c r="R1031" s="80"/>
      <c r="S1031" s="80"/>
      <c r="T1031" s="80"/>
      <c r="U1031" s="80"/>
      <c r="V1031" s="80"/>
      <c r="W1031" s="80"/>
      <c r="X1031" s="80"/>
      <c r="Y1031" s="80"/>
      <c r="Z1031" s="80"/>
      <c r="AA1031" s="80"/>
      <c r="AB1031" s="80"/>
      <c r="AC1031" s="80"/>
      <c r="AD1031" s="80"/>
      <c r="AE1031" s="80"/>
      <c r="AF1031" s="80"/>
      <c r="AG1031" s="80"/>
      <c r="AH1031" s="80"/>
      <c r="AI1031" s="80"/>
    </row>
    <row r="1032" spans="1:35" x14ac:dyDescent="0.2">
      <c r="A1032" s="2"/>
      <c r="B1032" s="80"/>
      <c r="C1032" s="80"/>
      <c r="D1032" s="80"/>
      <c r="E1032" s="80"/>
      <c r="F1032" s="80"/>
      <c r="G1032" s="80"/>
      <c r="H1032" s="80"/>
      <c r="I1032" s="80"/>
      <c r="J1032" s="80"/>
      <c r="K1032" s="80"/>
      <c r="L1032" s="2"/>
      <c r="M1032" s="2"/>
      <c r="N1032" s="2"/>
      <c r="O1032" s="2"/>
      <c r="P1032" s="2"/>
      <c r="Q1032" s="2"/>
      <c r="R1032" s="80"/>
      <c r="S1032" s="80"/>
      <c r="T1032" s="80"/>
      <c r="U1032" s="80"/>
      <c r="V1032" s="80"/>
      <c r="W1032" s="80"/>
      <c r="X1032" s="80"/>
      <c r="Y1032" s="80"/>
      <c r="Z1032" s="80"/>
      <c r="AA1032" s="80"/>
      <c r="AB1032" s="80"/>
      <c r="AC1032" s="80"/>
      <c r="AD1032" s="80"/>
      <c r="AE1032" s="80"/>
      <c r="AF1032" s="80"/>
      <c r="AG1032" s="80"/>
      <c r="AH1032" s="80"/>
      <c r="AI1032" s="80"/>
    </row>
    <row r="1033" spans="1:35" x14ac:dyDescent="0.2">
      <c r="A1033" s="2"/>
      <c r="B1033" s="80"/>
      <c r="C1033" s="80"/>
      <c r="D1033" s="80"/>
      <c r="E1033" s="80"/>
      <c r="F1033" s="80"/>
      <c r="G1033" s="80"/>
      <c r="H1033" s="80"/>
      <c r="I1033" s="80"/>
      <c r="J1033" s="80"/>
      <c r="K1033" s="80"/>
      <c r="L1033" s="2"/>
      <c r="M1033" s="2"/>
      <c r="N1033" s="2"/>
      <c r="O1033" s="2"/>
      <c r="P1033" s="2"/>
      <c r="Q1033" s="2"/>
      <c r="R1033" s="80"/>
      <c r="S1033" s="80"/>
      <c r="T1033" s="80"/>
      <c r="U1033" s="80"/>
      <c r="V1033" s="80"/>
      <c r="W1033" s="80"/>
      <c r="X1033" s="80"/>
      <c r="Y1033" s="80"/>
      <c r="Z1033" s="80"/>
      <c r="AA1033" s="80"/>
      <c r="AB1033" s="80"/>
      <c r="AC1033" s="80"/>
      <c r="AD1033" s="80"/>
      <c r="AE1033" s="80"/>
      <c r="AF1033" s="80"/>
      <c r="AG1033" s="80"/>
      <c r="AH1033" s="80"/>
      <c r="AI1033" s="80"/>
    </row>
    <row r="1034" spans="1:35" x14ac:dyDescent="0.2">
      <c r="A1034" s="2"/>
      <c r="B1034" s="80"/>
      <c r="C1034" s="80"/>
      <c r="D1034" s="80"/>
      <c r="E1034" s="80"/>
      <c r="F1034" s="80"/>
      <c r="G1034" s="80"/>
      <c r="H1034" s="80"/>
      <c r="I1034" s="80"/>
      <c r="J1034" s="80"/>
      <c r="K1034" s="80"/>
      <c r="L1034" s="2"/>
      <c r="M1034" s="2"/>
      <c r="N1034" s="2"/>
      <c r="O1034" s="2"/>
      <c r="P1034" s="2"/>
      <c r="Q1034" s="2"/>
      <c r="R1034" s="80"/>
      <c r="S1034" s="80"/>
      <c r="T1034" s="80"/>
      <c r="U1034" s="80"/>
      <c r="V1034" s="80"/>
      <c r="W1034" s="80"/>
      <c r="X1034" s="80"/>
      <c r="Y1034" s="80"/>
      <c r="Z1034" s="80"/>
      <c r="AA1034" s="80"/>
      <c r="AB1034" s="80"/>
      <c r="AC1034" s="80"/>
      <c r="AD1034" s="80"/>
      <c r="AE1034" s="80"/>
      <c r="AF1034" s="80"/>
      <c r="AG1034" s="80"/>
      <c r="AH1034" s="80"/>
      <c r="AI1034" s="80"/>
    </row>
    <row r="1035" spans="1:35" x14ac:dyDescent="0.2">
      <c r="A1035" s="2"/>
      <c r="B1035" s="80"/>
      <c r="C1035" s="80"/>
      <c r="D1035" s="80"/>
      <c r="E1035" s="80"/>
      <c r="F1035" s="80"/>
      <c r="G1035" s="80"/>
      <c r="H1035" s="80"/>
      <c r="I1035" s="80"/>
      <c r="J1035" s="80"/>
      <c r="K1035" s="80"/>
      <c r="L1035" s="2"/>
      <c r="M1035" s="2"/>
      <c r="N1035" s="2"/>
      <c r="O1035" s="2"/>
      <c r="P1035" s="2"/>
      <c r="Q1035" s="2"/>
      <c r="R1035" s="80"/>
      <c r="S1035" s="80"/>
      <c r="T1035" s="80"/>
      <c r="U1035" s="80"/>
      <c r="V1035" s="80"/>
      <c r="W1035" s="80"/>
      <c r="X1035" s="80"/>
      <c r="Y1035" s="80"/>
      <c r="Z1035" s="80"/>
      <c r="AA1035" s="80"/>
      <c r="AB1035" s="80"/>
      <c r="AC1035" s="80"/>
      <c r="AD1035" s="80"/>
      <c r="AE1035" s="80"/>
      <c r="AF1035" s="80"/>
      <c r="AG1035" s="80"/>
      <c r="AH1035" s="80"/>
      <c r="AI1035" s="80"/>
    </row>
    <row r="1036" spans="1:35" x14ac:dyDescent="0.2">
      <c r="A1036" s="2"/>
      <c r="B1036" s="80"/>
      <c r="C1036" s="80"/>
      <c r="D1036" s="80"/>
      <c r="E1036" s="80"/>
      <c r="F1036" s="80"/>
      <c r="G1036" s="80"/>
      <c r="H1036" s="80"/>
      <c r="I1036" s="80"/>
      <c r="J1036" s="80"/>
      <c r="K1036" s="80"/>
      <c r="L1036" s="2"/>
      <c r="M1036" s="2"/>
      <c r="N1036" s="2"/>
      <c r="O1036" s="2"/>
      <c r="P1036" s="2"/>
      <c r="Q1036" s="2"/>
      <c r="R1036" s="80"/>
      <c r="S1036" s="80"/>
      <c r="T1036" s="80"/>
      <c r="U1036" s="80"/>
      <c r="V1036" s="80"/>
      <c r="W1036" s="80"/>
      <c r="X1036" s="80"/>
      <c r="Y1036" s="80"/>
      <c r="Z1036" s="80"/>
      <c r="AA1036" s="80"/>
      <c r="AB1036" s="80"/>
      <c r="AC1036" s="80"/>
      <c r="AD1036" s="80"/>
      <c r="AE1036" s="80"/>
      <c r="AF1036" s="80"/>
      <c r="AG1036" s="80"/>
      <c r="AH1036" s="80"/>
      <c r="AI1036" s="80"/>
    </row>
    <row r="1037" spans="1:35" x14ac:dyDescent="0.2">
      <c r="A1037" s="2"/>
      <c r="B1037" s="80"/>
      <c r="C1037" s="80"/>
      <c r="D1037" s="80"/>
      <c r="E1037" s="80"/>
      <c r="F1037" s="80"/>
      <c r="G1037" s="80"/>
      <c r="H1037" s="80"/>
      <c r="I1037" s="80"/>
      <c r="J1037" s="80"/>
      <c r="K1037" s="80"/>
      <c r="L1037" s="2"/>
      <c r="M1037" s="2"/>
      <c r="N1037" s="2"/>
      <c r="O1037" s="2"/>
      <c r="P1037" s="2"/>
      <c r="Q1037" s="2"/>
      <c r="R1037" s="80"/>
      <c r="S1037" s="80"/>
      <c r="T1037" s="80"/>
      <c r="U1037" s="80"/>
      <c r="V1037" s="80"/>
      <c r="W1037" s="80"/>
      <c r="X1037" s="80"/>
      <c r="Y1037" s="80"/>
      <c r="Z1037" s="80"/>
      <c r="AA1037" s="80"/>
      <c r="AB1037" s="80"/>
      <c r="AC1037" s="80"/>
      <c r="AD1037" s="80"/>
      <c r="AE1037" s="80"/>
      <c r="AF1037" s="80"/>
      <c r="AG1037" s="80"/>
      <c r="AH1037" s="80"/>
      <c r="AI1037" s="80"/>
    </row>
    <row r="1038" spans="1:35" x14ac:dyDescent="0.2">
      <c r="A1038" s="2"/>
      <c r="B1038" s="80"/>
      <c r="C1038" s="80"/>
      <c r="D1038" s="80"/>
      <c r="E1038" s="80"/>
      <c r="F1038" s="80"/>
      <c r="G1038" s="80"/>
      <c r="H1038" s="80"/>
      <c r="I1038" s="80"/>
      <c r="J1038" s="80"/>
      <c r="K1038" s="80"/>
      <c r="L1038" s="2"/>
      <c r="M1038" s="2"/>
      <c r="N1038" s="2"/>
      <c r="O1038" s="2"/>
      <c r="P1038" s="2"/>
      <c r="Q1038" s="2"/>
      <c r="R1038" s="80"/>
      <c r="S1038" s="80"/>
      <c r="T1038" s="80"/>
      <c r="U1038" s="80"/>
      <c r="V1038" s="80"/>
      <c r="W1038" s="80"/>
      <c r="X1038" s="80"/>
      <c r="Y1038" s="80"/>
      <c r="Z1038" s="80"/>
      <c r="AA1038" s="80"/>
      <c r="AB1038" s="80"/>
      <c r="AC1038" s="80"/>
      <c r="AD1038" s="80"/>
      <c r="AE1038" s="80"/>
      <c r="AF1038" s="80"/>
      <c r="AG1038" s="80"/>
      <c r="AH1038" s="80"/>
      <c r="AI1038" s="80"/>
    </row>
    <row r="1039" spans="1:35" x14ac:dyDescent="0.2">
      <c r="A1039" s="2"/>
      <c r="B1039" s="80"/>
      <c r="C1039" s="80"/>
      <c r="D1039" s="80"/>
      <c r="E1039" s="80"/>
      <c r="F1039" s="80"/>
      <c r="G1039" s="80"/>
      <c r="H1039" s="80"/>
      <c r="I1039" s="80"/>
      <c r="J1039" s="80"/>
      <c r="K1039" s="80"/>
      <c r="L1039" s="2"/>
      <c r="M1039" s="2"/>
      <c r="N1039" s="2"/>
      <c r="O1039" s="2"/>
      <c r="P1039" s="2"/>
      <c r="Q1039" s="2"/>
      <c r="R1039" s="80"/>
      <c r="S1039" s="80"/>
      <c r="T1039" s="80"/>
      <c r="U1039" s="80"/>
      <c r="V1039" s="80"/>
      <c r="W1039" s="80"/>
      <c r="X1039" s="80"/>
      <c r="Y1039" s="80"/>
      <c r="Z1039" s="80"/>
      <c r="AA1039" s="80"/>
      <c r="AB1039" s="80"/>
      <c r="AC1039" s="80"/>
      <c r="AD1039" s="80"/>
      <c r="AE1039" s="80"/>
      <c r="AF1039" s="80"/>
      <c r="AG1039" s="80"/>
      <c r="AH1039" s="80"/>
      <c r="AI1039" s="80"/>
    </row>
    <row r="1040" spans="1:35" x14ac:dyDescent="0.2">
      <c r="A1040" s="2"/>
      <c r="B1040" s="80"/>
      <c r="C1040" s="80"/>
      <c r="D1040" s="80"/>
      <c r="E1040" s="80"/>
      <c r="F1040" s="80"/>
      <c r="G1040" s="80"/>
      <c r="H1040" s="80"/>
      <c r="I1040" s="80"/>
      <c r="J1040" s="80"/>
      <c r="K1040" s="80"/>
      <c r="L1040" s="2"/>
      <c r="M1040" s="2"/>
      <c r="N1040" s="2"/>
      <c r="O1040" s="2"/>
      <c r="P1040" s="2"/>
      <c r="Q1040" s="2"/>
      <c r="R1040" s="80"/>
      <c r="S1040" s="80"/>
      <c r="T1040" s="80"/>
      <c r="U1040" s="80"/>
      <c r="V1040" s="80"/>
      <c r="W1040" s="80"/>
      <c r="X1040" s="80"/>
      <c r="Y1040" s="80"/>
      <c r="Z1040" s="80"/>
      <c r="AA1040" s="80"/>
      <c r="AB1040" s="80"/>
      <c r="AC1040" s="80"/>
      <c r="AD1040" s="80"/>
      <c r="AE1040" s="80"/>
      <c r="AF1040" s="80"/>
      <c r="AG1040" s="80"/>
      <c r="AH1040" s="80"/>
      <c r="AI1040" s="80"/>
    </row>
    <row r="1041" spans="1:35" x14ac:dyDescent="0.2">
      <c r="A1041" s="2"/>
      <c r="B1041" s="80"/>
      <c r="C1041" s="80"/>
      <c r="D1041" s="80"/>
      <c r="E1041" s="80"/>
      <c r="F1041" s="80"/>
      <c r="G1041" s="80"/>
      <c r="H1041" s="80"/>
      <c r="I1041" s="80"/>
      <c r="J1041" s="80"/>
      <c r="K1041" s="80"/>
      <c r="L1041" s="2"/>
      <c r="M1041" s="2"/>
      <c r="N1041" s="2"/>
      <c r="O1041" s="2"/>
      <c r="P1041" s="2"/>
      <c r="Q1041" s="2"/>
      <c r="R1041" s="80"/>
      <c r="S1041" s="80"/>
      <c r="T1041" s="80"/>
      <c r="U1041" s="80"/>
      <c r="V1041" s="80"/>
      <c r="W1041" s="80"/>
      <c r="X1041" s="80"/>
      <c r="Y1041" s="80"/>
      <c r="Z1041" s="80"/>
      <c r="AA1041" s="80"/>
      <c r="AB1041" s="80"/>
      <c r="AC1041" s="80"/>
      <c r="AD1041" s="80"/>
      <c r="AE1041" s="80"/>
      <c r="AF1041" s="80"/>
      <c r="AG1041" s="80"/>
      <c r="AH1041" s="80"/>
      <c r="AI1041" s="80"/>
    </row>
    <row r="1042" spans="1:35" x14ac:dyDescent="0.2">
      <c r="A1042" s="2"/>
      <c r="B1042" s="80"/>
      <c r="C1042" s="80"/>
      <c r="D1042" s="80"/>
      <c r="E1042" s="80"/>
      <c r="F1042" s="80"/>
      <c r="G1042" s="80"/>
      <c r="H1042" s="80"/>
      <c r="I1042" s="80"/>
      <c r="J1042" s="80"/>
      <c r="K1042" s="80"/>
      <c r="L1042" s="2"/>
      <c r="M1042" s="2"/>
      <c r="N1042" s="2"/>
      <c r="O1042" s="2"/>
      <c r="P1042" s="2"/>
      <c r="Q1042" s="2"/>
      <c r="R1042" s="80"/>
      <c r="S1042" s="80"/>
      <c r="T1042" s="80"/>
      <c r="U1042" s="80"/>
      <c r="V1042" s="80"/>
      <c r="W1042" s="80"/>
      <c r="X1042" s="80"/>
      <c r="Y1042" s="80"/>
      <c r="Z1042" s="80"/>
      <c r="AA1042" s="80"/>
      <c r="AB1042" s="80"/>
      <c r="AC1042" s="80"/>
      <c r="AD1042" s="80"/>
      <c r="AE1042" s="80"/>
      <c r="AF1042" s="80"/>
      <c r="AG1042" s="80"/>
      <c r="AH1042" s="80"/>
      <c r="AI1042" s="80"/>
    </row>
    <row r="1043" spans="1:35" x14ac:dyDescent="0.2">
      <c r="A1043" s="2"/>
      <c r="B1043" s="80"/>
      <c r="C1043" s="80"/>
      <c r="D1043" s="80"/>
      <c r="E1043" s="80"/>
      <c r="F1043" s="80"/>
      <c r="G1043" s="80"/>
      <c r="H1043" s="80"/>
      <c r="I1043" s="80"/>
      <c r="J1043" s="80"/>
      <c r="K1043" s="80"/>
      <c r="L1043" s="2"/>
      <c r="M1043" s="2"/>
      <c r="N1043" s="2"/>
      <c r="O1043" s="2"/>
      <c r="P1043" s="2"/>
      <c r="Q1043" s="2"/>
      <c r="R1043" s="80"/>
      <c r="S1043" s="80"/>
      <c r="T1043" s="80"/>
      <c r="U1043" s="80"/>
      <c r="V1043" s="80"/>
      <c r="W1043" s="80"/>
      <c r="X1043" s="80"/>
      <c r="Y1043" s="80"/>
      <c r="Z1043" s="80"/>
      <c r="AA1043" s="80"/>
      <c r="AB1043" s="80"/>
      <c r="AC1043" s="80"/>
      <c r="AD1043" s="80"/>
      <c r="AE1043" s="80"/>
      <c r="AF1043" s="80"/>
      <c r="AG1043" s="80"/>
      <c r="AH1043" s="80"/>
      <c r="AI1043" s="80"/>
    </row>
    <row r="1044" spans="1:35" x14ac:dyDescent="0.2">
      <c r="A1044" s="2"/>
      <c r="B1044" s="80"/>
      <c r="C1044" s="80"/>
      <c r="D1044" s="80"/>
      <c r="E1044" s="80"/>
      <c r="F1044" s="80"/>
      <c r="G1044" s="80"/>
      <c r="H1044" s="80"/>
      <c r="I1044" s="80"/>
      <c r="J1044" s="80"/>
      <c r="K1044" s="80"/>
      <c r="L1044" s="2"/>
      <c r="M1044" s="2"/>
      <c r="N1044" s="2"/>
      <c r="O1044" s="2"/>
      <c r="P1044" s="2"/>
      <c r="Q1044" s="2"/>
      <c r="R1044" s="80"/>
      <c r="S1044" s="80"/>
      <c r="T1044" s="80"/>
      <c r="U1044" s="80"/>
      <c r="V1044" s="80"/>
      <c r="W1044" s="80"/>
      <c r="X1044" s="80"/>
      <c r="Y1044" s="80"/>
      <c r="Z1044" s="80"/>
      <c r="AA1044" s="80"/>
      <c r="AB1044" s="80"/>
      <c r="AC1044" s="80"/>
      <c r="AD1044" s="80"/>
      <c r="AE1044" s="80"/>
      <c r="AF1044" s="80"/>
      <c r="AG1044" s="80"/>
      <c r="AH1044" s="80"/>
      <c r="AI1044" s="80"/>
    </row>
    <row r="1045" spans="1:35" x14ac:dyDescent="0.2">
      <c r="A1045" s="2"/>
      <c r="B1045" s="80"/>
      <c r="C1045" s="80"/>
      <c r="D1045" s="80"/>
      <c r="E1045" s="80"/>
      <c r="F1045" s="80"/>
      <c r="G1045" s="80"/>
      <c r="H1045" s="80"/>
      <c r="I1045" s="80"/>
      <c r="J1045" s="80"/>
      <c r="K1045" s="80"/>
      <c r="L1045" s="2"/>
      <c r="M1045" s="2"/>
      <c r="N1045" s="2"/>
      <c r="O1045" s="2"/>
      <c r="P1045" s="2"/>
      <c r="Q1045" s="2"/>
      <c r="R1045" s="80"/>
      <c r="S1045" s="80"/>
      <c r="T1045" s="80"/>
      <c r="U1045" s="80"/>
      <c r="V1045" s="80"/>
      <c r="W1045" s="80"/>
      <c r="X1045" s="80"/>
      <c r="Y1045" s="80"/>
      <c r="Z1045" s="80"/>
      <c r="AA1045" s="80"/>
      <c r="AB1045" s="80"/>
      <c r="AC1045" s="80"/>
      <c r="AD1045" s="80"/>
      <c r="AE1045" s="80"/>
      <c r="AF1045" s="80"/>
      <c r="AG1045" s="80"/>
      <c r="AH1045" s="80"/>
      <c r="AI1045" s="80"/>
    </row>
    <row r="1046" spans="1:35" x14ac:dyDescent="0.2">
      <c r="A1046" s="2"/>
      <c r="B1046" s="80"/>
      <c r="C1046" s="80"/>
      <c r="D1046" s="80"/>
      <c r="E1046" s="80"/>
      <c r="F1046" s="80"/>
      <c r="G1046" s="80"/>
      <c r="H1046" s="80"/>
      <c r="I1046" s="80"/>
      <c r="J1046" s="80"/>
      <c r="K1046" s="80"/>
      <c r="L1046" s="2"/>
      <c r="M1046" s="2"/>
      <c r="N1046" s="2"/>
      <c r="O1046" s="2"/>
      <c r="P1046" s="2"/>
      <c r="Q1046" s="2"/>
      <c r="R1046" s="80"/>
      <c r="S1046" s="80"/>
      <c r="T1046" s="80"/>
      <c r="U1046" s="80"/>
      <c r="V1046" s="80"/>
      <c r="W1046" s="80"/>
      <c r="X1046" s="80"/>
      <c r="Y1046" s="80"/>
      <c r="Z1046" s="80"/>
      <c r="AA1046" s="80"/>
      <c r="AB1046" s="80"/>
      <c r="AC1046" s="80"/>
      <c r="AD1046" s="80"/>
      <c r="AE1046" s="80"/>
      <c r="AF1046" s="80"/>
      <c r="AG1046" s="80"/>
      <c r="AH1046" s="80"/>
      <c r="AI1046" s="80"/>
    </row>
    <row r="1047" spans="1:35" x14ac:dyDescent="0.2">
      <c r="A1047" s="2"/>
      <c r="B1047" s="80"/>
      <c r="C1047" s="80"/>
      <c r="D1047" s="80"/>
      <c r="E1047" s="80"/>
      <c r="F1047" s="80"/>
      <c r="G1047" s="80"/>
      <c r="H1047" s="80"/>
      <c r="I1047" s="80"/>
      <c r="J1047" s="80"/>
      <c r="K1047" s="80"/>
      <c r="L1047" s="2"/>
      <c r="M1047" s="2"/>
      <c r="N1047" s="2"/>
      <c r="O1047" s="2"/>
      <c r="P1047" s="2"/>
      <c r="Q1047" s="2"/>
      <c r="R1047" s="80"/>
      <c r="S1047" s="80"/>
      <c r="T1047" s="80"/>
      <c r="U1047" s="80"/>
      <c r="V1047" s="80"/>
      <c r="W1047" s="80"/>
      <c r="X1047" s="80"/>
      <c r="Y1047" s="80"/>
      <c r="Z1047" s="80"/>
      <c r="AA1047" s="80"/>
      <c r="AB1047" s="80"/>
      <c r="AC1047" s="80"/>
      <c r="AD1047" s="80"/>
      <c r="AE1047" s="80"/>
      <c r="AF1047" s="80"/>
      <c r="AG1047" s="80"/>
      <c r="AH1047" s="80"/>
      <c r="AI1047" s="80"/>
    </row>
    <row r="1048" spans="1:35" x14ac:dyDescent="0.2">
      <c r="A1048" s="2"/>
      <c r="B1048" s="80"/>
      <c r="C1048" s="80"/>
      <c r="D1048" s="80"/>
      <c r="E1048" s="80"/>
      <c r="F1048" s="80"/>
      <c r="G1048" s="80"/>
      <c r="H1048" s="80"/>
      <c r="I1048" s="80"/>
      <c r="J1048" s="80"/>
      <c r="K1048" s="80"/>
      <c r="L1048" s="2"/>
      <c r="M1048" s="2"/>
      <c r="N1048" s="2"/>
      <c r="O1048" s="2"/>
      <c r="P1048" s="2"/>
      <c r="Q1048" s="2"/>
      <c r="R1048" s="80"/>
      <c r="S1048" s="80"/>
      <c r="T1048" s="80"/>
      <c r="U1048" s="80"/>
      <c r="V1048" s="80"/>
      <c r="W1048" s="80"/>
      <c r="X1048" s="80"/>
      <c r="Y1048" s="80"/>
      <c r="Z1048" s="80"/>
      <c r="AA1048" s="80"/>
      <c r="AB1048" s="80"/>
      <c r="AC1048" s="80"/>
      <c r="AD1048" s="80"/>
      <c r="AE1048" s="80"/>
      <c r="AF1048" s="80"/>
      <c r="AG1048" s="80"/>
      <c r="AH1048" s="80"/>
      <c r="AI1048" s="80"/>
    </row>
    <row r="1049" spans="1:35" x14ac:dyDescent="0.2">
      <c r="A1049" s="2"/>
      <c r="B1049" s="80"/>
      <c r="C1049" s="80"/>
      <c r="D1049" s="80"/>
      <c r="E1049" s="80"/>
      <c r="F1049" s="80"/>
      <c r="G1049" s="80"/>
      <c r="H1049" s="80"/>
      <c r="I1049" s="80"/>
      <c r="J1049" s="80"/>
      <c r="K1049" s="80"/>
      <c r="L1049" s="2"/>
      <c r="M1049" s="2"/>
      <c r="N1049" s="2"/>
      <c r="O1049" s="2"/>
      <c r="P1049" s="2"/>
      <c r="Q1049" s="2"/>
      <c r="R1049" s="80"/>
      <c r="S1049" s="80"/>
      <c r="T1049" s="80"/>
      <c r="U1049" s="80"/>
      <c r="V1049" s="80"/>
      <c r="W1049" s="80"/>
      <c r="X1049" s="80"/>
      <c r="Y1049" s="80"/>
      <c r="Z1049" s="80"/>
      <c r="AA1049" s="80"/>
      <c r="AB1049" s="80"/>
      <c r="AC1049" s="80"/>
      <c r="AD1049" s="80"/>
      <c r="AE1049" s="80"/>
      <c r="AF1049" s="80"/>
      <c r="AG1049" s="80"/>
      <c r="AH1049" s="80"/>
      <c r="AI1049" s="80"/>
    </row>
    <row r="1050" spans="1:35" x14ac:dyDescent="0.2">
      <c r="A1050" s="2"/>
      <c r="B1050" s="80"/>
      <c r="C1050" s="80"/>
      <c r="D1050" s="80"/>
      <c r="E1050" s="80"/>
      <c r="F1050" s="80"/>
      <c r="G1050" s="80"/>
      <c r="H1050" s="80"/>
      <c r="I1050" s="80"/>
      <c r="J1050" s="80"/>
      <c r="K1050" s="80"/>
      <c r="L1050" s="2"/>
      <c r="M1050" s="2"/>
      <c r="N1050" s="2"/>
      <c r="O1050" s="2"/>
      <c r="P1050" s="2"/>
      <c r="Q1050" s="2"/>
      <c r="R1050" s="80"/>
      <c r="S1050" s="80"/>
      <c r="T1050" s="80"/>
      <c r="U1050" s="80"/>
      <c r="V1050" s="80"/>
      <c r="W1050" s="80"/>
      <c r="X1050" s="80"/>
      <c r="Y1050" s="80"/>
      <c r="Z1050" s="80"/>
      <c r="AA1050" s="80"/>
      <c r="AB1050" s="80"/>
      <c r="AC1050" s="80"/>
      <c r="AD1050" s="80"/>
      <c r="AE1050" s="80"/>
      <c r="AF1050" s="80"/>
      <c r="AG1050" s="80"/>
      <c r="AH1050" s="80"/>
      <c r="AI1050" s="80"/>
    </row>
    <row r="1051" spans="1:35" x14ac:dyDescent="0.2">
      <c r="A1051" s="2"/>
      <c r="B1051" s="80"/>
      <c r="C1051" s="80"/>
      <c r="D1051" s="80"/>
      <c r="E1051" s="80"/>
      <c r="F1051" s="80"/>
      <c r="G1051" s="80"/>
      <c r="H1051" s="80"/>
      <c r="I1051" s="80"/>
      <c r="J1051" s="80"/>
      <c r="K1051" s="80"/>
      <c r="L1051" s="2"/>
      <c r="M1051" s="2"/>
      <c r="N1051" s="2"/>
      <c r="O1051" s="2"/>
      <c r="P1051" s="2"/>
      <c r="Q1051" s="2"/>
      <c r="R1051" s="80"/>
      <c r="S1051" s="80"/>
      <c r="T1051" s="80"/>
      <c r="U1051" s="80"/>
      <c r="V1051" s="80"/>
      <c r="W1051" s="80"/>
      <c r="X1051" s="80"/>
      <c r="Y1051" s="80"/>
      <c r="Z1051" s="80"/>
      <c r="AA1051" s="80"/>
      <c r="AB1051" s="80"/>
      <c r="AC1051" s="80"/>
      <c r="AD1051" s="80"/>
      <c r="AE1051" s="80"/>
      <c r="AF1051" s="80"/>
      <c r="AG1051" s="80"/>
      <c r="AH1051" s="80"/>
      <c r="AI1051" s="80"/>
    </row>
    <row r="1052" spans="1:35" x14ac:dyDescent="0.2">
      <c r="A1052" s="2"/>
      <c r="B1052" s="80"/>
      <c r="C1052" s="80"/>
      <c r="D1052" s="80"/>
      <c r="E1052" s="80"/>
      <c r="F1052" s="80"/>
      <c r="G1052" s="80"/>
      <c r="H1052" s="80"/>
      <c r="I1052" s="80"/>
      <c r="J1052" s="80"/>
      <c r="K1052" s="80"/>
      <c r="L1052" s="2"/>
      <c r="M1052" s="2"/>
      <c r="N1052" s="2"/>
      <c r="O1052" s="2"/>
      <c r="P1052" s="2"/>
      <c r="Q1052" s="2"/>
      <c r="R1052" s="80"/>
      <c r="S1052" s="80"/>
      <c r="T1052" s="80"/>
      <c r="U1052" s="80"/>
      <c r="V1052" s="80"/>
      <c r="W1052" s="80"/>
      <c r="X1052" s="80"/>
      <c r="Y1052" s="80"/>
      <c r="Z1052" s="80"/>
      <c r="AA1052" s="80"/>
      <c r="AB1052" s="80"/>
      <c r="AC1052" s="80"/>
      <c r="AD1052" s="80"/>
      <c r="AE1052" s="80"/>
      <c r="AF1052" s="80"/>
      <c r="AG1052" s="80"/>
      <c r="AH1052" s="80"/>
      <c r="AI1052" s="80"/>
    </row>
    <row r="1053" spans="1:35" x14ac:dyDescent="0.2">
      <c r="A1053" s="2"/>
      <c r="B1053" s="80"/>
      <c r="C1053" s="80"/>
      <c r="D1053" s="80"/>
      <c r="E1053" s="80"/>
      <c r="F1053" s="80"/>
      <c r="G1053" s="80"/>
      <c r="H1053" s="80"/>
      <c r="I1053" s="80"/>
      <c r="J1053" s="80"/>
      <c r="K1053" s="80"/>
      <c r="L1053" s="2"/>
      <c r="M1053" s="2"/>
      <c r="N1053" s="2"/>
      <c r="O1053" s="2"/>
      <c r="P1053" s="2"/>
      <c r="Q1053" s="2"/>
      <c r="R1053" s="80"/>
      <c r="S1053" s="80"/>
      <c r="T1053" s="80"/>
      <c r="U1053" s="80"/>
      <c r="V1053" s="80"/>
      <c r="W1053" s="80"/>
      <c r="X1053" s="80"/>
      <c r="Y1053" s="80"/>
      <c r="Z1053" s="80"/>
      <c r="AA1053" s="80"/>
      <c r="AB1053" s="80"/>
      <c r="AC1053" s="80"/>
      <c r="AD1053" s="80"/>
      <c r="AE1053" s="80"/>
      <c r="AF1053" s="80"/>
      <c r="AG1053" s="80"/>
      <c r="AH1053" s="80"/>
      <c r="AI1053" s="80"/>
    </row>
    <row r="1054" spans="1:35" x14ac:dyDescent="0.2">
      <c r="A1054" s="2"/>
      <c r="B1054" s="80"/>
      <c r="C1054" s="80"/>
      <c r="D1054" s="80"/>
      <c r="E1054" s="80"/>
      <c r="F1054" s="80"/>
      <c r="G1054" s="80"/>
      <c r="H1054" s="80"/>
      <c r="I1054" s="80"/>
      <c r="J1054" s="80"/>
      <c r="K1054" s="80"/>
      <c r="L1054" s="2"/>
      <c r="M1054" s="2"/>
      <c r="N1054" s="2"/>
      <c r="O1054" s="2"/>
      <c r="P1054" s="2"/>
      <c r="Q1054" s="2"/>
      <c r="R1054" s="80"/>
      <c r="S1054" s="80"/>
      <c r="T1054" s="80"/>
      <c r="U1054" s="80"/>
      <c r="V1054" s="80"/>
      <c r="W1054" s="80"/>
      <c r="X1054" s="80"/>
      <c r="Y1054" s="80"/>
      <c r="Z1054" s="80"/>
      <c r="AA1054" s="80"/>
      <c r="AB1054" s="80"/>
      <c r="AC1054" s="80"/>
      <c r="AD1054" s="80"/>
      <c r="AE1054" s="80"/>
      <c r="AF1054" s="80"/>
      <c r="AG1054" s="80"/>
      <c r="AH1054" s="80"/>
      <c r="AI1054" s="80"/>
    </row>
    <row r="1055" spans="1:35" x14ac:dyDescent="0.2">
      <c r="A1055" s="2"/>
      <c r="B1055" s="80"/>
      <c r="C1055" s="80"/>
      <c r="D1055" s="80"/>
      <c r="E1055" s="80"/>
      <c r="F1055" s="80"/>
      <c r="G1055" s="80"/>
      <c r="H1055" s="80"/>
      <c r="I1055" s="80"/>
      <c r="J1055" s="80"/>
      <c r="K1055" s="80"/>
      <c r="L1055" s="2"/>
      <c r="M1055" s="2"/>
      <c r="N1055" s="2"/>
      <c r="O1055" s="2"/>
      <c r="P1055" s="2"/>
      <c r="Q1055" s="2"/>
      <c r="R1055" s="80"/>
      <c r="S1055" s="80"/>
      <c r="T1055" s="80"/>
      <c r="U1055" s="80"/>
      <c r="V1055" s="80"/>
      <c r="W1055" s="80"/>
      <c r="X1055" s="80"/>
      <c r="Y1055" s="80"/>
      <c r="Z1055" s="80"/>
      <c r="AA1055" s="80"/>
      <c r="AB1055" s="80"/>
      <c r="AC1055" s="80"/>
      <c r="AD1055" s="80"/>
      <c r="AE1055" s="80"/>
      <c r="AF1055" s="80"/>
      <c r="AG1055" s="80"/>
      <c r="AH1055" s="80"/>
      <c r="AI1055" s="80"/>
    </row>
    <row r="1056" spans="1:35" x14ac:dyDescent="0.2">
      <c r="A1056" s="2"/>
      <c r="B1056" s="80"/>
      <c r="C1056" s="80"/>
      <c r="D1056" s="80"/>
      <c r="E1056" s="80"/>
      <c r="F1056" s="80"/>
      <c r="G1056" s="80"/>
      <c r="H1056" s="80"/>
      <c r="I1056" s="80"/>
      <c r="J1056" s="80"/>
      <c r="K1056" s="80"/>
      <c r="L1056" s="2"/>
      <c r="M1056" s="2"/>
      <c r="N1056" s="2"/>
      <c r="O1056" s="2"/>
      <c r="P1056" s="2"/>
      <c r="Q1056" s="2"/>
      <c r="R1056" s="80"/>
      <c r="S1056" s="80"/>
      <c r="T1056" s="80"/>
      <c r="U1056" s="80"/>
      <c r="V1056" s="80"/>
      <c r="W1056" s="80"/>
      <c r="X1056" s="80"/>
      <c r="Y1056" s="80"/>
      <c r="Z1056" s="80"/>
      <c r="AA1056" s="80"/>
      <c r="AB1056" s="80"/>
      <c r="AC1056" s="80"/>
      <c r="AD1056" s="80"/>
      <c r="AE1056" s="80"/>
      <c r="AF1056" s="80"/>
      <c r="AG1056" s="80"/>
      <c r="AH1056" s="80"/>
      <c r="AI1056" s="80"/>
    </row>
    <row r="1057" spans="1:35" x14ac:dyDescent="0.2">
      <c r="A1057" s="2"/>
      <c r="B1057" s="80"/>
      <c r="C1057" s="80"/>
      <c r="D1057" s="80"/>
      <c r="E1057" s="80"/>
      <c r="F1057" s="80"/>
      <c r="G1057" s="80"/>
      <c r="H1057" s="80"/>
      <c r="I1057" s="80"/>
      <c r="J1057" s="80"/>
      <c r="K1057" s="80"/>
      <c r="L1057" s="2"/>
      <c r="M1057" s="2"/>
      <c r="N1057" s="2"/>
      <c r="O1057" s="2"/>
      <c r="P1057" s="2"/>
      <c r="Q1057" s="2"/>
      <c r="R1057" s="80"/>
      <c r="S1057" s="80"/>
      <c r="T1057" s="80"/>
      <c r="U1057" s="80"/>
      <c r="V1057" s="80"/>
      <c r="W1057" s="80"/>
      <c r="X1057" s="80"/>
      <c r="Y1057" s="80"/>
      <c r="Z1057" s="80"/>
      <c r="AA1057" s="80"/>
      <c r="AB1057" s="80"/>
      <c r="AC1057" s="80"/>
      <c r="AD1057" s="80"/>
      <c r="AE1057" s="80"/>
      <c r="AF1057" s="80"/>
      <c r="AG1057" s="80"/>
      <c r="AH1057" s="80"/>
      <c r="AI1057" s="80"/>
    </row>
    <row r="1058" spans="1:35" x14ac:dyDescent="0.2">
      <c r="A1058" s="2"/>
      <c r="B1058" s="80"/>
      <c r="C1058" s="80"/>
      <c r="D1058" s="80"/>
      <c r="E1058" s="80"/>
      <c r="F1058" s="80"/>
      <c r="G1058" s="80"/>
      <c r="H1058" s="80"/>
      <c r="I1058" s="80"/>
      <c r="J1058" s="80"/>
      <c r="K1058" s="80"/>
      <c r="L1058" s="2"/>
      <c r="M1058" s="2"/>
      <c r="N1058" s="2"/>
      <c r="O1058" s="2"/>
      <c r="P1058" s="2"/>
      <c r="Q1058" s="2"/>
      <c r="R1058" s="80"/>
      <c r="S1058" s="80"/>
      <c r="T1058" s="80"/>
      <c r="U1058" s="80"/>
      <c r="V1058" s="80"/>
      <c r="W1058" s="80"/>
      <c r="X1058" s="80"/>
      <c r="Y1058" s="80"/>
      <c r="Z1058" s="80"/>
      <c r="AA1058" s="80"/>
      <c r="AB1058" s="80"/>
      <c r="AC1058" s="80"/>
      <c r="AD1058" s="80"/>
      <c r="AE1058" s="80"/>
      <c r="AF1058" s="80"/>
      <c r="AG1058" s="80"/>
      <c r="AH1058" s="80"/>
      <c r="AI1058" s="80"/>
    </row>
    <row r="1059" spans="1:35" x14ac:dyDescent="0.2">
      <c r="A1059" s="2"/>
      <c r="B1059" s="80"/>
      <c r="C1059" s="80"/>
      <c r="D1059" s="80"/>
      <c r="E1059" s="80"/>
      <c r="F1059" s="80"/>
      <c r="G1059" s="80"/>
      <c r="H1059" s="80"/>
      <c r="I1059" s="80"/>
      <c r="J1059" s="80"/>
      <c r="K1059" s="80"/>
      <c r="L1059" s="2"/>
      <c r="M1059" s="2"/>
      <c r="N1059" s="2"/>
      <c r="O1059" s="2"/>
      <c r="P1059" s="2"/>
      <c r="Q1059" s="2"/>
      <c r="R1059" s="80"/>
      <c r="S1059" s="80"/>
      <c r="T1059" s="80"/>
      <c r="U1059" s="80"/>
      <c r="V1059" s="80"/>
      <c r="W1059" s="80"/>
      <c r="X1059" s="80"/>
      <c r="Y1059" s="80"/>
      <c r="Z1059" s="80"/>
      <c r="AA1059" s="80"/>
      <c r="AB1059" s="80"/>
      <c r="AC1059" s="80"/>
      <c r="AD1059" s="80"/>
      <c r="AE1059" s="80"/>
      <c r="AF1059" s="80"/>
      <c r="AG1059" s="80"/>
      <c r="AH1059" s="80"/>
      <c r="AI1059" s="80"/>
    </row>
    <row r="1060" spans="1:35" x14ac:dyDescent="0.2">
      <c r="A1060" s="2"/>
      <c r="B1060" s="80"/>
      <c r="C1060" s="80"/>
      <c r="D1060" s="80"/>
      <c r="E1060" s="80"/>
      <c r="F1060" s="80"/>
      <c r="G1060" s="80"/>
      <c r="H1060" s="80"/>
      <c r="I1060" s="80"/>
      <c r="J1060" s="80"/>
      <c r="K1060" s="80"/>
      <c r="L1060" s="2"/>
      <c r="M1060" s="2"/>
      <c r="N1060" s="2"/>
      <c r="O1060" s="2"/>
      <c r="P1060" s="2"/>
      <c r="Q1060" s="2"/>
      <c r="R1060" s="80"/>
      <c r="S1060" s="80"/>
      <c r="T1060" s="80"/>
      <c r="U1060" s="80"/>
      <c r="V1060" s="80"/>
      <c r="W1060" s="80"/>
      <c r="X1060" s="80"/>
      <c r="Y1060" s="80"/>
      <c r="Z1060" s="80"/>
      <c r="AA1060" s="80"/>
      <c r="AB1060" s="80"/>
      <c r="AC1060" s="80"/>
      <c r="AD1060" s="80"/>
      <c r="AE1060" s="80"/>
      <c r="AF1060" s="80"/>
      <c r="AG1060" s="80"/>
      <c r="AH1060" s="80"/>
      <c r="AI1060" s="80"/>
    </row>
    <row r="1061" spans="1:35" x14ac:dyDescent="0.2">
      <c r="A1061" s="2"/>
      <c r="B1061" s="80"/>
      <c r="C1061" s="80"/>
      <c r="D1061" s="80"/>
      <c r="E1061" s="80"/>
      <c r="F1061" s="80"/>
      <c r="G1061" s="80"/>
      <c r="H1061" s="80"/>
      <c r="I1061" s="80"/>
      <c r="J1061" s="80"/>
      <c r="K1061" s="80"/>
      <c r="L1061" s="2"/>
      <c r="M1061" s="2"/>
      <c r="N1061" s="2"/>
      <c r="O1061" s="2"/>
      <c r="P1061" s="2"/>
      <c r="Q1061" s="2"/>
      <c r="R1061" s="80"/>
      <c r="S1061" s="80"/>
      <c r="T1061" s="80"/>
      <c r="U1061" s="80"/>
      <c r="V1061" s="80"/>
      <c r="W1061" s="80"/>
      <c r="X1061" s="80"/>
      <c r="Y1061" s="80"/>
      <c r="Z1061" s="80"/>
      <c r="AA1061" s="80"/>
      <c r="AB1061" s="80"/>
      <c r="AC1061" s="80"/>
      <c r="AD1061" s="80"/>
      <c r="AE1061" s="80"/>
      <c r="AF1061" s="80"/>
      <c r="AG1061" s="80"/>
      <c r="AH1061" s="80"/>
      <c r="AI1061" s="80"/>
    </row>
    <row r="1062" spans="1:35" x14ac:dyDescent="0.2">
      <c r="A1062" s="2"/>
      <c r="B1062" s="80"/>
      <c r="C1062" s="80"/>
      <c r="D1062" s="80"/>
      <c r="E1062" s="80"/>
      <c r="F1062" s="80"/>
      <c r="G1062" s="80"/>
      <c r="H1062" s="80"/>
      <c r="I1062" s="80"/>
      <c r="J1062" s="80"/>
      <c r="K1062" s="80"/>
      <c r="L1062" s="2"/>
      <c r="M1062" s="2"/>
      <c r="N1062" s="2"/>
      <c r="O1062" s="2"/>
      <c r="P1062" s="2"/>
      <c r="Q1062" s="2"/>
      <c r="R1062" s="80"/>
      <c r="S1062" s="80"/>
      <c r="T1062" s="80"/>
      <c r="U1062" s="80"/>
      <c r="V1062" s="80"/>
      <c r="W1062" s="80"/>
      <c r="X1062" s="80"/>
      <c r="Y1062" s="80"/>
      <c r="Z1062" s="80"/>
      <c r="AA1062" s="80"/>
      <c r="AB1062" s="80"/>
      <c r="AC1062" s="80"/>
      <c r="AD1062" s="80"/>
      <c r="AE1062" s="80"/>
      <c r="AF1062" s="80"/>
      <c r="AG1062" s="80"/>
      <c r="AH1062" s="80"/>
      <c r="AI1062" s="80"/>
    </row>
    <row r="1063" spans="1:35" x14ac:dyDescent="0.2">
      <c r="A1063" s="2"/>
      <c r="B1063" s="80"/>
      <c r="C1063" s="80"/>
      <c r="D1063" s="80"/>
      <c r="E1063" s="80"/>
      <c r="F1063" s="80"/>
      <c r="G1063" s="80"/>
      <c r="H1063" s="80"/>
      <c r="I1063" s="80"/>
      <c r="J1063" s="80"/>
      <c r="K1063" s="80"/>
      <c r="L1063" s="2"/>
      <c r="M1063" s="2"/>
      <c r="N1063" s="2"/>
      <c r="O1063" s="2"/>
      <c r="P1063" s="2"/>
      <c r="Q1063" s="2"/>
      <c r="R1063" s="80"/>
      <c r="S1063" s="80"/>
      <c r="T1063" s="80"/>
      <c r="U1063" s="80"/>
      <c r="V1063" s="80"/>
      <c r="W1063" s="80"/>
      <c r="X1063" s="80"/>
      <c r="Y1063" s="80"/>
      <c r="Z1063" s="80"/>
      <c r="AA1063" s="80"/>
      <c r="AB1063" s="80"/>
      <c r="AC1063" s="80"/>
      <c r="AD1063" s="80"/>
      <c r="AE1063" s="80"/>
      <c r="AF1063" s="80"/>
      <c r="AG1063" s="80"/>
      <c r="AH1063" s="80"/>
      <c r="AI1063" s="80"/>
    </row>
    <row r="1064" spans="1:35" x14ac:dyDescent="0.2">
      <c r="A1064" s="2"/>
      <c r="B1064" s="80"/>
      <c r="C1064" s="80"/>
      <c r="D1064" s="80"/>
      <c r="E1064" s="80"/>
      <c r="F1064" s="80"/>
      <c r="G1064" s="80"/>
      <c r="H1064" s="80"/>
      <c r="I1064" s="80"/>
      <c r="J1064" s="80"/>
      <c r="K1064" s="80"/>
      <c r="L1064" s="2"/>
      <c r="M1064" s="2"/>
      <c r="N1064" s="2"/>
      <c r="O1064" s="2"/>
      <c r="P1064" s="2"/>
      <c r="Q1064" s="2"/>
      <c r="R1064" s="80"/>
      <c r="S1064" s="80"/>
      <c r="T1064" s="80"/>
      <c r="U1064" s="80"/>
      <c r="V1064" s="80"/>
      <c r="W1064" s="80"/>
      <c r="X1064" s="80"/>
      <c r="Y1064" s="80"/>
      <c r="Z1064" s="80"/>
      <c r="AA1064" s="80"/>
      <c r="AB1064" s="80"/>
      <c r="AC1064" s="80"/>
      <c r="AD1064" s="80"/>
      <c r="AE1064" s="80"/>
      <c r="AF1064" s="80"/>
      <c r="AG1064" s="80"/>
      <c r="AH1064" s="80"/>
      <c r="AI1064" s="80"/>
    </row>
    <row r="1065" spans="1:35" x14ac:dyDescent="0.2">
      <c r="A1065" s="2"/>
      <c r="B1065" s="80"/>
      <c r="C1065" s="80"/>
      <c r="D1065" s="80"/>
      <c r="E1065" s="80"/>
      <c r="F1065" s="80"/>
      <c r="G1065" s="80"/>
      <c r="H1065" s="80"/>
      <c r="I1065" s="80"/>
      <c r="J1065" s="80"/>
      <c r="K1065" s="80"/>
      <c r="L1065" s="2"/>
      <c r="M1065" s="2"/>
      <c r="N1065" s="2"/>
      <c r="O1065" s="2"/>
      <c r="P1065" s="2"/>
      <c r="Q1065" s="2"/>
      <c r="R1065" s="80"/>
      <c r="S1065" s="80"/>
      <c r="T1065" s="80"/>
      <c r="U1065" s="80"/>
      <c r="V1065" s="80"/>
      <c r="W1065" s="80"/>
      <c r="X1065" s="80"/>
      <c r="Y1065" s="80"/>
      <c r="Z1065" s="80"/>
      <c r="AA1065" s="80"/>
      <c r="AB1065" s="80"/>
      <c r="AC1065" s="80"/>
      <c r="AD1065" s="80"/>
      <c r="AE1065" s="80"/>
      <c r="AF1065" s="80"/>
      <c r="AG1065" s="80"/>
      <c r="AH1065" s="80"/>
      <c r="AI1065" s="80"/>
    </row>
    <row r="1066" spans="1:35" x14ac:dyDescent="0.2">
      <c r="A1066" s="2"/>
      <c r="B1066" s="80"/>
      <c r="C1066" s="80"/>
      <c r="D1066" s="80"/>
      <c r="E1066" s="80"/>
      <c r="F1066" s="80"/>
      <c r="G1066" s="80"/>
      <c r="H1066" s="80"/>
      <c r="I1066" s="80"/>
      <c r="J1066" s="80"/>
      <c r="K1066" s="80"/>
      <c r="L1066" s="2"/>
      <c r="M1066" s="2"/>
      <c r="N1066" s="2"/>
      <c r="O1066" s="2"/>
      <c r="P1066" s="2"/>
      <c r="Q1066" s="2"/>
      <c r="R1066" s="80"/>
      <c r="S1066" s="80"/>
      <c r="T1066" s="80"/>
      <c r="U1066" s="80"/>
      <c r="V1066" s="80"/>
      <c r="W1066" s="80"/>
      <c r="X1066" s="80"/>
      <c r="Y1066" s="80"/>
      <c r="Z1066" s="80"/>
      <c r="AA1066" s="80"/>
      <c r="AB1066" s="80"/>
      <c r="AC1066" s="80"/>
      <c r="AD1066" s="80"/>
      <c r="AE1066" s="80"/>
      <c r="AF1066" s="80"/>
      <c r="AG1066" s="80"/>
      <c r="AH1066" s="80"/>
      <c r="AI1066" s="80"/>
    </row>
    <row r="1067" spans="1:35" x14ac:dyDescent="0.2">
      <c r="A1067" s="2"/>
      <c r="B1067" s="80"/>
      <c r="C1067" s="80"/>
      <c r="D1067" s="80"/>
      <c r="E1067" s="80"/>
      <c r="F1067" s="80"/>
      <c r="G1067" s="80"/>
      <c r="H1067" s="80"/>
      <c r="I1067" s="80"/>
      <c r="J1067" s="80"/>
      <c r="K1067" s="80"/>
      <c r="L1067" s="2"/>
      <c r="M1067" s="2"/>
      <c r="N1067" s="2"/>
      <c r="O1067" s="2"/>
      <c r="P1067" s="2"/>
      <c r="Q1067" s="2"/>
      <c r="R1067" s="80"/>
      <c r="S1067" s="80"/>
      <c r="T1067" s="80"/>
      <c r="U1067" s="80"/>
      <c r="V1067" s="80"/>
      <c r="W1067" s="80"/>
      <c r="X1067" s="80"/>
      <c r="Y1067" s="80"/>
      <c r="Z1067" s="80"/>
      <c r="AA1067" s="80"/>
      <c r="AB1067" s="80"/>
      <c r="AC1067" s="80"/>
      <c r="AD1067" s="80"/>
      <c r="AE1067" s="80"/>
      <c r="AF1067" s="80"/>
      <c r="AG1067" s="80"/>
      <c r="AH1067" s="80"/>
      <c r="AI1067" s="80"/>
    </row>
    <row r="1068" spans="1:35" x14ac:dyDescent="0.2">
      <c r="A1068" s="2"/>
      <c r="B1068" s="80"/>
      <c r="C1068" s="80"/>
      <c r="D1068" s="80"/>
      <c r="E1068" s="80"/>
      <c r="F1068" s="80"/>
      <c r="G1068" s="80"/>
      <c r="H1068" s="80"/>
      <c r="I1068" s="80"/>
      <c r="J1068" s="80"/>
      <c r="K1068" s="80"/>
      <c r="L1068" s="2"/>
      <c r="M1068" s="2"/>
      <c r="N1068" s="2"/>
      <c r="O1068" s="2"/>
      <c r="P1068" s="2"/>
      <c r="Q1068" s="2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E1068" s="80"/>
      <c r="AF1068" s="80"/>
      <c r="AG1068" s="80"/>
      <c r="AH1068" s="80"/>
      <c r="AI1068" s="80"/>
    </row>
    <row r="1069" spans="1:35" x14ac:dyDescent="0.2">
      <c r="A1069" s="2"/>
      <c r="B1069" s="80"/>
      <c r="C1069" s="80"/>
      <c r="D1069" s="80"/>
      <c r="E1069" s="80"/>
      <c r="F1069" s="80"/>
      <c r="G1069" s="80"/>
      <c r="H1069" s="80"/>
      <c r="I1069" s="80"/>
      <c r="J1069" s="80"/>
      <c r="K1069" s="80"/>
      <c r="L1069" s="2"/>
      <c r="M1069" s="2"/>
      <c r="N1069" s="2"/>
      <c r="O1069" s="2"/>
      <c r="P1069" s="2"/>
      <c r="Q1069" s="2"/>
      <c r="R1069" s="80"/>
      <c r="S1069" s="80"/>
      <c r="T1069" s="80"/>
      <c r="U1069" s="80"/>
      <c r="V1069" s="80"/>
      <c r="W1069" s="80"/>
      <c r="X1069" s="80"/>
      <c r="Y1069" s="80"/>
      <c r="Z1069" s="80"/>
      <c r="AA1069" s="80"/>
      <c r="AB1069" s="80"/>
      <c r="AC1069" s="80"/>
      <c r="AD1069" s="80"/>
      <c r="AE1069" s="80"/>
      <c r="AF1069" s="80"/>
      <c r="AG1069" s="80"/>
      <c r="AH1069" s="80"/>
      <c r="AI1069" s="80"/>
    </row>
    <row r="1070" spans="1:35" x14ac:dyDescent="0.2">
      <c r="A1070" s="2"/>
      <c r="B1070" s="80"/>
      <c r="C1070" s="80"/>
      <c r="D1070" s="80"/>
      <c r="E1070" s="80"/>
      <c r="F1070" s="80"/>
      <c r="G1070" s="80"/>
      <c r="H1070" s="80"/>
      <c r="I1070" s="80"/>
      <c r="J1070" s="80"/>
      <c r="K1070" s="80"/>
      <c r="L1070" s="2"/>
      <c r="M1070" s="2"/>
      <c r="N1070" s="2"/>
      <c r="O1070" s="2"/>
      <c r="P1070" s="2"/>
      <c r="Q1070" s="2"/>
      <c r="R1070" s="80"/>
      <c r="S1070" s="80"/>
      <c r="T1070" s="80"/>
      <c r="U1070" s="80"/>
      <c r="V1070" s="80"/>
      <c r="W1070" s="80"/>
      <c r="X1070" s="80"/>
      <c r="Y1070" s="80"/>
      <c r="Z1070" s="80"/>
      <c r="AA1070" s="80"/>
      <c r="AB1070" s="80"/>
      <c r="AC1070" s="80"/>
      <c r="AD1070" s="80"/>
      <c r="AE1070" s="80"/>
      <c r="AF1070" s="80"/>
      <c r="AG1070" s="80"/>
      <c r="AH1070" s="80"/>
      <c r="AI1070" s="80"/>
    </row>
    <row r="1071" spans="1:35" x14ac:dyDescent="0.2">
      <c r="A1071" s="2"/>
      <c r="B1071" s="80"/>
      <c r="C1071" s="80"/>
      <c r="D1071" s="80"/>
      <c r="E1071" s="80"/>
      <c r="F1071" s="80"/>
      <c r="G1071" s="80"/>
      <c r="H1071" s="80"/>
      <c r="I1071" s="80"/>
      <c r="J1071" s="80"/>
      <c r="K1071" s="80"/>
      <c r="L1071" s="2"/>
      <c r="M1071" s="2"/>
      <c r="N1071" s="2"/>
      <c r="O1071" s="2"/>
      <c r="P1071" s="2"/>
      <c r="Q1071" s="2"/>
      <c r="R1071" s="80"/>
      <c r="S1071" s="80"/>
      <c r="T1071" s="80"/>
      <c r="U1071" s="80"/>
      <c r="V1071" s="80"/>
      <c r="W1071" s="80"/>
      <c r="X1071" s="80"/>
      <c r="Y1071" s="80"/>
      <c r="Z1071" s="80"/>
      <c r="AA1071" s="80"/>
      <c r="AB1071" s="80"/>
      <c r="AC1071" s="80"/>
      <c r="AD1071" s="80"/>
      <c r="AE1071" s="80"/>
      <c r="AF1071" s="80"/>
      <c r="AG1071" s="80"/>
      <c r="AH1071" s="80"/>
      <c r="AI1071" s="80"/>
    </row>
    <row r="1072" spans="1:35" x14ac:dyDescent="0.2">
      <c r="A1072" s="2"/>
      <c r="B1072" s="80"/>
      <c r="C1072" s="80"/>
      <c r="D1072" s="80"/>
      <c r="E1072" s="80"/>
      <c r="F1072" s="80"/>
      <c r="G1072" s="80"/>
      <c r="H1072" s="80"/>
      <c r="I1072" s="80"/>
      <c r="J1072" s="80"/>
      <c r="K1072" s="80"/>
      <c r="L1072" s="2"/>
      <c r="M1072" s="2"/>
      <c r="N1072" s="2"/>
      <c r="O1072" s="2"/>
      <c r="P1072" s="2"/>
      <c r="Q1072" s="2"/>
      <c r="R1072" s="80"/>
      <c r="S1072" s="80"/>
      <c r="T1072" s="80"/>
      <c r="U1072" s="80"/>
      <c r="V1072" s="80"/>
      <c r="W1072" s="80"/>
      <c r="X1072" s="80"/>
      <c r="Y1072" s="80"/>
      <c r="Z1072" s="80"/>
      <c r="AA1072" s="80"/>
      <c r="AB1072" s="80"/>
      <c r="AC1072" s="80"/>
      <c r="AD1072" s="80"/>
      <c r="AE1072" s="80"/>
      <c r="AF1072" s="80"/>
      <c r="AG1072" s="80"/>
      <c r="AH1072" s="80"/>
      <c r="AI1072" s="80"/>
    </row>
    <row r="1073" spans="1:35" x14ac:dyDescent="0.2">
      <c r="A1073" s="2"/>
      <c r="B1073" s="80"/>
      <c r="C1073" s="80"/>
      <c r="D1073" s="80"/>
      <c r="E1073" s="80"/>
      <c r="F1073" s="80"/>
      <c r="G1073" s="80"/>
      <c r="H1073" s="80"/>
      <c r="I1073" s="80"/>
      <c r="J1073" s="80"/>
      <c r="K1073" s="80"/>
      <c r="L1073" s="2"/>
      <c r="M1073" s="2"/>
      <c r="N1073" s="2"/>
      <c r="O1073" s="2"/>
      <c r="P1073" s="2"/>
      <c r="Q1073" s="2"/>
      <c r="R1073" s="80"/>
      <c r="S1073" s="80"/>
      <c r="T1073" s="80"/>
      <c r="U1073" s="80"/>
      <c r="V1073" s="80"/>
      <c r="W1073" s="80"/>
      <c r="X1073" s="80"/>
      <c r="Y1073" s="80"/>
      <c r="Z1073" s="80"/>
      <c r="AA1073" s="80"/>
      <c r="AB1073" s="80"/>
      <c r="AC1073" s="80"/>
      <c r="AD1073" s="80"/>
      <c r="AE1073" s="80"/>
      <c r="AF1073" s="80"/>
      <c r="AG1073" s="80"/>
      <c r="AH1073" s="80"/>
      <c r="AI1073" s="80"/>
    </row>
    <row r="1074" spans="1:35" x14ac:dyDescent="0.2">
      <c r="A1074" s="2"/>
      <c r="B1074" s="80"/>
      <c r="C1074" s="80"/>
      <c r="D1074" s="80"/>
      <c r="E1074" s="80"/>
      <c r="F1074" s="80"/>
      <c r="G1074" s="80"/>
      <c r="H1074" s="80"/>
      <c r="I1074" s="80"/>
      <c r="J1074" s="80"/>
      <c r="K1074" s="80"/>
      <c r="L1074" s="2"/>
      <c r="M1074" s="2"/>
      <c r="N1074" s="2"/>
      <c r="O1074" s="2"/>
      <c r="P1074" s="2"/>
      <c r="Q1074" s="2"/>
      <c r="R1074" s="80"/>
      <c r="S1074" s="80"/>
      <c r="T1074" s="80"/>
      <c r="U1074" s="80"/>
      <c r="V1074" s="80"/>
      <c r="W1074" s="80"/>
      <c r="X1074" s="80"/>
      <c r="Y1074" s="80"/>
      <c r="Z1074" s="80"/>
      <c r="AA1074" s="80"/>
      <c r="AB1074" s="80"/>
      <c r="AC1074" s="80"/>
      <c r="AD1074" s="80"/>
      <c r="AE1074" s="80"/>
      <c r="AF1074" s="80"/>
      <c r="AG1074" s="80"/>
      <c r="AH1074" s="80"/>
      <c r="AI1074" s="80"/>
    </row>
    <row r="1075" spans="1:35" x14ac:dyDescent="0.2">
      <c r="A1075" s="2"/>
      <c r="B1075" s="80"/>
      <c r="C1075" s="80"/>
      <c r="D1075" s="80"/>
      <c r="E1075" s="80"/>
      <c r="F1075" s="80"/>
      <c r="G1075" s="80"/>
      <c r="H1075" s="80"/>
      <c r="I1075" s="80"/>
      <c r="J1075" s="80"/>
      <c r="K1075" s="80"/>
      <c r="L1075" s="2"/>
      <c r="M1075" s="2"/>
      <c r="N1075" s="2"/>
      <c r="O1075" s="2"/>
      <c r="P1075" s="2"/>
      <c r="Q1075" s="2"/>
      <c r="R1075" s="80"/>
      <c r="S1075" s="80"/>
      <c r="T1075" s="80"/>
      <c r="U1075" s="80"/>
      <c r="V1075" s="80"/>
      <c r="W1075" s="80"/>
      <c r="X1075" s="80"/>
      <c r="Y1075" s="80"/>
      <c r="Z1075" s="80"/>
      <c r="AA1075" s="80"/>
      <c r="AB1075" s="80"/>
      <c r="AC1075" s="80"/>
      <c r="AD1075" s="80"/>
      <c r="AE1075" s="80"/>
      <c r="AF1075" s="80"/>
      <c r="AG1075" s="80"/>
      <c r="AH1075" s="80"/>
      <c r="AI1075" s="80"/>
    </row>
    <row r="1076" spans="1:35" x14ac:dyDescent="0.2">
      <c r="A1076" s="2"/>
      <c r="B1076" s="80"/>
      <c r="C1076" s="80"/>
      <c r="D1076" s="80"/>
      <c r="E1076" s="80"/>
      <c r="F1076" s="80"/>
      <c r="G1076" s="80"/>
      <c r="H1076" s="80"/>
      <c r="I1076" s="80"/>
      <c r="J1076" s="80"/>
      <c r="K1076" s="80"/>
      <c r="L1076" s="2"/>
      <c r="M1076" s="2"/>
      <c r="N1076" s="2"/>
      <c r="O1076" s="2"/>
      <c r="P1076" s="2"/>
      <c r="Q1076" s="2"/>
      <c r="R1076" s="80"/>
      <c r="S1076" s="80"/>
      <c r="T1076" s="80"/>
      <c r="U1076" s="80"/>
      <c r="V1076" s="80"/>
      <c r="W1076" s="80"/>
      <c r="X1076" s="80"/>
      <c r="Y1076" s="80"/>
      <c r="Z1076" s="80"/>
      <c r="AA1076" s="80"/>
      <c r="AB1076" s="80"/>
      <c r="AC1076" s="80"/>
      <c r="AD1076" s="80"/>
      <c r="AE1076" s="80"/>
      <c r="AF1076" s="80"/>
      <c r="AG1076" s="80"/>
      <c r="AH1076" s="80"/>
      <c r="AI1076" s="80"/>
    </row>
    <row r="1077" spans="1:35" x14ac:dyDescent="0.2">
      <c r="A1077" s="2"/>
      <c r="B1077" s="80"/>
      <c r="C1077" s="80"/>
      <c r="D1077" s="80"/>
      <c r="E1077" s="80"/>
      <c r="F1077" s="80"/>
      <c r="G1077" s="80"/>
      <c r="H1077" s="80"/>
      <c r="I1077" s="80"/>
      <c r="J1077" s="80"/>
      <c r="K1077" s="80"/>
      <c r="L1077" s="2"/>
      <c r="M1077" s="2"/>
      <c r="N1077" s="2"/>
      <c r="O1077" s="2"/>
      <c r="P1077" s="2"/>
      <c r="Q1077" s="2"/>
      <c r="R1077" s="80"/>
      <c r="S1077" s="80"/>
      <c r="T1077" s="80"/>
      <c r="U1077" s="80"/>
      <c r="V1077" s="80"/>
      <c r="W1077" s="80"/>
      <c r="X1077" s="80"/>
      <c r="Y1077" s="80"/>
      <c r="Z1077" s="80"/>
      <c r="AA1077" s="80"/>
      <c r="AB1077" s="80"/>
      <c r="AC1077" s="80"/>
      <c r="AD1077" s="80"/>
      <c r="AE1077" s="80"/>
      <c r="AF1077" s="80"/>
      <c r="AG1077" s="80"/>
      <c r="AH1077" s="80"/>
      <c r="AI1077" s="80"/>
    </row>
    <row r="1078" spans="1:35" x14ac:dyDescent="0.2">
      <c r="A1078" s="2"/>
      <c r="B1078" s="80"/>
      <c r="C1078" s="80"/>
      <c r="D1078" s="80"/>
      <c r="E1078" s="80"/>
      <c r="F1078" s="80"/>
      <c r="G1078" s="80"/>
      <c r="H1078" s="80"/>
      <c r="I1078" s="80"/>
      <c r="J1078" s="80"/>
      <c r="K1078" s="80"/>
      <c r="L1078" s="2"/>
      <c r="M1078" s="2"/>
      <c r="N1078" s="2"/>
      <c r="O1078" s="2"/>
      <c r="P1078" s="2"/>
      <c r="Q1078" s="2"/>
      <c r="R1078" s="80"/>
      <c r="S1078" s="80"/>
      <c r="T1078" s="80"/>
      <c r="U1078" s="80"/>
      <c r="V1078" s="80"/>
      <c r="W1078" s="80"/>
      <c r="X1078" s="80"/>
      <c r="Y1078" s="80"/>
      <c r="Z1078" s="80"/>
      <c r="AA1078" s="80"/>
      <c r="AB1078" s="80"/>
      <c r="AC1078" s="80"/>
      <c r="AD1078" s="80"/>
      <c r="AE1078" s="80"/>
      <c r="AF1078" s="80"/>
      <c r="AG1078" s="80"/>
      <c r="AH1078" s="80"/>
      <c r="AI1078" s="80"/>
    </row>
    <row r="1079" spans="1:35" x14ac:dyDescent="0.2">
      <c r="A1079" s="2"/>
      <c r="B1079" s="80"/>
      <c r="C1079" s="80"/>
      <c r="D1079" s="80"/>
      <c r="E1079" s="80"/>
      <c r="F1079" s="80"/>
      <c r="G1079" s="80"/>
      <c r="H1079" s="80"/>
      <c r="I1079" s="80"/>
      <c r="J1079" s="80"/>
      <c r="K1079" s="80"/>
      <c r="L1079" s="2"/>
      <c r="M1079" s="2"/>
      <c r="N1079" s="2"/>
      <c r="O1079" s="2"/>
      <c r="P1079" s="2"/>
      <c r="Q1079" s="2"/>
      <c r="R1079" s="80"/>
      <c r="S1079" s="80"/>
      <c r="T1079" s="80"/>
      <c r="U1079" s="80"/>
      <c r="V1079" s="80"/>
      <c r="W1079" s="80"/>
      <c r="X1079" s="80"/>
      <c r="Y1079" s="80"/>
      <c r="Z1079" s="80"/>
      <c r="AA1079" s="80"/>
      <c r="AB1079" s="80"/>
      <c r="AC1079" s="80"/>
      <c r="AD1079" s="80"/>
      <c r="AE1079" s="80"/>
      <c r="AF1079" s="80"/>
      <c r="AG1079" s="80"/>
      <c r="AH1079" s="80"/>
      <c r="AI1079" s="80"/>
    </row>
    <row r="1080" spans="1:35" x14ac:dyDescent="0.2">
      <c r="A1080" s="2"/>
      <c r="B1080" s="80"/>
      <c r="C1080" s="80"/>
      <c r="D1080" s="80"/>
      <c r="E1080" s="80"/>
      <c r="F1080" s="80"/>
      <c r="G1080" s="80"/>
      <c r="H1080" s="80"/>
      <c r="I1080" s="80"/>
      <c r="J1080" s="80"/>
      <c r="K1080" s="80"/>
      <c r="L1080" s="2"/>
      <c r="M1080" s="2"/>
      <c r="N1080" s="2"/>
      <c r="O1080" s="2"/>
      <c r="P1080" s="2"/>
      <c r="Q1080" s="2"/>
      <c r="R1080" s="80"/>
      <c r="S1080" s="80"/>
      <c r="T1080" s="80"/>
      <c r="U1080" s="80"/>
      <c r="V1080" s="80"/>
      <c r="W1080" s="80"/>
      <c r="X1080" s="80"/>
      <c r="Y1080" s="80"/>
      <c r="Z1080" s="80"/>
      <c r="AA1080" s="80"/>
      <c r="AB1080" s="80"/>
      <c r="AC1080" s="80"/>
      <c r="AD1080" s="80"/>
      <c r="AE1080" s="80"/>
      <c r="AF1080" s="80"/>
      <c r="AG1080" s="80"/>
      <c r="AH1080" s="80"/>
      <c r="AI1080" s="80"/>
    </row>
    <row r="1081" spans="1:35" x14ac:dyDescent="0.2">
      <c r="A1081" s="2"/>
      <c r="B1081" s="80"/>
      <c r="C1081" s="80"/>
      <c r="D1081" s="80"/>
      <c r="E1081" s="80"/>
      <c r="F1081" s="80"/>
      <c r="G1081" s="80"/>
      <c r="H1081" s="80"/>
      <c r="I1081" s="80"/>
      <c r="J1081" s="80"/>
      <c r="K1081" s="80"/>
      <c r="L1081" s="2"/>
      <c r="M1081" s="2"/>
      <c r="N1081" s="2"/>
      <c r="O1081" s="2"/>
      <c r="P1081" s="2"/>
      <c r="Q1081" s="2"/>
      <c r="R1081" s="80"/>
      <c r="S1081" s="80"/>
      <c r="T1081" s="80"/>
      <c r="U1081" s="80"/>
      <c r="V1081" s="80"/>
      <c r="W1081" s="80"/>
      <c r="X1081" s="80"/>
      <c r="Y1081" s="80"/>
      <c r="Z1081" s="80"/>
      <c r="AA1081" s="80"/>
      <c r="AB1081" s="80"/>
      <c r="AC1081" s="80"/>
      <c r="AD1081" s="80"/>
      <c r="AE1081" s="80"/>
      <c r="AF1081" s="80"/>
      <c r="AG1081" s="80"/>
      <c r="AH1081" s="80"/>
      <c r="AI1081" s="80"/>
    </row>
    <row r="1082" spans="1:35" x14ac:dyDescent="0.2">
      <c r="A1082" s="2"/>
      <c r="B1082" s="80"/>
      <c r="C1082" s="80"/>
      <c r="D1082" s="80"/>
      <c r="E1082" s="80"/>
      <c r="F1082" s="80"/>
      <c r="G1082" s="80"/>
      <c r="H1082" s="80"/>
      <c r="I1082" s="80"/>
      <c r="J1082" s="80"/>
      <c r="K1082" s="80"/>
      <c r="L1082" s="2"/>
      <c r="M1082" s="2"/>
      <c r="N1082" s="2"/>
      <c r="O1082" s="2"/>
      <c r="P1082" s="2"/>
      <c r="Q1082" s="2"/>
      <c r="R1082" s="80"/>
      <c r="S1082" s="80"/>
      <c r="T1082" s="80"/>
      <c r="U1082" s="80"/>
      <c r="V1082" s="80"/>
      <c r="W1082" s="80"/>
      <c r="X1082" s="80"/>
      <c r="Y1082" s="80"/>
      <c r="Z1082" s="80"/>
      <c r="AA1082" s="80"/>
      <c r="AB1082" s="80"/>
      <c r="AC1082" s="80"/>
      <c r="AD1082" s="80"/>
      <c r="AE1082" s="80"/>
      <c r="AF1082" s="80"/>
      <c r="AG1082" s="80"/>
      <c r="AH1082" s="80"/>
      <c r="AI1082" s="80"/>
    </row>
    <row r="1083" spans="1:35" x14ac:dyDescent="0.2">
      <c r="A1083" s="2"/>
      <c r="B1083" s="80"/>
      <c r="C1083" s="80"/>
      <c r="D1083" s="80"/>
      <c r="E1083" s="80"/>
      <c r="F1083" s="80"/>
      <c r="G1083" s="80"/>
      <c r="H1083" s="80"/>
      <c r="I1083" s="80"/>
      <c r="J1083" s="80"/>
      <c r="K1083" s="80"/>
      <c r="L1083" s="2"/>
      <c r="M1083" s="2"/>
      <c r="N1083" s="2"/>
      <c r="O1083" s="2"/>
      <c r="P1083" s="2"/>
      <c r="Q1083" s="2"/>
      <c r="R1083" s="80"/>
      <c r="S1083" s="80"/>
      <c r="T1083" s="80"/>
      <c r="U1083" s="80"/>
      <c r="V1083" s="80"/>
      <c r="W1083" s="80"/>
      <c r="X1083" s="80"/>
      <c r="Y1083" s="80"/>
      <c r="Z1083" s="80"/>
      <c r="AA1083" s="80"/>
      <c r="AB1083" s="80"/>
      <c r="AC1083" s="80"/>
      <c r="AD1083" s="80"/>
      <c r="AE1083" s="80"/>
      <c r="AF1083" s="80"/>
      <c r="AG1083" s="80"/>
      <c r="AH1083" s="80"/>
      <c r="AI1083" s="80"/>
    </row>
    <row r="1084" spans="1:35" x14ac:dyDescent="0.2">
      <c r="A1084" s="2"/>
      <c r="B1084" s="80"/>
      <c r="C1084" s="80"/>
      <c r="D1084" s="80"/>
      <c r="E1084" s="80"/>
      <c r="F1084" s="80"/>
      <c r="G1084" s="80"/>
      <c r="H1084" s="80"/>
      <c r="I1084" s="80"/>
      <c r="J1084" s="80"/>
      <c r="K1084" s="80"/>
      <c r="L1084" s="2"/>
      <c r="M1084" s="2"/>
      <c r="N1084" s="2"/>
      <c r="O1084" s="2"/>
      <c r="P1084" s="2"/>
      <c r="Q1084" s="2"/>
      <c r="R1084" s="80"/>
      <c r="S1084" s="80"/>
      <c r="T1084" s="80"/>
      <c r="U1084" s="80"/>
      <c r="V1084" s="80"/>
      <c r="W1084" s="80"/>
      <c r="X1084" s="80"/>
      <c r="Y1084" s="80"/>
      <c r="Z1084" s="80"/>
      <c r="AA1084" s="80"/>
      <c r="AB1084" s="80"/>
      <c r="AC1084" s="80"/>
      <c r="AD1084" s="80"/>
      <c r="AE1084" s="80"/>
      <c r="AF1084" s="80"/>
      <c r="AG1084" s="80"/>
      <c r="AH1084" s="80"/>
      <c r="AI1084" s="80"/>
    </row>
    <row r="1085" spans="1:35" x14ac:dyDescent="0.2">
      <c r="A1085" s="2"/>
      <c r="B1085" s="80"/>
      <c r="C1085" s="80"/>
      <c r="D1085" s="80"/>
      <c r="E1085" s="80"/>
      <c r="F1085" s="80"/>
      <c r="G1085" s="80"/>
      <c r="H1085" s="80"/>
      <c r="I1085" s="80"/>
      <c r="J1085" s="80"/>
      <c r="K1085" s="80"/>
      <c r="L1085" s="2"/>
      <c r="M1085" s="2"/>
      <c r="N1085" s="2"/>
      <c r="O1085" s="2"/>
      <c r="P1085" s="2"/>
      <c r="Q1085" s="2"/>
      <c r="R1085" s="80"/>
      <c r="S1085" s="80"/>
      <c r="T1085" s="80"/>
      <c r="U1085" s="80"/>
      <c r="V1085" s="80"/>
      <c r="W1085" s="80"/>
      <c r="X1085" s="80"/>
      <c r="Y1085" s="80"/>
      <c r="Z1085" s="80"/>
      <c r="AA1085" s="80"/>
      <c r="AB1085" s="80"/>
      <c r="AC1085" s="80"/>
      <c r="AD1085" s="80"/>
      <c r="AE1085" s="80"/>
      <c r="AF1085" s="80"/>
      <c r="AG1085" s="80"/>
      <c r="AH1085" s="80"/>
      <c r="AI1085" s="80"/>
    </row>
    <row r="1086" spans="1:35" x14ac:dyDescent="0.2">
      <c r="A1086" s="2"/>
      <c r="B1086" s="80"/>
      <c r="C1086" s="80"/>
      <c r="D1086" s="80"/>
      <c r="E1086" s="80"/>
      <c r="F1086" s="80"/>
      <c r="G1086" s="80"/>
      <c r="H1086" s="80"/>
      <c r="I1086" s="80"/>
      <c r="J1086" s="80"/>
      <c r="K1086" s="80"/>
      <c r="L1086" s="2"/>
      <c r="M1086" s="2"/>
      <c r="N1086" s="2"/>
      <c r="O1086" s="2"/>
      <c r="P1086" s="2"/>
      <c r="Q1086" s="2"/>
      <c r="R1086" s="80"/>
      <c r="S1086" s="80"/>
      <c r="T1086" s="80"/>
      <c r="U1086" s="80"/>
      <c r="V1086" s="80"/>
      <c r="W1086" s="80"/>
      <c r="X1086" s="80"/>
      <c r="Y1086" s="80"/>
      <c r="Z1086" s="80"/>
      <c r="AA1086" s="80"/>
      <c r="AB1086" s="80"/>
      <c r="AC1086" s="80"/>
      <c r="AD1086" s="80"/>
      <c r="AE1086" s="80"/>
      <c r="AF1086" s="80"/>
      <c r="AG1086" s="80"/>
      <c r="AH1086" s="80"/>
      <c r="AI1086" s="80"/>
    </row>
    <row r="1087" spans="1:35" x14ac:dyDescent="0.2">
      <c r="A1087" s="2"/>
      <c r="B1087" s="80"/>
      <c r="C1087" s="80"/>
      <c r="D1087" s="80"/>
      <c r="E1087" s="80"/>
      <c r="F1087" s="80"/>
      <c r="G1087" s="80"/>
      <c r="H1087" s="80"/>
      <c r="I1087" s="80"/>
      <c r="J1087" s="80"/>
      <c r="K1087" s="80"/>
      <c r="L1087" s="2"/>
      <c r="M1087" s="2"/>
      <c r="N1087" s="2"/>
      <c r="O1087" s="2"/>
      <c r="P1087" s="2"/>
      <c r="Q1087" s="2"/>
      <c r="R1087" s="80"/>
      <c r="S1087" s="80"/>
      <c r="T1087" s="80"/>
      <c r="U1087" s="80"/>
      <c r="V1087" s="80"/>
      <c r="W1087" s="80"/>
      <c r="X1087" s="80"/>
      <c r="Y1087" s="80"/>
      <c r="Z1087" s="80"/>
      <c r="AA1087" s="80"/>
      <c r="AB1087" s="80"/>
      <c r="AC1087" s="80"/>
      <c r="AD1087" s="80"/>
      <c r="AE1087" s="80"/>
      <c r="AF1087" s="80"/>
      <c r="AG1087" s="80"/>
      <c r="AH1087" s="80"/>
      <c r="AI1087" s="80"/>
    </row>
    <row r="1088" spans="1:35" x14ac:dyDescent="0.2">
      <c r="A1088" s="2"/>
      <c r="B1088" s="80"/>
      <c r="C1088" s="80"/>
      <c r="D1088" s="80"/>
      <c r="E1088" s="80"/>
      <c r="F1088" s="80"/>
      <c r="G1088" s="80"/>
      <c r="H1088" s="80"/>
      <c r="I1088" s="80"/>
      <c r="J1088" s="80"/>
      <c r="K1088" s="80"/>
      <c r="L1088" s="2"/>
      <c r="M1088" s="2"/>
      <c r="N1088" s="2"/>
      <c r="O1088" s="2"/>
      <c r="P1088" s="2"/>
      <c r="Q1088" s="2"/>
      <c r="R1088" s="80"/>
      <c r="S1088" s="80"/>
      <c r="T1088" s="80"/>
      <c r="U1088" s="80"/>
      <c r="V1088" s="80"/>
      <c r="W1088" s="80"/>
      <c r="X1088" s="80"/>
      <c r="Y1088" s="80"/>
      <c r="Z1088" s="80"/>
      <c r="AA1088" s="80"/>
      <c r="AB1088" s="80"/>
      <c r="AC1088" s="80"/>
      <c r="AD1088" s="80"/>
      <c r="AE1088" s="80"/>
      <c r="AF1088" s="80"/>
      <c r="AG1088" s="80"/>
      <c r="AH1088" s="80"/>
      <c r="AI1088" s="80"/>
    </row>
    <row r="1089" spans="1:35" x14ac:dyDescent="0.2">
      <c r="A1089" s="2"/>
      <c r="B1089" s="80"/>
      <c r="C1089" s="80"/>
      <c r="D1089" s="80"/>
      <c r="E1089" s="80"/>
      <c r="F1089" s="80"/>
      <c r="G1089" s="80"/>
      <c r="H1089" s="80"/>
      <c r="I1089" s="80"/>
      <c r="J1089" s="80"/>
      <c r="K1089" s="80"/>
      <c r="L1089" s="2"/>
      <c r="M1089" s="2"/>
      <c r="N1089" s="2"/>
      <c r="O1089" s="2"/>
      <c r="P1089" s="2"/>
      <c r="Q1089" s="2"/>
      <c r="R1089" s="80"/>
      <c r="S1089" s="80"/>
      <c r="T1089" s="80"/>
      <c r="U1089" s="80"/>
      <c r="V1089" s="80"/>
      <c r="W1089" s="80"/>
      <c r="X1089" s="80"/>
      <c r="Y1089" s="80"/>
      <c r="Z1089" s="80"/>
      <c r="AA1089" s="80"/>
      <c r="AB1089" s="80"/>
      <c r="AC1089" s="80"/>
      <c r="AD1089" s="80"/>
      <c r="AE1089" s="80"/>
      <c r="AF1089" s="80"/>
      <c r="AG1089" s="80"/>
      <c r="AH1089" s="80"/>
      <c r="AI1089" s="80"/>
    </row>
    <row r="1090" spans="1:35" x14ac:dyDescent="0.2">
      <c r="A1090" s="2"/>
      <c r="B1090" s="80"/>
      <c r="C1090" s="80"/>
      <c r="D1090" s="80"/>
      <c r="E1090" s="80"/>
      <c r="F1090" s="80"/>
      <c r="G1090" s="80"/>
      <c r="H1090" s="80"/>
      <c r="I1090" s="80"/>
      <c r="J1090" s="80"/>
      <c r="K1090" s="80"/>
      <c r="L1090" s="2"/>
      <c r="M1090" s="2"/>
      <c r="N1090" s="2"/>
      <c r="O1090" s="2"/>
      <c r="P1090" s="2"/>
      <c r="Q1090" s="2"/>
      <c r="R1090" s="80"/>
      <c r="S1090" s="80"/>
      <c r="T1090" s="80"/>
      <c r="U1090" s="80"/>
      <c r="V1090" s="80"/>
      <c r="W1090" s="80"/>
      <c r="X1090" s="80"/>
      <c r="Y1090" s="80"/>
      <c r="Z1090" s="80"/>
      <c r="AA1090" s="80"/>
      <c r="AB1090" s="80"/>
      <c r="AC1090" s="80"/>
      <c r="AD1090" s="80"/>
      <c r="AE1090" s="80"/>
      <c r="AF1090" s="80"/>
      <c r="AG1090" s="80"/>
      <c r="AH1090" s="80"/>
      <c r="AI1090" s="80"/>
    </row>
    <row r="1091" spans="1:35" x14ac:dyDescent="0.2">
      <c r="A1091" s="2"/>
      <c r="B1091" s="80"/>
      <c r="C1091" s="80"/>
      <c r="D1091" s="80"/>
      <c r="E1091" s="80"/>
      <c r="F1091" s="80"/>
      <c r="G1091" s="80"/>
      <c r="H1091" s="80"/>
      <c r="I1091" s="80"/>
      <c r="J1091" s="80"/>
      <c r="K1091" s="80"/>
      <c r="L1091" s="2"/>
      <c r="M1091" s="2"/>
      <c r="N1091" s="2"/>
      <c r="O1091" s="2"/>
      <c r="P1091" s="2"/>
      <c r="Q1091" s="2"/>
      <c r="R1091" s="80"/>
      <c r="S1091" s="80"/>
      <c r="T1091" s="80"/>
      <c r="U1091" s="80"/>
      <c r="V1091" s="80"/>
      <c r="W1091" s="80"/>
      <c r="X1091" s="80"/>
      <c r="Y1091" s="80"/>
      <c r="Z1091" s="80"/>
      <c r="AA1091" s="80"/>
      <c r="AB1091" s="80"/>
      <c r="AC1091" s="80"/>
      <c r="AD1091" s="80"/>
      <c r="AE1091" s="80"/>
      <c r="AF1091" s="80"/>
      <c r="AG1091" s="80"/>
      <c r="AH1091" s="80"/>
      <c r="AI1091" s="80"/>
    </row>
    <row r="1092" spans="1:35" x14ac:dyDescent="0.2">
      <c r="A1092" s="2"/>
      <c r="B1092" s="80"/>
      <c r="C1092" s="80"/>
      <c r="D1092" s="80"/>
      <c r="E1092" s="80"/>
      <c r="F1092" s="80"/>
      <c r="G1092" s="80"/>
      <c r="H1092" s="80"/>
      <c r="I1092" s="80"/>
      <c r="J1092" s="80"/>
      <c r="K1092" s="80"/>
      <c r="L1092" s="2"/>
      <c r="M1092" s="2"/>
      <c r="N1092" s="2"/>
      <c r="O1092" s="2"/>
      <c r="P1092" s="2"/>
      <c r="Q1092" s="2"/>
      <c r="R1092" s="80"/>
      <c r="S1092" s="80"/>
      <c r="T1092" s="80"/>
      <c r="U1092" s="80"/>
      <c r="V1092" s="80"/>
      <c r="W1092" s="80"/>
      <c r="X1092" s="80"/>
      <c r="Y1092" s="80"/>
      <c r="Z1092" s="80"/>
      <c r="AA1092" s="80"/>
      <c r="AB1092" s="80"/>
      <c r="AC1092" s="80"/>
      <c r="AD1092" s="80"/>
      <c r="AE1092" s="80"/>
      <c r="AF1092" s="80"/>
      <c r="AG1092" s="80"/>
      <c r="AH1092" s="80"/>
      <c r="AI1092" s="80"/>
    </row>
    <row r="1093" spans="1:35" x14ac:dyDescent="0.2">
      <c r="A1093" s="2"/>
      <c r="B1093" s="80"/>
      <c r="C1093" s="80"/>
      <c r="D1093" s="80"/>
      <c r="E1093" s="80"/>
      <c r="F1093" s="80"/>
      <c r="G1093" s="80"/>
      <c r="H1093" s="80"/>
      <c r="I1093" s="80"/>
      <c r="J1093" s="80"/>
      <c r="K1093" s="80"/>
      <c r="L1093" s="2"/>
      <c r="M1093" s="2"/>
      <c r="N1093" s="2"/>
      <c r="O1093" s="2"/>
      <c r="P1093" s="2"/>
      <c r="Q1093" s="2"/>
      <c r="R1093" s="80"/>
      <c r="S1093" s="80"/>
      <c r="T1093" s="80"/>
      <c r="U1093" s="80"/>
      <c r="V1093" s="80"/>
      <c r="W1093" s="80"/>
      <c r="X1093" s="80"/>
      <c r="Y1093" s="80"/>
      <c r="Z1093" s="80"/>
      <c r="AA1093" s="80"/>
      <c r="AB1093" s="80"/>
      <c r="AC1093" s="80"/>
      <c r="AD1093" s="80"/>
      <c r="AE1093" s="80"/>
      <c r="AF1093" s="80"/>
      <c r="AG1093" s="80"/>
      <c r="AH1093" s="80"/>
      <c r="AI1093" s="80"/>
    </row>
    <row r="1094" spans="1:35" x14ac:dyDescent="0.2">
      <c r="A1094" s="2"/>
      <c r="B1094" s="80"/>
      <c r="C1094" s="80"/>
      <c r="D1094" s="80"/>
      <c r="E1094" s="80"/>
      <c r="F1094" s="80"/>
      <c r="G1094" s="80"/>
      <c r="H1094" s="80"/>
      <c r="I1094" s="80"/>
      <c r="J1094" s="80"/>
      <c r="K1094" s="80"/>
      <c r="L1094" s="2"/>
      <c r="M1094" s="2"/>
      <c r="N1094" s="2"/>
      <c r="O1094" s="2"/>
      <c r="P1094" s="2"/>
      <c r="Q1094" s="2"/>
      <c r="R1094" s="80"/>
      <c r="S1094" s="80"/>
      <c r="T1094" s="80"/>
      <c r="U1094" s="80"/>
      <c r="V1094" s="80"/>
      <c r="W1094" s="80"/>
      <c r="X1094" s="80"/>
      <c r="Y1094" s="80"/>
      <c r="Z1094" s="80"/>
      <c r="AA1094" s="80"/>
      <c r="AB1094" s="80"/>
      <c r="AC1094" s="80"/>
      <c r="AD1094" s="80"/>
      <c r="AE1094" s="80"/>
      <c r="AF1094" s="80"/>
      <c r="AG1094" s="80"/>
      <c r="AH1094" s="80"/>
      <c r="AI1094" s="80"/>
    </row>
    <row r="1095" spans="1:35" x14ac:dyDescent="0.2">
      <c r="A1095" s="2"/>
      <c r="B1095" s="80"/>
      <c r="C1095" s="80"/>
      <c r="D1095" s="80"/>
      <c r="E1095" s="80"/>
      <c r="F1095" s="80"/>
      <c r="G1095" s="80"/>
      <c r="H1095" s="80"/>
      <c r="I1095" s="80"/>
      <c r="J1095" s="80"/>
      <c r="K1095" s="80"/>
      <c r="L1095" s="2"/>
      <c r="M1095" s="2"/>
      <c r="N1095" s="2"/>
      <c r="O1095" s="2"/>
      <c r="P1095" s="2"/>
      <c r="Q1095" s="2"/>
      <c r="R1095" s="80"/>
      <c r="S1095" s="80"/>
      <c r="T1095" s="80"/>
      <c r="U1095" s="80"/>
      <c r="V1095" s="80"/>
      <c r="W1095" s="80"/>
      <c r="X1095" s="80"/>
      <c r="Y1095" s="80"/>
      <c r="Z1095" s="80"/>
      <c r="AA1095" s="80"/>
      <c r="AB1095" s="80"/>
      <c r="AC1095" s="80"/>
      <c r="AD1095" s="80"/>
      <c r="AE1095" s="80"/>
      <c r="AF1095" s="80"/>
      <c r="AG1095" s="80"/>
      <c r="AH1095" s="80"/>
      <c r="AI1095" s="80"/>
    </row>
    <row r="1096" spans="1:35" x14ac:dyDescent="0.2">
      <c r="A1096" s="2"/>
      <c r="B1096" s="80"/>
      <c r="C1096" s="80"/>
      <c r="D1096" s="80"/>
      <c r="E1096" s="80"/>
      <c r="F1096" s="80"/>
      <c r="G1096" s="80"/>
      <c r="H1096" s="80"/>
      <c r="I1096" s="80"/>
      <c r="J1096" s="80"/>
      <c r="K1096" s="80"/>
      <c r="L1096" s="2"/>
      <c r="M1096" s="2"/>
      <c r="N1096" s="2"/>
      <c r="O1096" s="2"/>
      <c r="P1096" s="2"/>
      <c r="Q1096" s="2"/>
      <c r="R1096" s="80"/>
      <c r="S1096" s="80"/>
      <c r="T1096" s="80"/>
      <c r="U1096" s="80"/>
      <c r="V1096" s="80"/>
      <c r="W1096" s="80"/>
      <c r="X1096" s="80"/>
      <c r="Y1096" s="80"/>
      <c r="Z1096" s="80"/>
      <c r="AA1096" s="80"/>
      <c r="AB1096" s="80"/>
      <c r="AC1096" s="80"/>
      <c r="AD1096" s="80"/>
      <c r="AE1096" s="80"/>
      <c r="AF1096" s="80"/>
      <c r="AG1096" s="80"/>
      <c r="AH1096" s="80"/>
      <c r="AI1096" s="80"/>
    </row>
    <row r="1097" spans="1:35" x14ac:dyDescent="0.2">
      <c r="A1097" s="80"/>
      <c r="B1097" s="80"/>
      <c r="C1097" s="80"/>
      <c r="D1097" s="80"/>
      <c r="E1097" s="80"/>
      <c r="F1097" s="80"/>
      <c r="G1097" s="80"/>
      <c r="H1097" s="80"/>
      <c r="I1097" s="80"/>
      <c r="J1097" s="80"/>
      <c r="K1097" s="80"/>
      <c r="L1097" s="2"/>
      <c r="M1097" s="2"/>
      <c r="N1097" s="2"/>
      <c r="O1097" s="2"/>
      <c r="P1097" s="2"/>
      <c r="Q1097" s="2"/>
      <c r="R1097" s="80"/>
      <c r="S1097" s="80"/>
      <c r="T1097" s="80"/>
      <c r="U1097" s="80"/>
      <c r="V1097" s="80"/>
      <c r="W1097" s="80"/>
      <c r="X1097" s="80"/>
      <c r="Y1097" s="80"/>
      <c r="Z1097" s="80"/>
      <c r="AA1097" s="80"/>
      <c r="AB1097" s="80"/>
      <c r="AC1097" s="80"/>
      <c r="AD1097" s="80"/>
      <c r="AE1097" s="80"/>
      <c r="AF1097" s="80"/>
      <c r="AG1097" s="80"/>
      <c r="AH1097" s="80"/>
      <c r="AI1097" s="80"/>
    </row>
    <row r="1098" spans="1:35" x14ac:dyDescent="0.2">
      <c r="A1098" s="80"/>
      <c r="B1098" s="80"/>
      <c r="C1098" s="80"/>
      <c r="D1098" s="80"/>
      <c r="E1098" s="80"/>
      <c r="F1098" s="80"/>
      <c r="G1098" s="80"/>
      <c r="H1098" s="80"/>
      <c r="I1098" s="80"/>
      <c r="J1098" s="80"/>
      <c r="K1098" s="80"/>
      <c r="L1098" s="2"/>
      <c r="M1098" s="2"/>
      <c r="N1098" s="2"/>
      <c r="O1098" s="2"/>
      <c r="P1098" s="2"/>
      <c r="Q1098" s="2"/>
      <c r="R1098" s="80"/>
      <c r="S1098" s="80"/>
      <c r="T1098" s="80"/>
      <c r="U1098" s="80"/>
      <c r="V1098" s="80"/>
      <c r="W1098" s="80"/>
      <c r="X1098" s="80"/>
      <c r="Y1098" s="80"/>
      <c r="Z1098" s="80"/>
      <c r="AA1098" s="80"/>
      <c r="AB1098" s="80"/>
      <c r="AC1098" s="80"/>
      <c r="AD1098" s="80"/>
      <c r="AE1098" s="80"/>
      <c r="AF1098" s="80"/>
      <c r="AG1098" s="80"/>
      <c r="AH1098" s="80"/>
      <c r="AI1098" s="80"/>
    </row>
    <row r="1099" spans="1:35" x14ac:dyDescent="0.2">
      <c r="A1099" s="80"/>
      <c r="B1099" s="80"/>
      <c r="C1099" s="80"/>
      <c r="D1099" s="80"/>
      <c r="E1099" s="80"/>
      <c r="F1099" s="80"/>
      <c r="G1099" s="80"/>
      <c r="H1099" s="80"/>
      <c r="I1099" s="80"/>
      <c r="J1099" s="80"/>
      <c r="K1099" s="80"/>
      <c r="L1099" s="2"/>
      <c r="M1099" s="2"/>
      <c r="N1099" s="2"/>
      <c r="O1099" s="2"/>
      <c r="P1099" s="2"/>
      <c r="Q1099" s="2"/>
      <c r="R1099" s="80"/>
      <c r="S1099" s="80"/>
      <c r="T1099" s="80"/>
      <c r="U1099" s="80"/>
      <c r="V1099" s="80"/>
      <c r="W1099" s="80"/>
      <c r="X1099" s="80"/>
      <c r="Y1099" s="80"/>
      <c r="Z1099" s="80"/>
      <c r="AA1099" s="80"/>
      <c r="AB1099" s="80"/>
      <c r="AC1099" s="80"/>
      <c r="AD1099" s="80"/>
      <c r="AE1099" s="80"/>
      <c r="AF1099" s="80"/>
      <c r="AG1099" s="80"/>
      <c r="AH1099" s="80"/>
      <c r="AI1099" s="80"/>
    </row>
    <row r="1100" spans="1:35" x14ac:dyDescent="0.2">
      <c r="A1100" s="80"/>
      <c r="B1100" s="80"/>
      <c r="C1100" s="80"/>
      <c r="D1100" s="80"/>
      <c r="E1100" s="80"/>
      <c r="F1100" s="80"/>
      <c r="G1100" s="80"/>
      <c r="H1100" s="80"/>
      <c r="I1100" s="80"/>
      <c r="J1100" s="80"/>
      <c r="K1100" s="80"/>
      <c r="L1100" s="2"/>
      <c r="M1100" s="2"/>
      <c r="N1100" s="2"/>
      <c r="O1100" s="2"/>
      <c r="P1100" s="2"/>
      <c r="Q1100" s="2"/>
      <c r="R1100" s="80"/>
      <c r="S1100" s="80"/>
      <c r="T1100" s="80"/>
      <c r="U1100" s="80"/>
      <c r="V1100" s="80"/>
      <c r="W1100" s="80"/>
      <c r="X1100" s="80"/>
      <c r="Y1100" s="80"/>
      <c r="Z1100" s="80"/>
      <c r="AA1100" s="80"/>
      <c r="AB1100" s="80"/>
      <c r="AC1100" s="80"/>
      <c r="AD1100" s="80"/>
      <c r="AE1100" s="80"/>
      <c r="AF1100" s="80"/>
      <c r="AG1100" s="80"/>
      <c r="AH1100" s="80"/>
      <c r="AI1100" s="80"/>
    </row>
    <row r="1101" spans="1:35" x14ac:dyDescent="0.2">
      <c r="A1101" s="80"/>
      <c r="B1101" s="80"/>
      <c r="C1101" s="80"/>
      <c r="D1101" s="80"/>
      <c r="E1101" s="80"/>
      <c r="F1101" s="80"/>
      <c r="G1101" s="80"/>
      <c r="H1101" s="80"/>
      <c r="I1101" s="80"/>
      <c r="J1101" s="80"/>
      <c r="K1101" s="80"/>
      <c r="L1101" s="2"/>
      <c r="M1101" s="2"/>
      <c r="N1101" s="2"/>
      <c r="O1101" s="2"/>
      <c r="P1101" s="2"/>
      <c r="Q1101" s="2"/>
      <c r="R1101" s="80"/>
      <c r="S1101" s="80"/>
      <c r="T1101" s="80"/>
      <c r="U1101" s="80"/>
      <c r="V1101" s="80"/>
      <c r="W1101" s="80"/>
      <c r="X1101" s="80"/>
      <c r="Y1101" s="80"/>
      <c r="Z1101" s="80"/>
      <c r="AA1101" s="80"/>
      <c r="AB1101" s="80"/>
      <c r="AC1101" s="80"/>
      <c r="AD1101" s="80"/>
      <c r="AE1101" s="80"/>
      <c r="AF1101" s="80"/>
      <c r="AG1101" s="80"/>
      <c r="AH1101" s="80"/>
      <c r="AI1101" s="80"/>
    </row>
    <row r="1102" spans="1:35" x14ac:dyDescent="0.2">
      <c r="A1102" s="80"/>
      <c r="B1102" s="80"/>
      <c r="C1102" s="80"/>
      <c r="D1102" s="80"/>
      <c r="E1102" s="80"/>
      <c r="F1102" s="80"/>
      <c r="G1102" s="80"/>
      <c r="H1102" s="80"/>
      <c r="I1102" s="80"/>
      <c r="J1102" s="80"/>
      <c r="K1102" s="80"/>
      <c r="L1102" s="2"/>
      <c r="M1102" s="2"/>
      <c r="N1102" s="2"/>
      <c r="O1102" s="2"/>
      <c r="P1102" s="2"/>
      <c r="Q1102" s="2"/>
      <c r="R1102" s="80"/>
      <c r="S1102" s="80"/>
      <c r="T1102" s="80"/>
      <c r="U1102" s="80"/>
      <c r="V1102" s="80"/>
      <c r="W1102" s="80"/>
      <c r="X1102" s="80"/>
      <c r="Y1102" s="80"/>
      <c r="Z1102" s="80"/>
      <c r="AA1102" s="80"/>
      <c r="AB1102" s="80"/>
      <c r="AC1102" s="80"/>
      <c r="AD1102" s="80"/>
      <c r="AE1102" s="80"/>
      <c r="AF1102" s="80"/>
      <c r="AG1102" s="80"/>
      <c r="AH1102" s="80"/>
      <c r="AI1102" s="80"/>
    </row>
    <row r="1103" spans="1:35" x14ac:dyDescent="0.2">
      <c r="A1103" s="80"/>
      <c r="B1103" s="80"/>
      <c r="C1103" s="80"/>
      <c r="D1103" s="80"/>
      <c r="E1103" s="80"/>
      <c r="F1103" s="80"/>
      <c r="G1103" s="80"/>
      <c r="H1103" s="80"/>
      <c r="I1103" s="80"/>
      <c r="J1103" s="80"/>
      <c r="K1103" s="80"/>
      <c r="L1103" s="2"/>
      <c r="M1103" s="2"/>
      <c r="N1103" s="2"/>
      <c r="O1103" s="2"/>
      <c r="P1103" s="2"/>
      <c r="Q1103" s="2"/>
      <c r="R1103" s="80"/>
      <c r="S1103" s="80"/>
      <c r="T1103" s="80"/>
      <c r="U1103" s="80"/>
      <c r="V1103" s="80"/>
      <c r="W1103" s="80"/>
      <c r="X1103" s="80"/>
      <c r="Y1103" s="80"/>
      <c r="Z1103" s="80"/>
      <c r="AA1103" s="80"/>
      <c r="AB1103" s="80"/>
      <c r="AC1103" s="80"/>
      <c r="AD1103" s="80"/>
      <c r="AE1103" s="80"/>
      <c r="AF1103" s="80"/>
      <c r="AG1103" s="80"/>
      <c r="AH1103" s="80"/>
      <c r="AI1103" s="80"/>
    </row>
    <row r="1104" spans="1:35" x14ac:dyDescent="0.2">
      <c r="A1104" s="80"/>
      <c r="B1104" s="80"/>
      <c r="C1104" s="80"/>
      <c r="D1104" s="80"/>
      <c r="E1104" s="80"/>
      <c r="F1104" s="80"/>
      <c r="G1104" s="80"/>
      <c r="H1104" s="80"/>
      <c r="I1104" s="80"/>
      <c r="J1104" s="80"/>
      <c r="K1104" s="80"/>
      <c r="L1104" s="2"/>
      <c r="M1104" s="2"/>
      <c r="N1104" s="2"/>
      <c r="O1104" s="2"/>
      <c r="P1104" s="2"/>
      <c r="Q1104" s="2"/>
      <c r="R1104" s="80"/>
      <c r="S1104" s="80"/>
      <c r="T1104" s="80"/>
      <c r="U1104" s="80"/>
      <c r="V1104" s="80"/>
      <c r="W1104" s="80"/>
      <c r="X1104" s="80"/>
      <c r="Y1104" s="80"/>
      <c r="Z1104" s="80"/>
      <c r="AA1104" s="80"/>
      <c r="AB1104" s="80"/>
      <c r="AC1104" s="80"/>
      <c r="AD1104" s="80"/>
      <c r="AE1104" s="80"/>
      <c r="AF1104" s="80"/>
      <c r="AG1104" s="80"/>
      <c r="AH1104" s="80"/>
      <c r="AI1104" s="80"/>
    </row>
    <row r="1105" spans="1:35" x14ac:dyDescent="0.2">
      <c r="A1105" s="80"/>
      <c r="B1105" s="80"/>
      <c r="C1105" s="80"/>
      <c r="D1105" s="80"/>
      <c r="E1105" s="80"/>
      <c r="F1105" s="80"/>
      <c r="G1105" s="80"/>
      <c r="H1105" s="80"/>
      <c r="I1105" s="80"/>
      <c r="J1105" s="80"/>
      <c r="K1105" s="80"/>
      <c r="L1105" s="2"/>
      <c r="M1105" s="2"/>
      <c r="N1105" s="2"/>
      <c r="O1105" s="2"/>
      <c r="P1105" s="2"/>
      <c r="Q1105" s="2"/>
      <c r="R1105" s="80"/>
      <c r="S1105" s="80"/>
      <c r="T1105" s="80"/>
      <c r="U1105" s="80"/>
      <c r="V1105" s="80"/>
      <c r="W1105" s="80"/>
      <c r="X1105" s="80"/>
      <c r="Y1105" s="80"/>
      <c r="Z1105" s="80"/>
      <c r="AA1105" s="80"/>
      <c r="AB1105" s="80"/>
      <c r="AC1105" s="80"/>
      <c r="AD1105" s="80"/>
      <c r="AE1105" s="80"/>
      <c r="AF1105" s="80"/>
      <c r="AG1105" s="80"/>
      <c r="AH1105" s="80"/>
      <c r="AI1105" s="80"/>
    </row>
    <row r="1106" spans="1:35" x14ac:dyDescent="0.2">
      <c r="A1106" s="80"/>
      <c r="B1106" s="80"/>
      <c r="C1106" s="80"/>
      <c r="D1106" s="80"/>
      <c r="E1106" s="80"/>
      <c r="F1106" s="80"/>
      <c r="G1106" s="80"/>
      <c r="H1106" s="80"/>
      <c r="I1106" s="80"/>
      <c r="J1106" s="80"/>
      <c r="K1106" s="80"/>
      <c r="L1106" s="2"/>
      <c r="M1106" s="2"/>
      <c r="N1106" s="2"/>
      <c r="O1106" s="2"/>
      <c r="P1106" s="2"/>
      <c r="Q1106" s="2"/>
      <c r="R1106" s="80"/>
      <c r="S1106" s="80"/>
      <c r="T1106" s="80"/>
      <c r="U1106" s="80"/>
      <c r="V1106" s="80"/>
      <c r="W1106" s="80"/>
      <c r="X1106" s="80"/>
      <c r="Y1106" s="80"/>
      <c r="Z1106" s="80"/>
      <c r="AA1106" s="80"/>
      <c r="AB1106" s="80"/>
      <c r="AC1106" s="80"/>
      <c r="AD1106" s="80"/>
      <c r="AE1106" s="80"/>
      <c r="AF1106" s="80"/>
      <c r="AG1106" s="80"/>
      <c r="AH1106" s="80"/>
      <c r="AI1106" s="80"/>
    </row>
    <row r="1107" spans="1:35" x14ac:dyDescent="0.2">
      <c r="A1107" s="80"/>
      <c r="B1107" s="80"/>
      <c r="C1107" s="80"/>
      <c r="D1107" s="80"/>
      <c r="E1107" s="80"/>
      <c r="F1107" s="80"/>
      <c r="G1107" s="80"/>
      <c r="H1107" s="80"/>
      <c r="I1107" s="80"/>
      <c r="J1107" s="80"/>
      <c r="K1107" s="80"/>
      <c r="L1107" s="2"/>
      <c r="M1107" s="2"/>
      <c r="N1107" s="2"/>
      <c r="O1107" s="2"/>
      <c r="P1107" s="2"/>
      <c r="Q1107" s="2"/>
      <c r="R1107" s="80"/>
      <c r="S1107" s="80"/>
      <c r="T1107" s="80"/>
      <c r="U1107" s="80"/>
      <c r="V1107" s="80"/>
      <c r="W1107" s="80"/>
      <c r="X1107" s="80"/>
      <c r="Y1107" s="80"/>
      <c r="Z1107" s="80"/>
      <c r="AA1107" s="80"/>
      <c r="AB1107" s="80"/>
      <c r="AC1107" s="80"/>
      <c r="AD1107" s="80"/>
      <c r="AE1107" s="80"/>
      <c r="AF1107" s="80"/>
      <c r="AG1107" s="80"/>
      <c r="AH1107" s="80"/>
      <c r="AI1107" s="80"/>
    </row>
    <row r="1108" spans="1:35" x14ac:dyDescent="0.2">
      <c r="A1108" s="80"/>
      <c r="B1108" s="80"/>
      <c r="C1108" s="80"/>
      <c r="D1108" s="80"/>
      <c r="E1108" s="80"/>
      <c r="F1108" s="80"/>
      <c r="G1108" s="80"/>
      <c r="H1108" s="80"/>
      <c r="I1108" s="80"/>
      <c r="J1108" s="80"/>
      <c r="K1108" s="80"/>
      <c r="L1108" s="2"/>
      <c r="M1108" s="2"/>
      <c r="N1108" s="2"/>
      <c r="O1108" s="2"/>
      <c r="P1108" s="2"/>
      <c r="Q1108" s="2"/>
      <c r="R1108" s="80"/>
      <c r="S1108" s="80"/>
      <c r="T1108" s="80"/>
      <c r="U1108" s="80"/>
      <c r="V1108" s="80"/>
      <c r="W1108" s="80"/>
      <c r="X1108" s="80"/>
      <c r="Y1108" s="80"/>
      <c r="Z1108" s="80"/>
      <c r="AA1108" s="80"/>
      <c r="AB1108" s="80"/>
      <c r="AC1108" s="80"/>
      <c r="AD1108" s="80"/>
      <c r="AE1108" s="80"/>
      <c r="AF1108" s="80"/>
      <c r="AG1108" s="80"/>
      <c r="AH1108" s="80"/>
      <c r="AI1108" s="80"/>
    </row>
    <row r="1109" spans="1:35" x14ac:dyDescent="0.2">
      <c r="A1109" s="80"/>
      <c r="B1109" s="80"/>
      <c r="C1109" s="80"/>
      <c r="D1109" s="80"/>
      <c r="E1109" s="80"/>
      <c r="F1109" s="80"/>
      <c r="G1109" s="80"/>
      <c r="H1109" s="80"/>
      <c r="I1109" s="80"/>
      <c r="J1109" s="80"/>
      <c r="K1109" s="80"/>
      <c r="L1109" s="2"/>
      <c r="M1109" s="2"/>
      <c r="N1109" s="2"/>
      <c r="O1109" s="2"/>
      <c r="P1109" s="2"/>
      <c r="Q1109" s="2"/>
      <c r="R1109" s="80"/>
      <c r="S1109" s="80"/>
      <c r="T1109" s="80"/>
      <c r="U1109" s="80"/>
      <c r="V1109" s="80"/>
      <c r="W1109" s="80"/>
      <c r="X1109" s="80"/>
      <c r="Y1109" s="80"/>
      <c r="Z1109" s="80"/>
      <c r="AA1109" s="80"/>
      <c r="AB1109" s="80"/>
      <c r="AC1109" s="80"/>
      <c r="AD1109" s="80"/>
      <c r="AE1109" s="80"/>
      <c r="AF1109" s="80"/>
      <c r="AG1109" s="80"/>
      <c r="AH1109" s="80"/>
      <c r="AI1109" s="80"/>
    </row>
    <row r="1110" spans="1:35" x14ac:dyDescent="0.2">
      <c r="A1110" s="80"/>
      <c r="B1110" s="80"/>
      <c r="C1110" s="80"/>
      <c r="D1110" s="80"/>
      <c r="E1110" s="80"/>
      <c r="F1110" s="80"/>
      <c r="G1110" s="80"/>
      <c r="H1110" s="80"/>
      <c r="I1110" s="80"/>
      <c r="J1110" s="80"/>
      <c r="K1110" s="80"/>
      <c r="L1110" s="2"/>
      <c r="M1110" s="2"/>
      <c r="N1110" s="2"/>
      <c r="O1110" s="2"/>
      <c r="P1110" s="2"/>
      <c r="Q1110" s="2"/>
      <c r="R1110" s="80"/>
      <c r="S1110" s="80"/>
      <c r="T1110" s="80"/>
      <c r="U1110" s="80"/>
      <c r="V1110" s="80"/>
      <c r="W1110" s="80"/>
      <c r="X1110" s="80"/>
      <c r="Y1110" s="80"/>
      <c r="Z1110" s="80"/>
      <c r="AA1110" s="80"/>
      <c r="AB1110" s="80"/>
      <c r="AC1110" s="80"/>
      <c r="AD1110" s="80"/>
      <c r="AE1110" s="80"/>
      <c r="AF1110" s="80"/>
      <c r="AG1110" s="80"/>
      <c r="AH1110" s="80"/>
      <c r="AI1110" s="80"/>
    </row>
    <row r="1111" spans="1:35" x14ac:dyDescent="0.2">
      <c r="A1111" s="80"/>
      <c r="B1111" s="80"/>
      <c r="C1111" s="80"/>
      <c r="D1111" s="80"/>
      <c r="E1111" s="80"/>
      <c r="F1111" s="80"/>
      <c r="G1111" s="80"/>
      <c r="H1111" s="80"/>
      <c r="I1111" s="80"/>
      <c r="J1111" s="80"/>
      <c r="K1111" s="80"/>
      <c r="L1111" s="2"/>
      <c r="M1111" s="2"/>
      <c r="N1111" s="2"/>
      <c r="O1111" s="2"/>
      <c r="P1111" s="2"/>
      <c r="Q1111" s="2"/>
      <c r="R1111" s="80"/>
      <c r="S1111" s="80"/>
      <c r="T1111" s="80"/>
      <c r="U1111" s="80"/>
      <c r="V1111" s="80"/>
      <c r="W1111" s="80"/>
      <c r="X1111" s="80"/>
      <c r="Y1111" s="80"/>
      <c r="Z1111" s="80"/>
      <c r="AA1111" s="80"/>
      <c r="AB1111" s="80"/>
      <c r="AC1111" s="80"/>
      <c r="AD1111" s="80"/>
      <c r="AE1111" s="80"/>
      <c r="AF1111" s="80"/>
      <c r="AG1111" s="80"/>
      <c r="AH1111" s="80"/>
      <c r="AI1111" s="80"/>
    </row>
    <row r="1112" spans="1:35" x14ac:dyDescent="0.2">
      <c r="A1112" s="80"/>
      <c r="B1112" s="80"/>
      <c r="C1112" s="80"/>
      <c r="D1112" s="80"/>
      <c r="E1112" s="80"/>
      <c r="F1112" s="80"/>
      <c r="G1112" s="80"/>
      <c r="H1112" s="80"/>
      <c r="I1112" s="80"/>
      <c r="J1112" s="80"/>
      <c r="K1112" s="80"/>
      <c r="L1112" s="2"/>
      <c r="M1112" s="2"/>
      <c r="N1112" s="2"/>
      <c r="O1112" s="2"/>
      <c r="P1112" s="2"/>
      <c r="Q1112" s="2"/>
      <c r="R1112" s="80"/>
      <c r="S1112" s="80"/>
      <c r="T1112" s="80"/>
      <c r="U1112" s="80"/>
      <c r="V1112" s="80"/>
      <c r="W1112" s="80"/>
      <c r="X1112" s="80"/>
      <c r="Y1112" s="80"/>
      <c r="Z1112" s="80"/>
      <c r="AA1112" s="80"/>
      <c r="AB1112" s="80"/>
      <c r="AC1112" s="80"/>
      <c r="AD1112" s="80"/>
      <c r="AE1112" s="80"/>
      <c r="AF1112" s="80"/>
      <c r="AG1112" s="80"/>
      <c r="AH1112" s="80"/>
      <c r="AI1112" s="80"/>
    </row>
    <row r="1113" spans="1:35" x14ac:dyDescent="0.2">
      <c r="A1113" s="80"/>
      <c r="B1113" s="80"/>
      <c r="C1113" s="80"/>
      <c r="D1113" s="80"/>
      <c r="E1113" s="80"/>
      <c r="F1113" s="80"/>
      <c r="G1113" s="80"/>
      <c r="H1113" s="80"/>
      <c r="I1113" s="80"/>
      <c r="J1113" s="80"/>
      <c r="K1113" s="80"/>
      <c r="L1113" s="2"/>
      <c r="M1113" s="2"/>
      <c r="N1113" s="2"/>
      <c r="O1113" s="2"/>
      <c r="P1113" s="2"/>
      <c r="Q1113" s="2"/>
      <c r="R1113" s="80"/>
      <c r="S1113" s="80"/>
      <c r="T1113" s="80"/>
      <c r="U1113" s="80"/>
      <c r="V1113" s="80"/>
      <c r="W1113" s="80"/>
      <c r="X1113" s="80"/>
      <c r="Y1113" s="80"/>
      <c r="Z1113" s="80"/>
      <c r="AA1113" s="80"/>
      <c r="AB1113" s="80"/>
      <c r="AC1113" s="80"/>
      <c r="AD1113" s="80"/>
      <c r="AE1113" s="80"/>
      <c r="AF1113" s="80"/>
      <c r="AG1113" s="80"/>
      <c r="AH1113" s="80"/>
      <c r="AI1113" s="80"/>
    </row>
    <row r="1114" spans="1:35" x14ac:dyDescent="0.2">
      <c r="A1114" s="80"/>
      <c r="B1114" s="80"/>
      <c r="C1114" s="80"/>
      <c r="D1114" s="80"/>
      <c r="E1114" s="80"/>
      <c r="F1114" s="80"/>
      <c r="G1114" s="80"/>
      <c r="H1114" s="80"/>
      <c r="I1114" s="80"/>
      <c r="J1114" s="80"/>
      <c r="K1114" s="80"/>
      <c r="L1114" s="2"/>
      <c r="M1114" s="2"/>
      <c r="N1114" s="2"/>
      <c r="O1114" s="2"/>
      <c r="P1114" s="2"/>
      <c r="Q1114" s="2"/>
      <c r="R1114" s="80"/>
      <c r="S1114" s="80"/>
      <c r="T1114" s="80"/>
      <c r="U1114" s="80"/>
      <c r="V1114" s="80"/>
      <c r="W1114" s="80"/>
      <c r="X1114" s="80"/>
      <c r="Y1114" s="80"/>
      <c r="Z1114" s="80"/>
      <c r="AA1114" s="80"/>
      <c r="AB1114" s="80"/>
      <c r="AC1114" s="80"/>
      <c r="AD1114" s="80"/>
      <c r="AE1114" s="80"/>
      <c r="AF1114" s="80"/>
      <c r="AG1114" s="80"/>
      <c r="AH1114" s="80"/>
      <c r="AI1114" s="80"/>
    </row>
    <row r="1115" spans="1:35" x14ac:dyDescent="0.2">
      <c r="A1115" s="80"/>
      <c r="B1115" s="80"/>
      <c r="C1115" s="80"/>
      <c r="D1115" s="80"/>
      <c r="E1115" s="80"/>
      <c r="F1115" s="80"/>
      <c r="G1115" s="80"/>
      <c r="H1115" s="80"/>
      <c r="I1115" s="80"/>
      <c r="J1115" s="80"/>
      <c r="K1115" s="80"/>
      <c r="L1115" s="2"/>
      <c r="M1115" s="2"/>
      <c r="N1115" s="2"/>
      <c r="O1115" s="2"/>
      <c r="P1115" s="2"/>
      <c r="Q1115" s="2"/>
      <c r="R1115" s="80"/>
      <c r="S1115" s="80"/>
      <c r="T1115" s="80"/>
      <c r="U1115" s="80"/>
      <c r="V1115" s="80"/>
      <c r="W1115" s="80"/>
      <c r="X1115" s="80"/>
      <c r="Y1115" s="80"/>
      <c r="Z1115" s="80"/>
      <c r="AA1115" s="80"/>
      <c r="AB1115" s="80"/>
      <c r="AC1115" s="80"/>
      <c r="AD1115" s="80"/>
      <c r="AE1115" s="80"/>
      <c r="AF1115" s="80"/>
      <c r="AG1115" s="80"/>
      <c r="AH1115" s="80"/>
      <c r="AI1115" s="80"/>
    </row>
    <row r="1116" spans="1:35" x14ac:dyDescent="0.2">
      <c r="A1116" s="80"/>
      <c r="B1116" s="80"/>
      <c r="C1116" s="80"/>
      <c r="D1116" s="80"/>
      <c r="E1116" s="80"/>
      <c r="F1116" s="80"/>
      <c r="G1116" s="80"/>
      <c r="H1116" s="80"/>
      <c r="I1116" s="80"/>
      <c r="J1116" s="80"/>
      <c r="K1116" s="80"/>
      <c r="L1116" s="2"/>
      <c r="M1116" s="2"/>
      <c r="N1116" s="2"/>
      <c r="O1116" s="2"/>
      <c r="P1116" s="2"/>
      <c r="Q1116" s="2"/>
      <c r="R1116" s="80"/>
      <c r="S1116" s="80"/>
      <c r="T1116" s="80"/>
      <c r="U1116" s="80"/>
      <c r="V1116" s="80"/>
      <c r="W1116" s="80"/>
      <c r="X1116" s="80"/>
      <c r="Y1116" s="80"/>
      <c r="Z1116" s="80"/>
      <c r="AA1116" s="80"/>
      <c r="AB1116" s="80"/>
      <c r="AC1116" s="80"/>
      <c r="AD1116" s="80"/>
      <c r="AE1116" s="80"/>
      <c r="AF1116" s="80"/>
      <c r="AG1116" s="80"/>
      <c r="AH1116" s="80"/>
      <c r="AI1116" s="80"/>
    </row>
    <row r="1117" spans="1:35" x14ac:dyDescent="0.2">
      <c r="A1117" s="80"/>
      <c r="B1117" s="80"/>
      <c r="C1117" s="80"/>
      <c r="D1117" s="80"/>
      <c r="E1117" s="80"/>
      <c r="F1117" s="80"/>
      <c r="G1117" s="80"/>
      <c r="H1117" s="80"/>
      <c r="I1117" s="80"/>
      <c r="J1117" s="80"/>
      <c r="K1117" s="80"/>
      <c r="L1117" s="2"/>
      <c r="M1117" s="2"/>
      <c r="N1117" s="2"/>
      <c r="O1117" s="2"/>
      <c r="P1117" s="2"/>
      <c r="Q1117" s="2"/>
      <c r="R1117" s="80"/>
      <c r="S1117" s="80"/>
      <c r="T1117" s="80"/>
      <c r="U1117" s="80"/>
      <c r="V1117" s="80"/>
      <c r="W1117" s="80"/>
      <c r="X1117" s="80"/>
      <c r="Y1117" s="80"/>
      <c r="Z1117" s="80"/>
      <c r="AA1117" s="80"/>
      <c r="AB1117" s="80"/>
      <c r="AC1117" s="80"/>
      <c r="AD1117" s="80"/>
      <c r="AE1117" s="80"/>
      <c r="AF1117" s="80"/>
      <c r="AG1117" s="80"/>
      <c r="AH1117" s="80"/>
      <c r="AI1117" s="80"/>
    </row>
    <row r="1118" spans="1:35" x14ac:dyDescent="0.2">
      <c r="A1118" s="80"/>
      <c r="B1118" s="80"/>
      <c r="C1118" s="80"/>
      <c r="D1118" s="80"/>
      <c r="E1118" s="80"/>
      <c r="F1118" s="80"/>
      <c r="G1118" s="80"/>
      <c r="H1118" s="80"/>
      <c r="I1118" s="80"/>
      <c r="J1118" s="80"/>
      <c r="K1118" s="80"/>
      <c r="L1118" s="2"/>
      <c r="M1118" s="2"/>
      <c r="N1118" s="2"/>
      <c r="O1118" s="2"/>
      <c r="P1118" s="2"/>
      <c r="Q1118" s="2"/>
      <c r="R1118" s="80"/>
      <c r="S1118" s="80"/>
      <c r="T1118" s="80"/>
      <c r="U1118" s="80"/>
      <c r="V1118" s="80"/>
      <c r="W1118" s="80"/>
      <c r="X1118" s="80"/>
      <c r="Y1118" s="80"/>
      <c r="Z1118" s="80"/>
      <c r="AA1118" s="80"/>
      <c r="AB1118" s="80"/>
      <c r="AC1118" s="80"/>
      <c r="AD1118" s="80"/>
      <c r="AE1118" s="80"/>
      <c r="AF1118" s="80"/>
      <c r="AG1118" s="80"/>
      <c r="AH1118" s="80"/>
      <c r="AI1118" s="80"/>
    </row>
    <row r="1119" spans="1:35" x14ac:dyDescent="0.2">
      <c r="A1119" s="80"/>
      <c r="B1119" s="80"/>
      <c r="C1119" s="80"/>
      <c r="D1119" s="80"/>
      <c r="E1119" s="80"/>
      <c r="F1119" s="80"/>
      <c r="G1119" s="80"/>
      <c r="H1119" s="80"/>
      <c r="I1119" s="80"/>
      <c r="J1119" s="80"/>
      <c r="K1119" s="80"/>
      <c r="L1119" s="2"/>
      <c r="M1119" s="2"/>
      <c r="N1119" s="2"/>
      <c r="O1119" s="2"/>
      <c r="P1119" s="2"/>
      <c r="Q1119" s="2"/>
      <c r="R1119" s="80"/>
      <c r="S1119" s="80"/>
      <c r="T1119" s="80"/>
      <c r="U1119" s="80"/>
      <c r="V1119" s="80"/>
      <c r="W1119" s="80"/>
      <c r="X1119" s="80"/>
      <c r="Y1119" s="80"/>
      <c r="Z1119" s="80"/>
      <c r="AA1119" s="80"/>
      <c r="AB1119" s="80"/>
      <c r="AC1119" s="80"/>
      <c r="AD1119" s="80"/>
      <c r="AE1119" s="80"/>
      <c r="AF1119" s="80"/>
      <c r="AG1119" s="80"/>
      <c r="AH1119" s="80"/>
      <c r="AI1119" s="80"/>
    </row>
    <row r="1120" spans="1:35" x14ac:dyDescent="0.2">
      <c r="A1120" s="80"/>
      <c r="B1120" s="80"/>
      <c r="C1120" s="80"/>
      <c r="D1120" s="80"/>
      <c r="E1120" s="80"/>
      <c r="F1120" s="80"/>
      <c r="G1120" s="80"/>
      <c r="H1120" s="80"/>
      <c r="I1120" s="80"/>
      <c r="J1120" s="80"/>
      <c r="K1120" s="80"/>
      <c r="L1120" s="2"/>
      <c r="M1120" s="2"/>
      <c r="N1120" s="2"/>
      <c r="O1120" s="2"/>
      <c r="P1120" s="2"/>
      <c r="Q1120" s="2"/>
      <c r="R1120" s="80"/>
      <c r="S1120" s="80"/>
      <c r="T1120" s="80"/>
      <c r="U1120" s="80"/>
      <c r="V1120" s="80"/>
      <c r="W1120" s="80"/>
      <c r="X1120" s="80"/>
      <c r="Y1120" s="80"/>
      <c r="Z1120" s="80"/>
      <c r="AA1120" s="80"/>
      <c r="AB1120" s="80"/>
      <c r="AC1120" s="80"/>
      <c r="AD1120" s="80"/>
      <c r="AE1120" s="80"/>
      <c r="AF1120" s="80"/>
      <c r="AG1120" s="80"/>
      <c r="AH1120" s="80"/>
      <c r="AI1120" s="80"/>
    </row>
    <row r="1121" spans="1:35" x14ac:dyDescent="0.2">
      <c r="A1121" s="80"/>
      <c r="B1121" s="80"/>
      <c r="C1121" s="80"/>
      <c r="D1121" s="80"/>
      <c r="E1121" s="80"/>
      <c r="F1121" s="80"/>
      <c r="G1121" s="80"/>
      <c r="H1121" s="80"/>
      <c r="I1121" s="80"/>
      <c r="J1121" s="80"/>
      <c r="K1121" s="80"/>
      <c r="L1121" s="2"/>
      <c r="M1121" s="2"/>
      <c r="N1121" s="2"/>
      <c r="O1121" s="2"/>
      <c r="P1121" s="2"/>
      <c r="Q1121" s="2"/>
      <c r="R1121" s="80"/>
      <c r="S1121" s="80"/>
      <c r="T1121" s="80"/>
      <c r="U1121" s="80"/>
      <c r="V1121" s="80"/>
      <c r="W1121" s="80"/>
      <c r="X1121" s="80"/>
      <c r="Y1121" s="80"/>
      <c r="Z1121" s="80"/>
      <c r="AA1121" s="80"/>
      <c r="AB1121" s="80"/>
      <c r="AC1121" s="80"/>
      <c r="AD1121" s="80"/>
      <c r="AE1121" s="80"/>
      <c r="AF1121" s="80"/>
      <c r="AG1121" s="80"/>
      <c r="AH1121" s="80"/>
      <c r="AI1121" s="80"/>
    </row>
    <row r="1122" spans="1:35" x14ac:dyDescent="0.2">
      <c r="A1122" s="80"/>
      <c r="B1122" s="80"/>
      <c r="C1122" s="80"/>
      <c r="D1122" s="80"/>
      <c r="E1122" s="80"/>
      <c r="F1122" s="80"/>
      <c r="G1122" s="80"/>
      <c r="H1122" s="80"/>
      <c r="I1122" s="80"/>
      <c r="J1122" s="80"/>
      <c r="K1122" s="80"/>
      <c r="L1122" s="2"/>
      <c r="M1122" s="2"/>
      <c r="N1122" s="2"/>
      <c r="O1122" s="2"/>
      <c r="P1122" s="2"/>
      <c r="Q1122" s="2"/>
      <c r="R1122" s="80"/>
      <c r="S1122" s="80"/>
      <c r="T1122" s="80"/>
      <c r="U1122" s="80"/>
      <c r="V1122" s="80"/>
      <c r="W1122" s="80"/>
      <c r="X1122" s="80"/>
      <c r="Y1122" s="80"/>
      <c r="Z1122" s="80"/>
      <c r="AA1122" s="80"/>
      <c r="AB1122" s="80"/>
      <c r="AC1122" s="80"/>
      <c r="AD1122" s="80"/>
      <c r="AE1122" s="80"/>
      <c r="AF1122" s="80"/>
      <c r="AG1122" s="80"/>
      <c r="AH1122" s="80"/>
      <c r="AI1122" s="80"/>
    </row>
    <row r="1123" spans="1:35" x14ac:dyDescent="0.2">
      <c r="A1123" s="80"/>
      <c r="B1123" s="80"/>
      <c r="C1123" s="80"/>
      <c r="D1123" s="80"/>
      <c r="E1123" s="80"/>
      <c r="F1123" s="80"/>
      <c r="G1123" s="80"/>
      <c r="H1123" s="80"/>
      <c r="I1123" s="80"/>
      <c r="J1123" s="80"/>
      <c r="K1123" s="80"/>
      <c r="L1123" s="2"/>
      <c r="M1123" s="2"/>
      <c r="N1123" s="2"/>
      <c r="O1123" s="2"/>
      <c r="P1123" s="2"/>
      <c r="Q1123" s="2"/>
      <c r="R1123" s="80"/>
      <c r="S1123" s="80"/>
      <c r="T1123" s="80"/>
      <c r="U1123" s="80"/>
      <c r="V1123" s="80"/>
      <c r="W1123" s="80"/>
      <c r="X1123" s="80"/>
      <c r="Y1123" s="80"/>
      <c r="Z1123" s="80"/>
      <c r="AA1123" s="80"/>
      <c r="AB1123" s="80"/>
      <c r="AC1123" s="80"/>
      <c r="AD1123" s="80"/>
      <c r="AE1123" s="80"/>
      <c r="AF1123" s="80"/>
      <c r="AG1123" s="80"/>
      <c r="AH1123" s="80"/>
      <c r="AI1123" s="80"/>
    </row>
    <row r="1124" spans="1:35" x14ac:dyDescent="0.2">
      <c r="A1124" s="80"/>
      <c r="B1124" s="80"/>
      <c r="C1124" s="80"/>
      <c r="D1124" s="80"/>
      <c r="E1124" s="80"/>
      <c r="F1124" s="80"/>
      <c r="G1124" s="80"/>
      <c r="H1124" s="80"/>
      <c r="I1124" s="80"/>
      <c r="J1124" s="80"/>
      <c r="K1124" s="80"/>
      <c r="L1124" s="2"/>
      <c r="M1124" s="2"/>
      <c r="N1124" s="2"/>
      <c r="O1124" s="2"/>
      <c r="P1124" s="2"/>
      <c r="Q1124" s="2"/>
      <c r="R1124" s="80"/>
      <c r="S1124" s="80"/>
      <c r="T1124" s="80"/>
      <c r="U1124" s="80"/>
      <c r="V1124" s="80"/>
      <c r="W1124" s="80"/>
      <c r="X1124" s="80"/>
      <c r="Y1124" s="80"/>
      <c r="Z1124" s="80"/>
      <c r="AA1124" s="80"/>
      <c r="AB1124" s="80"/>
      <c r="AC1124" s="80"/>
      <c r="AD1124" s="80"/>
      <c r="AE1124" s="80"/>
      <c r="AF1124" s="80"/>
      <c r="AG1124" s="80"/>
      <c r="AH1124" s="80"/>
      <c r="AI1124" s="80"/>
    </row>
    <row r="1125" spans="1:35" x14ac:dyDescent="0.2">
      <c r="A1125" s="80"/>
      <c r="B1125" s="80"/>
      <c r="C1125" s="80"/>
      <c r="D1125" s="80"/>
      <c r="E1125" s="80"/>
      <c r="F1125" s="80"/>
      <c r="G1125" s="80"/>
      <c r="H1125" s="80"/>
      <c r="I1125" s="80"/>
      <c r="J1125" s="80"/>
      <c r="K1125" s="80"/>
      <c r="L1125" s="2"/>
      <c r="M1125" s="2"/>
      <c r="N1125" s="2"/>
      <c r="O1125" s="2"/>
      <c r="P1125" s="2"/>
      <c r="Q1125" s="2"/>
      <c r="R1125" s="80"/>
      <c r="S1125" s="80"/>
      <c r="T1125" s="80"/>
      <c r="U1125" s="80"/>
      <c r="V1125" s="80"/>
      <c r="W1125" s="80"/>
      <c r="X1125" s="80"/>
      <c r="Y1125" s="80"/>
      <c r="Z1125" s="80"/>
      <c r="AA1125" s="80"/>
      <c r="AB1125" s="80"/>
      <c r="AC1125" s="80"/>
      <c r="AD1125" s="80"/>
      <c r="AE1125" s="80"/>
      <c r="AF1125" s="80"/>
      <c r="AG1125" s="80"/>
      <c r="AH1125" s="80"/>
      <c r="AI1125" s="80"/>
    </row>
    <row r="1126" spans="1:35" x14ac:dyDescent="0.2">
      <c r="A1126" s="80"/>
      <c r="B1126" s="80"/>
      <c r="C1126" s="80"/>
      <c r="D1126" s="80"/>
      <c r="E1126" s="80"/>
      <c r="F1126" s="80"/>
      <c r="G1126" s="80"/>
      <c r="H1126" s="80"/>
      <c r="I1126" s="80"/>
      <c r="J1126" s="80"/>
      <c r="K1126" s="80"/>
      <c r="L1126" s="2"/>
      <c r="M1126" s="2"/>
      <c r="N1126" s="2"/>
      <c r="O1126" s="2"/>
      <c r="P1126" s="2"/>
      <c r="Q1126" s="2"/>
      <c r="R1126" s="80"/>
      <c r="S1126" s="80"/>
      <c r="T1126" s="80"/>
      <c r="U1126" s="80"/>
      <c r="V1126" s="80"/>
      <c r="W1126" s="80"/>
      <c r="X1126" s="80"/>
      <c r="Y1126" s="80"/>
      <c r="Z1126" s="80"/>
      <c r="AA1126" s="80"/>
      <c r="AB1126" s="80"/>
      <c r="AC1126" s="80"/>
      <c r="AD1126" s="80"/>
      <c r="AE1126" s="80"/>
      <c r="AF1126" s="80"/>
      <c r="AG1126" s="80"/>
      <c r="AH1126" s="80"/>
      <c r="AI1126" s="80"/>
    </row>
    <row r="1127" spans="1:35" x14ac:dyDescent="0.2">
      <c r="A1127" s="80"/>
      <c r="B1127" s="80"/>
      <c r="C1127" s="80"/>
      <c r="D1127" s="80"/>
      <c r="E1127" s="80"/>
      <c r="F1127" s="80"/>
      <c r="G1127" s="80"/>
      <c r="H1127" s="80"/>
      <c r="I1127" s="80"/>
      <c r="J1127" s="80"/>
      <c r="K1127" s="80"/>
      <c r="L1127" s="2"/>
      <c r="M1127" s="2"/>
      <c r="N1127" s="2"/>
      <c r="O1127" s="2"/>
      <c r="P1127" s="2"/>
      <c r="Q1127" s="2"/>
      <c r="R1127" s="80"/>
      <c r="S1127" s="80"/>
      <c r="T1127" s="80"/>
      <c r="U1127" s="80"/>
      <c r="V1127" s="80"/>
      <c r="W1127" s="80"/>
      <c r="X1127" s="80"/>
      <c r="Y1127" s="80"/>
      <c r="Z1127" s="80"/>
      <c r="AA1127" s="80"/>
      <c r="AB1127" s="80"/>
      <c r="AC1127" s="80"/>
      <c r="AD1127" s="80"/>
      <c r="AE1127" s="80"/>
      <c r="AF1127" s="80"/>
      <c r="AG1127" s="80"/>
      <c r="AH1127" s="80"/>
      <c r="AI1127" s="80"/>
    </row>
    <row r="1128" spans="1:35" x14ac:dyDescent="0.2">
      <c r="A1128" s="80"/>
      <c r="B1128" s="80"/>
      <c r="C1128" s="80"/>
      <c r="D1128" s="80"/>
      <c r="E1128" s="80"/>
      <c r="F1128" s="80"/>
      <c r="G1128" s="80"/>
      <c r="H1128" s="80"/>
      <c r="I1128" s="80"/>
      <c r="J1128" s="80"/>
      <c r="K1128" s="80"/>
      <c r="L1128" s="2"/>
      <c r="M1128" s="2"/>
      <c r="N1128" s="2"/>
      <c r="O1128" s="2"/>
      <c r="P1128" s="2"/>
      <c r="Q1128" s="2"/>
      <c r="R1128" s="80"/>
      <c r="S1128" s="80"/>
      <c r="T1128" s="80"/>
      <c r="U1128" s="80"/>
      <c r="V1128" s="80"/>
      <c r="W1128" s="80"/>
      <c r="X1128" s="80"/>
      <c r="Y1128" s="80"/>
      <c r="Z1128" s="80"/>
      <c r="AA1128" s="80"/>
      <c r="AB1128" s="80"/>
      <c r="AC1128" s="80"/>
      <c r="AD1128" s="80"/>
      <c r="AE1128" s="80"/>
      <c r="AF1128" s="80"/>
      <c r="AG1128" s="80"/>
      <c r="AH1128" s="80"/>
      <c r="AI1128" s="80"/>
    </row>
    <row r="1129" spans="1:35" x14ac:dyDescent="0.2">
      <c r="A1129" s="80"/>
      <c r="B1129" s="80"/>
      <c r="C1129" s="80"/>
      <c r="D1129" s="80"/>
      <c r="E1129" s="80"/>
      <c r="F1129" s="80"/>
      <c r="G1129" s="80"/>
      <c r="H1129" s="80"/>
      <c r="I1129" s="80"/>
      <c r="J1129" s="80"/>
      <c r="K1129" s="80"/>
      <c r="L1129" s="2"/>
      <c r="M1129" s="2"/>
      <c r="N1129" s="2"/>
      <c r="O1129" s="2"/>
      <c r="P1129" s="2"/>
      <c r="Q1129" s="2"/>
      <c r="R1129" s="80"/>
      <c r="S1129" s="80"/>
      <c r="T1129" s="80"/>
      <c r="U1129" s="80"/>
      <c r="V1129" s="80"/>
      <c r="W1129" s="80"/>
      <c r="X1129" s="80"/>
      <c r="Y1129" s="80"/>
      <c r="Z1129" s="80"/>
      <c r="AA1129" s="80"/>
      <c r="AB1129" s="80"/>
      <c r="AC1129" s="80"/>
      <c r="AD1129" s="80"/>
      <c r="AE1129" s="80"/>
      <c r="AF1129" s="80"/>
      <c r="AG1129" s="80"/>
      <c r="AH1129" s="80"/>
      <c r="AI1129" s="80"/>
    </row>
    <row r="1130" spans="1:35" x14ac:dyDescent="0.2">
      <c r="A1130" s="80"/>
      <c r="B1130" s="80"/>
      <c r="C1130" s="80"/>
      <c r="D1130" s="80"/>
      <c r="E1130" s="80"/>
      <c r="F1130" s="80"/>
      <c r="G1130" s="80"/>
      <c r="H1130" s="80"/>
      <c r="I1130" s="80"/>
      <c r="J1130" s="80"/>
      <c r="K1130" s="80"/>
      <c r="L1130" s="2"/>
      <c r="M1130" s="2"/>
      <c r="N1130" s="2"/>
      <c r="O1130" s="2"/>
      <c r="P1130" s="2"/>
      <c r="Q1130" s="2"/>
      <c r="R1130" s="80"/>
      <c r="S1130" s="80"/>
      <c r="T1130" s="80"/>
      <c r="U1130" s="80"/>
      <c r="V1130" s="80"/>
      <c r="W1130" s="80"/>
      <c r="X1130" s="80"/>
      <c r="Y1130" s="80"/>
      <c r="Z1130" s="80"/>
      <c r="AA1130" s="80"/>
      <c r="AB1130" s="80"/>
      <c r="AC1130" s="80"/>
      <c r="AD1130" s="80"/>
      <c r="AE1130" s="80"/>
      <c r="AF1130" s="80"/>
      <c r="AG1130" s="80"/>
      <c r="AH1130" s="80"/>
      <c r="AI1130" s="80"/>
    </row>
    <row r="1131" spans="1:35" x14ac:dyDescent="0.2">
      <c r="A1131" s="80"/>
      <c r="B1131" s="80"/>
      <c r="C1131" s="80"/>
      <c r="D1131" s="80"/>
      <c r="E1131" s="80"/>
      <c r="F1131" s="80"/>
      <c r="G1131" s="80"/>
      <c r="H1131" s="80"/>
      <c r="I1131" s="80"/>
      <c r="J1131" s="80"/>
      <c r="K1131" s="80"/>
      <c r="L1131" s="2"/>
      <c r="M1131" s="2"/>
      <c r="N1131" s="2"/>
      <c r="O1131" s="2"/>
      <c r="P1131" s="2"/>
      <c r="Q1131" s="2"/>
      <c r="R1131" s="80"/>
      <c r="S1131" s="80"/>
      <c r="T1131" s="80"/>
      <c r="U1131" s="80"/>
      <c r="V1131" s="80"/>
      <c r="W1131" s="80"/>
      <c r="X1131" s="80"/>
      <c r="Y1131" s="80"/>
      <c r="Z1131" s="80"/>
      <c r="AA1131" s="80"/>
      <c r="AB1131" s="80"/>
      <c r="AC1131" s="80"/>
      <c r="AD1131" s="80"/>
      <c r="AE1131" s="80"/>
      <c r="AF1131" s="80"/>
      <c r="AG1131" s="80"/>
      <c r="AH1131" s="80"/>
      <c r="AI1131" s="80"/>
    </row>
    <row r="1132" spans="1:35" x14ac:dyDescent="0.2">
      <c r="A1132" s="80"/>
      <c r="B1132" s="80"/>
      <c r="C1132" s="80"/>
      <c r="D1132" s="80"/>
      <c r="E1132" s="80"/>
      <c r="F1132" s="80"/>
      <c r="G1132" s="80"/>
      <c r="H1132" s="80"/>
      <c r="I1132" s="80"/>
      <c r="J1132" s="80"/>
      <c r="K1132" s="80"/>
      <c r="L1132" s="2"/>
      <c r="M1132" s="2"/>
      <c r="N1132" s="2"/>
      <c r="O1132" s="2"/>
      <c r="P1132" s="2"/>
      <c r="Q1132" s="2"/>
      <c r="R1132" s="80"/>
      <c r="S1132" s="80"/>
      <c r="T1132" s="80"/>
      <c r="U1132" s="80"/>
      <c r="V1132" s="80"/>
      <c r="W1132" s="80"/>
      <c r="X1132" s="80"/>
      <c r="Y1132" s="80"/>
      <c r="Z1132" s="80"/>
      <c r="AA1132" s="80"/>
      <c r="AB1132" s="80"/>
      <c r="AC1132" s="80"/>
      <c r="AD1132" s="80"/>
      <c r="AE1132" s="80"/>
      <c r="AF1132" s="80"/>
      <c r="AG1132" s="80"/>
      <c r="AH1132" s="80"/>
      <c r="AI1132" s="80"/>
    </row>
    <row r="1133" spans="1:35" x14ac:dyDescent="0.2">
      <c r="A1133" s="80"/>
      <c r="B1133" s="80"/>
      <c r="C1133" s="80"/>
      <c r="D1133" s="80"/>
      <c r="E1133" s="80"/>
      <c r="F1133" s="80"/>
      <c r="G1133" s="80"/>
      <c r="H1133" s="80"/>
      <c r="I1133" s="80"/>
      <c r="J1133" s="80"/>
      <c r="K1133" s="80"/>
      <c r="L1133" s="2"/>
      <c r="M1133" s="2"/>
      <c r="N1133" s="2"/>
      <c r="O1133" s="2"/>
      <c r="P1133" s="2"/>
      <c r="Q1133" s="2"/>
      <c r="R1133" s="80"/>
      <c r="S1133" s="80"/>
      <c r="T1133" s="80"/>
      <c r="U1133" s="80"/>
      <c r="V1133" s="80"/>
      <c r="W1133" s="80"/>
      <c r="X1133" s="80"/>
      <c r="Y1133" s="80"/>
      <c r="Z1133" s="80"/>
      <c r="AA1133" s="80"/>
      <c r="AB1133" s="80"/>
      <c r="AC1133" s="80"/>
      <c r="AD1133" s="80"/>
      <c r="AE1133" s="80"/>
      <c r="AF1133" s="80"/>
      <c r="AG1133" s="80"/>
      <c r="AH1133" s="80"/>
      <c r="AI1133" s="80"/>
    </row>
    <row r="1134" spans="1:35" x14ac:dyDescent="0.2">
      <c r="A1134" s="80"/>
      <c r="B1134" s="80"/>
      <c r="C1134" s="80"/>
      <c r="D1134" s="80"/>
      <c r="E1134" s="80"/>
      <c r="F1134" s="80"/>
      <c r="G1134" s="80"/>
      <c r="H1134" s="80"/>
      <c r="I1134" s="80"/>
      <c r="J1134" s="80"/>
      <c r="K1134" s="80"/>
      <c r="L1134" s="2"/>
      <c r="M1134" s="2"/>
      <c r="N1134" s="2"/>
      <c r="O1134" s="2"/>
      <c r="P1134" s="2"/>
      <c r="Q1134" s="2"/>
      <c r="R1134" s="80"/>
      <c r="S1134" s="80"/>
      <c r="T1134" s="80"/>
      <c r="U1134" s="80"/>
      <c r="V1134" s="80"/>
      <c r="W1134" s="80"/>
      <c r="X1134" s="80"/>
      <c r="Y1134" s="80"/>
      <c r="Z1134" s="80"/>
      <c r="AA1134" s="80"/>
      <c r="AB1134" s="80"/>
      <c r="AC1134" s="80"/>
      <c r="AD1134" s="80"/>
      <c r="AE1134" s="80"/>
      <c r="AF1134" s="80"/>
      <c r="AG1134" s="80"/>
      <c r="AH1134" s="80"/>
      <c r="AI1134" s="80"/>
    </row>
    <row r="1135" spans="1:35" x14ac:dyDescent="0.2">
      <c r="A1135" s="80"/>
      <c r="B1135" s="80"/>
      <c r="C1135" s="80"/>
      <c r="D1135" s="80"/>
      <c r="E1135" s="80"/>
      <c r="F1135" s="80"/>
      <c r="G1135" s="80"/>
      <c r="H1135" s="80"/>
      <c r="I1135" s="80"/>
      <c r="J1135" s="80"/>
      <c r="K1135" s="80"/>
      <c r="L1135" s="2"/>
      <c r="M1135" s="2"/>
      <c r="N1135" s="2"/>
      <c r="O1135" s="2"/>
      <c r="P1135" s="2"/>
      <c r="Q1135" s="2"/>
      <c r="R1135" s="80"/>
      <c r="S1135" s="80"/>
      <c r="T1135" s="80"/>
      <c r="U1135" s="80"/>
      <c r="V1135" s="80"/>
      <c r="W1135" s="80"/>
      <c r="X1135" s="80"/>
      <c r="Y1135" s="80"/>
      <c r="Z1135" s="80"/>
      <c r="AA1135" s="80"/>
      <c r="AB1135" s="80"/>
      <c r="AC1135" s="80"/>
      <c r="AD1135" s="80"/>
      <c r="AE1135" s="80"/>
      <c r="AF1135" s="80"/>
      <c r="AG1135" s="80"/>
      <c r="AH1135" s="80"/>
      <c r="AI1135" s="80"/>
    </row>
    <row r="1136" spans="1:35" x14ac:dyDescent="0.2">
      <c r="A1136" s="80"/>
      <c r="B1136" s="80"/>
      <c r="C1136" s="80"/>
      <c r="D1136" s="80"/>
      <c r="E1136" s="80"/>
      <c r="F1136" s="80"/>
      <c r="G1136" s="80"/>
      <c r="H1136" s="80"/>
      <c r="I1136" s="80"/>
      <c r="J1136" s="80"/>
      <c r="K1136" s="80"/>
      <c r="L1136" s="2"/>
      <c r="M1136" s="2"/>
      <c r="N1136" s="2"/>
      <c r="O1136" s="2"/>
      <c r="P1136" s="2"/>
      <c r="Q1136" s="2"/>
      <c r="R1136" s="80"/>
      <c r="S1136" s="80"/>
      <c r="T1136" s="80"/>
      <c r="U1136" s="80"/>
      <c r="V1136" s="80"/>
      <c r="W1136" s="80"/>
      <c r="X1136" s="80"/>
      <c r="Y1136" s="80"/>
      <c r="Z1136" s="80"/>
      <c r="AA1136" s="80"/>
      <c r="AB1136" s="80"/>
      <c r="AC1136" s="80"/>
      <c r="AD1136" s="80"/>
      <c r="AE1136" s="80"/>
      <c r="AF1136" s="80"/>
      <c r="AG1136" s="80"/>
      <c r="AH1136" s="80"/>
      <c r="AI1136" s="80"/>
    </row>
    <row r="1137" spans="1:35" x14ac:dyDescent="0.2">
      <c r="A1137" s="80"/>
      <c r="B1137" s="80"/>
      <c r="C1137" s="80"/>
      <c r="D1137" s="80"/>
      <c r="E1137" s="80"/>
      <c r="F1137" s="80"/>
      <c r="G1137" s="80"/>
      <c r="H1137" s="80"/>
      <c r="I1137" s="80"/>
      <c r="J1137" s="80"/>
      <c r="K1137" s="80"/>
      <c r="L1137" s="2"/>
      <c r="M1137" s="2"/>
      <c r="N1137" s="2"/>
      <c r="O1137" s="2"/>
      <c r="P1137" s="2"/>
      <c r="Q1137" s="2"/>
      <c r="R1137" s="80"/>
      <c r="S1137" s="80"/>
      <c r="T1137" s="80"/>
      <c r="U1137" s="80"/>
      <c r="V1137" s="80"/>
      <c r="W1137" s="80"/>
      <c r="X1137" s="80"/>
      <c r="Y1137" s="80"/>
      <c r="Z1137" s="80"/>
      <c r="AA1137" s="80"/>
      <c r="AB1137" s="80"/>
      <c r="AC1137" s="80"/>
      <c r="AD1137" s="80"/>
      <c r="AE1137" s="80"/>
      <c r="AF1137" s="80"/>
      <c r="AG1137" s="80"/>
      <c r="AH1137" s="80"/>
      <c r="AI1137" s="80"/>
    </row>
    <row r="1138" spans="1:35" x14ac:dyDescent="0.2">
      <c r="A1138" s="80"/>
      <c r="B1138" s="80"/>
      <c r="C1138" s="80"/>
      <c r="D1138" s="80"/>
      <c r="E1138" s="80"/>
      <c r="F1138" s="80"/>
      <c r="G1138" s="80"/>
      <c r="H1138" s="80"/>
      <c r="I1138" s="80"/>
      <c r="J1138" s="80"/>
      <c r="K1138" s="80"/>
      <c r="L1138" s="2"/>
      <c r="M1138" s="2"/>
      <c r="N1138" s="2"/>
      <c r="O1138" s="2"/>
      <c r="P1138" s="2"/>
      <c r="Q1138" s="2"/>
      <c r="R1138" s="80"/>
      <c r="S1138" s="80"/>
      <c r="T1138" s="80"/>
      <c r="U1138" s="80"/>
      <c r="V1138" s="80"/>
      <c r="W1138" s="80"/>
      <c r="X1138" s="80"/>
      <c r="Y1138" s="80"/>
      <c r="Z1138" s="80"/>
      <c r="AA1138" s="80"/>
      <c r="AB1138" s="80"/>
      <c r="AC1138" s="80"/>
      <c r="AD1138" s="80"/>
      <c r="AE1138" s="80"/>
      <c r="AF1138" s="80"/>
      <c r="AG1138" s="80"/>
      <c r="AH1138" s="80"/>
      <c r="AI1138" s="80"/>
    </row>
    <row r="1139" spans="1:35" x14ac:dyDescent="0.2">
      <c r="A1139" s="80"/>
      <c r="B1139" s="80"/>
      <c r="C1139" s="80"/>
      <c r="D1139" s="80"/>
      <c r="E1139" s="80"/>
      <c r="F1139" s="80"/>
      <c r="G1139" s="80"/>
      <c r="H1139" s="80"/>
      <c r="I1139" s="80"/>
      <c r="J1139" s="80"/>
      <c r="K1139" s="80"/>
      <c r="L1139" s="2"/>
      <c r="M1139" s="2"/>
      <c r="N1139" s="2"/>
      <c r="O1139" s="2"/>
      <c r="P1139" s="2"/>
      <c r="Q1139" s="2"/>
      <c r="R1139" s="80"/>
      <c r="S1139" s="80"/>
      <c r="T1139" s="80"/>
      <c r="U1139" s="80"/>
      <c r="V1139" s="80"/>
      <c r="W1139" s="80"/>
      <c r="X1139" s="80"/>
      <c r="Y1139" s="80"/>
      <c r="Z1139" s="80"/>
      <c r="AA1139" s="80"/>
      <c r="AB1139" s="80"/>
      <c r="AC1139" s="80"/>
      <c r="AD1139" s="80"/>
      <c r="AE1139" s="80"/>
      <c r="AF1139" s="80"/>
      <c r="AG1139" s="80"/>
      <c r="AH1139" s="80"/>
      <c r="AI1139" s="80"/>
    </row>
    <row r="1140" spans="1:35" x14ac:dyDescent="0.2">
      <c r="A1140" s="80"/>
      <c r="B1140" s="80"/>
      <c r="C1140" s="80"/>
      <c r="D1140" s="80"/>
      <c r="E1140" s="80"/>
      <c r="F1140" s="80"/>
      <c r="G1140" s="80"/>
      <c r="H1140" s="80"/>
      <c r="I1140" s="80"/>
      <c r="J1140" s="80"/>
      <c r="K1140" s="80"/>
      <c r="L1140" s="2"/>
      <c r="M1140" s="2"/>
      <c r="N1140" s="2"/>
      <c r="O1140" s="2"/>
      <c r="P1140" s="2"/>
      <c r="Q1140" s="2"/>
      <c r="R1140" s="80"/>
      <c r="S1140" s="80"/>
      <c r="T1140" s="80"/>
      <c r="U1140" s="80"/>
      <c r="V1140" s="80"/>
      <c r="W1140" s="80"/>
      <c r="X1140" s="80"/>
      <c r="Y1140" s="80"/>
      <c r="Z1140" s="80"/>
      <c r="AA1140" s="80"/>
      <c r="AB1140" s="80"/>
      <c r="AC1140" s="80"/>
      <c r="AD1140" s="80"/>
      <c r="AE1140" s="80"/>
      <c r="AF1140" s="80"/>
      <c r="AG1140" s="80"/>
      <c r="AH1140" s="80"/>
      <c r="AI1140" s="80"/>
    </row>
    <row r="1141" spans="1:35" x14ac:dyDescent="0.2">
      <c r="A1141" s="80"/>
      <c r="B1141" s="80"/>
      <c r="C1141" s="80"/>
      <c r="D1141" s="80"/>
      <c r="E1141" s="80"/>
      <c r="F1141" s="80"/>
      <c r="G1141" s="80"/>
      <c r="H1141" s="80"/>
      <c r="I1141" s="80"/>
      <c r="J1141" s="80"/>
      <c r="K1141" s="80"/>
      <c r="L1141" s="2"/>
      <c r="M1141" s="2"/>
      <c r="N1141" s="2"/>
      <c r="O1141" s="2"/>
      <c r="P1141" s="2"/>
      <c r="Q1141" s="2"/>
      <c r="R1141" s="80"/>
      <c r="S1141" s="80"/>
      <c r="T1141" s="80"/>
      <c r="U1141" s="80"/>
      <c r="V1141" s="80"/>
      <c r="W1141" s="80"/>
      <c r="X1141" s="80"/>
      <c r="Y1141" s="80"/>
      <c r="Z1141" s="80"/>
      <c r="AA1141" s="80"/>
      <c r="AB1141" s="80"/>
      <c r="AC1141" s="80"/>
      <c r="AD1141" s="80"/>
      <c r="AE1141" s="80"/>
      <c r="AF1141" s="80"/>
      <c r="AG1141" s="80"/>
      <c r="AH1141" s="80"/>
      <c r="AI1141" s="80"/>
    </row>
    <row r="1142" spans="1:35" x14ac:dyDescent="0.2">
      <c r="A1142" s="80"/>
      <c r="B1142" s="80"/>
      <c r="C1142" s="80"/>
      <c r="D1142" s="80"/>
      <c r="E1142" s="80"/>
      <c r="F1142" s="80"/>
      <c r="G1142" s="80"/>
      <c r="H1142" s="80"/>
      <c r="I1142" s="80"/>
      <c r="J1142" s="80"/>
      <c r="K1142" s="80"/>
      <c r="L1142" s="2"/>
      <c r="M1142" s="2"/>
      <c r="N1142" s="2"/>
      <c r="O1142" s="2"/>
      <c r="P1142" s="2"/>
      <c r="Q1142" s="2"/>
      <c r="R1142" s="80"/>
      <c r="S1142" s="80"/>
      <c r="T1142" s="80"/>
      <c r="U1142" s="80"/>
      <c r="V1142" s="80"/>
      <c r="W1142" s="80"/>
      <c r="X1142" s="80"/>
      <c r="Y1142" s="80"/>
      <c r="Z1142" s="80"/>
      <c r="AA1142" s="80"/>
      <c r="AB1142" s="80"/>
      <c r="AC1142" s="80"/>
      <c r="AD1142" s="80"/>
      <c r="AE1142" s="80"/>
      <c r="AF1142" s="80"/>
      <c r="AG1142" s="80"/>
      <c r="AH1142" s="80"/>
      <c r="AI1142" s="80"/>
    </row>
    <row r="1143" spans="1:35" x14ac:dyDescent="0.2">
      <c r="A1143" s="80"/>
      <c r="B1143" s="80"/>
      <c r="C1143" s="80"/>
      <c r="D1143" s="80"/>
      <c r="E1143" s="80"/>
      <c r="F1143" s="80"/>
      <c r="G1143" s="80"/>
      <c r="H1143" s="80"/>
      <c r="I1143" s="80"/>
      <c r="J1143" s="80"/>
      <c r="K1143" s="80"/>
      <c r="L1143" s="2"/>
      <c r="M1143" s="2"/>
      <c r="N1143" s="2"/>
      <c r="O1143" s="2"/>
      <c r="P1143" s="2"/>
      <c r="Q1143" s="2"/>
      <c r="R1143" s="80"/>
      <c r="S1143" s="80"/>
      <c r="T1143" s="80"/>
      <c r="U1143" s="80"/>
      <c r="V1143" s="80"/>
      <c r="W1143" s="80"/>
      <c r="X1143" s="80"/>
      <c r="Y1143" s="80"/>
      <c r="Z1143" s="80"/>
      <c r="AA1143" s="80"/>
      <c r="AB1143" s="80"/>
      <c r="AC1143" s="80"/>
      <c r="AD1143" s="80"/>
      <c r="AE1143" s="80"/>
      <c r="AF1143" s="80"/>
      <c r="AG1143" s="80"/>
      <c r="AH1143" s="80"/>
      <c r="AI1143" s="80"/>
    </row>
    <row r="1144" spans="1:35" x14ac:dyDescent="0.2">
      <c r="A1144" s="80"/>
      <c r="B1144" s="80"/>
      <c r="C1144" s="80"/>
      <c r="D1144" s="80"/>
      <c r="E1144" s="80"/>
      <c r="F1144" s="80"/>
      <c r="G1144" s="80"/>
      <c r="H1144" s="80"/>
      <c r="I1144" s="80"/>
      <c r="J1144" s="80"/>
      <c r="K1144" s="80"/>
      <c r="L1144" s="2"/>
      <c r="M1144" s="2"/>
      <c r="N1144" s="2"/>
      <c r="O1144" s="2"/>
      <c r="P1144" s="2"/>
      <c r="Q1144" s="2"/>
      <c r="R1144" s="80"/>
      <c r="S1144" s="80"/>
      <c r="T1144" s="80"/>
      <c r="U1144" s="80"/>
      <c r="V1144" s="80"/>
      <c r="W1144" s="80"/>
      <c r="X1144" s="80"/>
      <c r="Y1144" s="80"/>
      <c r="Z1144" s="80"/>
      <c r="AA1144" s="80"/>
      <c r="AB1144" s="80"/>
      <c r="AC1144" s="80"/>
      <c r="AD1144" s="80"/>
      <c r="AE1144" s="80"/>
      <c r="AF1144" s="80"/>
      <c r="AG1144" s="80"/>
      <c r="AH1144" s="80"/>
      <c r="AI1144" s="80"/>
    </row>
    <row r="1145" spans="1:35" x14ac:dyDescent="0.2">
      <c r="A1145" s="80"/>
      <c r="B1145" s="80"/>
      <c r="C1145" s="80"/>
      <c r="D1145" s="80"/>
      <c r="E1145" s="80"/>
      <c r="F1145" s="80"/>
      <c r="G1145" s="80"/>
      <c r="H1145" s="80"/>
      <c r="I1145" s="80"/>
      <c r="J1145" s="80"/>
      <c r="K1145" s="80"/>
      <c r="L1145" s="2"/>
      <c r="M1145" s="2"/>
      <c r="N1145" s="2"/>
      <c r="O1145" s="2"/>
      <c r="P1145" s="2"/>
      <c r="Q1145" s="2"/>
      <c r="R1145" s="80"/>
      <c r="S1145" s="80"/>
      <c r="T1145" s="80"/>
      <c r="U1145" s="80"/>
      <c r="V1145" s="80"/>
      <c r="W1145" s="80"/>
      <c r="X1145" s="80"/>
      <c r="Y1145" s="80"/>
      <c r="Z1145" s="80"/>
      <c r="AA1145" s="80"/>
      <c r="AB1145" s="80"/>
      <c r="AC1145" s="80"/>
      <c r="AD1145" s="80"/>
      <c r="AE1145" s="80"/>
      <c r="AF1145" s="80"/>
      <c r="AG1145" s="80"/>
      <c r="AH1145" s="80"/>
      <c r="AI1145" s="80"/>
    </row>
    <row r="1146" spans="1:35" x14ac:dyDescent="0.2">
      <c r="A1146" s="80"/>
      <c r="B1146" s="80"/>
      <c r="C1146" s="80"/>
      <c r="D1146" s="80"/>
      <c r="E1146" s="80"/>
      <c r="F1146" s="80"/>
      <c r="G1146" s="80"/>
      <c r="H1146" s="80"/>
      <c r="I1146" s="80"/>
      <c r="J1146" s="80"/>
      <c r="K1146" s="80"/>
      <c r="L1146" s="2"/>
      <c r="M1146" s="2"/>
      <c r="N1146" s="2"/>
      <c r="O1146" s="2"/>
      <c r="P1146" s="2"/>
      <c r="Q1146" s="2"/>
      <c r="R1146" s="80"/>
      <c r="S1146" s="80"/>
      <c r="T1146" s="80"/>
      <c r="U1146" s="80"/>
      <c r="V1146" s="80"/>
      <c r="W1146" s="80"/>
      <c r="X1146" s="80"/>
      <c r="Y1146" s="80"/>
      <c r="Z1146" s="80"/>
      <c r="AA1146" s="80"/>
      <c r="AB1146" s="80"/>
      <c r="AC1146" s="80"/>
      <c r="AD1146" s="80"/>
      <c r="AE1146" s="80"/>
      <c r="AF1146" s="80"/>
      <c r="AG1146" s="80"/>
      <c r="AH1146" s="80"/>
      <c r="AI1146" s="80"/>
    </row>
    <row r="1147" spans="1:35" x14ac:dyDescent="0.2">
      <c r="A1147" s="80"/>
      <c r="B1147" s="80"/>
      <c r="C1147" s="80"/>
      <c r="D1147" s="80"/>
      <c r="E1147" s="80"/>
      <c r="F1147" s="80"/>
      <c r="G1147" s="80"/>
      <c r="H1147" s="80"/>
      <c r="I1147" s="80"/>
      <c r="J1147" s="80"/>
      <c r="K1147" s="80"/>
      <c r="L1147" s="2"/>
      <c r="M1147" s="2"/>
      <c r="N1147" s="2"/>
      <c r="O1147" s="2"/>
      <c r="P1147" s="2"/>
      <c r="Q1147" s="2"/>
      <c r="R1147" s="80"/>
      <c r="S1147" s="80"/>
      <c r="T1147" s="80"/>
      <c r="U1147" s="80"/>
      <c r="V1147" s="80"/>
      <c r="W1147" s="80"/>
      <c r="X1147" s="80"/>
      <c r="Y1147" s="80"/>
      <c r="Z1147" s="80"/>
      <c r="AA1147" s="80"/>
      <c r="AB1147" s="80"/>
      <c r="AC1147" s="80"/>
      <c r="AD1147" s="80"/>
      <c r="AE1147" s="80"/>
      <c r="AF1147" s="80"/>
      <c r="AG1147" s="80"/>
      <c r="AH1147" s="80"/>
      <c r="AI1147" s="80"/>
    </row>
    <row r="1148" spans="1:35" x14ac:dyDescent="0.2">
      <c r="A1148" s="80"/>
      <c r="B1148" s="80"/>
      <c r="C1148" s="80"/>
      <c r="D1148" s="80"/>
      <c r="E1148" s="80"/>
      <c r="F1148" s="80"/>
      <c r="G1148" s="80"/>
      <c r="H1148" s="80"/>
      <c r="I1148" s="80"/>
      <c r="J1148" s="80"/>
      <c r="K1148" s="80"/>
      <c r="L1148" s="2"/>
      <c r="M1148" s="2"/>
      <c r="N1148" s="2"/>
      <c r="O1148" s="2"/>
      <c r="P1148" s="2"/>
      <c r="Q1148" s="2"/>
      <c r="R1148" s="80"/>
      <c r="S1148" s="80"/>
      <c r="T1148" s="80"/>
      <c r="U1148" s="80"/>
      <c r="V1148" s="80"/>
      <c r="W1148" s="80"/>
      <c r="X1148" s="80"/>
      <c r="Y1148" s="80"/>
      <c r="Z1148" s="80"/>
      <c r="AA1148" s="80"/>
      <c r="AB1148" s="80"/>
      <c r="AC1148" s="80"/>
      <c r="AD1148" s="80"/>
      <c r="AE1148" s="80"/>
      <c r="AF1148" s="80"/>
      <c r="AG1148" s="80"/>
      <c r="AH1148" s="80"/>
      <c r="AI1148" s="80"/>
    </row>
    <row r="1149" spans="1:35" x14ac:dyDescent="0.2">
      <c r="A1149" s="80"/>
      <c r="B1149" s="80"/>
      <c r="C1149" s="80"/>
      <c r="D1149" s="80"/>
      <c r="E1149" s="80"/>
      <c r="F1149" s="80"/>
      <c r="G1149" s="80"/>
      <c r="H1149" s="80"/>
      <c r="I1149" s="80"/>
      <c r="J1149" s="80"/>
      <c r="K1149" s="80"/>
      <c r="L1149" s="2"/>
      <c r="M1149" s="2"/>
      <c r="N1149" s="2"/>
      <c r="O1149" s="2"/>
      <c r="P1149" s="2"/>
      <c r="Q1149" s="2"/>
      <c r="R1149" s="80"/>
      <c r="S1149" s="80"/>
      <c r="T1149" s="80"/>
      <c r="U1149" s="80"/>
      <c r="V1149" s="80"/>
      <c r="W1149" s="80"/>
      <c r="X1149" s="80"/>
      <c r="Y1149" s="80"/>
      <c r="Z1149" s="80"/>
      <c r="AA1149" s="80"/>
      <c r="AB1149" s="80"/>
      <c r="AC1149" s="80"/>
      <c r="AD1149" s="80"/>
      <c r="AE1149" s="80"/>
      <c r="AF1149" s="80"/>
      <c r="AG1149" s="80"/>
      <c r="AH1149" s="80"/>
      <c r="AI1149" s="80"/>
    </row>
    <row r="1150" spans="1:35" x14ac:dyDescent="0.2">
      <c r="A1150" s="80"/>
      <c r="B1150" s="80"/>
      <c r="C1150" s="80"/>
      <c r="D1150" s="80"/>
      <c r="E1150" s="80"/>
      <c r="F1150" s="80"/>
      <c r="G1150" s="80"/>
      <c r="H1150" s="80"/>
      <c r="I1150" s="80"/>
      <c r="J1150" s="80"/>
      <c r="K1150" s="80"/>
      <c r="L1150" s="2"/>
      <c r="M1150" s="2"/>
      <c r="N1150" s="2"/>
      <c r="O1150" s="2"/>
      <c r="P1150" s="2"/>
      <c r="Q1150" s="2"/>
      <c r="R1150" s="80"/>
      <c r="S1150" s="80"/>
      <c r="T1150" s="80"/>
      <c r="U1150" s="80"/>
      <c r="V1150" s="80"/>
      <c r="W1150" s="80"/>
      <c r="X1150" s="80"/>
      <c r="Y1150" s="80"/>
      <c r="Z1150" s="80"/>
      <c r="AA1150" s="80"/>
      <c r="AB1150" s="80"/>
      <c r="AC1150" s="80"/>
      <c r="AD1150" s="80"/>
      <c r="AE1150" s="80"/>
      <c r="AF1150" s="80"/>
      <c r="AG1150" s="80"/>
      <c r="AH1150" s="80"/>
      <c r="AI1150" s="80"/>
    </row>
    <row r="1151" spans="1:35" x14ac:dyDescent="0.2">
      <c r="A1151" s="80"/>
      <c r="B1151" s="80"/>
      <c r="C1151" s="80"/>
      <c r="D1151" s="80"/>
      <c r="E1151" s="80"/>
      <c r="F1151" s="80"/>
      <c r="G1151" s="80"/>
      <c r="H1151" s="80"/>
      <c r="I1151" s="80"/>
      <c r="J1151" s="80"/>
      <c r="K1151" s="80"/>
      <c r="L1151" s="2"/>
      <c r="M1151" s="2"/>
      <c r="N1151" s="2"/>
      <c r="O1151" s="2"/>
      <c r="P1151" s="2"/>
      <c r="Q1151" s="2"/>
      <c r="R1151" s="80"/>
      <c r="S1151" s="80"/>
      <c r="T1151" s="80"/>
      <c r="U1151" s="80"/>
      <c r="V1151" s="80"/>
      <c r="W1151" s="80"/>
      <c r="X1151" s="80"/>
      <c r="Y1151" s="80"/>
      <c r="Z1151" s="80"/>
      <c r="AA1151" s="80"/>
      <c r="AB1151" s="80"/>
      <c r="AC1151" s="80"/>
      <c r="AD1151" s="80"/>
      <c r="AE1151" s="80"/>
      <c r="AF1151" s="80"/>
      <c r="AG1151" s="80"/>
      <c r="AH1151" s="80"/>
      <c r="AI1151" s="80"/>
    </row>
    <row r="1152" spans="1:35" x14ac:dyDescent="0.2">
      <c r="A1152" s="80"/>
      <c r="B1152" s="80"/>
      <c r="C1152" s="80"/>
      <c r="D1152" s="80"/>
      <c r="E1152" s="80"/>
      <c r="F1152" s="80"/>
      <c r="G1152" s="80"/>
      <c r="H1152" s="80"/>
      <c r="I1152" s="80"/>
      <c r="J1152" s="80"/>
      <c r="K1152" s="80"/>
      <c r="L1152" s="2"/>
      <c r="M1152" s="2"/>
      <c r="N1152" s="2"/>
      <c r="O1152" s="2"/>
      <c r="P1152" s="2"/>
      <c r="Q1152" s="2"/>
      <c r="R1152" s="80"/>
      <c r="S1152" s="80"/>
      <c r="T1152" s="80"/>
      <c r="U1152" s="80"/>
      <c r="V1152" s="80"/>
      <c r="W1152" s="80"/>
      <c r="X1152" s="80"/>
      <c r="Y1152" s="80"/>
      <c r="Z1152" s="80"/>
      <c r="AA1152" s="80"/>
      <c r="AB1152" s="80"/>
      <c r="AC1152" s="80"/>
      <c r="AD1152" s="80"/>
      <c r="AE1152" s="80"/>
      <c r="AF1152" s="80"/>
      <c r="AG1152" s="80"/>
      <c r="AH1152" s="80"/>
      <c r="AI1152" s="80"/>
    </row>
    <row r="1153" spans="1:35" x14ac:dyDescent="0.2">
      <c r="A1153" s="80"/>
      <c r="B1153" s="80"/>
      <c r="C1153" s="80"/>
      <c r="D1153" s="80"/>
      <c r="E1153" s="80"/>
      <c r="F1153" s="80"/>
      <c r="G1153" s="80"/>
      <c r="H1153" s="80"/>
      <c r="I1153" s="80"/>
      <c r="J1153" s="80"/>
      <c r="K1153" s="80"/>
      <c r="L1153" s="2"/>
      <c r="M1153" s="2"/>
      <c r="N1153" s="2"/>
      <c r="O1153" s="2"/>
      <c r="P1153" s="2"/>
      <c r="Q1153" s="2"/>
      <c r="R1153" s="80"/>
      <c r="S1153" s="80"/>
      <c r="T1153" s="80"/>
      <c r="U1153" s="80"/>
      <c r="V1153" s="80"/>
      <c r="W1153" s="80"/>
      <c r="X1153" s="80"/>
      <c r="Y1153" s="80"/>
      <c r="Z1153" s="80"/>
      <c r="AA1153" s="80"/>
      <c r="AB1153" s="80"/>
      <c r="AC1153" s="80"/>
      <c r="AD1153" s="80"/>
      <c r="AE1153" s="80"/>
      <c r="AF1153" s="80"/>
      <c r="AG1153" s="80"/>
      <c r="AH1153" s="80"/>
      <c r="AI1153" s="80"/>
    </row>
    <row r="1154" spans="1:35" x14ac:dyDescent="0.2">
      <c r="A1154" s="80"/>
      <c r="B1154" s="80"/>
      <c r="C1154" s="80"/>
      <c r="D1154" s="80"/>
      <c r="E1154" s="80"/>
      <c r="F1154" s="80"/>
      <c r="G1154" s="80"/>
      <c r="H1154" s="80"/>
      <c r="I1154" s="80"/>
      <c r="J1154" s="80"/>
      <c r="K1154" s="80"/>
      <c r="L1154" s="2"/>
      <c r="M1154" s="2"/>
      <c r="N1154" s="2"/>
      <c r="O1154" s="2"/>
      <c r="P1154" s="2"/>
      <c r="Q1154" s="2"/>
      <c r="R1154" s="80"/>
      <c r="S1154" s="80"/>
      <c r="T1154" s="80"/>
      <c r="U1154" s="80"/>
      <c r="V1154" s="80"/>
      <c r="W1154" s="80"/>
      <c r="X1154" s="80"/>
      <c r="Y1154" s="80"/>
      <c r="Z1154" s="80"/>
      <c r="AA1154" s="80"/>
      <c r="AB1154" s="80"/>
      <c r="AC1154" s="80"/>
      <c r="AD1154" s="80"/>
      <c r="AE1154" s="80"/>
      <c r="AF1154" s="80"/>
      <c r="AG1154" s="80"/>
      <c r="AH1154" s="80"/>
      <c r="AI1154" s="80"/>
    </row>
    <row r="1155" spans="1:35" x14ac:dyDescent="0.2">
      <c r="A1155" s="80"/>
      <c r="B1155" s="80"/>
      <c r="C1155" s="80"/>
      <c r="D1155" s="80"/>
      <c r="E1155" s="80"/>
      <c r="F1155" s="80"/>
      <c r="G1155" s="80"/>
      <c r="H1155" s="80"/>
      <c r="I1155" s="80"/>
      <c r="J1155" s="80"/>
      <c r="K1155" s="80"/>
      <c r="L1155" s="2"/>
      <c r="M1155" s="2"/>
      <c r="N1155" s="2"/>
      <c r="O1155" s="2"/>
      <c r="P1155" s="2"/>
      <c r="Q1155" s="2"/>
      <c r="R1155" s="80"/>
      <c r="S1155" s="80"/>
      <c r="T1155" s="80"/>
      <c r="U1155" s="80"/>
      <c r="V1155" s="80"/>
      <c r="W1155" s="80"/>
      <c r="X1155" s="80"/>
      <c r="Y1155" s="80"/>
      <c r="Z1155" s="80"/>
      <c r="AA1155" s="80"/>
      <c r="AB1155" s="80"/>
      <c r="AC1155" s="80"/>
      <c r="AD1155" s="80"/>
      <c r="AE1155" s="80"/>
      <c r="AF1155" s="80"/>
      <c r="AG1155" s="80"/>
      <c r="AH1155" s="80"/>
      <c r="AI1155" s="80"/>
    </row>
    <row r="1156" spans="1:35" x14ac:dyDescent="0.2">
      <c r="A1156" s="80"/>
      <c r="B1156" s="80"/>
      <c r="C1156" s="80"/>
      <c r="D1156" s="80"/>
      <c r="E1156" s="80"/>
      <c r="F1156" s="80"/>
      <c r="G1156" s="80"/>
      <c r="H1156" s="80"/>
      <c r="I1156" s="80"/>
      <c r="J1156" s="80"/>
      <c r="K1156" s="80"/>
      <c r="L1156" s="2"/>
      <c r="M1156" s="2"/>
      <c r="N1156" s="2"/>
      <c r="O1156" s="2"/>
      <c r="P1156" s="2"/>
      <c r="Q1156" s="2"/>
      <c r="R1156" s="80"/>
      <c r="S1156" s="80"/>
      <c r="T1156" s="80"/>
      <c r="U1156" s="80"/>
      <c r="V1156" s="80"/>
      <c r="W1156" s="80"/>
      <c r="X1156" s="80"/>
      <c r="Y1156" s="80"/>
      <c r="Z1156" s="80"/>
      <c r="AA1156" s="80"/>
      <c r="AB1156" s="80"/>
      <c r="AC1156" s="80"/>
      <c r="AD1156" s="80"/>
      <c r="AE1156" s="80"/>
      <c r="AF1156" s="80"/>
      <c r="AG1156" s="80"/>
      <c r="AH1156" s="80"/>
      <c r="AI1156" s="80"/>
    </row>
    <row r="1157" spans="1:35" x14ac:dyDescent="0.2">
      <c r="A1157" s="80"/>
      <c r="B1157" s="80"/>
      <c r="C1157" s="80"/>
      <c r="D1157" s="80"/>
      <c r="E1157" s="80"/>
      <c r="F1157" s="80"/>
      <c r="G1157" s="80"/>
      <c r="H1157" s="80"/>
      <c r="I1157" s="80"/>
      <c r="J1157" s="80"/>
      <c r="K1157" s="80"/>
      <c r="L1157" s="2"/>
      <c r="M1157" s="2"/>
      <c r="N1157" s="2"/>
      <c r="O1157" s="2"/>
      <c r="P1157" s="2"/>
      <c r="Q1157" s="2"/>
      <c r="R1157" s="80"/>
      <c r="S1157" s="80"/>
      <c r="T1157" s="80"/>
      <c r="U1157" s="80"/>
      <c r="V1157" s="80"/>
      <c r="W1157" s="80"/>
      <c r="X1157" s="80"/>
      <c r="Y1157" s="80"/>
      <c r="Z1157" s="80"/>
      <c r="AA1157" s="80"/>
      <c r="AB1157" s="80"/>
      <c r="AC1157" s="80"/>
      <c r="AD1157" s="80"/>
      <c r="AE1157" s="80"/>
      <c r="AF1157" s="80"/>
      <c r="AG1157" s="80"/>
      <c r="AH1157" s="80"/>
      <c r="AI1157" s="80"/>
    </row>
    <row r="1158" spans="1:35" x14ac:dyDescent="0.2">
      <c r="A1158" s="80"/>
      <c r="B1158" s="80"/>
      <c r="C1158" s="80"/>
      <c r="D1158" s="80"/>
      <c r="E1158" s="80"/>
      <c r="F1158" s="80"/>
      <c r="G1158" s="80"/>
      <c r="H1158" s="80"/>
      <c r="I1158" s="80"/>
      <c r="J1158" s="80"/>
      <c r="K1158" s="80"/>
      <c r="L1158" s="2"/>
      <c r="M1158" s="2"/>
      <c r="N1158" s="2"/>
      <c r="O1158" s="2"/>
      <c r="P1158" s="2"/>
      <c r="Q1158" s="2"/>
      <c r="R1158" s="80"/>
      <c r="S1158" s="80"/>
      <c r="T1158" s="80"/>
      <c r="U1158" s="80"/>
      <c r="V1158" s="80"/>
      <c r="W1158" s="80"/>
      <c r="X1158" s="80"/>
      <c r="Y1158" s="80"/>
      <c r="Z1158" s="80"/>
      <c r="AA1158" s="80"/>
      <c r="AB1158" s="80"/>
      <c r="AC1158" s="80"/>
      <c r="AD1158" s="80"/>
      <c r="AE1158" s="80"/>
      <c r="AF1158" s="80"/>
      <c r="AG1158" s="80"/>
      <c r="AH1158" s="80"/>
      <c r="AI1158" s="80"/>
    </row>
    <row r="1159" spans="1:35" x14ac:dyDescent="0.2">
      <c r="A1159" s="80"/>
      <c r="B1159" s="80"/>
      <c r="C1159" s="80"/>
      <c r="D1159" s="80"/>
      <c r="E1159" s="80"/>
      <c r="F1159" s="80"/>
      <c r="G1159" s="80"/>
      <c r="H1159" s="80"/>
      <c r="I1159" s="80"/>
      <c r="J1159" s="80"/>
      <c r="K1159" s="80"/>
      <c r="L1159" s="2"/>
      <c r="M1159" s="2"/>
      <c r="N1159" s="2"/>
      <c r="O1159" s="2"/>
      <c r="P1159" s="2"/>
      <c r="Q1159" s="2"/>
      <c r="R1159" s="80"/>
      <c r="S1159" s="80"/>
      <c r="T1159" s="80"/>
      <c r="U1159" s="80"/>
      <c r="V1159" s="80"/>
      <c r="W1159" s="80"/>
      <c r="X1159" s="80"/>
      <c r="Y1159" s="80"/>
      <c r="Z1159" s="80"/>
      <c r="AA1159" s="80"/>
      <c r="AB1159" s="80"/>
      <c r="AC1159" s="80"/>
      <c r="AD1159" s="80"/>
      <c r="AE1159" s="80"/>
      <c r="AF1159" s="80"/>
      <c r="AG1159" s="80"/>
      <c r="AH1159" s="80"/>
      <c r="AI1159" s="80"/>
    </row>
    <row r="1160" spans="1:35" x14ac:dyDescent="0.2">
      <c r="A1160" s="80"/>
      <c r="B1160" s="80"/>
      <c r="C1160" s="80"/>
      <c r="D1160" s="80"/>
      <c r="E1160" s="80"/>
      <c r="F1160" s="80"/>
      <c r="G1160" s="80"/>
      <c r="H1160" s="80"/>
      <c r="I1160" s="80"/>
      <c r="J1160" s="80"/>
      <c r="K1160" s="80"/>
      <c r="L1160" s="2"/>
      <c r="M1160" s="2"/>
      <c r="N1160" s="2"/>
      <c r="O1160" s="2"/>
      <c r="P1160" s="2"/>
      <c r="Q1160" s="2"/>
      <c r="R1160" s="80"/>
      <c r="S1160" s="80"/>
      <c r="T1160" s="80"/>
      <c r="U1160" s="80"/>
      <c r="V1160" s="80"/>
      <c r="W1160" s="80"/>
      <c r="X1160" s="80"/>
      <c r="Y1160" s="80"/>
      <c r="Z1160" s="80"/>
      <c r="AA1160" s="80"/>
      <c r="AB1160" s="80"/>
      <c r="AC1160" s="80"/>
      <c r="AD1160" s="80"/>
      <c r="AE1160" s="80"/>
      <c r="AF1160" s="80"/>
      <c r="AG1160" s="80"/>
      <c r="AH1160" s="80"/>
      <c r="AI1160" s="80"/>
    </row>
    <row r="1161" spans="1:35" x14ac:dyDescent="0.2">
      <c r="A1161" s="80"/>
      <c r="B1161" s="80"/>
      <c r="C1161" s="80"/>
      <c r="D1161" s="80"/>
      <c r="E1161" s="80"/>
      <c r="F1161" s="80"/>
      <c r="G1161" s="80"/>
      <c r="H1161" s="80"/>
      <c r="I1161" s="80"/>
      <c r="J1161" s="80"/>
      <c r="K1161" s="80"/>
      <c r="L1161" s="2"/>
      <c r="M1161" s="2"/>
      <c r="N1161" s="2"/>
      <c r="O1161" s="2"/>
      <c r="P1161" s="2"/>
      <c r="Q1161" s="2"/>
      <c r="R1161" s="80"/>
      <c r="S1161" s="80"/>
      <c r="T1161" s="80"/>
      <c r="U1161" s="80"/>
      <c r="V1161" s="80"/>
      <c r="W1161" s="80"/>
      <c r="X1161" s="80"/>
      <c r="Y1161" s="80"/>
      <c r="Z1161" s="80"/>
      <c r="AA1161" s="80"/>
      <c r="AB1161" s="80"/>
      <c r="AC1161" s="80"/>
      <c r="AD1161" s="80"/>
      <c r="AE1161" s="80"/>
      <c r="AF1161" s="80"/>
      <c r="AG1161" s="80"/>
      <c r="AH1161" s="80"/>
      <c r="AI1161" s="80"/>
    </row>
    <row r="1162" spans="1:35" x14ac:dyDescent="0.2">
      <c r="A1162" s="80"/>
      <c r="B1162" s="80"/>
      <c r="C1162" s="80"/>
      <c r="D1162" s="80"/>
      <c r="E1162" s="80"/>
      <c r="F1162" s="80"/>
      <c r="G1162" s="80"/>
      <c r="H1162" s="80"/>
      <c r="I1162" s="80"/>
      <c r="J1162" s="80"/>
      <c r="K1162" s="80"/>
      <c r="L1162" s="2"/>
      <c r="M1162" s="2"/>
      <c r="N1162" s="2"/>
      <c r="O1162" s="2"/>
      <c r="P1162" s="2"/>
      <c r="Q1162" s="2"/>
      <c r="R1162" s="80"/>
      <c r="S1162" s="80"/>
      <c r="T1162" s="80"/>
      <c r="U1162" s="80"/>
      <c r="V1162" s="80"/>
      <c r="W1162" s="80"/>
      <c r="X1162" s="80"/>
      <c r="Y1162" s="80"/>
      <c r="Z1162" s="80"/>
      <c r="AA1162" s="80"/>
      <c r="AB1162" s="80"/>
      <c r="AC1162" s="80"/>
      <c r="AD1162" s="80"/>
      <c r="AE1162" s="80"/>
      <c r="AF1162" s="80"/>
      <c r="AG1162" s="80"/>
      <c r="AH1162" s="80"/>
      <c r="AI1162" s="80"/>
    </row>
    <row r="1163" spans="1:35" x14ac:dyDescent="0.2">
      <c r="A1163" s="80"/>
      <c r="B1163" s="80"/>
      <c r="C1163" s="80"/>
      <c r="D1163" s="80"/>
      <c r="E1163" s="80"/>
      <c r="F1163" s="80"/>
      <c r="G1163" s="80"/>
      <c r="H1163" s="80"/>
      <c r="I1163" s="80"/>
      <c r="J1163" s="80"/>
      <c r="K1163" s="80"/>
      <c r="L1163" s="2"/>
      <c r="M1163" s="2"/>
      <c r="N1163" s="2"/>
      <c r="O1163" s="2"/>
      <c r="P1163" s="2"/>
      <c r="Q1163" s="2"/>
      <c r="R1163" s="80"/>
      <c r="S1163" s="80"/>
      <c r="T1163" s="80"/>
      <c r="U1163" s="80"/>
      <c r="V1163" s="80"/>
      <c r="W1163" s="80"/>
      <c r="X1163" s="80"/>
      <c r="Y1163" s="80"/>
      <c r="Z1163" s="80"/>
      <c r="AA1163" s="80"/>
      <c r="AB1163" s="80"/>
      <c r="AC1163" s="80"/>
      <c r="AD1163" s="80"/>
      <c r="AE1163" s="80"/>
      <c r="AF1163" s="80"/>
      <c r="AG1163" s="80"/>
      <c r="AH1163" s="80"/>
      <c r="AI1163" s="80"/>
    </row>
    <row r="1164" spans="1:35" x14ac:dyDescent="0.2">
      <c r="A1164" s="80"/>
      <c r="B1164" s="80"/>
      <c r="C1164" s="80"/>
      <c r="D1164" s="80"/>
      <c r="E1164" s="80"/>
      <c r="F1164" s="80"/>
      <c r="G1164" s="80"/>
      <c r="H1164" s="80"/>
      <c r="I1164" s="80"/>
      <c r="J1164" s="80"/>
      <c r="K1164" s="80"/>
      <c r="L1164" s="2"/>
      <c r="M1164" s="2"/>
      <c r="N1164" s="2"/>
      <c r="O1164" s="2"/>
      <c r="P1164" s="2"/>
      <c r="Q1164" s="2"/>
      <c r="R1164" s="80"/>
      <c r="S1164" s="80"/>
      <c r="T1164" s="80"/>
      <c r="U1164" s="80"/>
      <c r="V1164" s="80"/>
      <c r="W1164" s="80"/>
      <c r="X1164" s="80"/>
      <c r="Y1164" s="80"/>
      <c r="Z1164" s="80"/>
      <c r="AA1164" s="80"/>
      <c r="AB1164" s="80"/>
      <c r="AC1164" s="80"/>
      <c r="AD1164" s="80"/>
      <c r="AE1164" s="80"/>
      <c r="AF1164" s="80"/>
      <c r="AG1164" s="80"/>
      <c r="AH1164" s="80"/>
      <c r="AI1164" s="80"/>
    </row>
    <row r="1165" spans="1:35" x14ac:dyDescent="0.2">
      <c r="A1165" s="80"/>
      <c r="B1165" s="80"/>
      <c r="C1165" s="80"/>
      <c r="D1165" s="80"/>
      <c r="E1165" s="80"/>
      <c r="F1165" s="80"/>
      <c r="G1165" s="80"/>
      <c r="H1165" s="80"/>
      <c r="I1165" s="80"/>
      <c r="J1165" s="80"/>
      <c r="K1165" s="80"/>
      <c r="L1165" s="2"/>
      <c r="M1165" s="2"/>
      <c r="N1165" s="2"/>
      <c r="O1165" s="2"/>
      <c r="P1165" s="2"/>
      <c r="Q1165" s="2"/>
      <c r="R1165" s="80"/>
      <c r="S1165" s="80"/>
      <c r="T1165" s="80"/>
      <c r="U1165" s="80"/>
      <c r="V1165" s="80"/>
      <c r="W1165" s="80"/>
      <c r="X1165" s="80"/>
      <c r="Y1165" s="80"/>
      <c r="Z1165" s="80"/>
      <c r="AA1165" s="80"/>
      <c r="AB1165" s="80"/>
      <c r="AC1165" s="80"/>
      <c r="AD1165" s="80"/>
      <c r="AE1165" s="80"/>
      <c r="AF1165" s="80"/>
      <c r="AG1165" s="80"/>
      <c r="AH1165" s="80"/>
      <c r="AI1165" s="80"/>
    </row>
    <row r="1166" spans="1:35" x14ac:dyDescent="0.2">
      <c r="A1166" s="80"/>
      <c r="B1166" s="80"/>
      <c r="C1166" s="80"/>
      <c r="D1166" s="80"/>
      <c r="E1166" s="80"/>
      <c r="F1166" s="80"/>
      <c r="G1166" s="80"/>
      <c r="H1166" s="80"/>
      <c r="I1166" s="80"/>
      <c r="J1166" s="80"/>
      <c r="K1166" s="80"/>
      <c r="L1166" s="2"/>
      <c r="M1166" s="2"/>
      <c r="N1166" s="2"/>
      <c r="O1166" s="2"/>
      <c r="P1166" s="2"/>
      <c r="Q1166" s="2"/>
      <c r="R1166" s="80"/>
      <c r="S1166" s="80"/>
      <c r="T1166" s="80"/>
      <c r="U1166" s="80"/>
      <c r="V1166" s="80"/>
      <c r="W1166" s="80"/>
      <c r="X1166" s="80"/>
      <c r="Y1166" s="80"/>
      <c r="Z1166" s="80"/>
      <c r="AA1166" s="80"/>
      <c r="AB1166" s="80"/>
      <c r="AC1166" s="80"/>
      <c r="AD1166" s="80"/>
      <c r="AE1166" s="80"/>
      <c r="AF1166" s="80"/>
      <c r="AG1166" s="80"/>
      <c r="AH1166" s="80"/>
      <c r="AI1166" s="80"/>
    </row>
    <row r="1167" spans="1:35" x14ac:dyDescent="0.2">
      <c r="A1167" s="80"/>
      <c r="B1167" s="80"/>
      <c r="C1167" s="80"/>
      <c r="D1167" s="80"/>
      <c r="E1167" s="80"/>
      <c r="F1167" s="80"/>
      <c r="G1167" s="80"/>
      <c r="H1167" s="80"/>
      <c r="I1167" s="80"/>
      <c r="J1167" s="80"/>
      <c r="K1167" s="80"/>
      <c r="L1167" s="2"/>
      <c r="M1167" s="2"/>
      <c r="N1167" s="2"/>
      <c r="O1167" s="2"/>
      <c r="P1167" s="2"/>
      <c r="Q1167" s="2"/>
      <c r="R1167" s="80"/>
      <c r="S1167" s="80"/>
      <c r="T1167" s="80"/>
      <c r="U1167" s="80"/>
      <c r="V1167" s="80"/>
      <c r="W1167" s="80"/>
      <c r="X1167" s="80"/>
      <c r="Y1167" s="80"/>
      <c r="Z1167" s="80"/>
      <c r="AA1167" s="80"/>
      <c r="AB1167" s="80"/>
      <c r="AC1167" s="80"/>
      <c r="AD1167" s="80"/>
      <c r="AE1167" s="80"/>
      <c r="AF1167" s="80"/>
      <c r="AG1167" s="80"/>
      <c r="AH1167" s="80"/>
      <c r="AI1167" s="80"/>
    </row>
    <row r="1168" spans="1:35" x14ac:dyDescent="0.2">
      <c r="A1168" s="80"/>
      <c r="B1168" s="80"/>
      <c r="C1168" s="80"/>
      <c r="D1168" s="80"/>
      <c r="E1168" s="80"/>
      <c r="F1168" s="80"/>
      <c r="G1168" s="80"/>
      <c r="H1168" s="80"/>
      <c r="I1168" s="80"/>
      <c r="J1168" s="80"/>
      <c r="K1168" s="80"/>
      <c r="L1168" s="2"/>
      <c r="M1168" s="2"/>
      <c r="N1168" s="2"/>
      <c r="O1168" s="2"/>
      <c r="P1168" s="2"/>
      <c r="Q1168" s="2"/>
      <c r="R1168" s="80"/>
      <c r="S1168" s="80"/>
      <c r="T1168" s="80"/>
      <c r="U1168" s="80"/>
      <c r="V1168" s="80"/>
      <c r="W1168" s="80"/>
      <c r="X1168" s="80"/>
      <c r="Y1168" s="80"/>
      <c r="Z1168" s="80"/>
      <c r="AA1168" s="80"/>
      <c r="AB1168" s="80"/>
      <c r="AC1168" s="80"/>
      <c r="AD1168" s="80"/>
      <c r="AE1168" s="80"/>
      <c r="AF1168" s="80"/>
      <c r="AG1168" s="80"/>
      <c r="AH1168" s="80"/>
      <c r="AI1168" s="80"/>
    </row>
    <row r="1169" spans="1:35" x14ac:dyDescent="0.2">
      <c r="A1169" s="80"/>
      <c r="B1169" s="80"/>
      <c r="C1169" s="80"/>
      <c r="D1169" s="80"/>
      <c r="E1169" s="80"/>
      <c r="F1169" s="80"/>
      <c r="G1169" s="80"/>
      <c r="H1169" s="80"/>
      <c r="I1169" s="80"/>
      <c r="J1169" s="80"/>
      <c r="K1169" s="80"/>
      <c r="L1169" s="2"/>
      <c r="M1169" s="2"/>
      <c r="N1169" s="2"/>
      <c r="O1169" s="2"/>
      <c r="P1169" s="2"/>
      <c r="Q1169" s="2"/>
      <c r="R1169" s="80"/>
      <c r="S1169" s="80"/>
      <c r="T1169" s="80"/>
      <c r="U1169" s="80"/>
      <c r="V1169" s="80"/>
      <c r="W1169" s="80"/>
      <c r="X1169" s="80"/>
      <c r="Y1169" s="80"/>
      <c r="Z1169" s="80"/>
      <c r="AA1169" s="80"/>
      <c r="AB1169" s="80"/>
      <c r="AC1169" s="80"/>
      <c r="AD1169" s="80"/>
      <c r="AE1169" s="80"/>
      <c r="AF1169" s="80"/>
      <c r="AG1169" s="80"/>
      <c r="AH1169" s="80"/>
      <c r="AI1169" s="80"/>
    </row>
    <row r="1170" spans="1:35" x14ac:dyDescent="0.2">
      <c r="A1170" s="80"/>
      <c r="B1170" s="80"/>
      <c r="C1170" s="80"/>
      <c r="D1170" s="80"/>
      <c r="E1170" s="80"/>
      <c r="F1170" s="80"/>
      <c r="G1170" s="80"/>
      <c r="H1170" s="80"/>
      <c r="I1170" s="80"/>
      <c r="J1170" s="80"/>
      <c r="K1170" s="80"/>
      <c r="L1170" s="2"/>
      <c r="M1170" s="2"/>
      <c r="N1170" s="2"/>
      <c r="O1170" s="2"/>
      <c r="P1170" s="2"/>
      <c r="Q1170" s="2"/>
      <c r="R1170" s="80"/>
      <c r="S1170" s="80"/>
      <c r="T1170" s="80"/>
      <c r="U1170" s="80"/>
      <c r="V1170" s="80"/>
      <c r="W1170" s="80"/>
      <c r="X1170" s="80"/>
      <c r="Y1170" s="80"/>
      <c r="Z1170" s="80"/>
      <c r="AA1170" s="80"/>
      <c r="AB1170" s="80"/>
      <c r="AC1170" s="80"/>
      <c r="AD1170" s="80"/>
      <c r="AE1170" s="80"/>
      <c r="AF1170" s="80"/>
      <c r="AG1170" s="80"/>
      <c r="AH1170" s="80"/>
      <c r="AI1170" s="80"/>
    </row>
    <row r="1171" spans="1:35" x14ac:dyDescent="0.2">
      <c r="A1171" s="80"/>
      <c r="B1171" s="80"/>
      <c r="C1171" s="80"/>
      <c r="D1171" s="80"/>
      <c r="E1171" s="80"/>
      <c r="F1171" s="80"/>
      <c r="G1171" s="80"/>
      <c r="H1171" s="80"/>
      <c r="I1171" s="80"/>
      <c r="J1171" s="80"/>
      <c r="K1171" s="80"/>
      <c r="L1171" s="2"/>
      <c r="M1171" s="2"/>
      <c r="N1171" s="2"/>
      <c r="O1171" s="2"/>
      <c r="P1171" s="2"/>
      <c r="Q1171" s="2"/>
      <c r="R1171" s="80"/>
      <c r="S1171" s="80"/>
      <c r="T1171" s="80"/>
      <c r="U1171" s="80"/>
      <c r="V1171" s="80"/>
      <c r="W1171" s="80"/>
      <c r="X1171" s="80"/>
      <c r="Y1171" s="80"/>
      <c r="Z1171" s="80"/>
      <c r="AA1171" s="80"/>
      <c r="AB1171" s="80"/>
      <c r="AC1171" s="80"/>
      <c r="AD1171" s="80"/>
      <c r="AE1171" s="80"/>
      <c r="AF1171" s="80"/>
      <c r="AG1171" s="80"/>
      <c r="AH1171" s="80"/>
      <c r="AI1171" s="80"/>
    </row>
    <row r="1172" spans="1:35" x14ac:dyDescent="0.2">
      <c r="A1172" s="80"/>
      <c r="B1172" s="80"/>
      <c r="C1172" s="80"/>
      <c r="D1172" s="80"/>
      <c r="E1172" s="80"/>
      <c r="F1172" s="80"/>
      <c r="G1172" s="80"/>
      <c r="H1172" s="80"/>
      <c r="I1172" s="80"/>
      <c r="J1172" s="80"/>
      <c r="K1172" s="80"/>
      <c r="L1172" s="2"/>
      <c r="M1172" s="2"/>
      <c r="N1172" s="2"/>
      <c r="O1172" s="2"/>
      <c r="P1172" s="2"/>
      <c r="Q1172" s="2"/>
      <c r="R1172" s="80"/>
      <c r="S1172" s="80"/>
      <c r="T1172" s="80"/>
      <c r="U1172" s="80"/>
      <c r="V1172" s="80"/>
      <c r="W1172" s="80"/>
      <c r="X1172" s="80"/>
      <c r="Y1172" s="80"/>
      <c r="Z1172" s="80"/>
      <c r="AA1172" s="80"/>
      <c r="AB1172" s="80"/>
      <c r="AC1172" s="80"/>
      <c r="AD1172" s="80"/>
      <c r="AE1172" s="80"/>
      <c r="AF1172" s="80"/>
      <c r="AG1172" s="80"/>
      <c r="AH1172" s="80"/>
      <c r="AI1172" s="80"/>
    </row>
    <row r="1173" spans="1:35" x14ac:dyDescent="0.2">
      <c r="A1173" s="80"/>
      <c r="B1173" s="80"/>
      <c r="C1173" s="80"/>
      <c r="D1173" s="80"/>
      <c r="E1173" s="80"/>
      <c r="F1173" s="80"/>
      <c r="G1173" s="80"/>
      <c r="H1173" s="80"/>
      <c r="I1173" s="80"/>
      <c r="J1173" s="80"/>
      <c r="K1173" s="80"/>
      <c r="L1173" s="2"/>
      <c r="M1173" s="2"/>
      <c r="N1173" s="2"/>
      <c r="O1173" s="2"/>
      <c r="P1173" s="2"/>
      <c r="Q1173" s="2"/>
      <c r="R1173" s="80"/>
      <c r="S1173" s="80"/>
      <c r="T1173" s="80"/>
      <c r="U1173" s="80"/>
      <c r="V1173" s="80"/>
      <c r="W1173" s="80"/>
      <c r="X1173" s="80"/>
      <c r="Y1173" s="80"/>
      <c r="Z1173" s="80"/>
      <c r="AA1173" s="80"/>
      <c r="AB1173" s="80"/>
      <c r="AC1173" s="80"/>
      <c r="AD1173" s="80"/>
      <c r="AE1173" s="80"/>
      <c r="AF1173" s="80"/>
      <c r="AG1173" s="80"/>
      <c r="AH1173" s="80"/>
      <c r="AI1173" s="80"/>
    </row>
    <row r="1174" spans="1:35" x14ac:dyDescent="0.2">
      <c r="A1174" s="80"/>
      <c r="B1174" s="80"/>
      <c r="C1174" s="80"/>
      <c r="D1174" s="80"/>
      <c r="E1174" s="80"/>
      <c r="F1174" s="80"/>
      <c r="G1174" s="80"/>
      <c r="H1174" s="80"/>
      <c r="I1174" s="80"/>
      <c r="J1174" s="80"/>
      <c r="K1174" s="80"/>
      <c r="L1174" s="2"/>
      <c r="M1174" s="2"/>
      <c r="N1174" s="2"/>
      <c r="O1174" s="2"/>
      <c r="P1174" s="2"/>
      <c r="Q1174" s="2"/>
      <c r="R1174" s="80"/>
      <c r="S1174" s="80"/>
      <c r="T1174" s="80"/>
      <c r="U1174" s="80"/>
      <c r="V1174" s="80"/>
      <c r="W1174" s="80"/>
      <c r="X1174" s="80"/>
      <c r="Y1174" s="80"/>
      <c r="Z1174" s="80"/>
      <c r="AA1174" s="80"/>
      <c r="AB1174" s="80"/>
      <c r="AC1174" s="80"/>
      <c r="AD1174" s="80"/>
      <c r="AE1174" s="80"/>
      <c r="AF1174" s="80"/>
      <c r="AG1174" s="80"/>
      <c r="AH1174" s="80"/>
      <c r="AI1174" s="80"/>
    </row>
    <row r="1175" spans="1:35" x14ac:dyDescent="0.2">
      <c r="A1175" s="80"/>
      <c r="B1175" s="80"/>
      <c r="C1175" s="80"/>
      <c r="D1175" s="80"/>
      <c r="E1175" s="80"/>
      <c r="F1175" s="80"/>
      <c r="G1175" s="80"/>
      <c r="H1175" s="80"/>
      <c r="I1175" s="80"/>
      <c r="J1175" s="80"/>
      <c r="K1175" s="80"/>
      <c r="L1175" s="2"/>
      <c r="M1175" s="2"/>
      <c r="N1175" s="2"/>
      <c r="O1175" s="2"/>
      <c r="P1175" s="2"/>
      <c r="Q1175" s="2"/>
      <c r="R1175" s="80"/>
      <c r="S1175" s="80"/>
      <c r="T1175" s="80"/>
      <c r="U1175" s="80"/>
      <c r="V1175" s="80"/>
      <c r="W1175" s="80"/>
      <c r="X1175" s="80"/>
      <c r="Y1175" s="80"/>
      <c r="Z1175" s="80"/>
      <c r="AA1175" s="80"/>
      <c r="AB1175" s="80"/>
      <c r="AC1175" s="80"/>
      <c r="AD1175" s="80"/>
      <c r="AE1175" s="80"/>
      <c r="AF1175" s="80"/>
      <c r="AG1175" s="80"/>
      <c r="AH1175" s="80"/>
      <c r="AI1175" s="80"/>
    </row>
    <row r="1176" spans="1:35" x14ac:dyDescent="0.2">
      <c r="A1176" s="80"/>
      <c r="B1176" s="80"/>
      <c r="C1176" s="80"/>
      <c r="D1176" s="80"/>
      <c r="E1176" s="80"/>
      <c r="F1176" s="80"/>
      <c r="G1176" s="80"/>
      <c r="H1176" s="80"/>
      <c r="I1176" s="80"/>
      <c r="J1176" s="80"/>
      <c r="K1176" s="80"/>
      <c r="L1176" s="2"/>
      <c r="M1176" s="2"/>
      <c r="N1176" s="2"/>
      <c r="O1176" s="2"/>
      <c r="P1176" s="2"/>
      <c r="Q1176" s="2"/>
      <c r="R1176" s="80"/>
      <c r="S1176" s="80"/>
      <c r="T1176" s="80"/>
      <c r="U1176" s="80"/>
      <c r="V1176" s="80"/>
      <c r="W1176" s="80"/>
      <c r="X1176" s="80"/>
      <c r="Y1176" s="80"/>
      <c r="Z1176" s="80"/>
      <c r="AA1176" s="80"/>
      <c r="AB1176" s="80"/>
      <c r="AC1176" s="80"/>
      <c r="AD1176" s="80"/>
      <c r="AE1176" s="80"/>
      <c r="AF1176" s="80"/>
      <c r="AG1176" s="80"/>
      <c r="AH1176" s="80"/>
      <c r="AI1176" s="80"/>
    </row>
    <row r="1177" spans="1:35" x14ac:dyDescent="0.2">
      <c r="A1177" s="80"/>
      <c r="B1177" s="80"/>
      <c r="C1177" s="80"/>
      <c r="D1177" s="80"/>
      <c r="E1177" s="80"/>
      <c r="F1177" s="80"/>
      <c r="G1177" s="80"/>
      <c r="H1177" s="80"/>
      <c r="I1177" s="80"/>
      <c r="J1177" s="80"/>
      <c r="K1177" s="80"/>
      <c r="L1177" s="2"/>
      <c r="M1177" s="2"/>
      <c r="N1177" s="2"/>
      <c r="O1177" s="2"/>
      <c r="P1177" s="2"/>
      <c r="Q1177" s="2"/>
      <c r="R1177" s="80"/>
      <c r="S1177" s="80"/>
      <c r="T1177" s="80"/>
      <c r="U1177" s="80"/>
      <c r="V1177" s="80"/>
      <c r="W1177" s="80"/>
      <c r="X1177" s="80"/>
      <c r="Y1177" s="80"/>
      <c r="Z1177" s="80"/>
      <c r="AA1177" s="80"/>
      <c r="AB1177" s="80"/>
      <c r="AC1177" s="80"/>
      <c r="AD1177" s="80"/>
      <c r="AE1177" s="80"/>
      <c r="AF1177" s="80"/>
      <c r="AG1177" s="80"/>
      <c r="AH1177" s="80"/>
      <c r="AI1177" s="80"/>
    </row>
    <row r="1178" spans="1:35" x14ac:dyDescent="0.2">
      <c r="A1178" s="80"/>
      <c r="B1178" s="80"/>
      <c r="C1178" s="80"/>
      <c r="D1178" s="80"/>
      <c r="E1178" s="80"/>
      <c r="F1178" s="80"/>
      <c r="G1178" s="80"/>
      <c r="H1178" s="80"/>
      <c r="I1178" s="80"/>
      <c r="J1178" s="80"/>
      <c r="K1178" s="80"/>
      <c r="L1178" s="2"/>
      <c r="M1178" s="2"/>
      <c r="N1178" s="2"/>
      <c r="O1178" s="2"/>
      <c r="P1178" s="2"/>
      <c r="Q1178" s="2"/>
      <c r="R1178" s="80"/>
      <c r="S1178" s="80"/>
      <c r="T1178" s="80"/>
      <c r="U1178" s="80"/>
      <c r="V1178" s="80"/>
      <c r="W1178" s="80"/>
      <c r="X1178" s="80"/>
      <c r="Y1178" s="80"/>
      <c r="Z1178" s="80"/>
      <c r="AA1178" s="80"/>
      <c r="AB1178" s="80"/>
      <c r="AC1178" s="80"/>
      <c r="AD1178" s="80"/>
      <c r="AE1178" s="80"/>
      <c r="AF1178" s="80"/>
      <c r="AG1178" s="80"/>
      <c r="AH1178" s="80"/>
      <c r="AI1178" s="80"/>
    </row>
    <row r="1179" spans="1:35" x14ac:dyDescent="0.2">
      <c r="A1179" s="80"/>
      <c r="B1179" s="80"/>
      <c r="C1179" s="80"/>
      <c r="D1179" s="80"/>
      <c r="E1179" s="80"/>
      <c r="F1179" s="80"/>
      <c r="G1179" s="80"/>
      <c r="H1179" s="80"/>
      <c r="I1179" s="80"/>
      <c r="J1179" s="80"/>
      <c r="K1179" s="80"/>
      <c r="L1179" s="2"/>
      <c r="M1179" s="2"/>
      <c r="N1179" s="2"/>
      <c r="O1179" s="2"/>
      <c r="P1179" s="2"/>
      <c r="Q1179" s="2"/>
      <c r="R1179" s="80"/>
      <c r="S1179" s="80"/>
      <c r="T1179" s="80"/>
      <c r="U1179" s="80"/>
      <c r="V1179" s="80"/>
      <c r="W1179" s="80"/>
      <c r="X1179" s="80"/>
      <c r="Y1179" s="80"/>
      <c r="Z1179" s="80"/>
      <c r="AA1179" s="80"/>
      <c r="AB1179" s="80"/>
      <c r="AC1179" s="80"/>
      <c r="AD1179" s="80"/>
      <c r="AE1179" s="80"/>
      <c r="AF1179" s="80"/>
      <c r="AG1179" s="80"/>
      <c r="AH1179" s="80"/>
      <c r="AI1179" s="80"/>
    </row>
    <row r="1180" spans="1:35" x14ac:dyDescent="0.2">
      <c r="A1180" s="80"/>
      <c r="B1180" s="80"/>
      <c r="C1180" s="80"/>
      <c r="D1180" s="80"/>
      <c r="E1180" s="80"/>
      <c r="F1180" s="80"/>
      <c r="G1180" s="80"/>
      <c r="H1180" s="80"/>
      <c r="I1180" s="80"/>
      <c r="J1180" s="80"/>
      <c r="K1180" s="80"/>
      <c r="L1180" s="2"/>
      <c r="M1180" s="2"/>
      <c r="N1180" s="2"/>
      <c r="O1180" s="2"/>
      <c r="P1180" s="2"/>
      <c r="Q1180" s="2"/>
      <c r="R1180" s="80"/>
      <c r="S1180" s="80"/>
      <c r="T1180" s="80"/>
      <c r="U1180" s="80"/>
      <c r="V1180" s="80"/>
      <c r="W1180" s="80"/>
      <c r="X1180" s="80"/>
      <c r="Y1180" s="80"/>
      <c r="Z1180" s="80"/>
      <c r="AA1180" s="80"/>
      <c r="AB1180" s="80"/>
      <c r="AC1180" s="80"/>
      <c r="AD1180" s="80"/>
      <c r="AE1180" s="80"/>
      <c r="AF1180" s="80"/>
      <c r="AG1180" s="80"/>
      <c r="AH1180" s="80"/>
      <c r="AI1180" s="80"/>
    </row>
    <row r="1181" spans="1:35" x14ac:dyDescent="0.2">
      <c r="A1181" s="80"/>
      <c r="B1181" s="80"/>
      <c r="C1181" s="80"/>
      <c r="D1181" s="80"/>
      <c r="E1181" s="80"/>
      <c r="F1181" s="80"/>
      <c r="G1181" s="80"/>
      <c r="H1181" s="80"/>
      <c r="I1181" s="80"/>
      <c r="J1181" s="80"/>
      <c r="K1181" s="80"/>
      <c r="L1181" s="2"/>
      <c r="M1181" s="2"/>
      <c r="N1181" s="2"/>
      <c r="O1181" s="2"/>
      <c r="P1181" s="2"/>
      <c r="Q1181" s="2"/>
      <c r="R1181" s="80"/>
      <c r="S1181" s="80"/>
      <c r="T1181" s="80"/>
      <c r="U1181" s="80"/>
      <c r="V1181" s="80"/>
      <c r="W1181" s="80"/>
      <c r="X1181" s="80"/>
      <c r="Y1181" s="80"/>
      <c r="Z1181" s="80"/>
      <c r="AA1181" s="80"/>
      <c r="AB1181" s="80"/>
      <c r="AC1181" s="80"/>
      <c r="AD1181" s="80"/>
      <c r="AE1181" s="80"/>
      <c r="AF1181" s="80"/>
      <c r="AG1181" s="80"/>
      <c r="AH1181" s="80"/>
      <c r="AI1181" s="80"/>
    </row>
    <row r="1182" spans="1:35" x14ac:dyDescent="0.2">
      <c r="A1182" s="80"/>
      <c r="B1182" s="80"/>
      <c r="C1182" s="80"/>
      <c r="D1182" s="80"/>
      <c r="E1182" s="80"/>
      <c r="F1182" s="80"/>
      <c r="G1182" s="80"/>
      <c r="H1182" s="80"/>
      <c r="I1182" s="80"/>
      <c r="J1182" s="80"/>
      <c r="K1182" s="80"/>
      <c r="L1182" s="2"/>
      <c r="M1182" s="2"/>
      <c r="N1182" s="2"/>
      <c r="O1182" s="2"/>
      <c r="P1182" s="2"/>
      <c r="Q1182" s="2"/>
      <c r="R1182" s="80"/>
      <c r="S1182" s="80"/>
      <c r="T1182" s="80"/>
      <c r="U1182" s="80"/>
      <c r="V1182" s="80"/>
      <c r="W1182" s="80"/>
      <c r="X1182" s="80"/>
      <c r="Y1182" s="80"/>
      <c r="Z1182" s="80"/>
      <c r="AA1182" s="80"/>
      <c r="AB1182" s="80"/>
      <c r="AC1182" s="80"/>
      <c r="AD1182" s="80"/>
      <c r="AE1182" s="80"/>
      <c r="AF1182" s="80"/>
      <c r="AG1182" s="80"/>
      <c r="AH1182" s="80"/>
      <c r="AI1182" s="80"/>
    </row>
    <row r="1183" spans="1:35" x14ac:dyDescent="0.2">
      <c r="A1183" s="80"/>
      <c r="B1183" s="80"/>
      <c r="C1183" s="80"/>
      <c r="D1183" s="80"/>
      <c r="E1183" s="80"/>
      <c r="F1183" s="80"/>
      <c r="G1183" s="80"/>
      <c r="H1183" s="80"/>
      <c r="I1183" s="80"/>
      <c r="J1183" s="80"/>
      <c r="K1183" s="80"/>
      <c r="L1183" s="2"/>
      <c r="M1183" s="2"/>
      <c r="N1183" s="2"/>
      <c r="O1183" s="2"/>
      <c r="P1183" s="2"/>
      <c r="Q1183" s="2"/>
      <c r="R1183" s="80"/>
      <c r="S1183" s="80"/>
      <c r="T1183" s="80"/>
      <c r="U1183" s="80"/>
      <c r="V1183" s="80"/>
      <c r="W1183" s="80"/>
      <c r="X1183" s="80"/>
      <c r="Y1183" s="80"/>
      <c r="Z1183" s="80"/>
      <c r="AA1183" s="80"/>
      <c r="AB1183" s="80"/>
      <c r="AC1183" s="80"/>
      <c r="AD1183" s="80"/>
      <c r="AE1183" s="80"/>
      <c r="AF1183" s="80"/>
      <c r="AG1183" s="80"/>
      <c r="AH1183" s="80"/>
      <c r="AI1183" s="80"/>
    </row>
    <row r="1184" spans="1:35" x14ac:dyDescent="0.2">
      <c r="A1184" s="80"/>
      <c r="B1184" s="80"/>
      <c r="C1184" s="80"/>
      <c r="D1184" s="80"/>
      <c r="E1184" s="80"/>
      <c r="F1184" s="80"/>
      <c r="G1184" s="80"/>
      <c r="H1184" s="80"/>
      <c r="I1184" s="80"/>
      <c r="J1184" s="80"/>
      <c r="K1184" s="80"/>
      <c r="L1184" s="2"/>
      <c r="M1184" s="2"/>
      <c r="N1184" s="2"/>
      <c r="O1184" s="2"/>
      <c r="P1184" s="2"/>
      <c r="Q1184" s="2"/>
      <c r="R1184" s="80"/>
      <c r="S1184" s="80"/>
      <c r="T1184" s="80"/>
      <c r="U1184" s="80"/>
      <c r="V1184" s="80"/>
      <c r="W1184" s="80"/>
      <c r="X1184" s="80"/>
      <c r="Y1184" s="80"/>
      <c r="Z1184" s="80"/>
      <c r="AA1184" s="80"/>
      <c r="AB1184" s="80"/>
      <c r="AC1184" s="80"/>
      <c r="AD1184" s="80"/>
      <c r="AE1184" s="80"/>
      <c r="AF1184" s="80"/>
      <c r="AG1184" s="80"/>
      <c r="AH1184" s="80"/>
      <c r="AI1184" s="80"/>
    </row>
    <row r="1185" spans="1:35" x14ac:dyDescent="0.2">
      <c r="A1185" s="80"/>
      <c r="B1185" s="80"/>
      <c r="C1185" s="80"/>
      <c r="D1185" s="80"/>
      <c r="E1185" s="80"/>
      <c r="F1185" s="80"/>
      <c r="G1185" s="80"/>
      <c r="H1185" s="80"/>
      <c r="I1185" s="80"/>
      <c r="J1185" s="80"/>
      <c r="K1185" s="80"/>
      <c r="L1185" s="2"/>
      <c r="M1185" s="2"/>
      <c r="N1185" s="2"/>
      <c r="O1185" s="2"/>
      <c r="P1185" s="2"/>
      <c r="Q1185" s="2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E1185" s="80"/>
      <c r="AF1185" s="80"/>
      <c r="AG1185" s="80"/>
      <c r="AH1185" s="80"/>
      <c r="AI1185" s="80"/>
    </row>
    <row r="1186" spans="1:35" x14ac:dyDescent="0.2">
      <c r="A1186" s="80"/>
      <c r="B1186" s="80"/>
      <c r="C1186" s="80"/>
      <c r="D1186" s="80"/>
      <c r="E1186" s="80"/>
      <c r="F1186" s="80"/>
      <c r="G1186" s="80"/>
      <c r="H1186" s="80"/>
      <c r="I1186" s="80"/>
      <c r="J1186" s="80"/>
      <c r="K1186" s="80"/>
      <c r="L1186" s="2"/>
      <c r="M1186" s="2"/>
      <c r="N1186" s="2"/>
      <c r="O1186" s="2"/>
      <c r="P1186" s="2"/>
      <c r="Q1186" s="2"/>
      <c r="R1186" s="80"/>
      <c r="S1186" s="80"/>
      <c r="T1186" s="80"/>
      <c r="U1186" s="80"/>
      <c r="V1186" s="80"/>
      <c r="W1186" s="80"/>
      <c r="X1186" s="80"/>
      <c r="Y1186" s="80"/>
      <c r="Z1186" s="80"/>
      <c r="AA1186" s="80"/>
      <c r="AB1186" s="80"/>
      <c r="AC1186" s="80"/>
      <c r="AD1186" s="80"/>
      <c r="AE1186" s="80"/>
      <c r="AF1186" s="80"/>
      <c r="AG1186" s="80"/>
      <c r="AH1186" s="80"/>
      <c r="AI1186" s="80"/>
    </row>
    <row r="1187" spans="1:35" x14ac:dyDescent="0.2">
      <c r="A1187" s="80"/>
      <c r="B1187" s="80"/>
      <c r="C1187" s="80"/>
      <c r="D1187" s="80"/>
      <c r="E1187" s="80"/>
      <c r="F1187" s="80"/>
      <c r="G1187" s="80"/>
      <c r="H1187" s="80"/>
      <c r="I1187" s="80"/>
      <c r="J1187" s="80"/>
      <c r="K1187" s="80"/>
      <c r="L1187" s="2"/>
      <c r="M1187" s="2"/>
      <c r="N1187" s="2"/>
      <c r="O1187" s="2"/>
      <c r="P1187" s="2"/>
      <c r="Q1187" s="2"/>
      <c r="R1187" s="80"/>
      <c r="S1187" s="80"/>
      <c r="T1187" s="80"/>
      <c r="U1187" s="80"/>
      <c r="V1187" s="80"/>
      <c r="W1187" s="80"/>
      <c r="X1187" s="80"/>
      <c r="Y1187" s="80"/>
      <c r="Z1187" s="80"/>
      <c r="AA1187" s="80"/>
      <c r="AB1187" s="80"/>
      <c r="AC1187" s="80"/>
      <c r="AD1187" s="80"/>
      <c r="AE1187" s="80"/>
      <c r="AF1187" s="80"/>
      <c r="AG1187" s="80"/>
      <c r="AH1187" s="80"/>
      <c r="AI1187" s="80"/>
    </row>
    <row r="1188" spans="1:35" x14ac:dyDescent="0.2">
      <c r="A1188" s="80"/>
      <c r="B1188" s="80"/>
      <c r="C1188" s="80"/>
      <c r="D1188" s="80"/>
      <c r="E1188" s="80"/>
      <c r="F1188" s="80"/>
      <c r="G1188" s="80"/>
      <c r="H1188" s="80"/>
      <c r="I1188" s="80"/>
      <c r="J1188" s="80"/>
      <c r="K1188" s="80"/>
      <c r="L1188" s="2"/>
      <c r="M1188" s="2"/>
      <c r="N1188" s="2"/>
      <c r="O1188" s="2"/>
      <c r="P1188" s="2"/>
      <c r="Q1188" s="2"/>
      <c r="R1188" s="80"/>
      <c r="S1188" s="80"/>
      <c r="T1188" s="80"/>
      <c r="U1188" s="80"/>
      <c r="V1188" s="80"/>
      <c r="W1188" s="80"/>
      <c r="X1188" s="80"/>
      <c r="Y1188" s="80"/>
      <c r="Z1188" s="80"/>
      <c r="AA1188" s="80"/>
      <c r="AB1188" s="80"/>
      <c r="AC1188" s="80"/>
      <c r="AD1188" s="80"/>
      <c r="AE1188" s="80"/>
      <c r="AF1188" s="80"/>
      <c r="AG1188" s="80"/>
      <c r="AH1188" s="80"/>
      <c r="AI1188" s="80"/>
    </row>
    <row r="1189" spans="1:35" x14ac:dyDescent="0.2">
      <c r="A1189" s="80"/>
      <c r="B1189" s="80"/>
      <c r="C1189" s="80"/>
      <c r="D1189" s="80"/>
      <c r="E1189" s="80"/>
      <c r="F1189" s="80"/>
      <c r="G1189" s="80"/>
      <c r="H1189" s="80"/>
      <c r="I1189" s="80"/>
      <c r="J1189" s="80"/>
      <c r="K1189" s="80"/>
      <c r="L1189" s="2"/>
      <c r="M1189" s="2"/>
      <c r="N1189" s="2"/>
      <c r="O1189" s="2"/>
      <c r="P1189" s="2"/>
      <c r="Q1189" s="2"/>
      <c r="R1189" s="80"/>
      <c r="S1189" s="80"/>
      <c r="T1189" s="80"/>
      <c r="U1189" s="80"/>
      <c r="V1189" s="80"/>
      <c r="W1189" s="80"/>
      <c r="X1189" s="80"/>
      <c r="Y1189" s="80"/>
      <c r="Z1189" s="80"/>
      <c r="AA1189" s="80"/>
      <c r="AB1189" s="80"/>
      <c r="AC1189" s="80"/>
      <c r="AD1189" s="80"/>
      <c r="AE1189" s="80"/>
      <c r="AF1189" s="80"/>
      <c r="AG1189" s="80"/>
      <c r="AH1189" s="80"/>
      <c r="AI1189" s="80"/>
    </row>
    <row r="1190" spans="1:35" x14ac:dyDescent="0.2">
      <c r="A1190" s="80"/>
      <c r="B1190" s="80"/>
      <c r="C1190" s="80"/>
      <c r="D1190" s="80"/>
      <c r="E1190" s="80"/>
      <c r="F1190" s="80"/>
      <c r="G1190" s="80"/>
      <c r="H1190" s="80"/>
      <c r="I1190" s="80"/>
      <c r="J1190" s="80"/>
      <c r="K1190" s="80"/>
      <c r="L1190" s="2"/>
      <c r="M1190" s="2"/>
      <c r="N1190" s="2"/>
      <c r="O1190" s="2"/>
      <c r="P1190" s="2"/>
      <c r="Q1190" s="2"/>
      <c r="R1190" s="80"/>
      <c r="S1190" s="80"/>
      <c r="T1190" s="80"/>
      <c r="U1190" s="80"/>
      <c r="V1190" s="80"/>
      <c r="W1190" s="80"/>
      <c r="X1190" s="80"/>
      <c r="Y1190" s="80"/>
      <c r="Z1190" s="80"/>
      <c r="AA1190" s="80"/>
      <c r="AB1190" s="80"/>
      <c r="AC1190" s="80"/>
      <c r="AD1190" s="80"/>
      <c r="AE1190" s="80"/>
      <c r="AF1190" s="80"/>
      <c r="AG1190" s="80"/>
      <c r="AH1190" s="80"/>
      <c r="AI1190" s="80"/>
    </row>
    <row r="1191" spans="1:35" x14ac:dyDescent="0.2">
      <c r="A1191" s="80"/>
      <c r="B1191" s="80"/>
      <c r="C1191" s="80"/>
      <c r="D1191" s="80"/>
      <c r="E1191" s="80"/>
      <c r="F1191" s="80"/>
      <c r="G1191" s="80"/>
      <c r="H1191" s="80"/>
      <c r="I1191" s="80"/>
      <c r="J1191" s="80"/>
      <c r="K1191" s="80"/>
      <c r="L1191" s="2"/>
      <c r="M1191" s="2"/>
      <c r="N1191" s="2"/>
      <c r="O1191" s="2"/>
      <c r="P1191" s="2"/>
      <c r="Q1191" s="2"/>
      <c r="R1191" s="80"/>
      <c r="S1191" s="80"/>
      <c r="T1191" s="80"/>
      <c r="U1191" s="80"/>
      <c r="V1191" s="80"/>
      <c r="W1191" s="80"/>
      <c r="X1191" s="80"/>
      <c r="Y1191" s="80"/>
      <c r="Z1191" s="80"/>
      <c r="AA1191" s="80"/>
      <c r="AB1191" s="80"/>
      <c r="AC1191" s="80"/>
      <c r="AD1191" s="80"/>
      <c r="AE1191" s="80"/>
      <c r="AF1191" s="80"/>
      <c r="AG1191" s="80"/>
      <c r="AH1191" s="80"/>
      <c r="AI1191" s="80"/>
    </row>
    <row r="1192" spans="1:35" x14ac:dyDescent="0.2">
      <c r="A1192" s="80"/>
      <c r="B1192" s="80"/>
      <c r="C1192" s="80"/>
      <c r="D1192" s="80"/>
      <c r="E1192" s="80"/>
      <c r="F1192" s="80"/>
      <c r="G1192" s="80"/>
      <c r="H1192" s="80"/>
      <c r="I1192" s="80"/>
      <c r="J1192" s="80"/>
      <c r="K1192" s="80"/>
      <c r="L1192" s="2"/>
      <c r="M1192" s="2"/>
      <c r="N1192" s="2"/>
      <c r="O1192" s="2"/>
      <c r="P1192" s="2"/>
      <c r="Q1192" s="2"/>
      <c r="R1192" s="80"/>
      <c r="S1192" s="80"/>
      <c r="T1192" s="80"/>
      <c r="U1192" s="80"/>
      <c r="V1192" s="80"/>
      <c r="W1192" s="80"/>
      <c r="X1192" s="80"/>
      <c r="Y1192" s="80"/>
      <c r="Z1192" s="80"/>
      <c r="AA1192" s="80"/>
      <c r="AB1192" s="80"/>
      <c r="AC1192" s="80"/>
      <c r="AD1192" s="80"/>
      <c r="AE1192" s="80"/>
      <c r="AF1192" s="80"/>
      <c r="AG1192" s="80"/>
      <c r="AH1192" s="80"/>
      <c r="AI1192" s="80"/>
    </row>
    <row r="1193" spans="1:35" x14ac:dyDescent="0.2">
      <c r="A1193" s="80"/>
      <c r="B1193" s="80"/>
      <c r="C1193" s="80"/>
      <c r="D1193" s="80"/>
      <c r="E1193" s="80"/>
      <c r="F1193" s="80"/>
      <c r="G1193" s="80"/>
      <c r="H1193" s="80"/>
      <c r="I1193" s="80"/>
      <c r="J1193" s="80"/>
      <c r="K1193" s="80"/>
      <c r="L1193" s="2"/>
      <c r="M1193" s="2"/>
      <c r="N1193" s="2"/>
      <c r="O1193" s="2"/>
      <c r="P1193" s="2"/>
      <c r="Q1193" s="2"/>
      <c r="R1193" s="80"/>
      <c r="S1193" s="80"/>
      <c r="T1193" s="80"/>
      <c r="U1193" s="80"/>
      <c r="V1193" s="80"/>
      <c r="W1193" s="80"/>
      <c r="X1193" s="80"/>
      <c r="Y1193" s="80"/>
      <c r="Z1193" s="80"/>
      <c r="AA1193" s="80"/>
      <c r="AB1193" s="80"/>
      <c r="AC1193" s="80"/>
      <c r="AD1193" s="80"/>
      <c r="AE1193" s="80"/>
      <c r="AF1193" s="80"/>
      <c r="AG1193" s="80"/>
      <c r="AH1193" s="80"/>
      <c r="AI1193" s="80"/>
    </row>
    <row r="1194" spans="1:35" x14ac:dyDescent="0.2">
      <c r="A1194" s="80"/>
      <c r="B1194" s="80"/>
      <c r="C1194" s="80"/>
      <c r="D1194" s="80"/>
      <c r="E1194" s="80"/>
      <c r="F1194" s="80"/>
      <c r="G1194" s="80"/>
      <c r="H1194" s="80"/>
      <c r="I1194" s="80"/>
      <c r="J1194" s="80"/>
      <c r="K1194" s="80"/>
      <c r="L1194" s="2"/>
      <c r="M1194" s="2"/>
      <c r="N1194" s="2"/>
      <c r="O1194" s="2"/>
      <c r="P1194" s="2"/>
      <c r="Q1194" s="2"/>
      <c r="R1194" s="80"/>
      <c r="S1194" s="80"/>
      <c r="T1194" s="80"/>
      <c r="U1194" s="80"/>
      <c r="V1194" s="80"/>
      <c r="W1194" s="80"/>
      <c r="X1194" s="80"/>
      <c r="Y1194" s="80"/>
      <c r="Z1194" s="80"/>
      <c r="AA1194" s="80"/>
      <c r="AB1194" s="80"/>
      <c r="AC1194" s="80"/>
      <c r="AD1194" s="80"/>
      <c r="AE1194" s="80"/>
      <c r="AF1194" s="80"/>
      <c r="AG1194" s="80"/>
      <c r="AH1194" s="80"/>
      <c r="AI1194" s="80"/>
    </row>
    <row r="1195" spans="1:35" x14ac:dyDescent="0.2">
      <c r="A1195" s="80"/>
      <c r="B1195" s="80"/>
      <c r="C1195" s="80"/>
      <c r="D1195" s="80"/>
      <c r="E1195" s="80"/>
      <c r="F1195" s="80"/>
      <c r="G1195" s="80"/>
      <c r="H1195" s="80"/>
      <c r="I1195" s="80"/>
      <c r="J1195" s="80"/>
      <c r="K1195" s="80"/>
      <c r="L1195" s="2"/>
      <c r="M1195" s="2"/>
      <c r="N1195" s="2"/>
      <c r="O1195" s="2"/>
      <c r="P1195" s="2"/>
      <c r="Q1195" s="2"/>
      <c r="R1195" s="80"/>
      <c r="S1195" s="80"/>
      <c r="T1195" s="80"/>
      <c r="U1195" s="80"/>
      <c r="V1195" s="80"/>
      <c r="W1195" s="80"/>
      <c r="X1195" s="80"/>
      <c r="Y1195" s="80"/>
      <c r="Z1195" s="80"/>
      <c r="AA1195" s="80"/>
      <c r="AB1195" s="80"/>
      <c r="AC1195" s="80"/>
      <c r="AD1195" s="80"/>
      <c r="AE1195" s="80"/>
      <c r="AF1195" s="80"/>
      <c r="AG1195" s="80"/>
      <c r="AH1195" s="80"/>
      <c r="AI1195" s="80"/>
    </row>
    <row r="1196" spans="1:35" x14ac:dyDescent="0.2">
      <c r="A1196" s="80"/>
      <c r="B1196" s="80"/>
      <c r="C1196" s="80"/>
      <c r="D1196" s="80"/>
      <c r="E1196" s="80"/>
      <c r="F1196" s="80"/>
      <c r="G1196" s="80"/>
      <c r="H1196" s="80"/>
      <c r="I1196" s="80"/>
      <c r="J1196" s="80"/>
      <c r="K1196" s="80"/>
      <c r="L1196" s="2"/>
      <c r="M1196" s="2"/>
      <c r="N1196" s="2"/>
      <c r="O1196" s="2"/>
      <c r="P1196" s="2"/>
      <c r="Q1196" s="2"/>
      <c r="R1196" s="80"/>
      <c r="S1196" s="80"/>
      <c r="T1196" s="80"/>
      <c r="U1196" s="80"/>
      <c r="V1196" s="80"/>
      <c r="W1196" s="80"/>
      <c r="X1196" s="80"/>
      <c r="Y1196" s="80"/>
      <c r="Z1196" s="80"/>
      <c r="AA1196" s="80"/>
      <c r="AB1196" s="80"/>
      <c r="AC1196" s="80"/>
      <c r="AD1196" s="80"/>
      <c r="AE1196" s="80"/>
      <c r="AF1196" s="80"/>
      <c r="AG1196" s="80"/>
      <c r="AH1196" s="80"/>
      <c r="AI1196" s="80"/>
    </row>
    <row r="1197" spans="1:35" x14ac:dyDescent="0.2">
      <c r="A1197" s="80"/>
      <c r="B1197" s="80"/>
      <c r="C1197" s="80"/>
      <c r="D1197" s="80"/>
      <c r="E1197" s="80"/>
      <c r="F1197" s="80"/>
      <c r="G1197" s="80"/>
      <c r="H1197" s="80"/>
      <c r="I1197" s="80"/>
      <c r="J1197" s="80"/>
      <c r="K1197" s="80"/>
      <c r="L1197" s="2"/>
      <c r="M1197" s="2"/>
      <c r="N1197" s="2"/>
      <c r="O1197" s="2"/>
      <c r="P1197" s="2"/>
      <c r="Q1197" s="2"/>
      <c r="R1197" s="80"/>
      <c r="S1197" s="80"/>
      <c r="T1197" s="80"/>
      <c r="U1197" s="80"/>
      <c r="V1197" s="80"/>
      <c r="W1197" s="80"/>
      <c r="X1197" s="80"/>
      <c r="Y1197" s="80"/>
      <c r="Z1197" s="80"/>
      <c r="AA1197" s="80"/>
      <c r="AB1197" s="80"/>
      <c r="AC1197" s="80"/>
      <c r="AD1197" s="80"/>
      <c r="AE1197" s="80"/>
      <c r="AF1197" s="80"/>
      <c r="AG1197" s="80"/>
      <c r="AH1197" s="80"/>
      <c r="AI1197" s="80"/>
    </row>
    <row r="1198" spans="1:35" x14ac:dyDescent="0.2">
      <c r="A1198" s="80"/>
      <c r="B1198" s="80"/>
      <c r="C1198" s="80"/>
      <c r="D1198" s="80"/>
      <c r="E1198" s="80"/>
      <c r="F1198" s="80"/>
      <c r="G1198" s="80"/>
      <c r="H1198" s="80"/>
      <c r="I1198" s="80"/>
      <c r="J1198" s="80"/>
      <c r="K1198" s="80"/>
      <c r="L1198" s="2"/>
      <c r="M1198" s="2"/>
      <c r="N1198" s="2"/>
      <c r="O1198" s="2"/>
      <c r="P1198" s="2"/>
      <c r="Q1198" s="2"/>
      <c r="R1198" s="80"/>
      <c r="S1198" s="80"/>
      <c r="T1198" s="80"/>
      <c r="U1198" s="80"/>
      <c r="V1198" s="80"/>
      <c r="W1198" s="80"/>
      <c r="X1198" s="80"/>
      <c r="Y1198" s="80"/>
      <c r="Z1198" s="80"/>
      <c r="AA1198" s="80"/>
      <c r="AB1198" s="80"/>
      <c r="AC1198" s="80"/>
      <c r="AD1198" s="80"/>
      <c r="AE1198" s="80"/>
      <c r="AF1198" s="80"/>
      <c r="AG1198" s="80"/>
      <c r="AH1198" s="80"/>
      <c r="AI1198" s="80"/>
    </row>
    <row r="1199" spans="1:35" x14ac:dyDescent="0.2">
      <c r="A1199" s="80"/>
      <c r="B1199" s="80"/>
      <c r="C1199" s="80"/>
      <c r="D1199" s="80"/>
      <c r="E1199" s="80"/>
      <c r="F1199" s="80"/>
      <c r="G1199" s="80"/>
      <c r="H1199" s="80"/>
      <c r="I1199" s="80"/>
      <c r="J1199" s="80"/>
      <c r="K1199" s="80"/>
      <c r="L1199" s="2"/>
      <c r="M1199" s="2"/>
      <c r="N1199" s="2"/>
      <c r="O1199" s="2"/>
      <c r="P1199" s="2"/>
      <c r="Q1199" s="2"/>
      <c r="R1199" s="80"/>
      <c r="S1199" s="80"/>
      <c r="T1199" s="80"/>
      <c r="U1199" s="80"/>
      <c r="V1199" s="80"/>
      <c r="W1199" s="80"/>
      <c r="X1199" s="80"/>
      <c r="Y1199" s="80"/>
      <c r="Z1199" s="80"/>
      <c r="AA1199" s="80"/>
      <c r="AB1199" s="80"/>
      <c r="AC1199" s="80"/>
      <c r="AD1199" s="80"/>
      <c r="AE1199" s="80"/>
      <c r="AF1199" s="80"/>
      <c r="AG1199" s="80"/>
      <c r="AH1199" s="80"/>
      <c r="AI1199" s="80"/>
    </row>
    <row r="1200" spans="1:35" x14ac:dyDescent="0.2">
      <c r="A1200" s="80"/>
      <c r="B1200" s="80"/>
      <c r="C1200" s="80"/>
      <c r="D1200" s="80"/>
      <c r="E1200" s="80"/>
      <c r="F1200" s="80"/>
      <c r="G1200" s="80"/>
      <c r="H1200" s="80"/>
      <c r="I1200" s="80"/>
      <c r="J1200" s="80"/>
      <c r="K1200" s="80"/>
      <c r="L1200" s="2"/>
      <c r="M1200" s="2"/>
      <c r="N1200" s="2"/>
      <c r="O1200" s="2"/>
      <c r="P1200" s="2"/>
      <c r="Q1200" s="2"/>
      <c r="R1200" s="80"/>
      <c r="S1200" s="80"/>
      <c r="T1200" s="80"/>
      <c r="U1200" s="80"/>
      <c r="V1200" s="80"/>
      <c r="W1200" s="80"/>
      <c r="X1200" s="80"/>
      <c r="Y1200" s="80"/>
      <c r="Z1200" s="80"/>
      <c r="AA1200" s="80"/>
      <c r="AB1200" s="80"/>
      <c r="AC1200" s="80"/>
      <c r="AD1200" s="80"/>
      <c r="AE1200" s="80"/>
      <c r="AF1200" s="80"/>
      <c r="AG1200" s="80"/>
      <c r="AH1200" s="80"/>
      <c r="AI1200" s="80"/>
    </row>
    <row r="1201" spans="1:35" x14ac:dyDescent="0.2">
      <c r="A1201" s="80"/>
      <c r="B1201" s="80"/>
      <c r="C1201" s="80"/>
      <c r="D1201" s="80"/>
      <c r="E1201" s="80"/>
      <c r="F1201" s="80"/>
      <c r="G1201" s="80"/>
      <c r="H1201" s="80"/>
      <c r="I1201" s="80"/>
      <c r="J1201" s="80"/>
      <c r="K1201" s="80"/>
      <c r="L1201" s="2"/>
      <c r="M1201" s="2"/>
      <c r="N1201" s="2"/>
      <c r="O1201" s="2"/>
      <c r="P1201" s="2"/>
      <c r="Q1201" s="2"/>
      <c r="R1201" s="80"/>
      <c r="S1201" s="80"/>
      <c r="T1201" s="80"/>
      <c r="U1201" s="80"/>
      <c r="V1201" s="80"/>
      <c r="W1201" s="80"/>
      <c r="X1201" s="80"/>
      <c r="Y1201" s="80"/>
      <c r="Z1201" s="80"/>
      <c r="AA1201" s="80"/>
      <c r="AB1201" s="80"/>
      <c r="AC1201" s="80"/>
      <c r="AD1201" s="80"/>
      <c r="AE1201" s="80"/>
      <c r="AF1201" s="80"/>
      <c r="AG1201" s="80"/>
      <c r="AH1201" s="80"/>
      <c r="AI1201" s="80"/>
    </row>
    <row r="1202" spans="1:35" x14ac:dyDescent="0.2">
      <c r="A1202" s="80"/>
      <c r="B1202" s="80"/>
      <c r="C1202" s="80"/>
      <c r="D1202" s="80"/>
      <c r="E1202" s="80"/>
      <c r="F1202" s="80"/>
      <c r="G1202" s="80"/>
      <c r="H1202" s="80"/>
      <c r="I1202" s="80"/>
      <c r="J1202" s="80"/>
      <c r="K1202" s="80"/>
      <c r="L1202" s="2"/>
      <c r="M1202" s="2"/>
      <c r="N1202" s="2"/>
      <c r="O1202" s="2"/>
      <c r="P1202" s="2"/>
      <c r="Q1202" s="2"/>
      <c r="R1202" s="80"/>
      <c r="S1202" s="80"/>
      <c r="T1202" s="80"/>
      <c r="U1202" s="80"/>
      <c r="V1202" s="80"/>
      <c r="W1202" s="80"/>
      <c r="X1202" s="80"/>
      <c r="Y1202" s="80"/>
      <c r="Z1202" s="80"/>
      <c r="AA1202" s="80"/>
      <c r="AB1202" s="80"/>
      <c r="AC1202" s="80"/>
      <c r="AD1202" s="80"/>
      <c r="AE1202" s="80"/>
      <c r="AF1202" s="80"/>
      <c r="AG1202" s="80"/>
      <c r="AH1202" s="80"/>
      <c r="AI1202" s="80"/>
    </row>
    <row r="1203" spans="1:35" x14ac:dyDescent="0.2">
      <c r="A1203" s="80"/>
      <c r="B1203" s="80"/>
      <c r="C1203" s="80"/>
      <c r="D1203" s="80"/>
      <c r="E1203" s="80"/>
      <c r="F1203" s="80"/>
      <c r="G1203" s="80"/>
      <c r="H1203" s="80"/>
      <c r="I1203" s="80"/>
      <c r="J1203" s="80"/>
      <c r="K1203" s="80"/>
      <c r="L1203" s="2"/>
      <c r="M1203" s="2"/>
      <c r="N1203" s="2"/>
      <c r="O1203" s="2"/>
      <c r="P1203" s="2"/>
      <c r="Q1203" s="2"/>
      <c r="R1203" s="80"/>
      <c r="S1203" s="80"/>
      <c r="T1203" s="80"/>
      <c r="U1203" s="80"/>
      <c r="V1203" s="80"/>
      <c r="W1203" s="80"/>
      <c r="X1203" s="80"/>
      <c r="Y1203" s="80"/>
      <c r="Z1203" s="80"/>
      <c r="AA1203" s="80"/>
      <c r="AB1203" s="80"/>
      <c r="AC1203" s="80"/>
      <c r="AD1203" s="80"/>
      <c r="AE1203" s="80"/>
      <c r="AF1203" s="80"/>
      <c r="AG1203" s="80"/>
      <c r="AH1203" s="80"/>
      <c r="AI1203" s="80"/>
    </row>
    <row r="1204" spans="1:35" x14ac:dyDescent="0.2">
      <c r="A1204" s="80"/>
      <c r="B1204" s="80"/>
      <c r="C1204" s="80"/>
      <c r="D1204" s="80"/>
      <c r="E1204" s="80"/>
      <c r="F1204" s="80"/>
      <c r="G1204" s="80"/>
      <c r="H1204" s="80"/>
      <c r="I1204" s="80"/>
      <c r="J1204" s="80"/>
      <c r="K1204" s="80"/>
      <c r="L1204" s="2"/>
      <c r="M1204" s="2"/>
      <c r="N1204" s="2"/>
      <c r="O1204" s="2"/>
      <c r="P1204" s="2"/>
      <c r="Q1204" s="2"/>
      <c r="R1204" s="80"/>
      <c r="S1204" s="80"/>
      <c r="T1204" s="80"/>
      <c r="U1204" s="80"/>
      <c r="V1204" s="80"/>
      <c r="W1204" s="80"/>
      <c r="X1204" s="80"/>
      <c r="Y1204" s="80"/>
      <c r="Z1204" s="80"/>
      <c r="AA1204" s="80"/>
      <c r="AB1204" s="80"/>
      <c r="AC1204" s="80"/>
      <c r="AD1204" s="80"/>
      <c r="AE1204" s="80"/>
      <c r="AF1204" s="80"/>
      <c r="AG1204" s="80"/>
      <c r="AH1204" s="80"/>
      <c r="AI1204" s="80"/>
    </row>
    <row r="1205" spans="1:35" x14ac:dyDescent="0.2">
      <c r="A1205" s="80"/>
      <c r="B1205" s="80"/>
      <c r="C1205" s="80"/>
      <c r="D1205" s="80"/>
      <c r="E1205" s="80"/>
      <c r="F1205" s="80"/>
      <c r="G1205" s="80"/>
      <c r="H1205" s="80"/>
      <c r="I1205" s="80"/>
      <c r="J1205" s="80"/>
      <c r="K1205" s="80"/>
      <c r="L1205" s="2"/>
      <c r="M1205" s="2"/>
      <c r="N1205" s="2"/>
      <c r="O1205" s="2"/>
      <c r="P1205" s="2"/>
      <c r="Q1205" s="2"/>
      <c r="R1205" s="80"/>
      <c r="S1205" s="80"/>
      <c r="T1205" s="80"/>
      <c r="U1205" s="80"/>
      <c r="V1205" s="80"/>
      <c r="W1205" s="80"/>
      <c r="X1205" s="80"/>
      <c r="Y1205" s="80"/>
      <c r="Z1205" s="80"/>
      <c r="AA1205" s="80"/>
      <c r="AB1205" s="80"/>
      <c r="AC1205" s="80"/>
      <c r="AD1205" s="80"/>
      <c r="AE1205" s="80"/>
      <c r="AF1205" s="80"/>
      <c r="AG1205" s="80"/>
      <c r="AH1205" s="80"/>
      <c r="AI1205" s="80"/>
    </row>
    <row r="1206" spans="1:35" x14ac:dyDescent="0.2">
      <c r="A1206" s="80"/>
      <c r="B1206" s="80"/>
      <c r="C1206" s="80"/>
      <c r="D1206" s="80"/>
      <c r="E1206" s="80"/>
      <c r="F1206" s="80"/>
      <c r="G1206" s="80"/>
      <c r="H1206" s="80"/>
      <c r="I1206" s="80"/>
      <c r="J1206" s="80"/>
      <c r="K1206" s="80"/>
      <c r="L1206" s="2"/>
      <c r="M1206" s="2"/>
      <c r="N1206" s="2"/>
      <c r="O1206" s="2"/>
      <c r="P1206" s="2"/>
      <c r="Q1206" s="2"/>
      <c r="R1206" s="80"/>
      <c r="S1206" s="80"/>
      <c r="T1206" s="80"/>
      <c r="U1206" s="80"/>
      <c r="V1206" s="80"/>
      <c r="W1206" s="80"/>
      <c r="X1206" s="80"/>
      <c r="Y1206" s="80"/>
      <c r="Z1206" s="80"/>
      <c r="AA1206" s="80"/>
      <c r="AB1206" s="80"/>
      <c r="AC1206" s="80"/>
      <c r="AD1206" s="80"/>
      <c r="AE1206" s="80"/>
      <c r="AF1206" s="80"/>
      <c r="AG1206" s="80"/>
      <c r="AH1206" s="80"/>
      <c r="AI1206" s="80"/>
    </row>
    <row r="1207" spans="1:35" x14ac:dyDescent="0.2">
      <c r="A1207" s="80"/>
      <c r="B1207" s="80"/>
      <c r="C1207" s="80"/>
      <c r="D1207" s="80"/>
      <c r="E1207" s="80"/>
      <c r="F1207" s="80"/>
      <c r="G1207" s="80"/>
      <c r="H1207" s="80"/>
      <c r="I1207" s="80"/>
      <c r="J1207" s="80"/>
      <c r="K1207" s="80"/>
      <c r="L1207" s="2"/>
      <c r="M1207" s="2"/>
      <c r="N1207" s="2"/>
      <c r="O1207" s="2"/>
      <c r="P1207" s="2"/>
      <c r="Q1207" s="2"/>
      <c r="R1207" s="80"/>
      <c r="S1207" s="80"/>
      <c r="T1207" s="80"/>
      <c r="U1207" s="80"/>
      <c r="V1207" s="80"/>
      <c r="W1207" s="80"/>
      <c r="X1207" s="80"/>
      <c r="Y1207" s="80"/>
      <c r="Z1207" s="80"/>
      <c r="AA1207" s="80"/>
      <c r="AB1207" s="80"/>
      <c r="AC1207" s="80"/>
      <c r="AD1207" s="80"/>
      <c r="AE1207" s="80"/>
      <c r="AF1207" s="80"/>
      <c r="AG1207" s="80"/>
      <c r="AH1207" s="80"/>
      <c r="AI1207" s="80"/>
    </row>
    <row r="1208" spans="1:35" x14ac:dyDescent="0.2">
      <c r="A1208" s="80"/>
      <c r="B1208" s="80"/>
      <c r="C1208" s="80"/>
      <c r="D1208" s="80"/>
      <c r="E1208" s="80"/>
      <c r="F1208" s="80"/>
      <c r="G1208" s="80"/>
      <c r="H1208" s="80"/>
      <c r="I1208" s="80"/>
      <c r="J1208" s="80"/>
      <c r="K1208" s="80"/>
      <c r="L1208" s="2"/>
      <c r="M1208" s="2"/>
      <c r="N1208" s="2"/>
      <c r="O1208" s="2"/>
      <c r="P1208" s="2"/>
      <c r="Q1208" s="2"/>
      <c r="R1208" s="80"/>
      <c r="S1208" s="80"/>
      <c r="T1208" s="80"/>
      <c r="U1208" s="80"/>
      <c r="V1208" s="80"/>
      <c r="W1208" s="80"/>
      <c r="X1208" s="80"/>
      <c r="Y1208" s="80"/>
      <c r="Z1208" s="80"/>
      <c r="AA1208" s="80"/>
      <c r="AB1208" s="80"/>
      <c r="AC1208" s="80"/>
      <c r="AD1208" s="80"/>
      <c r="AE1208" s="80"/>
      <c r="AF1208" s="80"/>
      <c r="AG1208" s="80"/>
      <c r="AH1208" s="80"/>
      <c r="AI1208" s="80"/>
    </row>
    <row r="1209" spans="1:35" x14ac:dyDescent="0.2">
      <c r="A1209" s="80"/>
      <c r="B1209" s="80"/>
      <c r="C1209" s="80"/>
      <c r="D1209" s="80"/>
      <c r="E1209" s="80"/>
      <c r="F1209" s="80"/>
      <c r="G1209" s="80"/>
      <c r="H1209" s="80"/>
      <c r="I1209" s="80"/>
      <c r="J1209" s="80"/>
      <c r="K1209" s="80"/>
      <c r="L1209" s="2"/>
      <c r="M1209" s="2"/>
      <c r="N1209" s="2"/>
      <c r="O1209" s="2"/>
      <c r="P1209" s="2"/>
      <c r="Q1209" s="2"/>
      <c r="R1209" s="80"/>
      <c r="S1209" s="80"/>
      <c r="T1209" s="80"/>
      <c r="U1209" s="80"/>
      <c r="V1209" s="80"/>
      <c r="W1209" s="80"/>
      <c r="X1209" s="80"/>
      <c r="Y1209" s="80"/>
      <c r="Z1209" s="80"/>
      <c r="AA1209" s="80"/>
      <c r="AB1209" s="80"/>
      <c r="AC1209" s="80"/>
      <c r="AD1209" s="80"/>
      <c r="AE1209" s="80"/>
      <c r="AF1209" s="80"/>
      <c r="AG1209" s="80"/>
      <c r="AH1209" s="80"/>
      <c r="AI1209" s="80"/>
    </row>
    <row r="1210" spans="1:35" x14ac:dyDescent="0.2">
      <c r="A1210" s="80"/>
      <c r="B1210" s="80"/>
      <c r="C1210" s="80"/>
      <c r="D1210" s="80"/>
      <c r="E1210" s="80"/>
      <c r="F1210" s="80"/>
      <c r="G1210" s="80"/>
      <c r="H1210" s="80"/>
      <c r="I1210" s="80"/>
      <c r="J1210" s="80"/>
      <c r="K1210" s="80"/>
      <c r="L1210" s="2"/>
      <c r="M1210" s="2"/>
      <c r="N1210" s="2"/>
      <c r="O1210" s="2"/>
      <c r="P1210" s="2"/>
      <c r="Q1210" s="2"/>
      <c r="R1210" s="80"/>
      <c r="S1210" s="80"/>
      <c r="T1210" s="80"/>
      <c r="U1210" s="80"/>
      <c r="V1210" s="80"/>
      <c r="W1210" s="80"/>
      <c r="X1210" s="80"/>
      <c r="Y1210" s="80"/>
      <c r="Z1210" s="80"/>
      <c r="AA1210" s="80"/>
      <c r="AB1210" s="80"/>
      <c r="AC1210" s="80"/>
      <c r="AD1210" s="80"/>
      <c r="AE1210" s="80"/>
      <c r="AF1210" s="80"/>
      <c r="AG1210" s="80"/>
      <c r="AH1210" s="80"/>
      <c r="AI1210" s="80"/>
    </row>
    <row r="1211" spans="1:35" x14ac:dyDescent="0.2">
      <c r="A1211" s="80"/>
      <c r="B1211" s="80"/>
      <c r="C1211" s="80"/>
      <c r="D1211" s="80"/>
      <c r="E1211" s="80"/>
      <c r="F1211" s="80"/>
      <c r="G1211" s="80"/>
      <c r="H1211" s="80"/>
      <c r="I1211" s="80"/>
      <c r="J1211" s="80"/>
      <c r="K1211" s="80"/>
      <c r="L1211" s="2"/>
      <c r="M1211" s="2"/>
      <c r="N1211" s="2"/>
      <c r="O1211" s="2"/>
      <c r="P1211" s="2"/>
      <c r="Q1211" s="2"/>
      <c r="R1211" s="80"/>
      <c r="S1211" s="80"/>
      <c r="T1211" s="80"/>
      <c r="U1211" s="80"/>
      <c r="V1211" s="80"/>
      <c r="W1211" s="80"/>
      <c r="X1211" s="80"/>
      <c r="Y1211" s="80"/>
      <c r="Z1211" s="80"/>
      <c r="AA1211" s="80"/>
      <c r="AB1211" s="80"/>
      <c r="AC1211" s="80"/>
      <c r="AD1211" s="80"/>
      <c r="AE1211" s="80"/>
      <c r="AF1211" s="80"/>
      <c r="AG1211" s="80"/>
      <c r="AH1211" s="80"/>
      <c r="AI1211" s="80"/>
    </row>
    <row r="1212" spans="1:35" x14ac:dyDescent="0.2">
      <c r="A1212" s="80"/>
      <c r="B1212" s="80"/>
      <c r="C1212" s="80"/>
      <c r="D1212" s="80"/>
      <c r="E1212" s="80"/>
      <c r="F1212" s="80"/>
      <c r="G1212" s="80"/>
      <c r="H1212" s="80"/>
      <c r="I1212" s="80"/>
      <c r="J1212" s="80"/>
      <c r="K1212" s="80"/>
      <c r="L1212" s="2"/>
      <c r="M1212" s="2"/>
      <c r="N1212" s="2"/>
      <c r="O1212" s="2"/>
      <c r="P1212" s="2"/>
      <c r="Q1212" s="2"/>
      <c r="R1212" s="80"/>
      <c r="S1212" s="80"/>
      <c r="T1212" s="80"/>
      <c r="U1212" s="80"/>
      <c r="V1212" s="80"/>
      <c r="W1212" s="80"/>
      <c r="X1212" s="80"/>
      <c r="Y1212" s="80"/>
      <c r="Z1212" s="80"/>
      <c r="AA1212" s="80"/>
      <c r="AB1212" s="80"/>
      <c r="AC1212" s="80"/>
      <c r="AD1212" s="80"/>
      <c r="AE1212" s="80"/>
      <c r="AF1212" s="80"/>
      <c r="AG1212" s="80"/>
      <c r="AH1212" s="80"/>
      <c r="AI1212" s="80"/>
    </row>
    <row r="1213" spans="1:35" x14ac:dyDescent="0.2">
      <c r="A1213" s="80"/>
      <c r="B1213" s="80"/>
      <c r="C1213" s="80"/>
      <c r="D1213" s="80"/>
      <c r="E1213" s="80"/>
      <c r="F1213" s="80"/>
      <c r="G1213" s="80"/>
      <c r="H1213" s="80"/>
      <c r="I1213" s="80"/>
      <c r="J1213" s="80"/>
      <c r="K1213" s="80"/>
      <c r="L1213" s="2"/>
      <c r="M1213" s="2"/>
      <c r="N1213" s="2"/>
      <c r="O1213" s="2"/>
      <c r="P1213" s="2"/>
      <c r="Q1213" s="2"/>
      <c r="R1213" s="80"/>
      <c r="S1213" s="80"/>
      <c r="T1213" s="80"/>
      <c r="U1213" s="80"/>
      <c r="V1213" s="80"/>
      <c r="W1213" s="80"/>
      <c r="X1213" s="80"/>
      <c r="Y1213" s="80"/>
      <c r="Z1213" s="80"/>
      <c r="AA1213" s="80"/>
      <c r="AB1213" s="80"/>
      <c r="AC1213" s="80"/>
      <c r="AD1213" s="80"/>
      <c r="AE1213" s="80"/>
      <c r="AF1213" s="80"/>
      <c r="AG1213" s="80"/>
      <c r="AH1213" s="80"/>
      <c r="AI1213" s="80"/>
    </row>
    <row r="1214" spans="1:35" x14ac:dyDescent="0.2">
      <c r="A1214" s="80"/>
      <c r="B1214" s="80"/>
      <c r="C1214" s="80"/>
      <c r="D1214" s="80"/>
      <c r="E1214" s="80"/>
      <c r="F1214" s="80"/>
      <c r="G1214" s="80"/>
      <c r="H1214" s="80"/>
      <c r="I1214" s="80"/>
      <c r="J1214" s="80"/>
      <c r="K1214" s="80"/>
      <c r="L1214" s="2"/>
      <c r="M1214" s="2"/>
      <c r="N1214" s="2"/>
      <c r="O1214" s="2"/>
      <c r="P1214" s="2"/>
      <c r="Q1214" s="2"/>
      <c r="R1214" s="80"/>
      <c r="S1214" s="80"/>
      <c r="T1214" s="80"/>
      <c r="U1214" s="80"/>
      <c r="V1214" s="80"/>
      <c r="W1214" s="80"/>
      <c r="X1214" s="80"/>
      <c r="Y1214" s="80"/>
      <c r="Z1214" s="80"/>
      <c r="AA1214" s="80"/>
      <c r="AB1214" s="80"/>
      <c r="AC1214" s="80"/>
      <c r="AD1214" s="80"/>
      <c r="AE1214" s="80"/>
      <c r="AF1214" s="80"/>
      <c r="AG1214" s="80"/>
      <c r="AH1214" s="80"/>
      <c r="AI1214" s="80"/>
    </row>
    <row r="1215" spans="1:35" x14ac:dyDescent="0.2">
      <c r="A1215" s="80"/>
      <c r="B1215" s="80"/>
      <c r="C1215" s="80"/>
      <c r="D1215" s="80"/>
      <c r="E1215" s="80"/>
      <c r="F1215" s="80"/>
      <c r="G1215" s="80"/>
      <c r="H1215" s="80"/>
      <c r="I1215" s="80"/>
      <c r="J1215" s="80"/>
      <c r="K1215" s="80"/>
      <c r="L1215" s="2"/>
      <c r="M1215" s="2"/>
      <c r="N1215" s="2"/>
      <c r="O1215" s="2"/>
      <c r="P1215" s="2"/>
      <c r="Q1215" s="2"/>
      <c r="R1215" s="80"/>
      <c r="S1215" s="80"/>
      <c r="T1215" s="80"/>
      <c r="U1215" s="80"/>
      <c r="V1215" s="80"/>
      <c r="W1215" s="80"/>
      <c r="X1215" s="80"/>
      <c r="Y1215" s="80"/>
      <c r="Z1215" s="80"/>
      <c r="AA1215" s="80"/>
      <c r="AB1215" s="80"/>
      <c r="AC1215" s="80"/>
      <c r="AD1215" s="80"/>
      <c r="AE1215" s="80"/>
      <c r="AF1215" s="80"/>
      <c r="AG1215" s="80"/>
      <c r="AH1215" s="80"/>
      <c r="AI1215" s="80"/>
    </row>
    <row r="1216" spans="1:35" x14ac:dyDescent="0.2">
      <c r="A1216" s="80"/>
      <c r="B1216" s="80"/>
      <c r="C1216" s="80"/>
      <c r="D1216" s="80"/>
      <c r="E1216" s="80"/>
      <c r="F1216" s="80"/>
      <c r="G1216" s="80"/>
      <c r="H1216" s="80"/>
      <c r="I1216" s="80"/>
      <c r="J1216" s="80"/>
      <c r="K1216" s="80"/>
      <c r="L1216" s="2"/>
      <c r="M1216" s="2"/>
      <c r="N1216" s="2"/>
      <c r="O1216" s="2"/>
      <c r="P1216" s="2"/>
      <c r="Q1216" s="2"/>
      <c r="R1216" s="80"/>
      <c r="S1216" s="80"/>
      <c r="T1216" s="80"/>
      <c r="U1216" s="80"/>
      <c r="V1216" s="80"/>
      <c r="W1216" s="80"/>
      <c r="X1216" s="80"/>
      <c r="Y1216" s="80"/>
      <c r="Z1216" s="80"/>
      <c r="AA1216" s="80"/>
      <c r="AB1216" s="80"/>
      <c r="AC1216" s="80"/>
      <c r="AD1216" s="80"/>
      <c r="AE1216" s="80"/>
      <c r="AF1216" s="80"/>
      <c r="AG1216" s="80"/>
      <c r="AH1216" s="80"/>
      <c r="AI1216" s="80"/>
    </row>
    <row r="1217" spans="1:35" x14ac:dyDescent="0.2">
      <c r="A1217" s="80"/>
      <c r="B1217" s="80"/>
      <c r="C1217" s="80"/>
      <c r="D1217" s="80"/>
      <c r="E1217" s="80"/>
      <c r="F1217" s="80"/>
      <c r="G1217" s="80"/>
      <c r="H1217" s="80"/>
      <c r="I1217" s="80"/>
      <c r="J1217" s="80"/>
      <c r="K1217" s="80"/>
      <c r="L1217" s="2"/>
      <c r="M1217" s="2"/>
      <c r="N1217" s="2"/>
      <c r="O1217" s="2"/>
      <c r="P1217" s="2"/>
      <c r="Q1217" s="2"/>
      <c r="R1217" s="80"/>
      <c r="S1217" s="80"/>
      <c r="T1217" s="80"/>
      <c r="U1217" s="80"/>
      <c r="V1217" s="80"/>
      <c r="W1217" s="80"/>
      <c r="X1217" s="80"/>
      <c r="Y1217" s="80"/>
      <c r="Z1217" s="80"/>
      <c r="AA1217" s="80"/>
      <c r="AB1217" s="80"/>
      <c r="AC1217" s="80"/>
      <c r="AD1217" s="80"/>
      <c r="AE1217" s="80"/>
      <c r="AF1217" s="80"/>
      <c r="AG1217" s="80"/>
      <c r="AH1217" s="80"/>
      <c r="AI1217" s="80"/>
    </row>
    <row r="1218" spans="1:35" x14ac:dyDescent="0.2">
      <c r="A1218" s="80"/>
      <c r="B1218" s="80"/>
      <c r="C1218" s="80"/>
      <c r="D1218" s="80"/>
      <c r="E1218" s="80"/>
      <c r="F1218" s="80"/>
      <c r="G1218" s="80"/>
      <c r="H1218" s="80"/>
      <c r="I1218" s="80"/>
      <c r="J1218" s="80"/>
      <c r="K1218" s="80"/>
      <c r="L1218" s="2"/>
      <c r="M1218" s="2"/>
      <c r="N1218" s="2"/>
      <c r="O1218" s="2"/>
      <c r="P1218" s="2"/>
      <c r="Q1218" s="2"/>
      <c r="R1218" s="80"/>
      <c r="S1218" s="80"/>
      <c r="T1218" s="80"/>
      <c r="U1218" s="80"/>
      <c r="V1218" s="80"/>
      <c r="W1218" s="80"/>
      <c r="X1218" s="80"/>
      <c r="Y1218" s="80"/>
      <c r="Z1218" s="80"/>
      <c r="AA1218" s="80"/>
      <c r="AB1218" s="80"/>
      <c r="AC1218" s="80"/>
      <c r="AD1218" s="80"/>
      <c r="AE1218" s="80"/>
      <c r="AF1218" s="80"/>
      <c r="AG1218" s="80"/>
      <c r="AH1218" s="80"/>
      <c r="AI1218" s="80"/>
    </row>
    <row r="1219" spans="1:35" x14ac:dyDescent="0.2">
      <c r="A1219" s="80"/>
      <c r="B1219" s="80"/>
      <c r="C1219" s="80"/>
      <c r="D1219" s="80"/>
      <c r="E1219" s="80"/>
      <c r="F1219" s="80"/>
      <c r="G1219" s="80"/>
      <c r="H1219" s="80"/>
      <c r="I1219" s="80"/>
      <c r="J1219" s="80"/>
      <c r="K1219" s="80"/>
      <c r="L1219" s="2"/>
      <c r="M1219" s="2"/>
      <c r="N1219" s="2"/>
      <c r="O1219" s="2"/>
      <c r="P1219" s="2"/>
      <c r="Q1219" s="2"/>
      <c r="R1219" s="80"/>
      <c r="S1219" s="80"/>
      <c r="T1219" s="80"/>
      <c r="U1219" s="80"/>
      <c r="V1219" s="80"/>
      <c r="W1219" s="80"/>
      <c r="X1219" s="80"/>
      <c r="Y1219" s="80"/>
      <c r="Z1219" s="80"/>
      <c r="AA1219" s="80"/>
      <c r="AB1219" s="80"/>
      <c r="AC1219" s="80"/>
      <c r="AD1219" s="80"/>
      <c r="AE1219" s="80"/>
      <c r="AF1219" s="80"/>
      <c r="AG1219" s="80"/>
      <c r="AH1219" s="80"/>
      <c r="AI1219" s="80"/>
    </row>
    <row r="1220" spans="1:35" x14ac:dyDescent="0.2">
      <c r="A1220" s="80"/>
      <c r="B1220" s="80"/>
      <c r="C1220" s="80"/>
      <c r="D1220" s="80"/>
      <c r="E1220" s="80"/>
      <c r="F1220" s="80"/>
      <c r="G1220" s="80"/>
      <c r="H1220" s="80"/>
      <c r="I1220" s="80"/>
      <c r="J1220" s="80"/>
      <c r="K1220" s="80"/>
      <c r="L1220" s="2"/>
      <c r="M1220" s="2"/>
      <c r="N1220" s="2"/>
      <c r="O1220" s="2"/>
      <c r="P1220" s="2"/>
      <c r="Q1220" s="2"/>
      <c r="R1220" s="80"/>
      <c r="S1220" s="80"/>
      <c r="T1220" s="80"/>
      <c r="U1220" s="80"/>
      <c r="V1220" s="80"/>
      <c r="W1220" s="80"/>
      <c r="X1220" s="80"/>
      <c r="Y1220" s="80"/>
      <c r="Z1220" s="80"/>
      <c r="AA1220" s="80"/>
      <c r="AB1220" s="80"/>
      <c r="AC1220" s="80"/>
      <c r="AD1220" s="80"/>
      <c r="AE1220" s="80"/>
      <c r="AF1220" s="80"/>
      <c r="AG1220" s="80"/>
      <c r="AH1220" s="80"/>
      <c r="AI1220" s="80"/>
    </row>
    <row r="1221" spans="1:35" x14ac:dyDescent="0.2">
      <c r="A1221" s="80"/>
      <c r="B1221" s="80"/>
      <c r="C1221" s="80"/>
      <c r="D1221" s="80"/>
      <c r="E1221" s="80"/>
      <c r="F1221" s="80"/>
      <c r="G1221" s="80"/>
      <c r="H1221" s="80"/>
      <c r="I1221" s="80"/>
      <c r="J1221" s="80"/>
      <c r="K1221" s="80"/>
      <c r="L1221" s="2"/>
      <c r="M1221" s="2"/>
      <c r="N1221" s="2"/>
      <c r="O1221" s="2"/>
      <c r="P1221" s="2"/>
      <c r="Q1221" s="2"/>
      <c r="R1221" s="80"/>
      <c r="S1221" s="80"/>
      <c r="T1221" s="80"/>
      <c r="U1221" s="80"/>
      <c r="V1221" s="80"/>
      <c r="W1221" s="80"/>
      <c r="X1221" s="80"/>
      <c r="Y1221" s="80"/>
      <c r="Z1221" s="80"/>
      <c r="AA1221" s="80"/>
      <c r="AB1221" s="80"/>
      <c r="AC1221" s="80"/>
      <c r="AD1221" s="80"/>
      <c r="AE1221" s="80"/>
      <c r="AF1221" s="80"/>
      <c r="AG1221" s="80"/>
      <c r="AH1221" s="80"/>
      <c r="AI1221" s="80"/>
    </row>
    <row r="1222" spans="1:35" x14ac:dyDescent="0.2">
      <c r="A1222" s="80"/>
      <c r="B1222" s="80"/>
      <c r="C1222" s="80"/>
      <c r="D1222" s="80"/>
      <c r="E1222" s="80"/>
      <c r="F1222" s="80"/>
      <c r="G1222" s="80"/>
      <c r="H1222" s="80"/>
      <c r="I1222" s="80"/>
      <c r="J1222" s="80"/>
      <c r="K1222" s="80"/>
      <c r="L1222" s="2"/>
      <c r="M1222" s="2"/>
      <c r="N1222" s="2"/>
      <c r="O1222" s="2"/>
      <c r="P1222" s="2"/>
      <c r="Q1222" s="2"/>
      <c r="R1222" s="80"/>
      <c r="S1222" s="80"/>
      <c r="T1222" s="80"/>
      <c r="U1222" s="80"/>
      <c r="V1222" s="80"/>
      <c r="W1222" s="80"/>
      <c r="X1222" s="80"/>
      <c r="Y1222" s="80"/>
      <c r="Z1222" s="80"/>
      <c r="AA1222" s="80"/>
      <c r="AB1222" s="80"/>
      <c r="AC1222" s="80"/>
      <c r="AD1222" s="80"/>
      <c r="AE1222" s="80"/>
      <c r="AF1222" s="80"/>
      <c r="AG1222" s="80"/>
      <c r="AH1222" s="80"/>
      <c r="AI1222" s="80"/>
    </row>
    <row r="1223" spans="1:35" x14ac:dyDescent="0.2">
      <c r="A1223" s="80"/>
      <c r="B1223" s="80"/>
      <c r="C1223" s="80"/>
      <c r="D1223" s="80"/>
      <c r="E1223" s="80"/>
      <c r="F1223" s="80"/>
      <c r="G1223" s="80"/>
      <c r="H1223" s="80"/>
      <c r="I1223" s="80"/>
      <c r="J1223" s="80"/>
      <c r="K1223" s="80"/>
      <c r="L1223" s="2"/>
      <c r="M1223" s="2"/>
      <c r="N1223" s="2"/>
      <c r="O1223" s="2"/>
      <c r="P1223" s="2"/>
      <c r="Q1223" s="2"/>
      <c r="R1223" s="80"/>
      <c r="S1223" s="80"/>
      <c r="T1223" s="80"/>
      <c r="U1223" s="80"/>
      <c r="V1223" s="80"/>
      <c r="W1223" s="80"/>
      <c r="X1223" s="80"/>
      <c r="Y1223" s="80"/>
      <c r="Z1223" s="80"/>
      <c r="AA1223" s="80"/>
      <c r="AB1223" s="80"/>
      <c r="AC1223" s="80"/>
      <c r="AD1223" s="80"/>
      <c r="AE1223" s="80"/>
      <c r="AF1223" s="80"/>
      <c r="AG1223" s="80"/>
      <c r="AH1223" s="80"/>
      <c r="AI1223" s="80"/>
    </row>
    <row r="1224" spans="1:35" x14ac:dyDescent="0.2">
      <c r="A1224" s="80"/>
      <c r="B1224" s="80"/>
      <c r="C1224" s="80"/>
      <c r="D1224" s="80"/>
      <c r="E1224" s="80"/>
      <c r="F1224" s="80"/>
      <c r="G1224" s="80"/>
      <c r="H1224" s="80"/>
      <c r="I1224" s="80"/>
      <c r="J1224" s="80"/>
      <c r="K1224" s="80"/>
      <c r="L1224" s="2"/>
      <c r="M1224" s="2"/>
      <c r="N1224" s="2"/>
      <c r="O1224" s="2"/>
      <c r="P1224" s="2"/>
      <c r="Q1224" s="2"/>
      <c r="R1224" s="80"/>
      <c r="S1224" s="80"/>
      <c r="T1224" s="80"/>
      <c r="U1224" s="80"/>
      <c r="V1224" s="80"/>
      <c r="W1224" s="80"/>
      <c r="X1224" s="80"/>
      <c r="Y1224" s="80"/>
      <c r="Z1224" s="80"/>
      <c r="AA1224" s="80"/>
      <c r="AB1224" s="80"/>
      <c r="AC1224" s="80"/>
      <c r="AD1224" s="80"/>
      <c r="AE1224" s="80"/>
      <c r="AF1224" s="80"/>
      <c r="AG1224" s="80"/>
      <c r="AH1224" s="80"/>
      <c r="AI1224" s="80"/>
    </row>
    <row r="1225" spans="1:35" x14ac:dyDescent="0.2">
      <c r="A1225" s="80"/>
      <c r="B1225" s="80"/>
      <c r="C1225" s="80"/>
      <c r="D1225" s="80"/>
      <c r="E1225" s="80"/>
      <c r="F1225" s="80"/>
      <c r="G1225" s="80"/>
      <c r="H1225" s="80"/>
      <c r="I1225" s="80"/>
      <c r="J1225" s="80"/>
      <c r="K1225" s="80"/>
      <c r="L1225" s="2"/>
      <c r="M1225" s="2"/>
      <c r="N1225" s="2"/>
      <c r="O1225" s="2"/>
      <c r="P1225" s="2"/>
      <c r="Q1225" s="2"/>
      <c r="R1225" s="80"/>
      <c r="S1225" s="80"/>
      <c r="T1225" s="80"/>
      <c r="U1225" s="80"/>
      <c r="V1225" s="80"/>
      <c r="W1225" s="80"/>
      <c r="X1225" s="80"/>
      <c r="Y1225" s="80"/>
      <c r="Z1225" s="80"/>
      <c r="AA1225" s="80"/>
      <c r="AB1225" s="80"/>
      <c r="AC1225" s="80"/>
      <c r="AD1225" s="80"/>
      <c r="AE1225" s="80"/>
      <c r="AF1225" s="80"/>
      <c r="AG1225" s="80"/>
      <c r="AH1225" s="80"/>
      <c r="AI1225" s="80"/>
    </row>
    <row r="1226" spans="1:35" x14ac:dyDescent="0.2">
      <c r="A1226" s="80"/>
      <c r="B1226" s="80"/>
      <c r="C1226" s="80"/>
      <c r="D1226" s="80"/>
      <c r="E1226" s="80"/>
      <c r="F1226" s="80"/>
      <c r="G1226" s="80"/>
      <c r="H1226" s="80"/>
      <c r="I1226" s="80"/>
      <c r="J1226" s="80"/>
      <c r="K1226" s="80"/>
      <c r="L1226" s="2"/>
      <c r="M1226" s="2"/>
      <c r="N1226" s="2"/>
      <c r="O1226" s="2"/>
      <c r="P1226" s="2"/>
      <c r="Q1226" s="2"/>
      <c r="R1226" s="80"/>
      <c r="S1226" s="80"/>
      <c r="T1226" s="80"/>
      <c r="U1226" s="80"/>
      <c r="V1226" s="80"/>
      <c r="W1226" s="80"/>
      <c r="X1226" s="80"/>
      <c r="Y1226" s="80"/>
      <c r="Z1226" s="80"/>
      <c r="AA1226" s="80"/>
      <c r="AB1226" s="80"/>
      <c r="AC1226" s="80"/>
      <c r="AD1226" s="80"/>
      <c r="AE1226" s="80"/>
      <c r="AF1226" s="80"/>
      <c r="AG1226" s="80"/>
      <c r="AH1226" s="80"/>
      <c r="AI1226" s="80"/>
    </row>
    <row r="1227" spans="1:35" x14ac:dyDescent="0.2">
      <c r="A1227" s="80"/>
      <c r="B1227" s="80"/>
      <c r="C1227" s="80"/>
      <c r="D1227" s="80"/>
      <c r="E1227" s="80"/>
      <c r="F1227" s="80"/>
      <c r="G1227" s="80"/>
      <c r="H1227" s="80"/>
      <c r="I1227" s="80"/>
      <c r="J1227" s="80"/>
      <c r="K1227" s="80"/>
      <c r="L1227" s="2"/>
      <c r="M1227" s="2"/>
      <c r="N1227" s="2"/>
      <c r="O1227" s="2"/>
      <c r="P1227" s="2"/>
      <c r="Q1227" s="2"/>
      <c r="R1227" s="80"/>
      <c r="S1227" s="80"/>
      <c r="T1227" s="80"/>
      <c r="U1227" s="80"/>
      <c r="V1227" s="80"/>
      <c r="W1227" s="80"/>
      <c r="X1227" s="80"/>
      <c r="Y1227" s="80"/>
      <c r="Z1227" s="80"/>
      <c r="AA1227" s="80"/>
      <c r="AB1227" s="80"/>
      <c r="AC1227" s="80"/>
      <c r="AD1227" s="80"/>
      <c r="AE1227" s="80"/>
      <c r="AF1227" s="80"/>
      <c r="AG1227" s="80"/>
      <c r="AH1227" s="80"/>
      <c r="AI1227" s="80"/>
    </row>
    <row r="1228" spans="1:35" x14ac:dyDescent="0.2">
      <c r="A1228" s="80"/>
      <c r="B1228" s="80"/>
      <c r="C1228" s="80"/>
      <c r="D1228" s="80"/>
      <c r="E1228" s="80"/>
      <c r="F1228" s="80"/>
      <c r="G1228" s="80"/>
      <c r="H1228" s="80"/>
      <c r="I1228" s="80"/>
      <c r="J1228" s="80"/>
      <c r="K1228" s="80"/>
      <c r="L1228" s="2"/>
      <c r="M1228" s="2"/>
      <c r="N1228" s="2"/>
      <c r="O1228" s="2"/>
      <c r="P1228" s="2"/>
      <c r="Q1228" s="2"/>
      <c r="R1228" s="80"/>
      <c r="S1228" s="80"/>
      <c r="T1228" s="80"/>
      <c r="U1228" s="80"/>
      <c r="V1228" s="80"/>
      <c r="W1228" s="80"/>
      <c r="X1228" s="80"/>
      <c r="Y1228" s="80"/>
      <c r="Z1228" s="80"/>
      <c r="AA1228" s="80"/>
      <c r="AB1228" s="80"/>
      <c r="AC1228" s="80"/>
      <c r="AD1228" s="80"/>
      <c r="AE1228" s="80"/>
      <c r="AF1228" s="80"/>
      <c r="AG1228" s="80"/>
      <c r="AH1228" s="80"/>
      <c r="AI1228" s="80"/>
    </row>
    <row r="1229" spans="1:35" x14ac:dyDescent="0.2">
      <c r="A1229" s="80"/>
      <c r="B1229" s="80"/>
      <c r="C1229" s="80"/>
      <c r="D1229" s="80"/>
      <c r="E1229" s="80"/>
      <c r="F1229" s="80"/>
      <c r="G1229" s="80"/>
      <c r="H1229" s="80"/>
      <c r="I1229" s="80"/>
      <c r="J1229" s="80"/>
      <c r="K1229" s="80"/>
      <c r="L1229" s="2"/>
      <c r="M1229" s="2"/>
      <c r="N1229" s="2"/>
      <c r="O1229" s="2"/>
      <c r="P1229" s="2"/>
      <c r="Q1229" s="2"/>
      <c r="R1229" s="80"/>
      <c r="S1229" s="80"/>
      <c r="T1229" s="80"/>
      <c r="U1229" s="80"/>
      <c r="V1229" s="80"/>
      <c r="W1229" s="80"/>
      <c r="X1229" s="80"/>
      <c r="Y1229" s="80"/>
      <c r="Z1229" s="80"/>
      <c r="AA1229" s="80"/>
      <c r="AB1229" s="80"/>
      <c r="AC1229" s="80"/>
      <c r="AD1229" s="80"/>
      <c r="AE1229" s="80"/>
      <c r="AF1229" s="80"/>
      <c r="AG1229" s="80"/>
      <c r="AH1229" s="80"/>
      <c r="AI1229" s="80"/>
    </row>
    <row r="1230" spans="1:35" x14ac:dyDescent="0.2">
      <c r="A1230" s="80"/>
      <c r="B1230" s="80"/>
      <c r="C1230" s="80"/>
      <c r="D1230" s="80"/>
      <c r="E1230" s="80"/>
      <c r="F1230" s="80"/>
      <c r="G1230" s="80"/>
      <c r="H1230" s="80"/>
      <c r="I1230" s="80"/>
      <c r="J1230" s="80"/>
      <c r="K1230" s="80"/>
      <c r="L1230" s="2"/>
      <c r="M1230" s="2"/>
      <c r="N1230" s="2"/>
      <c r="O1230" s="2"/>
      <c r="P1230" s="2"/>
      <c r="Q1230" s="2"/>
      <c r="R1230" s="80"/>
      <c r="S1230" s="80"/>
      <c r="T1230" s="80"/>
      <c r="U1230" s="80"/>
      <c r="V1230" s="80"/>
      <c r="W1230" s="80"/>
      <c r="X1230" s="80"/>
      <c r="Y1230" s="80"/>
      <c r="Z1230" s="80"/>
      <c r="AA1230" s="80"/>
      <c r="AB1230" s="80"/>
      <c r="AC1230" s="80"/>
      <c r="AD1230" s="80"/>
      <c r="AE1230" s="80"/>
      <c r="AF1230" s="80"/>
      <c r="AG1230" s="80"/>
      <c r="AH1230" s="80"/>
      <c r="AI1230" s="80"/>
    </row>
    <row r="1231" spans="1:35" x14ac:dyDescent="0.2">
      <c r="A1231" s="80"/>
      <c r="B1231" s="80"/>
      <c r="C1231" s="80"/>
      <c r="D1231" s="80"/>
      <c r="E1231" s="80"/>
      <c r="F1231" s="80"/>
      <c r="G1231" s="80"/>
      <c r="H1231" s="80"/>
      <c r="I1231" s="80"/>
      <c r="J1231" s="80"/>
      <c r="K1231" s="80"/>
      <c r="L1231" s="2"/>
      <c r="M1231" s="2"/>
      <c r="N1231" s="2"/>
      <c r="O1231" s="2"/>
      <c r="P1231" s="2"/>
      <c r="Q1231" s="2"/>
      <c r="R1231" s="80"/>
      <c r="S1231" s="80"/>
      <c r="T1231" s="80"/>
      <c r="U1231" s="80"/>
      <c r="V1231" s="80"/>
      <c r="W1231" s="80"/>
      <c r="X1231" s="80"/>
      <c r="Y1231" s="80"/>
      <c r="Z1231" s="80"/>
      <c r="AA1231" s="80"/>
      <c r="AB1231" s="80"/>
      <c r="AC1231" s="80"/>
      <c r="AD1231" s="80"/>
      <c r="AE1231" s="80"/>
      <c r="AF1231" s="80"/>
      <c r="AG1231" s="80"/>
      <c r="AH1231" s="80"/>
      <c r="AI1231" s="80"/>
    </row>
    <row r="1232" spans="1:35" x14ac:dyDescent="0.2">
      <c r="A1232" s="80"/>
      <c r="B1232" s="80"/>
      <c r="C1232" s="80"/>
      <c r="D1232" s="80"/>
      <c r="E1232" s="80"/>
      <c r="F1232" s="80"/>
      <c r="G1232" s="80"/>
      <c r="H1232" s="80"/>
      <c r="I1232" s="80"/>
      <c r="J1232" s="80"/>
      <c r="K1232" s="80"/>
      <c r="L1232" s="2"/>
      <c r="M1232" s="2"/>
      <c r="N1232" s="2"/>
      <c r="O1232" s="2"/>
      <c r="P1232" s="2"/>
      <c r="Q1232" s="2"/>
      <c r="R1232" s="80"/>
      <c r="S1232" s="80"/>
      <c r="T1232" s="80"/>
      <c r="U1232" s="80"/>
      <c r="V1232" s="80"/>
      <c r="W1232" s="80"/>
      <c r="X1232" s="80"/>
      <c r="Y1232" s="80"/>
      <c r="Z1232" s="80"/>
      <c r="AA1232" s="80"/>
      <c r="AB1232" s="80"/>
      <c r="AC1232" s="80"/>
      <c r="AD1232" s="80"/>
      <c r="AE1232" s="80"/>
      <c r="AF1232" s="80"/>
      <c r="AG1232" s="80"/>
      <c r="AH1232" s="80"/>
      <c r="AI1232" s="80"/>
    </row>
    <row r="1233" spans="1:35" x14ac:dyDescent="0.2">
      <c r="A1233" s="80"/>
      <c r="B1233" s="80"/>
      <c r="C1233" s="80"/>
      <c r="D1233" s="80"/>
      <c r="E1233" s="80"/>
      <c r="F1233" s="80"/>
      <c r="G1233" s="80"/>
      <c r="H1233" s="80"/>
      <c r="I1233" s="80"/>
      <c r="J1233" s="80"/>
      <c r="K1233" s="80"/>
      <c r="L1233" s="2"/>
      <c r="M1233" s="2"/>
      <c r="N1233" s="2"/>
      <c r="O1233" s="2"/>
      <c r="P1233" s="2"/>
      <c r="Q1233" s="2"/>
      <c r="R1233" s="80"/>
      <c r="S1233" s="80"/>
      <c r="T1233" s="80"/>
      <c r="U1233" s="80"/>
      <c r="V1233" s="80"/>
      <c r="W1233" s="80"/>
      <c r="X1233" s="80"/>
      <c r="Y1233" s="80"/>
      <c r="Z1233" s="80"/>
      <c r="AA1233" s="80"/>
      <c r="AB1233" s="80"/>
      <c r="AC1233" s="80"/>
      <c r="AD1233" s="80"/>
      <c r="AE1233" s="80"/>
      <c r="AF1233" s="80"/>
      <c r="AG1233" s="80"/>
      <c r="AH1233" s="80"/>
      <c r="AI1233" s="80"/>
    </row>
    <row r="1234" spans="1:35" x14ac:dyDescent="0.2">
      <c r="A1234" s="80"/>
      <c r="B1234" s="80"/>
      <c r="C1234" s="80"/>
      <c r="D1234" s="80"/>
      <c r="E1234" s="80"/>
      <c r="F1234" s="80"/>
      <c r="G1234" s="80"/>
      <c r="H1234" s="80"/>
      <c r="I1234" s="80"/>
      <c r="J1234" s="80"/>
      <c r="K1234" s="80"/>
      <c r="L1234" s="2"/>
      <c r="M1234" s="2"/>
      <c r="N1234" s="2"/>
      <c r="O1234" s="2"/>
      <c r="P1234" s="2"/>
      <c r="Q1234" s="2"/>
      <c r="R1234" s="80"/>
      <c r="S1234" s="80"/>
      <c r="T1234" s="80"/>
      <c r="U1234" s="80"/>
      <c r="V1234" s="80"/>
      <c r="W1234" s="80"/>
      <c r="X1234" s="80"/>
      <c r="Y1234" s="80"/>
      <c r="Z1234" s="80"/>
      <c r="AA1234" s="80"/>
      <c r="AB1234" s="80"/>
      <c r="AC1234" s="80"/>
      <c r="AD1234" s="80"/>
      <c r="AE1234" s="80"/>
      <c r="AF1234" s="80"/>
      <c r="AG1234" s="80"/>
      <c r="AH1234" s="80"/>
      <c r="AI1234" s="80"/>
    </row>
    <row r="1235" spans="1:35" x14ac:dyDescent="0.2">
      <c r="A1235" s="80"/>
      <c r="B1235" s="80"/>
      <c r="C1235" s="80"/>
      <c r="D1235" s="80"/>
      <c r="E1235" s="80"/>
      <c r="F1235" s="80"/>
      <c r="G1235" s="80"/>
      <c r="H1235" s="80"/>
      <c r="I1235" s="80"/>
      <c r="J1235" s="80"/>
      <c r="K1235" s="80"/>
      <c r="L1235" s="2"/>
      <c r="M1235" s="2"/>
      <c r="N1235" s="2"/>
      <c r="O1235" s="2"/>
      <c r="P1235" s="2"/>
      <c r="Q1235" s="2"/>
      <c r="R1235" s="80"/>
      <c r="S1235" s="80"/>
      <c r="T1235" s="80"/>
      <c r="U1235" s="80"/>
      <c r="V1235" s="80"/>
      <c r="W1235" s="80"/>
      <c r="X1235" s="80"/>
      <c r="Y1235" s="80"/>
      <c r="Z1235" s="80"/>
      <c r="AA1235" s="80"/>
      <c r="AB1235" s="80"/>
      <c r="AC1235" s="80"/>
      <c r="AD1235" s="80"/>
      <c r="AE1235" s="80"/>
      <c r="AF1235" s="80"/>
      <c r="AG1235" s="80"/>
      <c r="AH1235" s="80"/>
      <c r="AI1235" s="80"/>
    </row>
    <row r="1236" spans="1:35" x14ac:dyDescent="0.2">
      <c r="A1236" s="80"/>
      <c r="B1236" s="80"/>
      <c r="C1236" s="80"/>
      <c r="D1236" s="80"/>
      <c r="E1236" s="80"/>
      <c r="F1236" s="80"/>
      <c r="G1236" s="80"/>
      <c r="H1236" s="80"/>
      <c r="I1236" s="80"/>
      <c r="J1236" s="80"/>
      <c r="K1236" s="80"/>
      <c r="L1236" s="2"/>
      <c r="M1236" s="2"/>
      <c r="N1236" s="2"/>
      <c r="O1236" s="2"/>
      <c r="P1236" s="2"/>
      <c r="Q1236" s="2"/>
      <c r="R1236" s="80"/>
      <c r="S1236" s="80"/>
      <c r="T1236" s="80"/>
      <c r="U1236" s="80"/>
      <c r="V1236" s="80"/>
      <c r="W1236" s="80"/>
      <c r="X1236" s="80"/>
      <c r="Y1236" s="80"/>
      <c r="Z1236" s="80"/>
      <c r="AA1236" s="80"/>
      <c r="AB1236" s="80"/>
      <c r="AC1236" s="80"/>
      <c r="AD1236" s="80"/>
      <c r="AE1236" s="80"/>
      <c r="AF1236" s="80"/>
      <c r="AG1236" s="80"/>
      <c r="AH1236" s="80"/>
      <c r="AI1236" s="80"/>
    </row>
    <row r="1237" spans="1:35" x14ac:dyDescent="0.2">
      <c r="A1237" s="80"/>
      <c r="B1237" s="80"/>
      <c r="C1237" s="80"/>
      <c r="D1237" s="80"/>
      <c r="E1237" s="80"/>
      <c r="F1237" s="80"/>
      <c r="G1237" s="80"/>
      <c r="H1237" s="80"/>
      <c r="I1237" s="80"/>
      <c r="J1237" s="80"/>
      <c r="K1237" s="80"/>
      <c r="L1237" s="2"/>
      <c r="M1237" s="2"/>
      <c r="N1237" s="2"/>
      <c r="O1237" s="2"/>
      <c r="P1237" s="2"/>
      <c r="Q1237" s="2"/>
      <c r="R1237" s="80"/>
      <c r="S1237" s="80"/>
      <c r="T1237" s="80"/>
      <c r="U1237" s="80"/>
      <c r="V1237" s="80"/>
      <c r="W1237" s="80"/>
      <c r="X1237" s="80"/>
      <c r="Y1237" s="80"/>
      <c r="Z1237" s="80"/>
      <c r="AA1237" s="80"/>
      <c r="AB1237" s="80"/>
      <c r="AC1237" s="80"/>
      <c r="AD1237" s="80"/>
      <c r="AE1237" s="80"/>
      <c r="AF1237" s="80"/>
      <c r="AG1237" s="80"/>
      <c r="AH1237" s="80"/>
      <c r="AI1237" s="80"/>
    </row>
    <row r="1238" spans="1:35" x14ac:dyDescent="0.2">
      <c r="A1238" s="80"/>
      <c r="B1238" s="80"/>
      <c r="C1238" s="80"/>
      <c r="D1238" s="80"/>
      <c r="E1238" s="80"/>
      <c r="F1238" s="80"/>
      <c r="G1238" s="80"/>
      <c r="H1238" s="80"/>
      <c r="I1238" s="80"/>
      <c r="J1238" s="80"/>
      <c r="K1238" s="80"/>
      <c r="L1238" s="2"/>
      <c r="M1238" s="2"/>
      <c r="N1238" s="2"/>
      <c r="O1238" s="2"/>
      <c r="P1238" s="2"/>
      <c r="Q1238" s="2"/>
      <c r="R1238" s="80"/>
      <c r="S1238" s="80"/>
      <c r="T1238" s="80"/>
      <c r="U1238" s="80"/>
      <c r="V1238" s="80"/>
      <c r="W1238" s="80"/>
      <c r="X1238" s="80"/>
      <c r="Y1238" s="80"/>
      <c r="Z1238" s="80"/>
      <c r="AA1238" s="80"/>
      <c r="AB1238" s="80"/>
      <c r="AC1238" s="80"/>
      <c r="AD1238" s="80"/>
      <c r="AE1238" s="80"/>
      <c r="AF1238" s="80"/>
      <c r="AG1238" s="80"/>
      <c r="AH1238" s="80"/>
      <c r="AI1238" s="80"/>
    </row>
    <row r="1239" spans="1:35" x14ac:dyDescent="0.2">
      <c r="A1239" s="80"/>
      <c r="B1239" s="80"/>
      <c r="C1239" s="80"/>
      <c r="D1239" s="80"/>
      <c r="E1239" s="80"/>
      <c r="F1239" s="80"/>
      <c r="G1239" s="80"/>
      <c r="H1239" s="80"/>
      <c r="I1239" s="80"/>
      <c r="J1239" s="80"/>
      <c r="K1239" s="80"/>
      <c r="L1239" s="2"/>
      <c r="M1239" s="2"/>
      <c r="N1239" s="2"/>
      <c r="O1239" s="2"/>
      <c r="P1239" s="2"/>
      <c r="Q1239" s="2"/>
      <c r="R1239" s="80"/>
      <c r="S1239" s="80"/>
      <c r="T1239" s="80"/>
      <c r="U1239" s="80"/>
      <c r="V1239" s="80"/>
      <c r="W1239" s="80"/>
      <c r="X1239" s="80"/>
      <c r="Y1239" s="80"/>
      <c r="Z1239" s="80"/>
      <c r="AA1239" s="80"/>
      <c r="AB1239" s="80"/>
      <c r="AC1239" s="80"/>
      <c r="AD1239" s="80"/>
      <c r="AE1239" s="80"/>
      <c r="AF1239" s="80"/>
      <c r="AG1239" s="80"/>
      <c r="AH1239" s="80"/>
      <c r="AI1239" s="80"/>
    </row>
    <row r="1240" spans="1:35" x14ac:dyDescent="0.2">
      <c r="A1240" s="80"/>
      <c r="B1240" s="80"/>
      <c r="C1240" s="80"/>
      <c r="D1240" s="80"/>
      <c r="E1240" s="80"/>
      <c r="F1240" s="80"/>
      <c r="G1240" s="80"/>
      <c r="H1240" s="80"/>
      <c r="I1240" s="80"/>
      <c r="J1240" s="80"/>
      <c r="K1240" s="80"/>
      <c r="L1240" s="2"/>
      <c r="M1240" s="2"/>
      <c r="N1240" s="2"/>
      <c r="O1240" s="2"/>
      <c r="P1240" s="2"/>
      <c r="Q1240" s="2"/>
      <c r="R1240" s="80"/>
      <c r="S1240" s="80"/>
      <c r="T1240" s="80"/>
      <c r="U1240" s="80"/>
      <c r="V1240" s="80"/>
      <c r="W1240" s="80"/>
      <c r="X1240" s="80"/>
      <c r="Y1240" s="80"/>
      <c r="Z1240" s="80"/>
      <c r="AA1240" s="80"/>
      <c r="AB1240" s="80"/>
      <c r="AC1240" s="80"/>
      <c r="AD1240" s="80"/>
      <c r="AE1240" s="80"/>
      <c r="AF1240" s="80"/>
      <c r="AG1240" s="80"/>
      <c r="AH1240" s="80"/>
      <c r="AI1240" s="80"/>
    </row>
    <row r="1241" spans="1:35" x14ac:dyDescent="0.2">
      <c r="A1241" s="80"/>
      <c r="B1241" s="80"/>
      <c r="C1241" s="80"/>
      <c r="D1241" s="80"/>
      <c r="E1241" s="80"/>
      <c r="F1241" s="80"/>
      <c r="G1241" s="80"/>
      <c r="H1241" s="80"/>
      <c r="I1241" s="80"/>
      <c r="J1241" s="80"/>
      <c r="K1241" s="80"/>
      <c r="L1241" s="2"/>
      <c r="M1241" s="2"/>
      <c r="N1241" s="2"/>
      <c r="O1241" s="2"/>
      <c r="P1241" s="2"/>
      <c r="Q1241" s="2"/>
      <c r="R1241" s="80"/>
      <c r="S1241" s="80"/>
      <c r="T1241" s="80"/>
      <c r="U1241" s="80"/>
      <c r="V1241" s="80"/>
      <c r="W1241" s="80"/>
      <c r="X1241" s="80"/>
      <c r="Y1241" s="80"/>
      <c r="Z1241" s="80"/>
      <c r="AA1241" s="80"/>
      <c r="AB1241" s="80"/>
      <c r="AC1241" s="80"/>
      <c r="AD1241" s="80"/>
      <c r="AE1241" s="80"/>
      <c r="AF1241" s="80"/>
      <c r="AG1241" s="80"/>
      <c r="AH1241" s="80"/>
      <c r="AI1241" s="80"/>
    </row>
    <row r="1242" spans="1:35" x14ac:dyDescent="0.2">
      <c r="A1242" s="80"/>
      <c r="B1242" s="80"/>
      <c r="C1242" s="80"/>
      <c r="D1242" s="80"/>
      <c r="E1242" s="80"/>
      <c r="F1242" s="80"/>
      <c r="G1242" s="80"/>
      <c r="H1242" s="80"/>
      <c r="I1242" s="80"/>
      <c r="J1242" s="80"/>
      <c r="K1242" s="80"/>
      <c r="L1242" s="2"/>
      <c r="M1242" s="2"/>
      <c r="N1242" s="2"/>
      <c r="O1242" s="2"/>
      <c r="P1242" s="2"/>
      <c r="Q1242" s="2"/>
      <c r="R1242" s="80"/>
      <c r="S1242" s="80"/>
      <c r="T1242" s="80"/>
      <c r="U1242" s="80"/>
      <c r="V1242" s="80"/>
      <c r="W1242" s="80"/>
      <c r="X1242" s="80"/>
      <c r="Y1242" s="80"/>
      <c r="Z1242" s="80"/>
      <c r="AA1242" s="80"/>
      <c r="AB1242" s="80"/>
      <c r="AC1242" s="80"/>
      <c r="AD1242" s="80"/>
      <c r="AE1242" s="80"/>
      <c r="AF1242" s="80"/>
      <c r="AG1242" s="80"/>
      <c r="AH1242" s="80"/>
      <c r="AI1242" s="80"/>
    </row>
    <row r="1243" spans="1:35" x14ac:dyDescent="0.2">
      <c r="A1243" s="80"/>
      <c r="B1243" s="80"/>
      <c r="C1243" s="80"/>
      <c r="D1243" s="80"/>
      <c r="E1243" s="80"/>
      <c r="F1243" s="80"/>
      <c r="G1243" s="80"/>
      <c r="H1243" s="80"/>
      <c r="I1243" s="80"/>
      <c r="J1243" s="80"/>
      <c r="K1243" s="80"/>
      <c r="L1243" s="2"/>
      <c r="M1243" s="2"/>
      <c r="N1243" s="2"/>
      <c r="O1243" s="2"/>
      <c r="P1243" s="2"/>
      <c r="Q1243" s="2"/>
      <c r="R1243" s="80"/>
      <c r="S1243" s="80"/>
      <c r="T1243" s="80"/>
      <c r="U1243" s="80"/>
      <c r="V1243" s="80"/>
      <c r="W1243" s="80"/>
      <c r="X1243" s="80"/>
      <c r="Y1243" s="80"/>
      <c r="Z1243" s="80"/>
      <c r="AA1243" s="80"/>
      <c r="AB1243" s="80"/>
      <c r="AC1243" s="80"/>
      <c r="AD1243" s="80"/>
      <c r="AE1243" s="80"/>
      <c r="AF1243" s="80"/>
      <c r="AG1243" s="80"/>
      <c r="AH1243" s="80"/>
      <c r="AI1243" s="80"/>
    </row>
    <row r="1244" spans="1:35" x14ac:dyDescent="0.2">
      <c r="A1244" s="80"/>
      <c r="B1244" s="80"/>
      <c r="C1244" s="80"/>
      <c r="D1244" s="80"/>
      <c r="E1244" s="80"/>
      <c r="F1244" s="80"/>
      <c r="G1244" s="80"/>
      <c r="H1244" s="80"/>
      <c r="I1244" s="80"/>
      <c r="J1244" s="80"/>
      <c r="K1244" s="80"/>
      <c r="L1244" s="2"/>
      <c r="M1244" s="2"/>
      <c r="N1244" s="2"/>
      <c r="O1244" s="2"/>
      <c r="P1244" s="2"/>
      <c r="Q1244" s="2"/>
      <c r="R1244" s="80"/>
      <c r="S1244" s="80"/>
      <c r="T1244" s="80"/>
      <c r="U1244" s="80"/>
      <c r="V1244" s="80"/>
      <c r="W1244" s="80"/>
      <c r="X1244" s="80"/>
      <c r="Y1244" s="80"/>
      <c r="Z1244" s="80"/>
      <c r="AA1244" s="80"/>
      <c r="AB1244" s="80"/>
      <c r="AC1244" s="80"/>
      <c r="AD1244" s="80"/>
      <c r="AE1244" s="80"/>
      <c r="AF1244" s="80"/>
      <c r="AG1244" s="80"/>
      <c r="AH1244" s="80"/>
      <c r="AI1244" s="80"/>
    </row>
    <row r="1245" spans="1:35" x14ac:dyDescent="0.2">
      <c r="A1245" s="80"/>
      <c r="B1245" s="80"/>
      <c r="C1245" s="80"/>
      <c r="D1245" s="80"/>
      <c r="E1245" s="80"/>
      <c r="F1245" s="80"/>
      <c r="G1245" s="80"/>
      <c r="H1245" s="80"/>
      <c r="I1245" s="80"/>
      <c r="J1245" s="80"/>
      <c r="K1245" s="80"/>
      <c r="L1245" s="2"/>
      <c r="M1245" s="2"/>
      <c r="N1245" s="2"/>
      <c r="O1245" s="2"/>
      <c r="P1245" s="2"/>
      <c r="Q1245" s="2"/>
      <c r="R1245" s="80"/>
      <c r="S1245" s="80"/>
      <c r="T1245" s="80"/>
      <c r="U1245" s="80"/>
      <c r="V1245" s="80"/>
      <c r="W1245" s="80"/>
      <c r="X1245" s="80"/>
      <c r="Y1245" s="80"/>
      <c r="Z1245" s="80"/>
      <c r="AA1245" s="80"/>
      <c r="AB1245" s="80"/>
      <c r="AC1245" s="80"/>
      <c r="AD1245" s="80"/>
      <c r="AE1245" s="80"/>
      <c r="AF1245" s="80"/>
      <c r="AG1245" s="80"/>
      <c r="AH1245" s="80"/>
      <c r="AI1245" s="80"/>
    </row>
    <row r="1246" spans="1:35" x14ac:dyDescent="0.2">
      <c r="A1246" s="80"/>
      <c r="B1246" s="80"/>
      <c r="C1246" s="80"/>
      <c r="D1246" s="80"/>
      <c r="E1246" s="80"/>
      <c r="F1246" s="80"/>
      <c r="G1246" s="80"/>
      <c r="H1246" s="80"/>
      <c r="I1246" s="80"/>
      <c r="J1246" s="80"/>
      <c r="K1246" s="80"/>
      <c r="L1246" s="2"/>
      <c r="M1246" s="2"/>
      <c r="N1246" s="2"/>
      <c r="O1246" s="2"/>
      <c r="P1246" s="2"/>
      <c r="Q1246" s="2"/>
      <c r="R1246" s="80"/>
      <c r="S1246" s="80"/>
      <c r="T1246" s="80"/>
      <c r="U1246" s="80"/>
      <c r="V1246" s="80"/>
      <c r="W1246" s="80"/>
      <c r="X1246" s="80"/>
      <c r="Y1246" s="80"/>
      <c r="Z1246" s="80"/>
      <c r="AA1246" s="80"/>
      <c r="AB1246" s="80"/>
      <c r="AC1246" s="80"/>
      <c r="AD1246" s="80"/>
      <c r="AE1246" s="80"/>
      <c r="AF1246" s="80"/>
      <c r="AG1246" s="80"/>
      <c r="AH1246" s="80"/>
      <c r="AI1246" s="80"/>
    </row>
    <row r="1247" spans="1:35" x14ac:dyDescent="0.2">
      <c r="A1247" s="80"/>
      <c r="B1247" s="80"/>
      <c r="C1247" s="80"/>
      <c r="D1247" s="80"/>
      <c r="E1247" s="80"/>
      <c r="F1247" s="80"/>
      <c r="G1247" s="80"/>
      <c r="H1247" s="80"/>
      <c r="I1247" s="80"/>
      <c r="J1247" s="80"/>
      <c r="K1247" s="80"/>
      <c r="L1247" s="2"/>
      <c r="M1247" s="2"/>
      <c r="N1247" s="2"/>
      <c r="O1247" s="2"/>
      <c r="P1247" s="2"/>
      <c r="Q1247" s="2"/>
      <c r="R1247" s="80"/>
      <c r="S1247" s="80"/>
      <c r="T1247" s="80"/>
      <c r="U1247" s="80"/>
      <c r="V1247" s="80"/>
      <c r="W1247" s="80"/>
      <c r="X1247" s="80"/>
      <c r="Y1247" s="80"/>
      <c r="Z1247" s="80"/>
      <c r="AA1247" s="80"/>
      <c r="AB1247" s="80"/>
      <c r="AC1247" s="80"/>
      <c r="AD1247" s="80"/>
      <c r="AE1247" s="80"/>
      <c r="AF1247" s="80"/>
      <c r="AG1247" s="80"/>
      <c r="AH1247" s="80"/>
      <c r="AI1247" s="80"/>
    </row>
    <row r="1248" spans="1:35" x14ac:dyDescent="0.2">
      <c r="A1248" s="80"/>
      <c r="B1248" s="80"/>
      <c r="C1248" s="80"/>
      <c r="D1248" s="80"/>
      <c r="E1248" s="80"/>
      <c r="F1248" s="80"/>
      <c r="G1248" s="80"/>
      <c r="H1248" s="80"/>
      <c r="I1248" s="80"/>
      <c r="J1248" s="80"/>
      <c r="K1248" s="80"/>
      <c r="L1248" s="2"/>
      <c r="M1248" s="2"/>
      <c r="N1248" s="2"/>
      <c r="O1248" s="2"/>
      <c r="P1248" s="2"/>
      <c r="Q1248" s="2"/>
      <c r="R1248" s="80"/>
      <c r="S1248" s="80"/>
      <c r="T1248" s="80"/>
      <c r="U1248" s="80"/>
      <c r="V1248" s="80"/>
      <c r="W1248" s="80"/>
      <c r="X1248" s="80"/>
      <c r="Y1248" s="80"/>
      <c r="Z1248" s="80"/>
      <c r="AA1248" s="80"/>
      <c r="AB1248" s="80"/>
      <c r="AC1248" s="80"/>
      <c r="AD1248" s="80"/>
      <c r="AE1248" s="80"/>
      <c r="AF1248" s="80"/>
      <c r="AG1248" s="80"/>
      <c r="AH1248" s="80"/>
      <c r="AI1248" s="80"/>
    </row>
    <row r="1249" spans="1:35" x14ac:dyDescent="0.2">
      <c r="A1249" s="80"/>
      <c r="B1249" s="80"/>
      <c r="C1249" s="80"/>
      <c r="D1249" s="80"/>
      <c r="E1249" s="80"/>
      <c r="F1249" s="80"/>
      <c r="G1249" s="80"/>
      <c r="H1249" s="80"/>
      <c r="I1249" s="80"/>
      <c r="J1249" s="80"/>
      <c r="K1249" s="80"/>
      <c r="L1249" s="2"/>
      <c r="M1249" s="2"/>
      <c r="N1249" s="2"/>
      <c r="O1249" s="2"/>
      <c r="P1249" s="2"/>
      <c r="Q1249" s="2"/>
      <c r="R1249" s="80"/>
      <c r="S1249" s="80"/>
      <c r="T1249" s="80"/>
      <c r="U1249" s="80"/>
      <c r="V1249" s="80"/>
      <c r="W1249" s="80"/>
      <c r="X1249" s="80"/>
      <c r="Y1249" s="80"/>
      <c r="Z1249" s="80"/>
      <c r="AA1249" s="80"/>
      <c r="AB1249" s="80"/>
      <c r="AC1249" s="80"/>
      <c r="AD1249" s="80"/>
      <c r="AE1249" s="80"/>
      <c r="AF1249" s="80"/>
      <c r="AG1249" s="80"/>
      <c r="AH1249" s="80"/>
      <c r="AI1249" s="80"/>
    </row>
    <row r="1250" spans="1:35" x14ac:dyDescent="0.2">
      <c r="A1250" s="80"/>
      <c r="B1250" s="80"/>
      <c r="C1250" s="80"/>
      <c r="D1250" s="80"/>
      <c r="E1250" s="80"/>
      <c r="F1250" s="80"/>
      <c r="G1250" s="80"/>
      <c r="H1250" s="80"/>
      <c r="I1250" s="80"/>
      <c r="J1250" s="80"/>
      <c r="K1250" s="80"/>
      <c r="L1250" s="2"/>
      <c r="M1250" s="2"/>
      <c r="N1250" s="2"/>
      <c r="O1250" s="2"/>
      <c r="P1250" s="2"/>
      <c r="Q1250" s="2"/>
      <c r="R1250" s="80"/>
      <c r="S1250" s="80"/>
      <c r="T1250" s="80"/>
      <c r="U1250" s="80"/>
      <c r="V1250" s="80"/>
      <c r="W1250" s="80"/>
      <c r="X1250" s="80"/>
      <c r="Y1250" s="80"/>
      <c r="Z1250" s="80"/>
      <c r="AA1250" s="80"/>
      <c r="AB1250" s="80"/>
      <c r="AC1250" s="80"/>
      <c r="AD1250" s="80"/>
      <c r="AE1250" s="80"/>
      <c r="AF1250" s="80"/>
      <c r="AG1250" s="80"/>
      <c r="AH1250" s="80"/>
      <c r="AI1250" s="80"/>
    </row>
    <row r="1251" spans="1:35" x14ac:dyDescent="0.2">
      <c r="A1251" s="80"/>
      <c r="B1251" s="80"/>
      <c r="C1251" s="80"/>
      <c r="D1251" s="80"/>
      <c r="E1251" s="80"/>
      <c r="F1251" s="80"/>
      <c r="G1251" s="80"/>
      <c r="H1251" s="80"/>
      <c r="I1251" s="80"/>
      <c r="J1251" s="80"/>
      <c r="K1251" s="80"/>
      <c r="L1251" s="2"/>
      <c r="M1251" s="2"/>
      <c r="N1251" s="2"/>
      <c r="O1251" s="2"/>
      <c r="P1251" s="2"/>
      <c r="Q1251" s="2"/>
      <c r="R1251" s="80"/>
      <c r="S1251" s="80"/>
      <c r="T1251" s="80"/>
      <c r="U1251" s="80"/>
      <c r="V1251" s="80"/>
      <c r="W1251" s="80"/>
      <c r="X1251" s="80"/>
      <c r="Y1251" s="80"/>
      <c r="Z1251" s="80"/>
      <c r="AA1251" s="80"/>
      <c r="AB1251" s="80"/>
      <c r="AC1251" s="80"/>
      <c r="AD1251" s="80"/>
      <c r="AE1251" s="80"/>
      <c r="AF1251" s="80"/>
      <c r="AG1251" s="80"/>
      <c r="AH1251" s="80"/>
      <c r="AI1251" s="80"/>
    </row>
    <row r="1252" spans="1:35" x14ac:dyDescent="0.2">
      <c r="A1252" s="80"/>
      <c r="B1252" s="80"/>
      <c r="C1252" s="80"/>
      <c r="D1252" s="80"/>
      <c r="E1252" s="80"/>
      <c r="F1252" s="80"/>
      <c r="G1252" s="80"/>
      <c r="H1252" s="80"/>
      <c r="I1252" s="80"/>
      <c r="J1252" s="80"/>
      <c r="K1252" s="80"/>
      <c r="L1252" s="2"/>
      <c r="M1252" s="2"/>
      <c r="N1252" s="2"/>
      <c r="O1252" s="2"/>
      <c r="P1252" s="2"/>
      <c r="Q1252" s="2"/>
      <c r="R1252" s="80"/>
      <c r="S1252" s="80"/>
      <c r="T1252" s="80"/>
      <c r="U1252" s="80"/>
      <c r="V1252" s="80"/>
      <c r="W1252" s="80"/>
      <c r="X1252" s="80"/>
      <c r="Y1252" s="80"/>
      <c r="Z1252" s="80"/>
      <c r="AA1252" s="80"/>
      <c r="AB1252" s="80"/>
      <c r="AC1252" s="80"/>
      <c r="AD1252" s="80"/>
      <c r="AE1252" s="80"/>
      <c r="AF1252" s="80"/>
      <c r="AG1252" s="80"/>
      <c r="AH1252" s="80"/>
      <c r="AI1252" s="80"/>
    </row>
    <row r="1253" spans="1:35" x14ac:dyDescent="0.2">
      <c r="A1253" s="80"/>
      <c r="B1253" s="80"/>
      <c r="C1253" s="80"/>
      <c r="D1253" s="80"/>
      <c r="E1253" s="80"/>
      <c r="F1253" s="80"/>
      <c r="G1253" s="80"/>
      <c r="H1253" s="80"/>
      <c r="I1253" s="80"/>
      <c r="J1253" s="80"/>
      <c r="K1253" s="80"/>
      <c r="L1253" s="2"/>
      <c r="M1253" s="2"/>
      <c r="N1253" s="2"/>
      <c r="O1253" s="2"/>
      <c r="P1253" s="2"/>
      <c r="Q1253" s="2"/>
      <c r="R1253" s="80"/>
      <c r="S1253" s="80"/>
      <c r="T1253" s="80"/>
      <c r="U1253" s="80"/>
      <c r="V1253" s="80"/>
      <c r="W1253" s="80"/>
      <c r="X1253" s="80"/>
      <c r="Y1253" s="80"/>
      <c r="Z1253" s="80"/>
      <c r="AA1253" s="80"/>
      <c r="AB1253" s="80"/>
      <c r="AC1253" s="80"/>
      <c r="AD1253" s="80"/>
      <c r="AE1253" s="80"/>
      <c r="AF1253" s="80"/>
      <c r="AG1253" s="80"/>
      <c r="AH1253" s="80"/>
      <c r="AI1253" s="80"/>
    </row>
    <row r="1254" spans="1:35" x14ac:dyDescent="0.2">
      <c r="A1254" s="80"/>
      <c r="B1254" s="80"/>
      <c r="C1254" s="80"/>
      <c r="D1254" s="80"/>
      <c r="E1254" s="80"/>
      <c r="F1254" s="80"/>
      <c r="G1254" s="80"/>
      <c r="H1254" s="80"/>
      <c r="I1254" s="80"/>
      <c r="J1254" s="80"/>
      <c r="K1254" s="80"/>
      <c r="L1254" s="2"/>
      <c r="M1254" s="2"/>
      <c r="N1254" s="2"/>
      <c r="O1254" s="2"/>
      <c r="P1254" s="2"/>
      <c r="Q1254" s="2"/>
      <c r="R1254" s="80"/>
      <c r="S1254" s="80"/>
      <c r="T1254" s="80"/>
      <c r="U1254" s="80"/>
      <c r="V1254" s="80"/>
      <c r="W1254" s="80"/>
      <c r="X1254" s="80"/>
      <c r="Y1254" s="80"/>
      <c r="Z1254" s="80"/>
      <c r="AA1254" s="80"/>
      <c r="AB1254" s="80"/>
      <c r="AC1254" s="80"/>
      <c r="AD1254" s="80"/>
      <c r="AE1254" s="80"/>
      <c r="AF1254" s="80"/>
      <c r="AG1254" s="80"/>
      <c r="AH1254" s="80"/>
      <c r="AI1254" s="80"/>
    </row>
    <row r="1255" spans="1:35" x14ac:dyDescent="0.2">
      <c r="A1255" s="80"/>
      <c r="B1255" s="80"/>
      <c r="C1255" s="80"/>
      <c r="D1255" s="80"/>
      <c r="E1255" s="80"/>
      <c r="F1255" s="80"/>
      <c r="G1255" s="80"/>
      <c r="H1255" s="80"/>
      <c r="I1255" s="80"/>
      <c r="J1255" s="80"/>
      <c r="K1255" s="80"/>
      <c r="L1255" s="2"/>
      <c r="M1255" s="2"/>
      <c r="N1255" s="2"/>
      <c r="O1255" s="2"/>
      <c r="P1255" s="2"/>
      <c r="Q1255" s="2"/>
      <c r="R1255" s="80"/>
      <c r="S1255" s="80"/>
      <c r="T1255" s="80"/>
      <c r="U1255" s="80"/>
      <c r="V1255" s="80"/>
      <c r="W1255" s="80"/>
      <c r="X1255" s="80"/>
      <c r="Y1255" s="80"/>
      <c r="Z1255" s="80"/>
      <c r="AA1255" s="80"/>
      <c r="AB1255" s="80"/>
      <c r="AC1255" s="80"/>
      <c r="AD1255" s="80"/>
      <c r="AE1255" s="80"/>
      <c r="AF1255" s="80"/>
      <c r="AG1255" s="80"/>
      <c r="AH1255" s="80"/>
      <c r="AI1255" s="80"/>
    </row>
    <row r="1256" spans="1:35" x14ac:dyDescent="0.2">
      <c r="A1256" s="80"/>
      <c r="B1256" s="80"/>
      <c r="C1256" s="80"/>
      <c r="D1256" s="80"/>
      <c r="E1256" s="80"/>
      <c r="F1256" s="80"/>
      <c r="G1256" s="80"/>
      <c r="H1256" s="80"/>
      <c r="I1256" s="80"/>
      <c r="J1256" s="80"/>
      <c r="K1256" s="80"/>
      <c r="L1256" s="2"/>
      <c r="M1256" s="2"/>
      <c r="N1256" s="2"/>
      <c r="O1256" s="2"/>
      <c r="P1256" s="2"/>
      <c r="Q1256" s="2"/>
      <c r="R1256" s="80"/>
      <c r="S1256" s="80"/>
      <c r="T1256" s="80"/>
      <c r="U1256" s="80"/>
      <c r="V1256" s="80"/>
      <c r="W1256" s="80"/>
      <c r="X1256" s="80"/>
      <c r="Y1256" s="80"/>
      <c r="Z1256" s="80"/>
      <c r="AA1256" s="80"/>
      <c r="AB1256" s="80"/>
      <c r="AC1256" s="80"/>
      <c r="AD1256" s="80"/>
      <c r="AE1256" s="80"/>
      <c r="AF1256" s="80"/>
      <c r="AG1256" s="80"/>
      <c r="AH1256" s="80"/>
      <c r="AI1256" s="80"/>
    </row>
    <row r="1257" spans="1:35" x14ac:dyDescent="0.2">
      <c r="A1257" s="80"/>
      <c r="B1257" s="80"/>
      <c r="C1257" s="80"/>
      <c r="D1257" s="80"/>
      <c r="E1257" s="80"/>
      <c r="F1257" s="80"/>
      <c r="G1257" s="80"/>
      <c r="H1257" s="80"/>
      <c r="I1257" s="80"/>
      <c r="J1257" s="80"/>
      <c r="K1257" s="80"/>
      <c r="L1257" s="2"/>
      <c r="M1257" s="2"/>
      <c r="N1257" s="2"/>
      <c r="O1257" s="2"/>
      <c r="P1257" s="2"/>
      <c r="Q1257" s="2"/>
      <c r="R1257" s="80"/>
      <c r="S1257" s="80"/>
      <c r="T1257" s="80"/>
      <c r="U1257" s="80"/>
      <c r="V1257" s="80"/>
      <c r="W1257" s="80"/>
      <c r="X1257" s="80"/>
      <c r="Y1257" s="80"/>
      <c r="Z1257" s="80"/>
      <c r="AA1257" s="80"/>
      <c r="AB1257" s="80"/>
      <c r="AC1257" s="80"/>
      <c r="AD1257" s="80"/>
      <c r="AE1257" s="80"/>
      <c r="AF1257" s="80"/>
      <c r="AG1257" s="80"/>
      <c r="AH1257" s="80"/>
      <c r="AI1257" s="80"/>
    </row>
    <row r="1258" spans="1:35" x14ac:dyDescent="0.2">
      <c r="A1258" s="80"/>
      <c r="B1258" s="80"/>
      <c r="C1258" s="80"/>
      <c r="D1258" s="80"/>
      <c r="E1258" s="80"/>
      <c r="F1258" s="80"/>
      <c r="G1258" s="80"/>
      <c r="H1258" s="80"/>
      <c r="I1258" s="80"/>
      <c r="J1258" s="80"/>
      <c r="K1258" s="80"/>
      <c r="L1258" s="2"/>
      <c r="M1258" s="2"/>
      <c r="N1258" s="2"/>
      <c r="O1258" s="2"/>
      <c r="P1258" s="2"/>
      <c r="Q1258" s="2"/>
      <c r="R1258" s="80"/>
      <c r="S1258" s="80"/>
      <c r="T1258" s="80"/>
      <c r="U1258" s="80"/>
      <c r="V1258" s="80"/>
      <c r="W1258" s="80"/>
      <c r="X1258" s="80"/>
      <c r="Y1258" s="80"/>
      <c r="Z1258" s="80"/>
      <c r="AA1258" s="80"/>
      <c r="AB1258" s="80"/>
      <c r="AC1258" s="80"/>
      <c r="AD1258" s="80"/>
      <c r="AE1258" s="80"/>
      <c r="AF1258" s="80"/>
      <c r="AG1258" s="80"/>
      <c r="AH1258" s="80"/>
      <c r="AI1258" s="80"/>
    </row>
    <row r="1259" spans="1:35" x14ac:dyDescent="0.2">
      <c r="A1259" s="80"/>
      <c r="B1259" s="80"/>
      <c r="C1259" s="80"/>
      <c r="D1259" s="80"/>
      <c r="E1259" s="80"/>
      <c r="F1259" s="80"/>
      <c r="G1259" s="80"/>
      <c r="H1259" s="80"/>
      <c r="I1259" s="80"/>
      <c r="J1259" s="80"/>
      <c r="K1259" s="80"/>
      <c r="L1259" s="2"/>
      <c r="M1259" s="2"/>
      <c r="N1259" s="2"/>
      <c r="O1259" s="2"/>
      <c r="P1259" s="2"/>
      <c r="Q1259" s="2"/>
      <c r="R1259" s="80"/>
      <c r="S1259" s="80"/>
      <c r="T1259" s="80"/>
      <c r="U1259" s="80"/>
      <c r="V1259" s="80"/>
      <c r="W1259" s="80"/>
      <c r="X1259" s="80"/>
      <c r="Y1259" s="80"/>
      <c r="Z1259" s="80"/>
      <c r="AA1259" s="80"/>
      <c r="AB1259" s="80"/>
      <c r="AC1259" s="80"/>
      <c r="AD1259" s="80"/>
      <c r="AE1259" s="80"/>
      <c r="AF1259" s="80"/>
      <c r="AG1259" s="80"/>
      <c r="AH1259" s="80"/>
      <c r="AI1259" s="80"/>
    </row>
    <row r="1260" spans="1:35" x14ac:dyDescent="0.2">
      <c r="A1260" s="80"/>
      <c r="B1260" s="80"/>
      <c r="C1260" s="80"/>
      <c r="D1260" s="80"/>
      <c r="E1260" s="80"/>
      <c r="F1260" s="80"/>
      <c r="G1260" s="80"/>
      <c r="H1260" s="80"/>
      <c r="I1260" s="80"/>
      <c r="J1260" s="80"/>
      <c r="K1260" s="80"/>
      <c r="L1260" s="2"/>
      <c r="M1260" s="2"/>
      <c r="N1260" s="2"/>
      <c r="O1260" s="2"/>
      <c r="P1260" s="2"/>
      <c r="Q1260" s="2"/>
      <c r="R1260" s="80"/>
      <c r="S1260" s="80"/>
      <c r="T1260" s="80"/>
      <c r="U1260" s="80"/>
      <c r="V1260" s="80"/>
      <c r="W1260" s="80"/>
      <c r="X1260" s="80"/>
      <c r="Y1260" s="80"/>
      <c r="Z1260" s="80"/>
      <c r="AA1260" s="80"/>
      <c r="AB1260" s="80"/>
      <c r="AC1260" s="80"/>
      <c r="AD1260" s="80"/>
      <c r="AE1260" s="80"/>
      <c r="AF1260" s="80"/>
      <c r="AG1260" s="80"/>
      <c r="AH1260" s="80"/>
      <c r="AI1260" s="80"/>
    </row>
    <row r="1261" spans="1:35" x14ac:dyDescent="0.2">
      <c r="A1261" s="80"/>
      <c r="B1261" s="80"/>
      <c r="C1261" s="80"/>
      <c r="D1261" s="80"/>
      <c r="E1261" s="80"/>
      <c r="F1261" s="80"/>
      <c r="G1261" s="80"/>
      <c r="H1261" s="80"/>
      <c r="I1261" s="80"/>
      <c r="J1261" s="80"/>
      <c r="K1261" s="80"/>
      <c r="L1261" s="2"/>
      <c r="M1261" s="2"/>
      <c r="N1261" s="2"/>
      <c r="O1261" s="2"/>
      <c r="P1261" s="2"/>
      <c r="Q1261" s="2"/>
      <c r="R1261" s="80"/>
      <c r="S1261" s="80"/>
      <c r="T1261" s="80"/>
      <c r="U1261" s="80"/>
      <c r="V1261" s="80"/>
      <c r="W1261" s="80"/>
      <c r="X1261" s="80"/>
      <c r="Y1261" s="80"/>
      <c r="Z1261" s="80"/>
      <c r="AA1261" s="80"/>
      <c r="AB1261" s="80"/>
      <c r="AC1261" s="80"/>
      <c r="AD1261" s="80"/>
      <c r="AE1261" s="80"/>
      <c r="AF1261" s="80"/>
      <c r="AG1261" s="80"/>
      <c r="AH1261" s="80"/>
      <c r="AI1261" s="80"/>
    </row>
    <row r="1262" spans="1:35" x14ac:dyDescent="0.2">
      <c r="A1262" s="80"/>
      <c r="B1262" s="80"/>
      <c r="C1262" s="80"/>
      <c r="D1262" s="80"/>
      <c r="E1262" s="80"/>
      <c r="F1262" s="80"/>
      <c r="G1262" s="80"/>
      <c r="H1262" s="80"/>
      <c r="I1262" s="80"/>
      <c r="J1262" s="80"/>
      <c r="K1262" s="80"/>
      <c r="L1262" s="2"/>
      <c r="M1262" s="2"/>
      <c r="N1262" s="2"/>
      <c r="O1262" s="2"/>
      <c r="P1262" s="2"/>
      <c r="Q1262" s="2"/>
      <c r="R1262" s="80"/>
      <c r="S1262" s="80"/>
      <c r="T1262" s="80"/>
      <c r="U1262" s="80"/>
      <c r="V1262" s="80"/>
      <c r="W1262" s="80"/>
      <c r="X1262" s="80"/>
      <c r="Y1262" s="80"/>
      <c r="Z1262" s="80"/>
      <c r="AA1262" s="80"/>
      <c r="AB1262" s="80"/>
      <c r="AC1262" s="80"/>
      <c r="AD1262" s="80"/>
      <c r="AE1262" s="80"/>
      <c r="AF1262" s="80"/>
      <c r="AG1262" s="80"/>
      <c r="AH1262" s="80"/>
      <c r="AI1262" s="80"/>
    </row>
    <row r="1263" spans="1:35" x14ac:dyDescent="0.2">
      <c r="A1263" s="80"/>
      <c r="B1263" s="80"/>
      <c r="C1263" s="80"/>
      <c r="D1263" s="80"/>
      <c r="E1263" s="80"/>
      <c r="F1263" s="80"/>
      <c r="G1263" s="80"/>
      <c r="H1263" s="80"/>
      <c r="I1263" s="80"/>
      <c r="J1263" s="80"/>
      <c r="K1263" s="80"/>
      <c r="L1263" s="2"/>
      <c r="M1263" s="2"/>
      <c r="N1263" s="2"/>
      <c r="O1263" s="2"/>
      <c r="P1263" s="2"/>
      <c r="Q1263" s="2"/>
      <c r="R1263" s="80"/>
      <c r="S1263" s="80"/>
      <c r="T1263" s="80"/>
      <c r="U1263" s="80"/>
      <c r="V1263" s="80"/>
      <c r="W1263" s="80"/>
      <c r="X1263" s="80"/>
      <c r="Y1263" s="80"/>
      <c r="Z1263" s="80"/>
      <c r="AA1263" s="80"/>
      <c r="AB1263" s="80"/>
      <c r="AC1263" s="80"/>
      <c r="AD1263" s="80"/>
      <c r="AE1263" s="80"/>
      <c r="AF1263" s="80"/>
      <c r="AG1263" s="80"/>
      <c r="AH1263" s="80"/>
      <c r="AI1263" s="80"/>
    </row>
    <row r="1264" spans="1:35" x14ac:dyDescent="0.2">
      <c r="A1264" s="80"/>
      <c r="B1264" s="80"/>
      <c r="C1264" s="80"/>
      <c r="D1264" s="80"/>
      <c r="E1264" s="80"/>
      <c r="F1264" s="80"/>
      <c r="G1264" s="80"/>
      <c r="H1264" s="80"/>
      <c r="I1264" s="80"/>
      <c r="J1264" s="80"/>
      <c r="K1264" s="80"/>
      <c r="L1264" s="2"/>
      <c r="M1264" s="2"/>
      <c r="N1264" s="2"/>
      <c r="O1264" s="2"/>
      <c r="P1264" s="2"/>
      <c r="Q1264" s="2"/>
      <c r="R1264" s="80"/>
      <c r="S1264" s="80"/>
      <c r="T1264" s="80"/>
      <c r="U1264" s="80"/>
      <c r="V1264" s="80"/>
      <c r="W1264" s="80"/>
      <c r="X1264" s="80"/>
      <c r="Y1264" s="80"/>
      <c r="Z1264" s="80"/>
      <c r="AA1264" s="80"/>
      <c r="AB1264" s="80"/>
      <c r="AC1264" s="80"/>
      <c r="AD1264" s="80"/>
      <c r="AE1264" s="80"/>
      <c r="AF1264" s="80"/>
      <c r="AG1264" s="80"/>
      <c r="AH1264" s="80"/>
      <c r="AI1264" s="80"/>
    </row>
    <row r="1265" spans="1:35" x14ac:dyDescent="0.2">
      <c r="A1265" s="80"/>
      <c r="B1265" s="80"/>
      <c r="C1265" s="80"/>
      <c r="D1265" s="80"/>
      <c r="E1265" s="80"/>
      <c r="F1265" s="80"/>
      <c r="G1265" s="80"/>
      <c r="H1265" s="80"/>
      <c r="I1265" s="80"/>
      <c r="J1265" s="80"/>
      <c r="K1265" s="80"/>
      <c r="L1265" s="2"/>
      <c r="M1265" s="2"/>
      <c r="N1265" s="2"/>
      <c r="O1265" s="2"/>
      <c r="P1265" s="2"/>
      <c r="Q1265" s="2"/>
      <c r="R1265" s="80"/>
      <c r="S1265" s="80"/>
      <c r="T1265" s="80"/>
      <c r="U1265" s="80"/>
      <c r="V1265" s="80"/>
      <c r="W1265" s="80"/>
      <c r="X1265" s="80"/>
      <c r="Y1265" s="80"/>
      <c r="Z1265" s="80"/>
      <c r="AA1265" s="80"/>
      <c r="AB1265" s="80"/>
      <c r="AC1265" s="80"/>
      <c r="AD1265" s="80"/>
      <c r="AE1265" s="80"/>
      <c r="AF1265" s="80"/>
      <c r="AG1265" s="80"/>
      <c r="AH1265" s="80"/>
      <c r="AI1265" s="80"/>
    </row>
    <row r="1266" spans="1:35" x14ac:dyDescent="0.2">
      <c r="A1266" s="80"/>
      <c r="B1266" s="80"/>
      <c r="C1266" s="80"/>
      <c r="D1266" s="80"/>
      <c r="E1266" s="80"/>
      <c r="F1266" s="80"/>
      <c r="G1266" s="80"/>
      <c r="H1266" s="80"/>
      <c r="I1266" s="80"/>
      <c r="J1266" s="80"/>
      <c r="K1266" s="80"/>
      <c r="L1266" s="2"/>
      <c r="M1266" s="2"/>
      <c r="N1266" s="2"/>
      <c r="O1266" s="2"/>
      <c r="P1266" s="2"/>
      <c r="Q1266" s="2"/>
      <c r="R1266" s="80"/>
      <c r="S1266" s="80"/>
      <c r="T1266" s="80"/>
      <c r="U1266" s="80"/>
      <c r="V1266" s="80"/>
      <c r="W1266" s="80"/>
      <c r="X1266" s="80"/>
      <c r="Y1266" s="80"/>
      <c r="Z1266" s="80"/>
      <c r="AA1266" s="80"/>
      <c r="AB1266" s="80"/>
      <c r="AC1266" s="80"/>
      <c r="AD1266" s="80"/>
      <c r="AE1266" s="80"/>
      <c r="AF1266" s="80"/>
      <c r="AG1266" s="80"/>
      <c r="AH1266" s="80"/>
      <c r="AI1266" s="80"/>
    </row>
    <row r="1267" spans="1:35" x14ac:dyDescent="0.2">
      <c r="A1267" s="80"/>
      <c r="B1267" s="80"/>
      <c r="C1267" s="80"/>
      <c r="D1267" s="80"/>
      <c r="E1267" s="80"/>
      <c r="F1267" s="80"/>
      <c r="G1267" s="80"/>
      <c r="H1267" s="80"/>
      <c r="I1267" s="80"/>
      <c r="J1267" s="80"/>
      <c r="K1267" s="80"/>
      <c r="L1267" s="2"/>
      <c r="M1267" s="2"/>
      <c r="N1267" s="2"/>
      <c r="O1267" s="2"/>
      <c r="P1267" s="2"/>
      <c r="Q1267" s="2"/>
      <c r="R1267" s="80"/>
      <c r="S1267" s="80"/>
      <c r="T1267" s="80"/>
      <c r="U1267" s="80"/>
      <c r="V1267" s="80"/>
      <c r="W1267" s="80"/>
      <c r="X1267" s="80"/>
      <c r="Y1267" s="80"/>
      <c r="Z1267" s="80"/>
      <c r="AA1267" s="80"/>
      <c r="AB1267" s="80"/>
      <c r="AC1267" s="80"/>
      <c r="AD1267" s="80"/>
      <c r="AE1267" s="80"/>
      <c r="AF1267" s="80"/>
      <c r="AG1267" s="80"/>
      <c r="AH1267" s="80"/>
      <c r="AI1267" s="80"/>
    </row>
    <row r="1268" spans="1:35" x14ac:dyDescent="0.2">
      <c r="A1268" s="80"/>
      <c r="B1268" s="80"/>
      <c r="C1268" s="80"/>
      <c r="D1268" s="80"/>
      <c r="E1268" s="80"/>
      <c r="F1268" s="80"/>
      <c r="G1268" s="80"/>
      <c r="H1268" s="80"/>
      <c r="I1268" s="80"/>
      <c r="J1268" s="80"/>
      <c r="K1268" s="80"/>
      <c r="L1268" s="2"/>
      <c r="M1268" s="2"/>
      <c r="N1268" s="2"/>
      <c r="O1268" s="2"/>
      <c r="P1268" s="2"/>
      <c r="Q1268" s="2"/>
      <c r="R1268" s="80"/>
      <c r="S1268" s="80"/>
      <c r="T1268" s="80"/>
      <c r="U1268" s="80"/>
      <c r="V1268" s="80"/>
      <c r="W1268" s="80"/>
      <c r="X1268" s="80"/>
      <c r="Y1268" s="80"/>
      <c r="Z1268" s="80"/>
      <c r="AA1268" s="80"/>
      <c r="AB1268" s="80"/>
      <c r="AC1268" s="80"/>
      <c r="AD1268" s="80"/>
      <c r="AE1268" s="80"/>
      <c r="AF1268" s="80"/>
      <c r="AG1268" s="80"/>
      <c r="AH1268" s="80"/>
      <c r="AI1268" s="80"/>
    </row>
    <row r="1269" spans="1:35" x14ac:dyDescent="0.2">
      <c r="A1269" s="80"/>
      <c r="B1269" s="80"/>
      <c r="C1269" s="80"/>
      <c r="D1269" s="80"/>
      <c r="E1269" s="80"/>
      <c r="F1269" s="80"/>
      <c r="G1269" s="80"/>
      <c r="H1269" s="80"/>
      <c r="I1269" s="80"/>
      <c r="J1269" s="80"/>
      <c r="K1269" s="80"/>
      <c r="L1269" s="2"/>
      <c r="M1269" s="2"/>
      <c r="N1269" s="2"/>
      <c r="O1269" s="2"/>
      <c r="P1269" s="2"/>
      <c r="Q1269" s="2"/>
      <c r="R1269" s="80"/>
      <c r="S1269" s="80"/>
      <c r="T1269" s="80"/>
      <c r="U1269" s="80"/>
      <c r="V1269" s="80"/>
      <c r="W1269" s="80"/>
      <c r="X1269" s="80"/>
      <c r="Y1269" s="80"/>
      <c r="Z1269" s="80"/>
      <c r="AA1269" s="80"/>
      <c r="AB1269" s="80"/>
      <c r="AC1269" s="80"/>
      <c r="AD1269" s="80"/>
      <c r="AE1269" s="80"/>
      <c r="AF1269" s="80"/>
      <c r="AG1269" s="80"/>
      <c r="AH1269" s="80"/>
      <c r="AI1269" s="80"/>
    </row>
    <row r="1270" spans="1:35" x14ac:dyDescent="0.2">
      <c r="A1270" s="80"/>
      <c r="B1270" s="80"/>
      <c r="C1270" s="80"/>
      <c r="D1270" s="80"/>
      <c r="E1270" s="80"/>
      <c r="F1270" s="80"/>
      <c r="G1270" s="80"/>
      <c r="H1270" s="80"/>
      <c r="I1270" s="80"/>
      <c r="J1270" s="80"/>
      <c r="K1270" s="80"/>
      <c r="L1270" s="2"/>
      <c r="M1270" s="2"/>
      <c r="N1270" s="2"/>
      <c r="O1270" s="2"/>
      <c r="P1270" s="2"/>
      <c r="Q1270" s="2"/>
      <c r="R1270" s="80"/>
      <c r="S1270" s="80"/>
      <c r="T1270" s="80"/>
      <c r="U1270" s="80"/>
      <c r="V1270" s="80"/>
      <c r="W1270" s="80"/>
      <c r="X1270" s="80"/>
      <c r="Y1270" s="80"/>
      <c r="Z1270" s="80"/>
      <c r="AA1270" s="80"/>
      <c r="AB1270" s="80"/>
      <c r="AC1270" s="80"/>
      <c r="AD1270" s="80"/>
      <c r="AE1270" s="80"/>
      <c r="AF1270" s="80"/>
      <c r="AG1270" s="80"/>
      <c r="AH1270" s="80"/>
      <c r="AI1270" s="80"/>
    </row>
    <row r="1271" spans="1:35" x14ac:dyDescent="0.2">
      <c r="A1271" s="80"/>
      <c r="B1271" s="80"/>
      <c r="C1271" s="80"/>
      <c r="D1271" s="80"/>
      <c r="E1271" s="80"/>
      <c r="F1271" s="80"/>
      <c r="G1271" s="80"/>
      <c r="H1271" s="80"/>
      <c r="I1271" s="80"/>
      <c r="J1271" s="80"/>
      <c r="K1271" s="80"/>
      <c r="L1271" s="2"/>
      <c r="M1271" s="2"/>
      <c r="N1271" s="2"/>
      <c r="O1271" s="2"/>
      <c r="P1271" s="2"/>
      <c r="Q1271" s="2"/>
      <c r="R1271" s="80"/>
      <c r="S1271" s="80"/>
      <c r="T1271" s="80"/>
      <c r="U1271" s="80"/>
      <c r="V1271" s="80"/>
      <c r="W1271" s="80"/>
      <c r="X1271" s="80"/>
      <c r="Y1271" s="80"/>
      <c r="Z1271" s="80"/>
      <c r="AA1271" s="80"/>
      <c r="AB1271" s="80"/>
      <c r="AC1271" s="80"/>
      <c r="AD1271" s="80"/>
      <c r="AE1271" s="80"/>
      <c r="AF1271" s="80"/>
      <c r="AG1271" s="80"/>
      <c r="AH1271" s="80"/>
      <c r="AI1271" s="80"/>
    </row>
    <row r="1272" spans="1:35" x14ac:dyDescent="0.2">
      <c r="A1272" s="80"/>
      <c r="B1272" s="80"/>
      <c r="C1272" s="80"/>
      <c r="D1272" s="80"/>
      <c r="E1272" s="80"/>
      <c r="F1272" s="80"/>
      <c r="G1272" s="80"/>
      <c r="H1272" s="80"/>
      <c r="I1272" s="80"/>
      <c r="J1272" s="80"/>
      <c r="K1272" s="80"/>
      <c r="L1272" s="2"/>
      <c r="M1272" s="2"/>
      <c r="N1272" s="2"/>
      <c r="O1272" s="2"/>
      <c r="P1272" s="2"/>
      <c r="Q1272" s="2"/>
      <c r="R1272" s="80"/>
      <c r="S1272" s="80"/>
      <c r="T1272" s="80"/>
      <c r="U1272" s="80"/>
      <c r="V1272" s="80"/>
      <c r="W1272" s="80"/>
      <c r="X1272" s="80"/>
      <c r="Y1272" s="80"/>
      <c r="Z1272" s="80"/>
      <c r="AA1272" s="80"/>
      <c r="AB1272" s="80"/>
      <c r="AC1272" s="80"/>
      <c r="AD1272" s="80"/>
      <c r="AE1272" s="80"/>
      <c r="AF1272" s="80"/>
      <c r="AG1272" s="80"/>
      <c r="AH1272" s="80"/>
      <c r="AI1272" s="80"/>
    </row>
    <row r="1273" spans="1:35" x14ac:dyDescent="0.2">
      <c r="A1273" s="80"/>
      <c r="B1273" s="80"/>
      <c r="C1273" s="80"/>
      <c r="D1273" s="80"/>
      <c r="E1273" s="80"/>
      <c r="F1273" s="80"/>
      <c r="G1273" s="80"/>
      <c r="H1273" s="80"/>
      <c r="I1273" s="80"/>
      <c r="J1273" s="80"/>
      <c r="K1273" s="80"/>
      <c r="L1273" s="2"/>
      <c r="M1273" s="2"/>
      <c r="N1273" s="2"/>
      <c r="O1273" s="2"/>
      <c r="P1273" s="2"/>
      <c r="Q1273" s="2"/>
      <c r="R1273" s="80"/>
      <c r="S1273" s="80"/>
      <c r="T1273" s="80"/>
      <c r="U1273" s="80"/>
      <c r="V1273" s="80"/>
      <c r="W1273" s="80"/>
      <c r="X1273" s="80"/>
      <c r="Y1273" s="80"/>
      <c r="Z1273" s="80"/>
      <c r="AA1273" s="80"/>
      <c r="AB1273" s="80"/>
      <c r="AC1273" s="80"/>
      <c r="AD1273" s="80"/>
      <c r="AE1273" s="80"/>
      <c r="AF1273" s="80"/>
      <c r="AG1273" s="80"/>
      <c r="AH1273" s="80"/>
      <c r="AI1273" s="80"/>
    </row>
    <row r="1274" spans="1:35" x14ac:dyDescent="0.2">
      <c r="A1274" s="80"/>
      <c r="B1274" s="80"/>
      <c r="C1274" s="80"/>
      <c r="D1274" s="80"/>
      <c r="E1274" s="80"/>
      <c r="F1274" s="80"/>
      <c r="G1274" s="80"/>
      <c r="H1274" s="80"/>
      <c r="I1274" s="80"/>
      <c r="J1274" s="80"/>
      <c r="K1274" s="80"/>
      <c r="L1274" s="2"/>
      <c r="M1274" s="2"/>
      <c r="N1274" s="2"/>
      <c r="O1274" s="2"/>
      <c r="P1274" s="2"/>
      <c r="Q1274" s="2"/>
      <c r="R1274" s="80"/>
      <c r="S1274" s="80"/>
      <c r="T1274" s="80"/>
      <c r="U1274" s="80"/>
      <c r="V1274" s="80"/>
      <c r="W1274" s="80"/>
      <c r="X1274" s="80"/>
      <c r="Y1274" s="80"/>
      <c r="Z1274" s="80"/>
      <c r="AA1274" s="80"/>
      <c r="AB1274" s="80"/>
      <c r="AC1274" s="80"/>
      <c r="AD1274" s="80"/>
      <c r="AE1274" s="80"/>
      <c r="AF1274" s="80"/>
      <c r="AG1274" s="80"/>
      <c r="AH1274" s="80"/>
      <c r="AI1274" s="80"/>
    </row>
    <row r="1275" spans="1:35" x14ac:dyDescent="0.2">
      <c r="A1275" s="80"/>
      <c r="B1275" s="80"/>
      <c r="C1275" s="80"/>
      <c r="D1275" s="80"/>
      <c r="E1275" s="80"/>
      <c r="F1275" s="80"/>
      <c r="G1275" s="80"/>
      <c r="H1275" s="80"/>
      <c r="I1275" s="80"/>
      <c r="J1275" s="80"/>
      <c r="K1275" s="80"/>
      <c r="L1275" s="2"/>
      <c r="M1275" s="2"/>
      <c r="N1275" s="2"/>
      <c r="O1275" s="2"/>
      <c r="P1275" s="2"/>
      <c r="Q1275" s="2"/>
      <c r="R1275" s="80"/>
      <c r="S1275" s="80"/>
      <c r="T1275" s="80"/>
      <c r="U1275" s="80"/>
      <c r="V1275" s="80"/>
      <c r="W1275" s="80"/>
      <c r="X1275" s="80"/>
      <c r="Y1275" s="80"/>
      <c r="Z1275" s="80"/>
      <c r="AA1275" s="80"/>
      <c r="AB1275" s="80"/>
      <c r="AC1275" s="80"/>
      <c r="AD1275" s="80"/>
      <c r="AE1275" s="80"/>
      <c r="AF1275" s="80"/>
      <c r="AG1275" s="80"/>
      <c r="AH1275" s="80"/>
      <c r="AI1275" s="80"/>
    </row>
    <row r="1276" spans="1:35" x14ac:dyDescent="0.2">
      <c r="A1276" s="80"/>
      <c r="B1276" s="80"/>
      <c r="C1276" s="80"/>
      <c r="D1276" s="80"/>
      <c r="E1276" s="80"/>
      <c r="F1276" s="80"/>
      <c r="G1276" s="80"/>
      <c r="H1276" s="80"/>
      <c r="I1276" s="80"/>
      <c r="J1276" s="80"/>
      <c r="K1276" s="80"/>
      <c r="L1276" s="2"/>
      <c r="M1276" s="2"/>
      <c r="N1276" s="2"/>
      <c r="O1276" s="2"/>
      <c r="P1276" s="2"/>
      <c r="Q1276" s="2"/>
      <c r="R1276" s="80"/>
      <c r="S1276" s="80"/>
      <c r="T1276" s="80"/>
      <c r="U1276" s="80"/>
      <c r="V1276" s="80"/>
      <c r="W1276" s="80"/>
      <c r="X1276" s="80"/>
      <c r="Y1276" s="80"/>
      <c r="Z1276" s="80"/>
      <c r="AA1276" s="80"/>
      <c r="AB1276" s="80"/>
      <c r="AC1276" s="80"/>
      <c r="AD1276" s="80"/>
      <c r="AE1276" s="80"/>
      <c r="AF1276" s="80"/>
      <c r="AG1276" s="80"/>
      <c r="AH1276" s="80"/>
      <c r="AI1276" s="80"/>
    </row>
    <row r="1277" spans="1:35" x14ac:dyDescent="0.2">
      <c r="A1277" s="80"/>
      <c r="B1277" s="80"/>
      <c r="C1277" s="80"/>
      <c r="D1277" s="80"/>
      <c r="E1277" s="80"/>
      <c r="F1277" s="80"/>
      <c r="G1277" s="80"/>
      <c r="H1277" s="80"/>
      <c r="I1277" s="80"/>
      <c r="J1277" s="80"/>
      <c r="K1277" s="80"/>
      <c r="L1277" s="2"/>
      <c r="M1277" s="2"/>
      <c r="N1277" s="2"/>
      <c r="O1277" s="2"/>
      <c r="P1277" s="2"/>
      <c r="Q1277" s="2"/>
      <c r="R1277" s="80"/>
      <c r="S1277" s="80"/>
      <c r="T1277" s="80"/>
      <c r="U1277" s="80"/>
      <c r="V1277" s="80"/>
      <c r="W1277" s="80"/>
      <c r="X1277" s="80"/>
      <c r="Y1277" s="80"/>
      <c r="Z1277" s="80"/>
      <c r="AA1277" s="80"/>
      <c r="AB1277" s="80"/>
      <c r="AC1277" s="80"/>
      <c r="AD1277" s="80"/>
      <c r="AE1277" s="80"/>
      <c r="AF1277" s="80"/>
      <c r="AG1277" s="80"/>
      <c r="AH1277" s="80"/>
      <c r="AI1277" s="80"/>
    </row>
    <row r="1278" spans="1:35" x14ac:dyDescent="0.2">
      <c r="A1278" s="80"/>
      <c r="B1278" s="80"/>
      <c r="C1278" s="80"/>
      <c r="D1278" s="80"/>
      <c r="E1278" s="80"/>
      <c r="F1278" s="80"/>
      <c r="G1278" s="80"/>
      <c r="H1278" s="80"/>
      <c r="I1278" s="80"/>
      <c r="J1278" s="80"/>
      <c r="K1278" s="80"/>
      <c r="L1278" s="2"/>
      <c r="M1278" s="2"/>
      <c r="N1278" s="2"/>
      <c r="O1278" s="2"/>
      <c r="P1278" s="2"/>
      <c r="Q1278" s="2"/>
      <c r="R1278" s="80"/>
      <c r="S1278" s="80"/>
      <c r="T1278" s="80"/>
      <c r="U1278" s="80"/>
      <c r="V1278" s="80"/>
      <c r="W1278" s="80"/>
      <c r="X1278" s="80"/>
      <c r="Y1278" s="80"/>
      <c r="Z1278" s="80"/>
      <c r="AA1278" s="80"/>
      <c r="AB1278" s="80"/>
      <c r="AC1278" s="80"/>
      <c r="AD1278" s="80"/>
      <c r="AE1278" s="80"/>
      <c r="AF1278" s="80"/>
      <c r="AG1278" s="80"/>
      <c r="AH1278" s="80"/>
      <c r="AI1278" s="80"/>
    </row>
    <row r="1279" spans="1:35" x14ac:dyDescent="0.2">
      <c r="A1279" s="80"/>
      <c r="B1279" s="80"/>
      <c r="C1279" s="80"/>
      <c r="D1279" s="80"/>
      <c r="E1279" s="80"/>
      <c r="F1279" s="80"/>
      <c r="G1279" s="80"/>
      <c r="H1279" s="80"/>
      <c r="I1279" s="80"/>
      <c r="J1279" s="80"/>
      <c r="K1279" s="80"/>
      <c r="L1279" s="2"/>
      <c r="M1279" s="2"/>
      <c r="N1279" s="2"/>
      <c r="O1279" s="2"/>
      <c r="P1279" s="2"/>
      <c r="Q1279" s="2"/>
      <c r="R1279" s="80"/>
      <c r="S1279" s="80"/>
      <c r="T1279" s="80"/>
      <c r="U1279" s="80"/>
      <c r="V1279" s="80"/>
      <c r="W1279" s="80"/>
      <c r="X1279" s="80"/>
      <c r="Y1279" s="80"/>
      <c r="Z1279" s="80"/>
      <c r="AA1279" s="80"/>
      <c r="AB1279" s="80"/>
      <c r="AC1279" s="80"/>
      <c r="AD1279" s="80"/>
      <c r="AE1279" s="80"/>
      <c r="AF1279" s="80"/>
      <c r="AG1279" s="80"/>
      <c r="AH1279" s="80"/>
      <c r="AI1279" s="80"/>
    </row>
    <row r="1280" spans="1:35" x14ac:dyDescent="0.2">
      <c r="A1280" s="80"/>
      <c r="B1280" s="80"/>
      <c r="C1280" s="80"/>
      <c r="D1280" s="80"/>
      <c r="E1280" s="80"/>
      <c r="F1280" s="80"/>
      <c r="G1280" s="80"/>
      <c r="H1280" s="80"/>
      <c r="I1280" s="80"/>
      <c r="J1280" s="80"/>
      <c r="K1280" s="80"/>
      <c r="L1280" s="2"/>
      <c r="M1280" s="2"/>
      <c r="N1280" s="2"/>
      <c r="O1280" s="2"/>
      <c r="P1280" s="2"/>
      <c r="Q1280" s="2"/>
      <c r="R1280" s="80"/>
      <c r="S1280" s="80"/>
      <c r="T1280" s="80"/>
      <c r="U1280" s="80"/>
      <c r="V1280" s="80"/>
      <c r="W1280" s="80"/>
      <c r="X1280" s="80"/>
      <c r="Y1280" s="80"/>
      <c r="Z1280" s="80"/>
      <c r="AA1280" s="80"/>
      <c r="AB1280" s="80"/>
      <c r="AC1280" s="80"/>
      <c r="AD1280" s="80"/>
      <c r="AE1280" s="80"/>
      <c r="AF1280" s="80"/>
      <c r="AG1280" s="80"/>
      <c r="AH1280" s="80"/>
      <c r="AI1280" s="80"/>
    </row>
    <row r="1281" spans="1:35" x14ac:dyDescent="0.2">
      <c r="A1281" s="80"/>
      <c r="B1281" s="80"/>
      <c r="C1281" s="80"/>
      <c r="D1281" s="80"/>
      <c r="E1281" s="80"/>
      <c r="F1281" s="80"/>
      <c r="G1281" s="80"/>
      <c r="H1281" s="80"/>
      <c r="I1281" s="80"/>
      <c r="J1281" s="80"/>
      <c r="K1281" s="80"/>
      <c r="L1281" s="2"/>
      <c r="M1281" s="2"/>
      <c r="N1281" s="2"/>
      <c r="O1281" s="2"/>
      <c r="P1281" s="2"/>
      <c r="Q1281" s="2"/>
      <c r="R1281" s="80"/>
      <c r="S1281" s="80"/>
      <c r="T1281" s="80"/>
      <c r="U1281" s="80"/>
      <c r="V1281" s="80"/>
      <c r="W1281" s="80"/>
      <c r="X1281" s="80"/>
      <c r="Y1281" s="80"/>
      <c r="Z1281" s="80"/>
      <c r="AA1281" s="80"/>
      <c r="AB1281" s="80"/>
      <c r="AC1281" s="80"/>
      <c r="AD1281" s="80"/>
      <c r="AE1281" s="80"/>
      <c r="AF1281" s="80"/>
      <c r="AG1281" s="80"/>
      <c r="AH1281" s="80"/>
      <c r="AI1281" s="80"/>
    </row>
    <row r="1282" spans="1:35" x14ac:dyDescent="0.2">
      <c r="A1282" s="80"/>
      <c r="B1282" s="80"/>
      <c r="C1282" s="80"/>
      <c r="D1282" s="80"/>
      <c r="E1282" s="80"/>
      <c r="F1282" s="80"/>
      <c r="G1282" s="80"/>
      <c r="H1282" s="80"/>
      <c r="I1282" s="80"/>
      <c r="J1282" s="80"/>
      <c r="K1282" s="80"/>
      <c r="L1282" s="2"/>
      <c r="M1282" s="2"/>
      <c r="N1282" s="2"/>
      <c r="O1282" s="2"/>
      <c r="P1282" s="2"/>
      <c r="Q1282" s="2"/>
      <c r="R1282" s="80"/>
      <c r="S1282" s="80"/>
      <c r="T1282" s="80"/>
      <c r="U1282" s="80"/>
      <c r="V1282" s="80"/>
      <c r="W1282" s="80"/>
      <c r="X1282" s="80"/>
      <c r="Y1282" s="80"/>
      <c r="Z1282" s="80"/>
      <c r="AA1282" s="80"/>
      <c r="AB1282" s="80"/>
      <c r="AC1282" s="80"/>
      <c r="AD1282" s="80"/>
      <c r="AE1282" s="80"/>
      <c r="AF1282" s="80"/>
      <c r="AG1282" s="80"/>
      <c r="AH1282" s="80"/>
      <c r="AI1282" s="80"/>
    </row>
    <row r="1283" spans="1:35" x14ac:dyDescent="0.2">
      <c r="A1283" s="80"/>
      <c r="B1283" s="80"/>
      <c r="C1283" s="80"/>
      <c r="D1283" s="80"/>
      <c r="E1283" s="80"/>
      <c r="F1283" s="80"/>
      <c r="G1283" s="80"/>
      <c r="H1283" s="80"/>
      <c r="I1283" s="80"/>
      <c r="J1283" s="80"/>
      <c r="K1283" s="80"/>
      <c r="L1283" s="2"/>
      <c r="M1283" s="2"/>
      <c r="N1283" s="2"/>
      <c r="O1283" s="2"/>
      <c r="P1283" s="2"/>
      <c r="Q1283" s="2"/>
      <c r="R1283" s="80"/>
      <c r="S1283" s="80"/>
      <c r="T1283" s="80"/>
      <c r="U1283" s="80"/>
      <c r="V1283" s="80"/>
      <c r="W1283" s="80"/>
      <c r="X1283" s="80"/>
      <c r="Y1283" s="80"/>
      <c r="Z1283" s="80"/>
      <c r="AA1283" s="80"/>
      <c r="AB1283" s="80"/>
      <c r="AC1283" s="80"/>
      <c r="AD1283" s="80"/>
      <c r="AE1283" s="80"/>
      <c r="AF1283" s="80"/>
      <c r="AG1283" s="80"/>
      <c r="AH1283" s="80"/>
      <c r="AI1283" s="80"/>
    </row>
    <row r="1284" spans="1:35" x14ac:dyDescent="0.2">
      <c r="A1284" s="80"/>
      <c r="B1284" s="80"/>
      <c r="C1284" s="80"/>
      <c r="D1284" s="80"/>
      <c r="E1284" s="80"/>
      <c r="F1284" s="80"/>
      <c r="G1284" s="80"/>
      <c r="H1284" s="80"/>
      <c r="I1284" s="80"/>
      <c r="J1284" s="80"/>
      <c r="K1284" s="80"/>
      <c r="L1284" s="2"/>
      <c r="M1284" s="2"/>
      <c r="N1284" s="2"/>
      <c r="O1284" s="2"/>
      <c r="P1284" s="2"/>
      <c r="Q1284" s="2"/>
      <c r="R1284" s="80"/>
      <c r="S1284" s="80"/>
      <c r="T1284" s="80"/>
      <c r="U1284" s="80"/>
      <c r="V1284" s="80"/>
      <c r="W1284" s="80"/>
      <c r="X1284" s="80"/>
      <c r="Y1284" s="80"/>
      <c r="Z1284" s="80"/>
      <c r="AA1284" s="80"/>
      <c r="AB1284" s="80"/>
      <c r="AC1284" s="80"/>
      <c r="AD1284" s="80"/>
      <c r="AE1284" s="80"/>
      <c r="AF1284" s="80"/>
      <c r="AG1284" s="80"/>
      <c r="AH1284" s="80"/>
      <c r="AI1284" s="80"/>
    </row>
    <row r="1285" spans="1:35" x14ac:dyDescent="0.2">
      <c r="A1285" s="80"/>
      <c r="B1285" s="80"/>
      <c r="C1285" s="80"/>
      <c r="D1285" s="80"/>
      <c r="E1285" s="80"/>
      <c r="F1285" s="80"/>
      <c r="G1285" s="80"/>
      <c r="H1285" s="80"/>
      <c r="I1285" s="80"/>
      <c r="J1285" s="80"/>
      <c r="K1285" s="80"/>
      <c r="L1285" s="2"/>
      <c r="M1285" s="2"/>
      <c r="N1285" s="2"/>
      <c r="O1285" s="2"/>
      <c r="P1285" s="2"/>
      <c r="Q1285" s="2"/>
      <c r="R1285" s="80"/>
      <c r="S1285" s="80"/>
      <c r="T1285" s="80"/>
      <c r="U1285" s="80"/>
      <c r="V1285" s="80"/>
      <c r="W1285" s="80"/>
      <c r="X1285" s="80"/>
      <c r="Y1285" s="80"/>
      <c r="Z1285" s="80"/>
      <c r="AA1285" s="80"/>
      <c r="AB1285" s="80"/>
      <c r="AC1285" s="80"/>
      <c r="AD1285" s="80"/>
      <c r="AE1285" s="80"/>
      <c r="AF1285" s="80"/>
      <c r="AG1285" s="80"/>
      <c r="AH1285" s="80"/>
      <c r="AI1285" s="80"/>
    </row>
    <row r="1286" spans="1:35" x14ac:dyDescent="0.2">
      <c r="A1286" s="80"/>
      <c r="B1286" s="80"/>
      <c r="C1286" s="80"/>
      <c r="D1286" s="80"/>
      <c r="E1286" s="80"/>
      <c r="F1286" s="80"/>
      <c r="G1286" s="80"/>
      <c r="H1286" s="80"/>
      <c r="I1286" s="80"/>
      <c r="J1286" s="80"/>
      <c r="K1286" s="80"/>
      <c r="L1286" s="2"/>
      <c r="M1286" s="2"/>
      <c r="N1286" s="2"/>
      <c r="O1286" s="2"/>
      <c r="P1286" s="2"/>
      <c r="Q1286" s="2"/>
      <c r="R1286" s="80"/>
      <c r="S1286" s="80"/>
      <c r="T1286" s="80"/>
      <c r="U1286" s="80"/>
      <c r="V1286" s="80"/>
      <c r="W1286" s="80"/>
      <c r="X1286" s="80"/>
      <c r="Y1286" s="80"/>
      <c r="Z1286" s="80"/>
      <c r="AA1286" s="80"/>
      <c r="AB1286" s="80"/>
      <c r="AC1286" s="80"/>
      <c r="AD1286" s="80"/>
      <c r="AE1286" s="80"/>
      <c r="AF1286" s="80"/>
      <c r="AG1286" s="80"/>
      <c r="AH1286" s="80"/>
      <c r="AI1286" s="80"/>
    </row>
    <row r="1287" spans="1:35" x14ac:dyDescent="0.2">
      <c r="A1287" s="80"/>
      <c r="B1287" s="80"/>
      <c r="C1287" s="80"/>
      <c r="D1287" s="80"/>
      <c r="E1287" s="80"/>
      <c r="F1287" s="80"/>
      <c r="G1287" s="80"/>
      <c r="H1287" s="80"/>
      <c r="I1287" s="80"/>
      <c r="J1287" s="80"/>
      <c r="K1287" s="80"/>
      <c r="L1287" s="2"/>
      <c r="M1287" s="2"/>
      <c r="N1287" s="2"/>
      <c r="O1287" s="2"/>
      <c r="P1287" s="2"/>
      <c r="Q1287" s="2"/>
      <c r="R1287" s="80"/>
      <c r="S1287" s="80"/>
      <c r="T1287" s="80"/>
      <c r="U1287" s="80"/>
      <c r="V1287" s="80"/>
      <c r="W1287" s="80"/>
      <c r="X1287" s="80"/>
      <c r="Y1287" s="80"/>
      <c r="Z1287" s="80"/>
      <c r="AA1287" s="80"/>
      <c r="AB1287" s="80"/>
      <c r="AC1287" s="80"/>
      <c r="AD1287" s="80"/>
      <c r="AE1287" s="80"/>
      <c r="AF1287" s="80"/>
      <c r="AG1287" s="80"/>
      <c r="AH1287" s="80"/>
      <c r="AI1287" s="80"/>
    </row>
    <row r="1288" spans="1:35" x14ac:dyDescent="0.2">
      <c r="A1288" s="80"/>
      <c r="B1288" s="80"/>
      <c r="C1288" s="80"/>
      <c r="D1288" s="80"/>
      <c r="E1288" s="80"/>
      <c r="F1288" s="80"/>
      <c r="G1288" s="80"/>
      <c r="H1288" s="80"/>
      <c r="I1288" s="80"/>
      <c r="J1288" s="80"/>
      <c r="K1288" s="80"/>
      <c r="L1288" s="2"/>
      <c r="M1288" s="2"/>
      <c r="N1288" s="2"/>
      <c r="O1288" s="2"/>
      <c r="P1288" s="2"/>
      <c r="Q1288" s="2"/>
      <c r="R1288" s="80"/>
      <c r="S1288" s="80"/>
      <c r="T1288" s="80"/>
      <c r="U1288" s="80"/>
      <c r="V1288" s="80"/>
      <c r="W1288" s="80"/>
      <c r="X1288" s="80"/>
      <c r="Y1288" s="80"/>
      <c r="Z1288" s="80"/>
      <c r="AA1288" s="80"/>
      <c r="AB1288" s="80"/>
      <c r="AC1288" s="80"/>
      <c r="AD1288" s="80"/>
      <c r="AE1288" s="80"/>
      <c r="AF1288" s="80"/>
      <c r="AG1288" s="80"/>
      <c r="AH1288" s="80"/>
      <c r="AI1288" s="80"/>
    </row>
    <row r="1289" spans="1:35" x14ac:dyDescent="0.2">
      <c r="A1289" s="80"/>
      <c r="B1289" s="80"/>
      <c r="C1289" s="80"/>
      <c r="D1289" s="80"/>
      <c r="E1289" s="80"/>
      <c r="F1289" s="80"/>
      <c r="G1289" s="80"/>
      <c r="H1289" s="80"/>
      <c r="I1289" s="80"/>
      <c r="J1289" s="80"/>
      <c r="K1289" s="80"/>
      <c r="L1289" s="2"/>
      <c r="M1289" s="2"/>
      <c r="N1289" s="2"/>
      <c r="O1289" s="2"/>
      <c r="P1289" s="2"/>
      <c r="Q1289" s="2"/>
      <c r="R1289" s="80"/>
      <c r="S1289" s="80"/>
      <c r="T1289" s="80"/>
      <c r="U1289" s="80"/>
      <c r="V1289" s="80"/>
      <c r="W1289" s="80"/>
      <c r="X1289" s="80"/>
      <c r="Y1289" s="80"/>
      <c r="Z1289" s="80"/>
      <c r="AA1289" s="80"/>
      <c r="AB1289" s="80"/>
      <c r="AC1289" s="80"/>
      <c r="AD1289" s="80"/>
      <c r="AE1289" s="80"/>
      <c r="AF1289" s="80"/>
      <c r="AG1289" s="80"/>
      <c r="AH1289" s="80"/>
      <c r="AI1289" s="80"/>
    </row>
    <row r="1290" spans="1:35" x14ac:dyDescent="0.2">
      <c r="A1290" s="80"/>
      <c r="B1290" s="80"/>
      <c r="C1290" s="80"/>
      <c r="D1290" s="80"/>
      <c r="E1290" s="80"/>
      <c r="F1290" s="80"/>
      <c r="G1290" s="80"/>
      <c r="H1290" s="80"/>
      <c r="I1290" s="80"/>
      <c r="J1290" s="80"/>
      <c r="K1290" s="80"/>
      <c r="L1290" s="2"/>
      <c r="M1290" s="2"/>
      <c r="N1290" s="2"/>
      <c r="O1290" s="2"/>
      <c r="P1290" s="2"/>
      <c r="Q1290" s="2"/>
      <c r="R1290" s="80"/>
      <c r="S1290" s="80"/>
      <c r="T1290" s="80"/>
      <c r="U1290" s="80"/>
      <c r="V1290" s="80"/>
      <c r="W1290" s="80"/>
      <c r="X1290" s="80"/>
      <c r="Y1290" s="80"/>
      <c r="Z1290" s="80"/>
      <c r="AA1290" s="80"/>
      <c r="AB1290" s="80"/>
      <c r="AC1290" s="80"/>
      <c r="AD1290" s="80"/>
      <c r="AE1290" s="80"/>
      <c r="AF1290" s="80"/>
      <c r="AG1290" s="80"/>
      <c r="AH1290" s="80"/>
      <c r="AI1290" s="80"/>
    </row>
    <row r="1291" spans="1:35" x14ac:dyDescent="0.2">
      <c r="A1291" s="80"/>
      <c r="B1291" s="80"/>
      <c r="C1291" s="80"/>
      <c r="D1291" s="80"/>
      <c r="E1291" s="80"/>
      <c r="F1291" s="80"/>
      <c r="G1291" s="80"/>
      <c r="H1291" s="80"/>
      <c r="I1291" s="80"/>
      <c r="J1291" s="80"/>
      <c r="K1291" s="80"/>
      <c r="L1291" s="2"/>
      <c r="M1291" s="2"/>
      <c r="N1291" s="2"/>
      <c r="O1291" s="2"/>
      <c r="P1291" s="2"/>
      <c r="Q1291" s="2"/>
      <c r="R1291" s="80"/>
      <c r="S1291" s="80"/>
      <c r="T1291" s="80"/>
      <c r="U1291" s="80"/>
      <c r="V1291" s="80"/>
      <c r="W1291" s="80"/>
      <c r="X1291" s="80"/>
      <c r="Y1291" s="80"/>
      <c r="Z1291" s="80"/>
      <c r="AA1291" s="80"/>
      <c r="AB1291" s="80"/>
      <c r="AC1291" s="80"/>
      <c r="AD1291" s="80"/>
      <c r="AE1291" s="80"/>
      <c r="AF1291" s="80"/>
      <c r="AG1291" s="80"/>
      <c r="AH1291" s="80"/>
      <c r="AI1291" s="80"/>
    </row>
    <row r="1292" spans="1:35" x14ac:dyDescent="0.2">
      <c r="A1292" s="80"/>
      <c r="B1292" s="80"/>
      <c r="C1292" s="80"/>
      <c r="D1292" s="80"/>
      <c r="E1292" s="80"/>
      <c r="F1292" s="80"/>
      <c r="G1292" s="80"/>
      <c r="H1292" s="80"/>
      <c r="I1292" s="80"/>
      <c r="J1292" s="80"/>
      <c r="K1292" s="80"/>
      <c r="L1292" s="2"/>
      <c r="M1292" s="2"/>
      <c r="N1292" s="2"/>
      <c r="O1292" s="2"/>
      <c r="P1292" s="2"/>
      <c r="Q1292" s="2"/>
      <c r="R1292" s="80"/>
      <c r="S1292" s="80"/>
      <c r="T1292" s="80"/>
      <c r="U1292" s="80"/>
      <c r="V1292" s="80"/>
      <c r="W1292" s="80"/>
      <c r="X1292" s="80"/>
      <c r="Y1292" s="80"/>
      <c r="Z1292" s="80"/>
      <c r="AA1292" s="80"/>
      <c r="AB1292" s="80"/>
      <c r="AC1292" s="80"/>
      <c r="AD1292" s="80"/>
      <c r="AE1292" s="80"/>
      <c r="AF1292" s="80"/>
      <c r="AG1292" s="80"/>
      <c r="AH1292" s="80"/>
      <c r="AI1292" s="80"/>
    </row>
    <row r="1293" spans="1:35" x14ac:dyDescent="0.2">
      <c r="A1293" s="80"/>
      <c r="B1293" s="80"/>
      <c r="C1293" s="80"/>
      <c r="D1293" s="80"/>
      <c r="E1293" s="80"/>
      <c r="F1293" s="80"/>
      <c r="G1293" s="80"/>
      <c r="H1293" s="80"/>
      <c r="I1293" s="80"/>
      <c r="J1293" s="80"/>
      <c r="K1293" s="80"/>
      <c r="L1293" s="2"/>
      <c r="M1293" s="2"/>
      <c r="N1293" s="2"/>
      <c r="O1293" s="2"/>
      <c r="P1293" s="2"/>
      <c r="Q1293" s="2"/>
      <c r="R1293" s="80"/>
      <c r="S1293" s="80"/>
      <c r="T1293" s="80"/>
      <c r="U1293" s="80"/>
      <c r="V1293" s="80"/>
      <c r="W1293" s="80"/>
      <c r="X1293" s="80"/>
      <c r="Y1293" s="80"/>
      <c r="Z1293" s="80"/>
      <c r="AA1293" s="80"/>
      <c r="AB1293" s="80"/>
      <c r="AC1293" s="80"/>
      <c r="AD1293" s="80"/>
      <c r="AE1293" s="80"/>
      <c r="AF1293" s="80"/>
      <c r="AG1293" s="80"/>
      <c r="AH1293" s="80"/>
      <c r="AI1293" s="80"/>
    </row>
    <row r="1294" spans="1:35" x14ac:dyDescent="0.2">
      <c r="A1294" s="80"/>
      <c r="B1294" s="80"/>
      <c r="C1294" s="80"/>
      <c r="D1294" s="80"/>
      <c r="E1294" s="80"/>
      <c r="F1294" s="80"/>
      <c r="G1294" s="80"/>
      <c r="H1294" s="80"/>
      <c r="I1294" s="80"/>
      <c r="J1294" s="80"/>
      <c r="K1294" s="80"/>
      <c r="L1294" s="2"/>
      <c r="M1294" s="2"/>
      <c r="N1294" s="2"/>
      <c r="O1294" s="2"/>
      <c r="P1294" s="2"/>
      <c r="Q1294" s="2"/>
      <c r="R1294" s="80"/>
      <c r="S1294" s="80"/>
      <c r="T1294" s="80"/>
      <c r="U1294" s="80"/>
      <c r="V1294" s="80"/>
      <c r="W1294" s="80"/>
      <c r="X1294" s="80"/>
      <c r="Y1294" s="80"/>
      <c r="Z1294" s="80"/>
      <c r="AA1294" s="80"/>
      <c r="AB1294" s="80"/>
      <c r="AC1294" s="80"/>
      <c r="AD1294" s="80"/>
      <c r="AE1294" s="80"/>
      <c r="AF1294" s="80"/>
      <c r="AG1294" s="80"/>
      <c r="AH1294" s="80"/>
      <c r="AI1294" s="80"/>
    </row>
    <row r="1295" spans="1:35" x14ac:dyDescent="0.2">
      <c r="A1295" s="80"/>
      <c r="B1295" s="80"/>
      <c r="C1295" s="80"/>
      <c r="D1295" s="80"/>
      <c r="E1295" s="80"/>
      <c r="F1295" s="80"/>
      <c r="G1295" s="80"/>
      <c r="H1295" s="80"/>
      <c r="I1295" s="80"/>
      <c r="J1295" s="80"/>
      <c r="K1295" s="80"/>
      <c r="L1295" s="2"/>
      <c r="M1295" s="2"/>
      <c r="N1295" s="2"/>
      <c r="O1295" s="2"/>
      <c r="P1295" s="2"/>
      <c r="Q1295" s="2"/>
      <c r="R1295" s="80"/>
      <c r="S1295" s="80"/>
      <c r="T1295" s="80"/>
      <c r="U1295" s="80"/>
      <c r="V1295" s="80"/>
      <c r="W1295" s="80"/>
      <c r="X1295" s="80"/>
      <c r="Y1295" s="80"/>
      <c r="Z1295" s="80"/>
      <c r="AA1295" s="80"/>
      <c r="AB1295" s="80"/>
      <c r="AC1295" s="80"/>
      <c r="AD1295" s="80"/>
      <c r="AE1295" s="80"/>
      <c r="AF1295" s="80"/>
      <c r="AG1295" s="80"/>
      <c r="AH1295" s="80"/>
      <c r="AI1295" s="80"/>
    </row>
    <row r="1296" spans="1:35" x14ac:dyDescent="0.2">
      <c r="A1296" s="80"/>
      <c r="B1296" s="80"/>
      <c r="C1296" s="80"/>
      <c r="D1296" s="80"/>
      <c r="E1296" s="80"/>
      <c r="F1296" s="80"/>
      <c r="G1296" s="80"/>
      <c r="H1296" s="80"/>
      <c r="I1296" s="80"/>
      <c r="J1296" s="80"/>
      <c r="K1296" s="80"/>
      <c r="L1296" s="2"/>
      <c r="M1296" s="2"/>
      <c r="N1296" s="2"/>
      <c r="O1296" s="2"/>
      <c r="P1296" s="2"/>
      <c r="Q1296" s="2"/>
      <c r="R1296" s="80"/>
      <c r="S1296" s="80"/>
      <c r="T1296" s="80"/>
      <c r="U1296" s="80"/>
      <c r="V1296" s="80"/>
      <c r="W1296" s="80"/>
      <c r="X1296" s="80"/>
      <c r="Y1296" s="80"/>
      <c r="Z1296" s="80"/>
      <c r="AA1296" s="80"/>
      <c r="AB1296" s="80"/>
      <c r="AC1296" s="80"/>
      <c r="AD1296" s="80"/>
      <c r="AE1296" s="80"/>
      <c r="AF1296" s="80"/>
      <c r="AG1296" s="80"/>
      <c r="AH1296" s="80"/>
      <c r="AI1296" s="80"/>
    </row>
    <row r="1297" spans="1:35" x14ac:dyDescent="0.2">
      <c r="A1297" s="80"/>
      <c r="B1297" s="80"/>
      <c r="C1297" s="80"/>
      <c r="D1297" s="80"/>
      <c r="E1297" s="80"/>
      <c r="F1297" s="80"/>
      <c r="G1297" s="80"/>
      <c r="H1297" s="80"/>
      <c r="I1297" s="80"/>
      <c r="J1297" s="80"/>
      <c r="K1297" s="80"/>
      <c r="L1297" s="2"/>
      <c r="M1297" s="2"/>
      <c r="N1297" s="2"/>
      <c r="O1297" s="2"/>
      <c r="P1297" s="2"/>
      <c r="Q1297" s="2"/>
      <c r="R1297" s="80"/>
      <c r="S1297" s="80"/>
      <c r="T1297" s="80"/>
      <c r="U1297" s="80"/>
      <c r="V1297" s="80"/>
      <c r="W1297" s="80"/>
      <c r="X1297" s="80"/>
      <c r="Y1297" s="80"/>
      <c r="Z1297" s="80"/>
      <c r="AA1297" s="80"/>
      <c r="AB1297" s="80"/>
      <c r="AC1297" s="80"/>
      <c r="AD1297" s="80"/>
      <c r="AE1297" s="80"/>
      <c r="AF1297" s="80"/>
      <c r="AG1297" s="80"/>
      <c r="AH1297" s="80"/>
      <c r="AI1297" s="80"/>
    </row>
    <row r="1298" spans="1:35" x14ac:dyDescent="0.2">
      <c r="A1298" s="80"/>
      <c r="B1298" s="80"/>
      <c r="C1298" s="80"/>
      <c r="D1298" s="80"/>
      <c r="E1298" s="80"/>
      <c r="F1298" s="80"/>
      <c r="G1298" s="80"/>
      <c r="H1298" s="80"/>
      <c r="I1298" s="80"/>
      <c r="J1298" s="80"/>
      <c r="K1298" s="80"/>
      <c r="L1298" s="2"/>
      <c r="M1298" s="2"/>
      <c r="N1298" s="2"/>
      <c r="O1298" s="2"/>
      <c r="P1298" s="2"/>
      <c r="Q1298" s="2"/>
      <c r="R1298" s="80"/>
      <c r="S1298" s="80"/>
      <c r="T1298" s="80"/>
      <c r="U1298" s="80"/>
      <c r="V1298" s="80"/>
      <c r="W1298" s="80"/>
      <c r="X1298" s="80"/>
      <c r="Y1298" s="80"/>
      <c r="Z1298" s="80"/>
      <c r="AA1298" s="80"/>
      <c r="AB1298" s="80"/>
      <c r="AC1298" s="80"/>
      <c r="AD1298" s="80"/>
      <c r="AE1298" s="80"/>
      <c r="AF1298" s="80"/>
      <c r="AG1298" s="80"/>
      <c r="AH1298" s="80"/>
      <c r="AI1298" s="80"/>
    </row>
    <row r="1299" spans="1:35" x14ac:dyDescent="0.2">
      <c r="A1299" s="80"/>
      <c r="B1299" s="80"/>
      <c r="C1299" s="80"/>
      <c r="D1299" s="80"/>
      <c r="E1299" s="80"/>
      <c r="F1299" s="80"/>
      <c r="G1299" s="80"/>
      <c r="H1299" s="80"/>
      <c r="I1299" s="80"/>
      <c r="J1299" s="80"/>
      <c r="K1299" s="80"/>
      <c r="L1299" s="2"/>
      <c r="M1299" s="2"/>
      <c r="N1299" s="2"/>
      <c r="O1299" s="2"/>
      <c r="P1299" s="2"/>
      <c r="Q1299" s="2"/>
      <c r="R1299" s="80"/>
      <c r="S1299" s="80"/>
      <c r="T1299" s="80"/>
      <c r="U1299" s="80"/>
      <c r="V1299" s="80"/>
      <c r="W1299" s="80"/>
      <c r="X1299" s="80"/>
      <c r="Y1299" s="80"/>
      <c r="Z1299" s="80"/>
      <c r="AA1299" s="80"/>
      <c r="AB1299" s="80"/>
      <c r="AC1299" s="80"/>
      <c r="AD1299" s="80"/>
      <c r="AE1299" s="80"/>
      <c r="AF1299" s="80"/>
      <c r="AG1299" s="80"/>
      <c r="AH1299" s="80"/>
      <c r="AI1299" s="80"/>
    </row>
    <row r="1300" spans="1:35" x14ac:dyDescent="0.2">
      <c r="A1300" s="80"/>
      <c r="B1300" s="80"/>
      <c r="C1300" s="80"/>
      <c r="D1300" s="80"/>
      <c r="E1300" s="80"/>
      <c r="F1300" s="80"/>
      <c r="G1300" s="80"/>
      <c r="H1300" s="80"/>
      <c r="I1300" s="80"/>
      <c r="J1300" s="80"/>
      <c r="K1300" s="80"/>
      <c r="L1300" s="2"/>
      <c r="M1300" s="2"/>
      <c r="N1300" s="2"/>
      <c r="O1300" s="2"/>
      <c r="P1300" s="2"/>
      <c r="Q1300" s="2"/>
      <c r="R1300" s="80"/>
      <c r="S1300" s="80"/>
      <c r="T1300" s="80"/>
      <c r="U1300" s="80"/>
      <c r="V1300" s="80"/>
      <c r="W1300" s="80"/>
      <c r="X1300" s="80"/>
      <c r="Y1300" s="80"/>
      <c r="Z1300" s="80"/>
      <c r="AA1300" s="80"/>
      <c r="AB1300" s="80"/>
      <c r="AC1300" s="80"/>
      <c r="AD1300" s="80"/>
      <c r="AE1300" s="80"/>
      <c r="AF1300" s="80"/>
      <c r="AG1300" s="80"/>
      <c r="AH1300" s="80"/>
      <c r="AI1300" s="80"/>
    </row>
    <row r="1301" spans="1:35" x14ac:dyDescent="0.2">
      <c r="A1301" s="80"/>
      <c r="B1301" s="80"/>
      <c r="C1301" s="80"/>
      <c r="D1301" s="80"/>
      <c r="E1301" s="80"/>
      <c r="F1301" s="80"/>
      <c r="G1301" s="80"/>
      <c r="H1301" s="80"/>
      <c r="I1301" s="80"/>
      <c r="J1301" s="80"/>
      <c r="K1301" s="80"/>
      <c r="L1301" s="2"/>
      <c r="M1301" s="2"/>
      <c r="N1301" s="2"/>
      <c r="O1301" s="2"/>
      <c r="P1301" s="2"/>
      <c r="Q1301" s="2"/>
      <c r="R1301" s="80"/>
      <c r="S1301" s="80"/>
      <c r="T1301" s="80"/>
      <c r="U1301" s="80"/>
      <c r="V1301" s="80"/>
      <c r="W1301" s="80"/>
      <c r="X1301" s="80"/>
      <c r="Y1301" s="80"/>
      <c r="Z1301" s="80"/>
      <c r="AA1301" s="80"/>
      <c r="AB1301" s="80"/>
      <c r="AC1301" s="80"/>
      <c r="AD1301" s="80"/>
      <c r="AE1301" s="80"/>
      <c r="AF1301" s="80"/>
      <c r="AG1301" s="80"/>
      <c r="AH1301" s="80"/>
      <c r="AI1301" s="80"/>
    </row>
    <row r="1302" spans="1:35" x14ac:dyDescent="0.2">
      <c r="A1302" s="80"/>
      <c r="B1302" s="80"/>
      <c r="C1302" s="80"/>
      <c r="D1302" s="80"/>
      <c r="E1302" s="80"/>
      <c r="F1302" s="80"/>
      <c r="G1302" s="80"/>
      <c r="H1302" s="80"/>
      <c r="I1302" s="80"/>
      <c r="J1302" s="80"/>
      <c r="K1302" s="80"/>
      <c r="L1302" s="2"/>
      <c r="M1302" s="2"/>
      <c r="N1302" s="2"/>
      <c r="O1302" s="2"/>
      <c r="P1302" s="2"/>
      <c r="Q1302" s="2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E1302" s="80"/>
      <c r="AF1302" s="80"/>
      <c r="AG1302" s="80"/>
      <c r="AH1302" s="80"/>
      <c r="AI1302" s="80"/>
    </row>
    <row r="1303" spans="1:35" x14ac:dyDescent="0.2">
      <c r="A1303" s="80"/>
      <c r="B1303" s="80"/>
      <c r="C1303" s="80"/>
      <c r="D1303" s="80"/>
      <c r="E1303" s="80"/>
      <c r="F1303" s="80"/>
      <c r="G1303" s="80"/>
      <c r="H1303" s="80"/>
      <c r="I1303" s="80"/>
      <c r="J1303" s="80"/>
      <c r="K1303" s="80"/>
      <c r="L1303" s="2"/>
      <c r="M1303" s="2"/>
      <c r="N1303" s="2"/>
      <c r="O1303" s="2"/>
      <c r="P1303" s="2"/>
      <c r="Q1303" s="2"/>
      <c r="R1303" s="80"/>
      <c r="S1303" s="80"/>
      <c r="T1303" s="80"/>
      <c r="U1303" s="80"/>
      <c r="V1303" s="80"/>
      <c r="W1303" s="80"/>
      <c r="X1303" s="80"/>
      <c r="Y1303" s="80"/>
      <c r="Z1303" s="80"/>
      <c r="AA1303" s="80"/>
      <c r="AB1303" s="80"/>
      <c r="AC1303" s="80"/>
      <c r="AD1303" s="80"/>
      <c r="AE1303" s="80"/>
      <c r="AF1303" s="80"/>
      <c r="AG1303" s="80"/>
      <c r="AH1303" s="80"/>
      <c r="AI1303" s="80"/>
    </row>
    <row r="1304" spans="1:35" x14ac:dyDescent="0.2">
      <c r="A1304" s="80"/>
      <c r="B1304" s="80"/>
      <c r="C1304" s="80"/>
      <c r="D1304" s="80"/>
      <c r="E1304" s="80"/>
      <c r="F1304" s="80"/>
      <c r="G1304" s="80"/>
      <c r="H1304" s="80"/>
      <c r="I1304" s="80"/>
      <c r="J1304" s="80"/>
      <c r="K1304" s="80"/>
      <c r="L1304" s="2"/>
      <c r="M1304" s="2"/>
      <c r="N1304" s="2"/>
      <c r="O1304" s="2"/>
      <c r="P1304" s="2"/>
      <c r="Q1304" s="2"/>
      <c r="R1304" s="80"/>
      <c r="S1304" s="80"/>
      <c r="T1304" s="80"/>
      <c r="U1304" s="80"/>
      <c r="V1304" s="80"/>
      <c r="W1304" s="80"/>
      <c r="X1304" s="80"/>
      <c r="Y1304" s="80"/>
      <c r="Z1304" s="80"/>
      <c r="AA1304" s="80"/>
      <c r="AB1304" s="80"/>
      <c r="AC1304" s="80"/>
      <c r="AD1304" s="80"/>
      <c r="AE1304" s="80"/>
      <c r="AF1304" s="80"/>
      <c r="AG1304" s="80"/>
      <c r="AH1304" s="80"/>
      <c r="AI1304" s="80"/>
    </row>
    <row r="1305" spans="1:35" x14ac:dyDescent="0.2">
      <c r="A1305" s="80"/>
      <c r="B1305" s="80"/>
      <c r="C1305" s="80"/>
      <c r="D1305" s="80"/>
      <c r="E1305" s="80"/>
      <c r="F1305" s="80"/>
      <c r="G1305" s="80"/>
      <c r="H1305" s="80"/>
      <c r="I1305" s="80"/>
      <c r="J1305" s="80"/>
      <c r="K1305" s="80"/>
      <c r="L1305" s="2"/>
      <c r="M1305" s="2"/>
      <c r="N1305" s="2"/>
      <c r="O1305" s="2"/>
      <c r="P1305" s="2"/>
      <c r="Q1305" s="2"/>
      <c r="R1305" s="80"/>
      <c r="S1305" s="80"/>
      <c r="T1305" s="80"/>
      <c r="U1305" s="80"/>
      <c r="V1305" s="80"/>
      <c r="W1305" s="80"/>
      <c r="X1305" s="80"/>
      <c r="Y1305" s="80"/>
      <c r="Z1305" s="80"/>
      <c r="AA1305" s="80"/>
      <c r="AB1305" s="80"/>
      <c r="AC1305" s="80"/>
      <c r="AD1305" s="80"/>
      <c r="AE1305" s="80"/>
      <c r="AF1305" s="80"/>
      <c r="AG1305" s="80"/>
      <c r="AH1305" s="80"/>
      <c r="AI1305" s="80"/>
    </row>
    <row r="1306" spans="1:35" x14ac:dyDescent="0.2">
      <c r="A1306" s="80"/>
      <c r="B1306" s="80"/>
      <c r="C1306" s="80"/>
      <c r="D1306" s="80"/>
      <c r="E1306" s="80"/>
      <c r="F1306" s="80"/>
      <c r="G1306" s="80"/>
      <c r="H1306" s="80"/>
      <c r="I1306" s="80"/>
      <c r="J1306" s="80"/>
      <c r="K1306" s="80"/>
      <c r="L1306" s="2"/>
      <c r="M1306" s="2"/>
      <c r="N1306" s="2"/>
      <c r="O1306" s="2"/>
      <c r="P1306" s="2"/>
      <c r="Q1306" s="2"/>
      <c r="R1306" s="80"/>
      <c r="S1306" s="80"/>
      <c r="T1306" s="80"/>
      <c r="U1306" s="80"/>
      <c r="V1306" s="80"/>
      <c r="W1306" s="80"/>
      <c r="X1306" s="80"/>
      <c r="Y1306" s="80"/>
      <c r="Z1306" s="80"/>
      <c r="AA1306" s="80"/>
      <c r="AB1306" s="80"/>
      <c r="AC1306" s="80"/>
      <c r="AD1306" s="80"/>
      <c r="AE1306" s="80"/>
      <c r="AF1306" s="80"/>
      <c r="AG1306" s="80"/>
      <c r="AH1306" s="80"/>
      <c r="AI1306" s="80"/>
    </row>
    <row r="1307" spans="1:35" x14ac:dyDescent="0.2">
      <c r="A1307" s="80"/>
      <c r="B1307" s="80"/>
      <c r="C1307" s="80"/>
      <c r="D1307" s="80"/>
      <c r="E1307" s="80"/>
      <c r="F1307" s="80"/>
      <c r="G1307" s="80"/>
      <c r="H1307" s="80"/>
      <c r="I1307" s="80"/>
      <c r="J1307" s="80"/>
      <c r="K1307" s="80"/>
      <c r="L1307" s="2"/>
      <c r="M1307" s="2"/>
      <c r="N1307" s="2"/>
      <c r="O1307" s="2"/>
      <c r="P1307" s="2"/>
      <c r="Q1307" s="2"/>
      <c r="R1307" s="80"/>
      <c r="S1307" s="80"/>
      <c r="T1307" s="80"/>
      <c r="U1307" s="80"/>
      <c r="V1307" s="80"/>
      <c r="W1307" s="80"/>
      <c r="X1307" s="80"/>
      <c r="Y1307" s="80"/>
      <c r="Z1307" s="80"/>
      <c r="AA1307" s="80"/>
      <c r="AB1307" s="80"/>
      <c r="AC1307" s="80"/>
      <c r="AD1307" s="80"/>
      <c r="AE1307" s="80"/>
      <c r="AF1307" s="80"/>
      <c r="AG1307" s="80"/>
      <c r="AH1307" s="80"/>
      <c r="AI1307" s="80"/>
    </row>
    <row r="1308" spans="1:35" x14ac:dyDescent="0.2">
      <c r="A1308" s="80"/>
      <c r="B1308" s="80"/>
      <c r="C1308" s="80"/>
      <c r="D1308" s="80"/>
      <c r="E1308" s="80"/>
      <c r="F1308" s="80"/>
      <c r="G1308" s="80"/>
      <c r="H1308" s="80"/>
      <c r="I1308" s="80"/>
      <c r="J1308" s="80"/>
      <c r="K1308" s="80"/>
      <c r="L1308" s="2"/>
      <c r="M1308" s="2"/>
      <c r="N1308" s="2"/>
      <c r="O1308" s="2"/>
      <c r="P1308" s="2"/>
      <c r="Q1308" s="2"/>
      <c r="R1308" s="80"/>
      <c r="S1308" s="80"/>
      <c r="T1308" s="80"/>
      <c r="U1308" s="80"/>
      <c r="V1308" s="80"/>
      <c r="W1308" s="80"/>
      <c r="X1308" s="80"/>
      <c r="Y1308" s="80"/>
      <c r="Z1308" s="80"/>
      <c r="AA1308" s="80"/>
      <c r="AB1308" s="80"/>
      <c r="AC1308" s="80"/>
      <c r="AD1308" s="80"/>
      <c r="AE1308" s="80"/>
      <c r="AF1308" s="80"/>
      <c r="AG1308" s="80"/>
      <c r="AH1308" s="80"/>
      <c r="AI1308" s="80"/>
    </row>
    <row r="1309" spans="1:35" x14ac:dyDescent="0.2">
      <c r="A1309" s="80"/>
      <c r="B1309" s="80"/>
      <c r="C1309" s="80"/>
      <c r="D1309" s="80"/>
      <c r="E1309" s="80"/>
      <c r="F1309" s="80"/>
      <c r="G1309" s="80"/>
      <c r="H1309" s="80"/>
      <c r="I1309" s="80"/>
      <c r="J1309" s="80"/>
      <c r="K1309" s="80"/>
      <c r="L1309" s="2"/>
      <c r="M1309" s="2"/>
      <c r="N1309" s="2"/>
      <c r="O1309" s="2"/>
      <c r="P1309" s="2"/>
      <c r="Q1309" s="2"/>
      <c r="R1309" s="80"/>
      <c r="S1309" s="80"/>
      <c r="T1309" s="80"/>
      <c r="U1309" s="80"/>
      <c r="V1309" s="80"/>
      <c r="W1309" s="80"/>
      <c r="X1309" s="80"/>
      <c r="Y1309" s="80"/>
      <c r="Z1309" s="80"/>
      <c r="AA1309" s="80"/>
      <c r="AB1309" s="80"/>
      <c r="AC1309" s="80"/>
      <c r="AD1309" s="80"/>
      <c r="AE1309" s="80"/>
      <c r="AF1309" s="80"/>
      <c r="AG1309" s="80"/>
      <c r="AH1309" s="80"/>
      <c r="AI1309" s="80"/>
    </row>
    <row r="1310" spans="1:35" x14ac:dyDescent="0.2">
      <c r="A1310" s="80"/>
      <c r="B1310" s="80"/>
      <c r="C1310" s="80"/>
      <c r="D1310" s="80"/>
      <c r="E1310" s="80"/>
      <c r="F1310" s="80"/>
      <c r="G1310" s="80"/>
      <c r="H1310" s="80"/>
      <c r="I1310" s="80"/>
      <c r="J1310" s="80"/>
      <c r="K1310" s="80"/>
      <c r="L1310" s="2"/>
      <c r="M1310" s="2"/>
      <c r="N1310" s="2"/>
      <c r="O1310" s="2"/>
      <c r="P1310" s="2"/>
      <c r="Q1310" s="2"/>
      <c r="R1310" s="80"/>
      <c r="S1310" s="80"/>
      <c r="T1310" s="80"/>
      <c r="U1310" s="80"/>
      <c r="V1310" s="80"/>
      <c r="W1310" s="80"/>
      <c r="X1310" s="80"/>
      <c r="Y1310" s="80"/>
      <c r="Z1310" s="80"/>
      <c r="AA1310" s="80"/>
      <c r="AB1310" s="80"/>
      <c r="AC1310" s="80"/>
      <c r="AD1310" s="80"/>
      <c r="AE1310" s="80"/>
      <c r="AF1310" s="80"/>
      <c r="AG1310" s="80"/>
      <c r="AH1310" s="80"/>
      <c r="AI1310" s="80"/>
    </row>
    <row r="1311" spans="1:35" x14ac:dyDescent="0.2">
      <c r="A1311" s="80"/>
      <c r="B1311" s="80"/>
      <c r="C1311" s="80"/>
      <c r="D1311" s="80"/>
      <c r="E1311" s="80"/>
      <c r="F1311" s="80"/>
      <c r="G1311" s="80"/>
      <c r="H1311" s="80"/>
      <c r="I1311" s="80"/>
      <c r="J1311" s="80"/>
      <c r="K1311" s="80"/>
      <c r="L1311" s="2"/>
      <c r="M1311" s="2"/>
      <c r="N1311" s="2"/>
      <c r="O1311" s="2"/>
      <c r="P1311" s="2"/>
      <c r="Q1311" s="2"/>
      <c r="R1311" s="80"/>
      <c r="S1311" s="80"/>
      <c r="T1311" s="80"/>
      <c r="U1311" s="80"/>
      <c r="V1311" s="80"/>
      <c r="W1311" s="80"/>
      <c r="X1311" s="80"/>
      <c r="Y1311" s="80"/>
      <c r="Z1311" s="80"/>
      <c r="AA1311" s="80"/>
      <c r="AB1311" s="80"/>
      <c r="AC1311" s="80"/>
      <c r="AD1311" s="80"/>
      <c r="AE1311" s="80"/>
      <c r="AF1311" s="80"/>
      <c r="AG1311" s="80"/>
      <c r="AH1311" s="80"/>
      <c r="AI1311" s="80"/>
    </row>
    <row r="1312" spans="1:35" x14ac:dyDescent="0.2">
      <c r="A1312" s="80"/>
      <c r="B1312" s="80"/>
      <c r="C1312" s="80"/>
      <c r="D1312" s="80"/>
      <c r="E1312" s="80"/>
      <c r="F1312" s="80"/>
      <c r="G1312" s="80"/>
      <c r="H1312" s="80"/>
      <c r="I1312" s="80"/>
      <c r="J1312" s="80"/>
      <c r="K1312" s="80"/>
      <c r="L1312" s="2"/>
      <c r="M1312" s="2"/>
      <c r="N1312" s="2"/>
      <c r="O1312" s="2"/>
      <c r="P1312" s="2"/>
      <c r="Q1312" s="2"/>
      <c r="R1312" s="80"/>
      <c r="S1312" s="80"/>
      <c r="T1312" s="80"/>
      <c r="U1312" s="80"/>
      <c r="V1312" s="80"/>
      <c r="W1312" s="80"/>
      <c r="X1312" s="80"/>
      <c r="Y1312" s="80"/>
      <c r="Z1312" s="80"/>
      <c r="AA1312" s="80"/>
      <c r="AB1312" s="80"/>
      <c r="AC1312" s="80"/>
      <c r="AD1312" s="80"/>
      <c r="AE1312" s="80"/>
      <c r="AF1312" s="80"/>
      <c r="AG1312" s="80"/>
      <c r="AH1312" s="80"/>
      <c r="AI1312" s="80"/>
    </row>
    <row r="1313" spans="1:35" x14ac:dyDescent="0.2">
      <c r="A1313" s="80"/>
      <c r="B1313" s="80"/>
      <c r="C1313" s="80"/>
      <c r="D1313" s="80"/>
      <c r="E1313" s="80"/>
      <c r="F1313" s="80"/>
      <c r="G1313" s="80"/>
      <c r="H1313" s="80"/>
      <c r="I1313" s="80"/>
      <c r="J1313" s="80"/>
      <c r="K1313" s="80"/>
      <c r="L1313" s="2"/>
      <c r="M1313" s="2"/>
      <c r="N1313" s="2"/>
      <c r="O1313" s="2"/>
      <c r="P1313" s="2"/>
      <c r="Q1313" s="2"/>
      <c r="R1313" s="80"/>
      <c r="S1313" s="80"/>
      <c r="T1313" s="80"/>
      <c r="U1313" s="80"/>
      <c r="V1313" s="80"/>
      <c r="W1313" s="80"/>
      <c r="X1313" s="80"/>
      <c r="Y1313" s="80"/>
      <c r="Z1313" s="80"/>
      <c r="AA1313" s="80"/>
      <c r="AB1313" s="80"/>
      <c r="AC1313" s="80"/>
      <c r="AD1313" s="80"/>
      <c r="AE1313" s="80"/>
      <c r="AF1313" s="80"/>
      <c r="AG1313" s="80"/>
      <c r="AH1313" s="80"/>
      <c r="AI1313" s="80"/>
    </row>
    <row r="1314" spans="1:35" x14ac:dyDescent="0.2">
      <c r="A1314" s="80"/>
      <c r="B1314" s="80"/>
      <c r="C1314" s="80"/>
      <c r="D1314" s="80"/>
      <c r="E1314" s="80"/>
      <c r="F1314" s="80"/>
      <c r="G1314" s="80"/>
      <c r="H1314" s="80"/>
      <c r="I1314" s="80"/>
      <c r="J1314" s="80"/>
      <c r="K1314" s="80"/>
      <c r="L1314" s="2"/>
      <c r="M1314" s="2"/>
      <c r="N1314" s="2"/>
      <c r="O1314" s="2"/>
      <c r="P1314" s="2"/>
      <c r="Q1314" s="2"/>
      <c r="R1314" s="80"/>
      <c r="S1314" s="80"/>
      <c r="T1314" s="80"/>
      <c r="U1314" s="80"/>
      <c r="V1314" s="80"/>
      <c r="W1314" s="80"/>
      <c r="X1314" s="80"/>
      <c r="Y1314" s="80"/>
      <c r="Z1314" s="80"/>
      <c r="AA1314" s="80"/>
      <c r="AB1314" s="80"/>
      <c r="AC1314" s="80"/>
      <c r="AD1314" s="80"/>
      <c r="AE1314" s="80"/>
      <c r="AF1314" s="80"/>
      <c r="AG1314" s="80"/>
      <c r="AH1314" s="80"/>
      <c r="AI1314" s="80"/>
    </row>
    <row r="1315" spans="1:35" x14ac:dyDescent="0.2">
      <c r="A1315" s="80"/>
      <c r="B1315" s="80"/>
      <c r="C1315" s="80"/>
      <c r="D1315" s="80"/>
      <c r="E1315" s="80"/>
      <c r="F1315" s="80"/>
      <c r="G1315" s="80"/>
      <c r="H1315" s="80"/>
      <c r="I1315" s="80"/>
      <c r="J1315" s="80"/>
      <c r="K1315" s="80"/>
      <c r="L1315" s="2"/>
      <c r="M1315" s="2"/>
      <c r="N1315" s="2"/>
      <c r="O1315" s="2"/>
      <c r="P1315" s="2"/>
      <c r="Q1315" s="2"/>
      <c r="R1315" s="80"/>
      <c r="S1315" s="80"/>
      <c r="T1315" s="80"/>
      <c r="U1315" s="80"/>
      <c r="V1315" s="80"/>
      <c r="W1315" s="80"/>
      <c r="X1315" s="80"/>
      <c r="Y1315" s="80"/>
      <c r="Z1315" s="80"/>
      <c r="AA1315" s="80"/>
      <c r="AB1315" s="80"/>
      <c r="AC1315" s="80"/>
      <c r="AD1315" s="80"/>
      <c r="AE1315" s="80"/>
      <c r="AF1315" s="80"/>
      <c r="AG1315" s="80"/>
      <c r="AH1315" s="80"/>
      <c r="AI1315" s="80"/>
    </row>
    <row r="1316" spans="1:35" x14ac:dyDescent="0.2">
      <c r="A1316" s="80"/>
      <c r="B1316" s="80"/>
      <c r="C1316" s="80"/>
      <c r="D1316" s="80"/>
      <c r="E1316" s="80"/>
      <c r="F1316" s="80"/>
      <c r="G1316" s="80"/>
      <c r="H1316" s="80"/>
      <c r="I1316" s="80"/>
      <c r="J1316" s="80"/>
      <c r="K1316" s="80"/>
      <c r="L1316" s="2"/>
      <c r="M1316" s="2"/>
      <c r="N1316" s="2"/>
      <c r="O1316" s="2"/>
      <c r="P1316" s="2"/>
      <c r="Q1316" s="2"/>
      <c r="R1316" s="80"/>
      <c r="S1316" s="80"/>
      <c r="T1316" s="80"/>
      <c r="U1316" s="80"/>
      <c r="V1316" s="80"/>
      <c r="W1316" s="80"/>
      <c r="X1316" s="80"/>
      <c r="Y1316" s="80"/>
      <c r="Z1316" s="80"/>
      <c r="AA1316" s="80"/>
      <c r="AB1316" s="80"/>
      <c r="AC1316" s="80"/>
      <c r="AD1316" s="80"/>
      <c r="AE1316" s="80"/>
      <c r="AF1316" s="80"/>
      <c r="AG1316" s="80"/>
      <c r="AH1316" s="80"/>
      <c r="AI1316" s="80"/>
    </row>
    <row r="1317" spans="1:35" x14ac:dyDescent="0.2">
      <c r="A1317" s="80"/>
      <c r="B1317" s="80"/>
      <c r="C1317" s="80"/>
      <c r="D1317" s="80"/>
      <c r="E1317" s="80"/>
      <c r="F1317" s="80"/>
      <c r="G1317" s="80"/>
      <c r="H1317" s="80"/>
      <c r="I1317" s="80"/>
      <c r="J1317" s="80"/>
      <c r="K1317" s="80"/>
      <c r="L1317" s="2"/>
      <c r="M1317" s="2"/>
      <c r="N1317" s="2"/>
      <c r="O1317" s="2"/>
      <c r="P1317" s="2"/>
      <c r="Q1317" s="2"/>
      <c r="R1317" s="80"/>
      <c r="S1317" s="80"/>
      <c r="T1317" s="80"/>
      <c r="U1317" s="80"/>
      <c r="V1317" s="80"/>
      <c r="W1317" s="80"/>
      <c r="X1317" s="80"/>
      <c r="Y1317" s="80"/>
      <c r="Z1317" s="80"/>
      <c r="AA1317" s="80"/>
      <c r="AB1317" s="80"/>
      <c r="AC1317" s="80"/>
      <c r="AD1317" s="80"/>
      <c r="AE1317" s="80"/>
      <c r="AF1317" s="80"/>
      <c r="AG1317" s="80"/>
      <c r="AH1317" s="80"/>
      <c r="AI1317" s="80"/>
    </row>
    <row r="1318" spans="1:35" x14ac:dyDescent="0.2">
      <c r="A1318" s="80"/>
      <c r="B1318" s="80"/>
      <c r="C1318" s="80"/>
      <c r="D1318" s="80"/>
      <c r="E1318" s="80"/>
      <c r="F1318" s="80"/>
      <c r="G1318" s="80"/>
      <c r="H1318" s="80"/>
      <c r="I1318" s="80"/>
      <c r="J1318" s="80"/>
      <c r="K1318" s="80"/>
      <c r="L1318" s="2"/>
      <c r="M1318" s="2"/>
      <c r="N1318" s="2"/>
      <c r="O1318" s="2"/>
      <c r="P1318" s="2"/>
      <c r="Q1318" s="2"/>
      <c r="R1318" s="80"/>
      <c r="S1318" s="80"/>
      <c r="T1318" s="80"/>
      <c r="U1318" s="80"/>
      <c r="V1318" s="80"/>
      <c r="W1318" s="80"/>
      <c r="X1318" s="80"/>
      <c r="Y1318" s="80"/>
      <c r="Z1318" s="80"/>
      <c r="AA1318" s="80"/>
      <c r="AB1318" s="80"/>
      <c r="AC1318" s="80"/>
      <c r="AD1318" s="80"/>
      <c r="AE1318" s="80"/>
      <c r="AF1318" s="80"/>
      <c r="AG1318" s="80"/>
      <c r="AH1318" s="80"/>
      <c r="AI1318" s="80"/>
    </row>
    <row r="1319" spans="1:35" x14ac:dyDescent="0.2">
      <c r="A1319" s="80"/>
      <c r="B1319" s="80"/>
      <c r="C1319" s="80"/>
      <c r="D1319" s="80"/>
      <c r="E1319" s="80"/>
      <c r="F1319" s="80"/>
      <c r="G1319" s="80"/>
      <c r="H1319" s="80"/>
      <c r="I1319" s="80"/>
      <c r="J1319" s="80"/>
      <c r="K1319" s="80"/>
      <c r="L1319" s="2"/>
      <c r="M1319" s="2"/>
      <c r="N1319" s="2"/>
      <c r="O1319" s="2"/>
      <c r="P1319" s="2"/>
      <c r="Q1319" s="2"/>
      <c r="R1319" s="80"/>
      <c r="S1319" s="80"/>
      <c r="T1319" s="80"/>
      <c r="U1319" s="80"/>
      <c r="V1319" s="80"/>
      <c r="W1319" s="80"/>
      <c r="X1319" s="80"/>
      <c r="Y1319" s="80"/>
      <c r="Z1319" s="80"/>
      <c r="AA1319" s="80"/>
      <c r="AB1319" s="80"/>
      <c r="AC1319" s="80"/>
      <c r="AD1319" s="80"/>
      <c r="AE1319" s="80"/>
      <c r="AF1319" s="80"/>
      <c r="AG1319" s="80"/>
      <c r="AH1319" s="80"/>
      <c r="AI1319" s="80"/>
    </row>
    <row r="1320" spans="1:35" x14ac:dyDescent="0.2">
      <c r="A1320" s="80"/>
      <c r="B1320" s="80"/>
      <c r="C1320" s="80"/>
      <c r="D1320" s="80"/>
      <c r="E1320" s="80"/>
      <c r="F1320" s="80"/>
      <c r="G1320" s="80"/>
      <c r="H1320" s="80"/>
      <c r="I1320" s="80"/>
      <c r="J1320" s="80"/>
      <c r="K1320" s="80"/>
      <c r="L1320" s="2"/>
      <c r="M1320" s="2"/>
      <c r="N1320" s="2"/>
      <c r="O1320" s="2"/>
      <c r="P1320" s="2"/>
      <c r="Q1320" s="2"/>
      <c r="R1320" s="80"/>
      <c r="S1320" s="80"/>
      <c r="T1320" s="80"/>
      <c r="U1320" s="80"/>
      <c r="V1320" s="80"/>
      <c r="W1320" s="80"/>
      <c r="X1320" s="80"/>
      <c r="Y1320" s="80"/>
      <c r="Z1320" s="80"/>
      <c r="AA1320" s="80"/>
      <c r="AB1320" s="80"/>
      <c r="AC1320" s="80"/>
      <c r="AD1320" s="80"/>
      <c r="AE1320" s="80"/>
      <c r="AF1320" s="80"/>
      <c r="AG1320" s="80"/>
      <c r="AH1320" s="80"/>
      <c r="AI1320" s="80"/>
    </row>
    <row r="1321" spans="1:35" x14ac:dyDescent="0.2">
      <c r="A1321" s="80"/>
      <c r="B1321" s="80"/>
      <c r="C1321" s="80"/>
      <c r="D1321" s="80"/>
      <c r="E1321" s="80"/>
      <c r="F1321" s="80"/>
      <c r="G1321" s="80"/>
      <c r="H1321" s="80"/>
      <c r="I1321" s="80"/>
      <c r="J1321" s="80"/>
      <c r="K1321" s="80"/>
      <c r="L1321" s="2"/>
      <c r="M1321" s="2"/>
      <c r="N1321" s="2"/>
      <c r="O1321" s="2"/>
      <c r="P1321" s="2"/>
      <c r="Q1321" s="2"/>
      <c r="R1321" s="80"/>
      <c r="S1321" s="80"/>
      <c r="T1321" s="80"/>
      <c r="U1321" s="80"/>
      <c r="V1321" s="80"/>
      <c r="W1321" s="80"/>
      <c r="X1321" s="80"/>
      <c r="Y1321" s="80"/>
      <c r="Z1321" s="80"/>
      <c r="AA1321" s="80"/>
      <c r="AB1321" s="80"/>
      <c r="AC1321" s="80"/>
      <c r="AD1321" s="80"/>
      <c r="AE1321" s="80"/>
      <c r="AF1321" s="80"/>
      <c r="AG1321" s="80"/>
      <c r="AH1321" s="80"/>
      <c r="AI1321" s="80"/>
    </row>
    <row r="1322" spans="1:35" x14ac:dyDescent="0.2">
      <c r="A1322" s="80"/>
      <c r="B1322" s="80"/>
      <c r="C1322" s="80"/>
      <c r="D1322" s="80"/>
      <c r="E1322" s="80"/>
      <c r="F1322" s="80"/>
      <c r="G1322" s="80"/>
      <c r="H1322" s="80"/>
      <c r="I1322" s="80"/>
      <c r="J1322" s="80"/>
      <c r="K1322" s="80"/>
      <c r="L1322" s="2"/>
      <c r="M1322" s="2"/>
      <c r="N1322" s="2"/>
      <c r="O1322" s="2"/>
      <c r="P1322" s="2"/>
      <c r="Q1322" s="2"/>
      <c r="R1322" s="80"/>
      <c r="S1322" s="80"/>
      <c r="T1322" s="80"/>
      <c r="U1322" s="80"/>
      <c r="V1322" s="80"/>
      <c r="W1322" s="80"/>
      <c r="X1322" s="80"/>
      <c r="Y1322" s="80"/>
      <c r="Z1322" s="80"/>
      <c r="AA1322" s="80"/>
      <c r="AB1322" s="80"/>
      <c r="AC1322" s="80"/>
      <c r="AD1322" s="80"/>
      <c r="AE1322" s="80"/>
      <c r="AF1322" s="80"/>
      <c r="AG1322" s="80"/>
      <c r="AH1322" s="80"/>
      <c r="AI1322" s="80"/>
    </row>
    <row r="1323" spans="1:35" x14ac:dyDescent="0.2">
      <c r="A1323" s="80"/>
      <c r="B1323" s="80"/>
      <c r="C1323" s="80"/>
      <c r="D1323" s="80"/>
      <c r="E1323" s="80"/>
      <c r="F1323" s="80"/>
      <c r="G1323" s="80"/>
      <c r="H1323" s="80"/>
      <c r="I1323" s="80"/>
      <c r="J1323" s="80"/>
      <c r="K1323" s="80"/>
      <c r="L1323" s="2"/>
      <c r="M1323" s="2"/>
      <c r="N1323" s="2"/>
      <c r="O1323" s="2"/>
      <c r="P1323" s="2"/>
      <c r="Q1323" s="2"/>
      <c r="R1323" s="80"/>
      <c r="S1323" s="80"/>
      <c r="T1323" s="80"/>
      <c r="U1323" s="80"/>
      <c r="V1323" s="80"/>
      <c r="W1323" s="80"/>
      <c r="X1323" s="80"/>
      <c r="Y1323" s="80"/>
      <c r="Z1323" s="80"/>
      <c r="AA1323" s="80"/>
      <c r="AB1323" s="80"/>
      <c r="AC1323" s="80"/>
      <c r="AD1323" s="80"/>
      <c r="AE1323" s="80"/>
      <c r="AF1323" s="80"/>
      <c r="AG1323" s="80"/>
      <c r="AH1323" s="80"/>
      <c r="AI1323" s="80"/>
    </row>
    <row r="1324" spans="1:35" x14ac:dyDescent="0.2">
      <c r="A1324" s="80"/>
      <c r="B1324" s="80"/>
      <c r="C1324" s="80"/>
      <c r="D1324" s="80"/>
      <c r="E1324" s="80"/>
      <c r="F1324" s="80"/>
      <c r="G1324" s="80"/>
      <c r="H1324" s="80"/>
      <c r="I1324" s="80"/>
      <c r="J1324" s="80"/>
      <c r="K1324" s="80"/>
      <c r="L1324" s="2"/>
      <c r="M1324" s="2"/>
      <c r="N1324" s="2"/>
      <c r="O1324" s="2"/>
      <c r="P1324" s="2"/>
      <c r="Q1324" s="2"/>
      <c r="R1324" s="80"/>
      <c r="S1324" s="80"/>
      <c r="T1324" s="80"/>
      <c r="U1324" s="80"/>
      <c r="V1324" s="80"/>
      <c r="W1324" s="80"/>
      <c r="X1324" s="80"/>
      <c r="Y1324" s="80"/>
      <c r="Z1324" s="80"/>
      <c r="AA1324" s="80"/>
      <c r="AB1324" s="80"/>
      <c r="AC1324" s="80"/>
      <c r="AD1324" s="80"/>
      <c r="AE1324" s="80"/>
      <c r="AF1324" s="80"/>
      <c r="AG1324" s="80"/>
      <c r="AH1324" s="80"/>
      <c r="AI1324" s="80"/>
    </row>
    <row r="1325" spans="1:35" x14ac:dyDescent="0.2">
      <c r="A1325" s="80"/>
      <c r="B1325" s="80"/>
      <c r="C1325" s="80"/>
      <c r="D1325" s="80"/>
      <c r="E1325" s="80"/>
      <c r="F1325" s="80"/>
      <c r="G1325" s="80"/>
      <c r="H1325" s="80"/>
      <c r="I1325" s="80"/>
      <c r="J1325" s="80"/>
      <c r="K1325" s="80"/>
      <c r="L1325" s="2"/>
      <c r="M1325" s="2"/>
      <c r="N1325" s="2"/>
      <c r="O1325" s="2"/>
      <c r="P1325" s="2"/>
      <c r="Q1325" s="2"/>
      <c r="R1325" s="80"/>
      <c r="S1325" s="80"/>
      <c r="T1325" s="80"/>
      <c r="U1325" s="80"/>
      <c r="V1325" s="80"/>
      <c r="W1325" s="80"/>
      <c r="X1325" s="80"/>
      <c r="Y1325" s="80"/>
      <c r="Z1325" s="80"/>
      <c r="AA1325" s="80"/>
      <c r="AB1325" s="80"/>
      <c r="AC1325" s="80"/>
      <c r="AD1325" s="80"/>
      <c r="AE1325" s="80"/>
      <c r="AF1325" s="80"/>
      <c r="AG1325" s="80"/>
      <c r="AH1325" s="80"/>
      <c r="AI1325" s="80"/>
    </row>
    <row r="1326" spans="1:35" x14ac:dyDescent="0.2">
      <c r="A1326" s="80"/>
      <c r="B1326" s="80"/>
      <c r="C1326" s="80"/>
      <c r="D1326" s="80"/>
      <c r="E1326" s="80"/>
      <c r="F1326" s="80"/>
      <c r="G1326" s="80"/>
      <c r="H1326" s="80"/>
      <c r="I1326" s="80"/>
      <c r="J1326" s="80"/>
      <c r="K1326" s="80"/>
      <c r="L1326" s="2"/>
      <c r="M1326" s="2"/>
      <c r="N1326" s="2"/>
      <c r="O1326" s="2"/>
      <c r="P1326" s="2"/>
      <c r="Q1326" s="2"/>
      <c r="R1326" s="80"/>
      <c r="S1326" s="80"/>
      <c r="T1326" s="80"/>
      <c r="U1326" s="80"/>
      <c r="V1326" s="80"/>
      <c r="W1326" s="80"/>
      <c r="X1326" s="80"/>
      <c r="Y1326" s="80"/>
      <c r="Z1326" s="80"/>
      <c r="AA1326" s="80"/>
      <c r="AB1326" s="80"/>
      <c r="AC1326" s="80"/>
      <c r="AD1326" s="80"/>
      <c r="AE1326" s="80"/>
      <c r="AF1326" s="80"/>
      <c r="AG1326" s="80"/>
      <c r="AH1326" s="80"/>
      <c r="AI1326" s="80"/>
    </row>
    <row r="1327" spans="1:35" x14ac:dyDescent="0.2">
      <c r="A1327" s="80"/>
      <c r="B1327" s="80"/>
      <c r="C1327" s="80"/>
      <c r="D1327" s="80"/>
      <c r="E1327" s="80"/>
      <c r="F1327" s="80"/>
      <c r="G1327" s="80"/>
      <c r="H1327" s="80"/>
      <c r="I1327" s="80"/>
      <c r="J1327" s="80"/>
      <c r="K1327" s="80"/>
      <c r="L1327" s="2"/>
      <c r="M1327" s="2"/>
      <c r="N1327" s="2"/>
      <c r="O1327" s="2"/>
      <c r="P1327" s="2"/>
      <c r="Q1327" s="2"/>
      <c r="R1327" s="80"/>
      <c r="S1327" s="80"/>
      <c r="T1327" s="80"/>
      <c r="U1327" s="80"/>
      <c r="V1327" s="80"/>
      <c r="W1327" s="80"/>
      <c r="X1327" s="80"/>
      <c r="Y1327" s="80"/>
      <c r="Z1327" s="80"/>
      <c r="AA1327" s="80"/>
      <c r="AB1327" s="80"/>
      <c r="AC1327" s="80"/>
      <c r="AD1327" s="80"/>
      <c r="AE1327" s="80"/>
      <c r="AF1327" s="80"/>
      <c r="AG1327" s="80"/>
      <c r="AH1327" s="80"/>
      <c r="AI1327" s="80"/>
    </row>
    <row r="1328" spans="1:35" x14ac:dyDescent="0.2">
      <c r="A1328" s="80"/>
      <c r="B1328" s="80"/>
      <c r="C1328" s="80"/>
      <c r="D1328" s="80"/>
      <c r="E1328" s="80"/>
      <c r="F1328" s="80"/>
      <c r="G1328" s="80"/>
      <c r="H1328" s="80"/>
      <c r="I1328" s="80"/>
      <c r="J1328" s="80"/>
      <c r="K1328" s="80"/>
      <c r="L1328" s="2"/>
      <c r="M1328" s="2"/>
      <c r="N1328" s="2"/>
      <c r="O1328" s="2"/>
      <c r="P1328" s="2"/>
      <c r="Q1328" s="2"/>
      <c r="R1328" s="80"/>
      <c r="S1328" s="80"/>
      <c r="T1328" s="80"/>
      <c r="U1328" s="80"/>
      <c r="V1328" s="80"/>
      <c r="W1328" s="80"/>
      <c r="X1328" s="80"/>
      <c r="Y1328" s="80"/>
      <c r="Z1328" s="80"/>
      <c r="AA1328" s="80"/>
      <c r="AB1328" s="80"/>
      <c r="AC1328" s="80"/>
      <c r="AD1328" s="80"/>
      <c r="AE1328" s="80"/>
      <c r="AF1328" s="80"/>
      <c r="AG1328" s="80"/>
      <c r="AH1328" s="80"/>
      <c r="AI1328" s="80"/>
    </row>
    <row r="1329" spans="1:35" x14ac:dyDescent="0.2">
      <c r="A1329" s="80"/>
      <c r="B1329" s="80"/>
      <c r="C1329" s="80"/>
      <c r="D1329" s="80"/>
      <c r="E1329" s="80"/>
      <c r="F1329" s="80"/>
      <c r="G1329" s="80"/>
      <c r="H1329" s="80"/>
      <c r="I1329" s="80"/>
      <c r="J1329" s="80"/>
      <c r="K1329" s="80"/>
      <c r="L1329" s="2"/>
      <c r="M1329" s="2"/>
      <c r="N1329" s="2"/>
      <c r="O1329" s="2"/>
      <c r="P1329" s="2"/>
      <c r="Q1329" s="2"/>
      <c r="R1329" s="80"/>
      <c r="S1329" s="80"/>
      <c r="T1329" s="80"/>
      <c r="U1329" s="80"/>
      <c r="V1329" s="80"/>
      <c r="W1329" s="80"/>
      <c r="X1329" s="80"/>
      <c r="Y1329" s="80"/>
      <c r="Z1329" s="80"/>
      <c r="AA1329" s="80"/>
      <c r="AB1329" s="80"/>
      <c r="AC1329" s="80"/>
      <c r="AD1329" s="80"/>
      <c r="AE1329" s="80"/>
      <c r="AF1329" s="80"/>
      <c r="AG1329" s="80"/>
      <c r="AH1329" s="80"/>
      <c r="AI1329" s="80"/>
    </row>
    <row r="1330" spans="1:35" x14ac:dyDescent="0.2">
      <c r="A1330" s="80"/>
      <c r="B1330" s="80"/>
      <c r="C1330" s="80"/>
      <c r="D1330" s="80"/>
      <c r="E1330" s="80"/>
      <c r="F1330" s="80"/>
      <c r="G1330" s="80"/>
      <c r="H1330" s="80"/>
      <c r="I1330" s="80"/>
      <c r="J1330" s="80"/>
      <c r="K1330" s="80"/>
      <c r="L1330" s="2"/>
      <c r="M1330" s="2"/>
      <c r="N1330" s="2"/>
      <c r="O1330" s="2"/>
      <c r="P1330" s="2"/>
      <c r="Q1330" s="2"/>
      <c r="R1330" s="80"/>
      <c r="S1330" s="80"/>
      <c r="T1330" s="80"/>
      <c r="U1330" s="80"/>
      <c r="V1330" s="80"/>
      <c r="W1330" s="80"/>
      <c r="X1330" s="80"/>
      <c r="Y1330" s="80"/>
      <c r="Z1330" s="80"/>
      <c r="AA1330" s="80"/>
      <c r="AB1330" s="80"/>
      <c r="AC1330" s="80"/>
      <c r="AD1330" s="80"/>
      <c r="AE1330" s="80"/>
      <c r="AF1330" s="80"/>
      <c r="AG1330" s="80"/>
      <c r="AH1330" s="80"/>
      <c r="AI1330" s="80"/>
    </row>
    <row r="1331" spans="1:35" x14ac:dyDescent="0.2">
      <c r="A1331" s="80"/>
      <c r="B1331" s="80"/>
      <c r="C1331" s="80"/>
      <c r="D1331" s="80"/>
      <c r="E1331" s="80"/>
      <c r="F1331" s="80"/>
      <c r="G1331" s="80"/>
      <c r="H1331" s="80"/>
      <c r="I1331" s="80"/>
      <c r="J1331" s="80"/>
      <c r="K1331" s="80"/>
      <c r="L1331" s="2"/>
      <c r="M1331" s="2"/>
      <c r="N1331" s="2"/>
      <c r="O1331" s="2"/>
      <c r="P1331" s="2"/>
      <c r="Q1331" s="2"/>
      <c r="R1331" s="80"/>
      <c r="S1331" s="80"/>
      <c r="T1331" s="80"/>
      <c r="U1331" s="80"/>
      <c r="V1331" s="80"/>
      <c r="W1331" s="80"/>
      <c r="X1331" s="80"/>
      <c r="Y1331" s="80"/>
      <c r="Z1331" s="80"/>
      <c r="AA1331" s="80"/>
      <c r="AB1331" s="80"/>
      <c r="AC1331" s="80"/>
      <c r="AD1331" s="80"/>
      <c r="AE1331" s="80"/>
      <c r="AF1331" s="80"/>
      <c r="AG1331" s="80"/>
      <c r="AH1331" s="80"/>
      <c r="AI1331" s="80"/>
    </row>
    <row r="1332" spans="1:35" x14ac:dyDescent="0.2">
      <c r="A1332" s="80"/>
      <c r="B1332" s="80"/>
      <c r="C1332" s="80"/>
      <c r="D1332" s="80"/>
      <c r="E1332" s="80"/>
      <c r="F1332" s="80"/>
      <c r="G1332" s="80"/>
      <c r="H1332" s="80"/>
      <c r="I1332" s="80"/>
      <c r="J1332" s="80"/>
      <c r="K1332" s="80"/>
      <c r="L1332" s="2"/>
      <c r="M1332" s="2"/>
      <c r="N1332" s="2"/>
      <c r="O1332" s="2"/>
      <c r="P1332" s="2"/>
      <c r="Q1332" s="2"/>
      <c r="R1332" s="80"/>
      <c r="S1332" s="80"/>
      <c r="T1332" s="80"/>
      <c r="U1332" s="80"/>
      <c r="V1332" s="80"/>
      <c r="W1332" s="80"/>
      <c r="X1332" s="80"/>
      <c r="Y1332" s="80"/>
      <c r="Z1332" s="80"/>
      <c r="AA1332" s="80"/>
      <c r="AB1332" s="80"/>
      <c r="AC1332" s="80"/>
      <c r="AD1332" s="80"/>
      <c r="AE1332" s="80"/>
      <c r="AF1332" s="80"/>
      <c r="AG1332" s="80"/>
      <c r="AH1332" s="80"/>
      <c r="AI1332" s="80"/>
    </row>
    <row r="1333" spans="1:35" x14ac:dyDescent="0.2">
      <c r="A1333" s="80"/>
      <c r="B1333" s="80"/>
      <c r="C1333" s="80"/>
      <c r="D1333" s="80"/>
      <c r="E1333" s="80"/>
      <c r="F1333" s="80"/>
      <c r="G1333" s="80"/>
      <c r="H1333" s="80"/>
      <c r="I1333" s="80"/>
      <c r="J1333" s="80"/>
      <c r="K1333" s="80"/>
      <c r="L1333" s="2"/>
      <c r="M1333" s="2"/>
      <c r="N1333" s="2"/>
      <c r="O1333" s="2"/>
      <c r="P1333" s="2"/>
      <c r="Q1333" s="2"/>
      <c r="R1333" s="80"/>
      <c r="S1333" s="80"/>
      <c r="T1333" s="80"/>
      <c r="U1333" s="80"/>
      <c r="V1333" s="80"/>
      <c r="W1333" s="80"/>
      <c r="X1333" s="80"/>
      <c r="Y1333" s="80"/>
      <c r="Z1333" s="80"/>
      <c r="AA1333" s="80"/>
      <c r="AB1333" s="80"/>
      <c r="AC1333" s="80"/>
      <c r="AD1333" s="80"/>
      <c r="AE1333" s="80"/>
      <c r="AF1333" s="80"/>
      <c r="AG1333" s="80"/>
      <c r="AH1333" s="80"/>
      <c r="AI1333" s="80"/>
    </row>
    <row r="1334" spans="1:35" x14ac:dyDescent="0.2">
      <c r="A1334" s="80"/>
      <c r="B1334" s="80"/>
      <c r="C1334" s="80"/>
      <c r="D1334" s="80"/>
      <c r="E1334" s="80"/>
      <c r="F1334" s="80"/>
      <c r="G1334" s="80"/>
      <c r="H1334" s="80"/>
      <c r="I1334" s="80"/>
      <c r="J1334" s="80"/>
      <c r="K1334" s="80"/>
      <c r="L1334" s="2"/>
      <c r="M1334" s="2"/>
      <c r="N1334" s="2"/>
      <c r="O1334" s="2"/>
      <c r="P1334" s="2"/>
      <c r="Q1334" s="2"/>
      <c r="R1334" s="80"/>
      <c r="S1334" s="80"/>
      <c r="T1334" s="80"/>
      <c r="U1334" s="80"/>
      <c r="V1334" s="80"/>
      <c r="W1334" s="80"/>
      <c r="X1334" s="80"/>
      <c r="Y1334" s="80"/>
      <c r="Z1334" s="80"/>
      <c r="AA1334" s="80"/>
      <c r="AB1334" s="80"/>
      <c r="AC1334" s="80"/>
      <c r="AD1334" s="80"/>
      <c r="AE1334" s="80"/>
      <c r="AF1334" s="80"/>
      <c r="AG1334" s="80"/>
      <c r="AH1334" s="80"/>
      <c r="AI1334" s="80"/>
    </row>
    <row r="1335" spans="1:35" x14ac:dyDescent="0.2">
      <c r="A1335" s="80"/>
      <c r="B1335" s="80"/>
      <c r="C1335" s="80"/>
      <c r="D1335" s="80"/>
      <c r="E1335" s="80"/>
      <c r="F1335" s="80"/>
      <c r="G1335" s="80"/>
      <c r="H1335" s="80"/>
      <c r="I1335" s="80"/>
      <c r="J1335" s="80"/>
      <c r="K1335" s="80"/>
      <c r="L1335" s="2"/>
      <c r="M1335" s="2"/>
      <c r="N1335" s="2"/>
      <c r="O1335" s="2"/>
      <c r="P1335" s="2"/>
      <c r="Q1335" s="2"/>
      <c r="R1335" s="80"/>
      <c r="S1335" s="80"/>
      <c r="T1335" s="80"/>
      <c r="U1335" s="80"/>
      <c r="V1335" s="80"/>
      <c r="W1335" s="80"/>
      <c r="X1335" s="80"/>
      <c r="Y1335" s="80"/>
      <c r="Z1335" s="80"/>
      <c r="AA1335" s="80"/>
      <c r="AB1335" s="80"/>
      <c r="AC1335" s="80"/>
      <c r="AD1335" s="80"/>
      <c r="AE1335" s="80"/>
      <c r="AF1335" s="80"/>
      <c r="AG1335" s="80"/>
      <c r="AH1335" s="80"/>
      <c r="AI1335" s="80"/>
    </row>
    <row r="1336" spans="1:35" x14ac:dyDescent="0.2">
      <c r="A1336" s="80"/>
      <c r="B1336" s="80"/>
      <c r="C1336" s="80"/>
      <c r="D1336" s="80"/>
      <c r="E1336" s="80"/>
      <c r="F1336" s="80"/>
      <c r="G1336" s="80"/>
      <c r="H1336" s="80"/>
      <c r="I1336" s="80"/>
      <c r="J1336" s="80"/>
      <c r="K1336" s="80"/>
      <c r="L1336" s="2"/>
      <c r="M1336" s="2"/>
      <c r="N1336" s="2"/>
      <c r="O1336" s="2"/>
      <c r="P1336" s="2"/>
      <c r="Q1336" s="2"/>
      <c r="R1336" s="80"/>
      <c r="S1336" s="80"/>
      <c r="T1336" s="80"/>
      <c r="U1336" s="80"/>
      <c r="V1336" s="80"/>
      <c r="W1336" s="80"/>
      <c r="X1336" s="80"/>
      <c r="Y1336" s="80"/>
      <c r="Z1336" s="80"/>
      <c r="AA1336" s="80"/>
      <c r="AB1336" s="80"/>
      <c r="AC1336" s="80"/>
      <c r="AD1336" s="80"/>
      <c r="AE1336" s="80"/>
      <c r="AF1336" s="80"/>
      <c r="AG1336" s="80"/>
      <c r="AH1336" s="80"/>
      <c r="AI1336" s="80"/>
    </row>
    <row r="1337" spans="1:35" x14ac:dyDescent="0.2">
      <c r="A1337" s="80"/>
      <c r="B1337" s="80"/>
      <c r="C1337" s="80"/>
      <c r="D1337" s="80"/>
      <c r="E1337" s="80"/>
      <c r="F1337" s="80"/>
      <c r="G1337" s="80"/>
      <c r="H1337" s="80"/>
      <c r="I1337" s="80"/>
      <c r="J1337" s="80"/>
      <c r="K1337" s="80"/>
      <c r="L1337" s="2"/>
      <c r="M1337" s="2"/>
      <c r="N1337" s="2"/>
      <c r="O1337" s="2"/>
      <c r="P1337" s="2"/>
      <c r="Q1337" s="2"/>
      <c r="R1337" s="80"/>
      <c r="S1337" s="80"/>
      <c r="T1337" s="80"/>
      <c r="U1337" s="80"/>
      <c r="V1337" s="80"/>
      <c r="W1337" s="80"/>
      <c r="X1337" s="80"/>
      <c r="Y1337" s="80"/>
      <c r="Z1337" s="80"/>
      <c r="AA1337" s="80"/>
      <c r="AB1337" s="80"/>
      <c r="AC1337" s="80"/>
      <c r="AD1337" s="80"/>
      <c r="AE1337" s="80"/>
      <c r="AF1337" s="80"/>
      <c r="AG1337" s="80"/>
      <c r="AH1337" s="80"/>
      <c r="AI1337" s="80"/>
    </row>
    <row r="1338" spans="1:35" x14ac:dyDescent="0.2">
      <c r="A1338" s="80"/>
      <c r="B1338" s="80"/>
      <c r="C1338" s="80"/>
      <c r="D1338" s="80"/>
      <c r="E1338" s="80"/>
      <c r="F1338" s="80"/>
      <c r="G1338" s="80"/>
      <c r="H1338" s="80"/>
      <c r="I1338" s="80"/>
      <c r="J1338" s="80"/>
      <c r="K1338" s="80"/>
      <c r="L1338" s="2"/>
      <c r="M1338" s="2"/>
      <c r="N1338" s="2"/>
      <c r="O1338" s="2"/>
      <c r="P1338" s="2"/>
      <c r="Q1338" s="2"/>
      <c r="R1338" s="80"/>
      <c r="S1338" s="80"/>
      <c r="T1338" s="80"/>
      <c r="U1338" s="80"/>
      <c r="V1338" s="80"/>
      <c r="W1338" s="80"/>
      <c r="X1338" s="80"/>
      <c r="Y1338" s="80"/>
      <c r="Z1338" s="80"/>
      <c r="AA1338" s="80"/>
      <c r="AB1338" s="80"/>
      <c r="AC1338" s="80"/>
      <c r="AD1338" s="80"/>
      <c r="AE1338" s="80"/>
      <c r="AF1338" s="80"/>
      <c r="AG1338" s="80"/>
      <c r="AH1338" s="80"/>
      <c r="AI1338" s="80"/>
    </row>
    <row r="1339" spans="1:35" x14ac:dyDescent="0.2">
      <c r="A1339" s="80"/>
      <c r="B1339" s="80"/>
      <c r="C1339" s="80"/>
      <c r="D1339" s="80"/>
      <c r="E1339" s="80"/>
      <c r="F1339" s="80"/>
      <c r="G1339" s="80"/>
      <c r="H1339" s="80"/>
      <c r="I1339" s="80"/>
      <c r="J1339" s="80"/>
      <c r="K1339" s="80"/>
      <c r="L1339" s="2"/>
      <c r="M1339" s="2"/>
      <c r="N1339" s="2"/>
      <c r="O1339" s="2"/>
      <c r="P1339" s="2"/>
      <c r="Q1339" s="2"/>
      <c r="R1339" s="80"/>
      <c r="S1339" s="80"/>
      <c r="T1339" s="80"/>
      <c r="U1339" s="80"/>
      <c r="V1339" s="80"/>
      <c r="W1339" s="80"/>
      <c r="X1339" s="80"/>
      <c r="Y1339" s="80"/>
      <c r="Z1339" s="80"/>
      <c r="AA1339" s="80"/>
      <c r="AB1339" s="80"/>
      <c r="AC1339" s="80"/>
      <c r="AD1339" s="80"/>
      <c r="AE1339" s="80"/>
      <c r="AF1339" s="80"/>
      <c r="AG1339" s="80"/>
      <c r="AH1339" s="80"/>
      <c r="AI1339" s="80"/>
    </row>
    <row r="1340" spans="1:35" x14ac:dyDescent="0.2">
      <c r="A1340" s="80"/>
      <c r="B1340" s="80"/>
      <c r="C1340" s="80"/>
      <c r="D1340" s="80"/>
      <c r="E1340" s="80"/>
      <c r="F1340" s="80"/>
      <c r="G1340" s="80"/>
      <c r="H1340" s="80"/>
      <c r="I1340" s="80"/>
      <c r="J1340" s="80"/>
      <c r="K1340" s="80"/>
      <c r="L1340" s="2"/>
      <c r="M1340" s="2"/>
      <c r="N1340" s="2"/>
      <c r="O1340" s="2"/>
      <c r="P1340" s="2"/>
      <c r="Q1340" s="2"/>
      <c r="R1340" s="80"/>
      <c r="S1340" s="80"/>
      <c r="T1340" s="80"/>
      <c r="U1340" s="80"/>
      <c r="V1340" s="80"/>
      <c r="W1340" s="80"/>
      <c r="X1340" s="80"/>
      <c r="Y1340" s="80"/>
      <c r="Z1340" s="80"/>
      <c r="AA1340" s="80"/>
      <c r="AB1340" s="80"/>
      <c r="AC1340" s="80"/>
      <c r="AD1340" s="80"/>
      <c r="AE1340" s="80"/>
      <c r="AF1340" s="80"/>
      <c r="AG1340" s="80"/>
      <c r="AH1340" s="80"/>
      <c r="AI1340" s="80"/>
    </row>
    <row r="1341" spans="1:35" x14ac:dyDescent="0.2">
      <c r="A1341" s="80"/>
      <c r="B1341" s="80"/>
      <c r="C1341" s="80"/>
      <c r="D1341" s="80"/>
      <c r="E1341" s="80"/>
      <c r="F1341" s="80"/>
      <c r="G1341" s="80"/>
      <c r="H1341" s="80"/>
      <c r="I1341" s="80"/>
      <c r="J1341" s="80"/>
      <c r="K1341" s="80"/>
      <c r="L1341" s="2"/>
      <c r="M1341" s="2"/>
      <c r="N1341" s="2"/>
      <c r="O1341" s="2"/>
      <c r="P1341" s="2"/>
      <c r="Q1341" s="2"/>
      <c r="R1341" s="80"/>
      <c r="S1341" s="80"/>
      <c r="T1341" s="80"/>
      <c r="U1341" s="80"/>
      <c r="V1341" s="80"/>
      <c r="W1341" s="80"/>
      <c r="X1341" s="80"/>
      <c r="Y1341" s="80"/>
      <c r="Z1341" s="80"/>
      <c r="AA1341" s="80"/>
      <c r="AB1341" s="80"/>
      <c r="AC1341" s="80"/>
      <c r="AD1341" s="80"/>
      <c r="AE1341" s="80"/>
      <c r="AF1341" s="80"/>
      <c r="AG1341" s="80"/>
      <c r="AH1341" s="80"/>
      <c r="AI1341" s="80"/>
    </row>
    <row r="1342" spans="1:35" x14ac:dyDescent="0.2">
      <c r="A1342" s="80"/>
      <c r="B1342" s="80"/>
      <c r="C1342" s="80"/>
      <c r="D1342" s="80"/>
      <c r="E1342" s="80"/>
      <c r="F1342" s="80"/>
      <c r="G1342" s="80"/>
      <c r="H1342" s="80"/>
      <c r="I1342" s="80"/>
      <c r="J1342" s="80"/>
      <c r="K1342" s="80"/>
      <c r="L1342" s="2"/>
      <c r="M1342" s="2"/>
      <c r="N1342" s="2"/>
      <c r="O1342" s="2"/>
      <c r="P1342" s="2"/>
      <c r="Q1342" s="2"/>
      <c r="R1342" s="80"/>
      <c r="S1342" s="80"/>
      <c r="T1342" s="80"/>
      <c r="U1342" s="80"/>
      <c r="V1342" s="80"/>
      <c r="W1342" s="80"/>
      <c r="X1342" s="80"/>
      <c r="Y1342" s="80"/>
      <c r="Z1342" s="80"/>
      <c r="AA1342" s="80"/>
      <c r="AB1342" s="80"/>
      <c r="AC1342" s="80"/>
      <c r="AD1342" s="80"/>
      <c r="AE1342" s="80"/>
      <c r="AF1342" s="80"/>
      <c r="AG1342" s="80"/>
      <c r="AH1342" s="80"/>
      <c r="AI1342" s="80"/>
    </row>
    <row r="1343" spans="1:35" x14ac:dyDescent="0.2">
      <c r="A1343" s="80"/>
      <c r="B1343" s="80"/>
      <c r="C1343" s="80"/>
      <c r="D1343" s="80"/>
      <c r="E1343" s="80"/>
      <c r="F1343" s="80"/>
      <c r="G1343" s="80"/>
      <c r="H1343" s="80"/>
      <c r="I1343" s="80"/>
      <c r="J1343" s="80"/>
      <c r="K1343" s="80"/>
      <c r="L1343" s="2"/>
      <c r="M1343" s="2"/>
      <c r="N1343" s="2"/>
      <c r="O1343" s="2"/>
      <c r="P1343" s="2"/>
      <c r="Q1343" s="2"/>
      <c r="R1343" s="80"/>
      <c r="S1343" s="80"/>
      <c r="T1343" s="80"/>
      <c r="U1343" s="80"/>
      <c r="V1343" s="80"/>
      <c r="W1343" s="80"/>
      <c r="X1343" s="80"/>
      <c r="Y1343" s="80"/>
      <c r="Z1343" s="80"/>
      <c r="AA1343" s="80"/>
      <c r="AB1343" s="80"/>
      <c r="AC1343" s="80"/>
      <c r="AD1343" s="80"/>
      <c r="AE1343" s="80"/>
      <c r="AF1343" s="80"/>
      <c r="AG1343" s="80"/>
      <c r="AH1343" s="80"/>
      <c r="AI1343" s="80"/>
    </row>
    <row r="1344" spans="1:35" x14ac:dyDescent="0.2">
      <c r="A1344" s="80"/>
      <c r="B1344" s="80"/>
      <c r="C1344" s="80"/>
      <c r="D1344" s="80"/>
      <c r="E1344" s="80"/>
      <c r="F1344" s="80"/>
      <c r="G1344" s="80"/>
      <c r="H1344" s="80"/>
      <c r="I1344" s="80"/>
      <c r="J1344" s="80"/>
      <c r="K1344" s="80"/>
      <c r="L1344" s="2"/>
      <c r="M1344" s="2"/>
      <c r="N1344" s="2"/>
      <c r="O1344" s="2"/>
      <c r="P1344" s="2"/>
      <c r="Q1344" s="2"/>
      <c r="R1344" s="80"/>
      <c r="S1344" s="80"/>
      <c r="T1344" s="80"/>
      <c r="U1344" s="80"/>
      <c r="V1344" s="80"/>
      <c r="W1344" s="80"/>
      <c r="X1344" s="80"/>
      <c r="Y1344" s="80"/>
      <c r="Z1344" s="80"/>
      <c r="AA1344" s="80"/>
      <c r="AB1344" s="80"/>
      <c r="AC1344" s="80"/>
      <c r="AD1344" s="80"/>
      <c r="AE1344" s="80"/>
      <c r="AF1344" s="80"/>
      <c r="AG1344" s="80"/>
      <c r="AH1344" s="80"/>
      <c r="AI1344" s="80"/>
    </row>
    <row r="1345" spans="1:35" x14ac:dyDescent="0.2">
      <c r="A1345" s="80"/>
      <c r="B1345" s="80"/>
      <c r="C1345" s="80"/>
      <c r="D1345" s="80"/>
      <c r="E1345" s="80"/>
      <c r="F1345" s="80"/>
      <c r="G1345" s="80"/>
      <c r="H1345" s="80"/>
      <c r="I1345" s="80"/>
      <c r="J1345" s="80"/>
      <c r="K1345" s="80"/>
      <c r="L1345" s="2"/>
      <c r="M1345" s="2"/>
      <c r="N1345" s="2"/>
      <c r="O1345" s="2"/>
      <c r="P1345" s="2"/>
      <c r="Q1345" s="2"/>
      <c r="R1345" s="80"/>
      <c r="S1345" s="80"/>
      <c r="T1345" s="80"/>
      <c r="U1345" s="80"/>
      <c r="V1345" s="80"/>
      <c r="W1345" s="80"/>
      <c r="X1345" s="80"/>
      <c r="Y1345" s="80"/>
      <c r="Z1345" s="80"/>
      <c r="AA1345" s="80"/>
      <c r="AB1345" s="80"/>
      <c r="AC1345" s="80"/>
      <c r="AD1345" s="80"/>
      <c r="AE1345" s="80"/>
      <c r="AF1345" s="80"/>
      <c r="AG1345" s="80"/>
      <c r="AH1345" s="80"/>
      <c r="AI1345" s="80"/>
    </row>
    <row r="1346" spans="1:35" x14ac:dyDescent="0.2">
      <c r="A1346" s="80"/>
      <c r="B1346" s="80"/>
      <c r="C1346" s="80"/>
      <c r="D1346" s="80"/>
      <c r="E1346" s="80"/>
      <c r="F1346" s="80"/>
      <c r="G1346" s="80"/>
      <c r="H1346" s="80"/>
      <c r="I1346" s="80"/>
      <c r="J1346" s="80"/>
      <c r="K1346" s="80"/>
      <c r="L1346" s="2"/>
      <c r="M1346" s="2"/>
      <c r="N1346" s="2"/>
      <c r="O1346" s="2"/>
      <c r="P1346" s="2"/>
      <c r="Q1346" s="2"/>
      <c r="R1346" s="80"/>
      <c r="S1346" s="80"/>
      <c r="T1346" s="80"/>
      <c r="U1346" s="80"/>
      <c r="V1346" s="80"/>
      <c r="W1346" s="80"/>
      <c r="X1346" s="80"/>
      <c r="Y1346" s="80"/>
      <c r="Z1346" s="80"/>
      <c r="AA1346" s="80"/>
      <c r="AB1346" s="80"/>
      <c r="AC1346" s="80"/>
      <c r="AD1346" s="80"/>
      <c r="AE1346" s="80"/>
      <c r="AF1346" s="80"/>
      <c r="AG1346" s="80"/>
      <c r="AH1346" s="80"/>
      <c r="AI1346" s="80"/>
    </row>
    <row r="1347" spans="1:35" x14ac:dyDescent="0.2">
      <c r="A1347" s="80"/>
      <c r="B1347" s="80"/>
      <c r="C1347" s="80"/>
      <c r="D1347" s="80"/>
      <c r="E1347" s="80"/>
      <c r="F1347" s="80"/>
      <c r="G1347" s="80"/>
      <c r="H1347" s="80"/>
      <c r="I1347" s="80"/>
      <c r="J1347" s="80"/>
      <c r="K1347" s="80"/>
      <c r="L1347" s="2"/>
      <c r="M1347" s="2"/>
      <c r="N1347" s="2"/>
      <c r="O1347" s="2"/>
      <c r="P1347" s="2"/>
      <c r="Q1347" s="2"/>
      <c r="R1347" s="80"/>
      <c r="S1347" s="80"/>
      <c r="T1347" s="80"/>
      <c r="U1347" s="80"/>
      <c r="V1347" s="80"/>
      <c r="W1347" s="80"/>
      <c r="X1347" s="80"/>
      <c r="Y1347" s="80"/>
      <c r="Z1347" s="80"/>
      <c r="AA1347" s="80"/>
      <c r="AB1347" s="80"/>
      <c r="AC1347" s="80"/>
      <c r="AD1347" s="80"/>
      <c r="AE1347" s="80"/>
      <c r="AF1347" s="80"/>
      <c r="AG1347" s="80"/>
      <c r="AH1347" s="80"/>
      <c r="AI1347" s="80"/>
    </row>
    <row r="1348" spans="1:35" x14ac:dyDescent="0.2">
      <c r="A1348" s="80"/>
      <c r="B1348" s="80"/>
      <c r="C1348" s="80"/>
      <c r="D1348" s="80"/>
      <c r="E1348" s="80"/>
      <c r="F1348" s="80"/>
      <c r="G1348" s="80"/>
      <c r="H1348" s="80"/>
      <c r="I1348" s="80"/>
      <c r="J1348" s="80"/>
      <c r="K1348" s="80"/>
      <c r="L1348" s="2"/>
      <c r="M1348" s="2"/>
      <c r="N1348" s="2"/>
      <c r="O1348" s="2"/>
      <c r="P1348" s="2"/>
      <c r="Q1348" s="2"/>
      <c r="R1348" s="80"/>
      <c r="S1348" s="80"/>
      <c r="T1348" s="80"/>
      <c r="U1348" s="80"/>
      <c r="V1348" s="80"/>
      <c r="W1348" s="80"/>
      <c r="X1348" s="80"/>
      <c r="Y1348" s="80"/>
      <c r="Z1348" s="80"/>
      <c r="AA1348" s="80"/>
      <c r="AB1348" s="80"/>
      <c r="AC1348" s="80"/>
      <c r="AD1348" s="80"/>
      <c r="AE1348" s="80"/>
      <c r="AF1348" s="80"/>
      <c r="AG1348" s="80"/>
      <c r="AH1348" s="80"/>
      <c r="AI1348" s="80"/>
    </row>
    <row r="1349" spans="1:35" x14ac:dyDescent="0.2">
      <c r="A1349" s="80"/>
      <c r="B1349" s="80"/>
      <c r="C1349" s="80"/>
      <c r="D1349" s="80"/>
      <c r="E1349" s="80"/>
      <c r="F1349" s="80"/>
      <c r="G1349" s="80"/>
      <c r="H1349" s="80"/>
      <c r="I1349" s="80"/>
      <c r="J1349" s="80"/>
      <c r="K1349" s="80"/>
      <c r="L1349" s="2"/>
      <c r="M1349" s="2"/>
      <c r="N1349" s="2"/>
      <c r="O1349" s="2"/>
      <c r="P1349" s="2"/>
      <c r="Q1349" s="2"/>
      <c r="R1349" s="80"/>
      <c r="S1349" s="80"/>
      <c r="T1349" s="80"/>
      <c r="U1349" s="80"/>
      <c r="V1349" s="80"/>
      <c r="W1349" s="80"/>
      <c r="X1349" s="80"/>
      <c r="Y1349" s="80"/>
      <c r="Z1349" s="80"/>
      <c r="AA1349" s="80"/>
      <c r="AB1349" s="80"/>
      <c r="AC1349" s="80"/>
      <c r="AD1349" s="80"/>
      <c r="AE1349" s="80"/>
      <c r="AF1349" s="80"/>
      <c r="AG1349" s="80"/>
      <c r="AH1349" s="80"/>
      <c r="AI1349" s="80"/>
    </row>
    <row r="1350" spans="1:35" x14ac:dyDescent="0.2">
      <c r="A1350" s="80"/>
      <c r="B1350" s="80"/>
      <c r="C1350" s="80"/>
      <c r="D1350" s="80"/>
      <c r="E1350" s="80"/>
      <c r="F1350" s="80"/>
      <c r="G1350" s="80"/>
      <c r="H1350" s="80"/>
      <c r="I1350" s="80"/>
      <c r="J1350" s="80"/>
      <c r="K1350" s="80"/>
      <c r="L1350" s="2"/>
      <c r="M1350" s="2"/>
      <c r="N1350" s="2"/>
      <c r="O1350" s="2"/>
      <c r="P1350" s="2"/>
      <c r="Q1350" s="2"/>
      <c r="R1350" s="80"/>
      <c r="S1350" s="80"/>
      <c r="T1350" s="80"/>
      <c r="U1350" s="80"/>
      <c r="V1350" s="80"/>
      <c r="W1350" s="80"/>
      <c r="X1350" s="80"/>
      <c r="Y1350" s="80"/>
      <c r="Z1350" s="80"/>
      <c r="AA1350" s="80"/>
      <c r="AB1350" s="80"/>
      <c r="AC1350" s="80"/>
      <c r="AD1350" s="80"/>
      <c r="AE1350" s="80"/>
      <c r="AF1350" s="80"/>
      <c r="AG1350" s="80"/>
      <c r="AH1350" s="80"/>
      <c r="AI1350" s="80"/>
    </row>
    <row r="1351" spans="1:35" x14ac:dyDescent="0.2">
      <c r="A1351" s="80"/>
      <c r="B1351" s="80"/>
      <c r="C1351" s="80"/>
      <c r="D1351" s="80"/>
      <c r="E1351" s="80"/>
      <c r="F1351" s="80"/>
      <c r="G1351" s="80"/>
      <c r="H1351" s="80"/>
      <c r="I1351" s="80"/>
      <c r="J1351" s="80"/>
      <c r="K1351" s="80"/>
      <c r="L1351" s="2"/>
      <c r="M1351" s="2"/>
      <c r="N1351" s="2"/>
      <c r="O1351" s="2"/>
      <c r="P1351" s="2"/>
      <c r="Q1351" s="2"/>
      <c r="R1351" s="80"/>
      <c r="S1351" s="80"/>
      <c r="T1351" s="80"/>
      <c r="U1351" s="80"/>
      <c r="V1351" s="80"/>
      <c r="W1351" s="80"/>
      <c r="X1351" s="80"/>
      <c r="Y1351" s="80"/>
      <c r="Z1351" s="80"/>
      <c r="AA1351" s="80"/>
      <c r="AB1351" s="80"/>
      <c r="AC1351" s="80"/>
      <c r="AD1351" s="80"/>
      <c r="AE1351" s="80"/>
      <c r="AF1351" s="80"/>
      <c r="AG1351" s="80"/>
      <c r="AH1351" s="80"/>
      <c r="AI1351" s="80"/>
    </row>
    <row r="1352" spans="1:35" x14ac:dyDescent="0.2">
      <c r="A1352" s="80"/>
      <c r="B1352" s="80"/>
      <c r="C1352" s="80"/>
      <c r="D1352" s="80"/>
      <c r="E1352" s="80"/>
      <c r="F1352" s="80"/>
      <c r="G1352" s="80"/>
      <c r="H1352" s="80"/>
      <c r="I1352" s="80"/>
      <c r="J1352" s="80"/>
      <c r="K1352" s="80"/>
      <c r="L1352" s="2"/>
      <c r="M1352" s="2"/>
      <c r="N1352" s="2"/>
      <c r="O1352" s="2"/>
      <c r="P1352" s="2"/>
      <c r="Q1352" s="2"/>
      <c r="R1352" s="80"/>
      <c r="S1352" s="80"/>
      <c r="T1352" s="80"/>
      <c r="U1352" s="80"/>
      <c r="V1352" s="80"/>
      <c r="W1352" s="80"/>
      <c r="X1352" s="80"/>
      <c r="Y1352" s="80"/>
      <c r="Z1352" s="80"/>
      <c r="AA1352" s="80"/>
      <c r="AB1352" s="80"/>
      <c r="AC1352" s="80"/>
      <c r="AD1352" s="80"/>
      <c r="AE1352" s="80"/>
      <c r="AF1352" s="80"/>
      <c r="AG1352" s="80"/>
      <c r="AH1352" s="80"/>
      <c r="AI1352" s="80"/>
    </row>
    <row r="1353" spans="1:35" x14ac:dyDescent="0.2">
      <c r="A1353" s="80"/>
      <c r="B1353" s="80"/>
      <c r="C1353" s="80"/>
      <c r="D1353" s="80"/>
      <c r="E1353" s="80"/>
      <c r="F1353" s="80"/>
      <c r="G1353" s="80"/>
      <c r="H1353" s="80"/>
      <c r="I1353" s="80"/>
      <c r="J1353" s="80"/>
      <c r="K1353" s="80"/>
      <c r="L1353" s="2"/>
      <c r="M1353" s="2"/>
      <c r="N1353" s="2"/>
      <c r="O1353" s="2"/>
      <c r="P1353" s="2"/>
      <c r="Q1353" s="2"/>
      <c r="R1353" s="80"/>
      <c r="S1353" s="80"/>
      <c r="T1353" s="80"/>
      <c r="U1353" s="80"/>
      <c r="V1353" s="80"/>
      <c r="W1353" s="80"/>
      <c r="X1353" s="80"/>
      <c r="Y1353" s="80"/>
      <c r="Z1353" s="80"/>
      <c r="AA1353" s="80"/>
      <c r="AB1353" s="80"/>
      <c r="AC1353" s="80"/>
      <c r="AD1353" s="80"/>
      <c r="AE1353" s="80"/>
      <c r="AF1353" s="80"/>
      <c r="AG1353" s="80"/>
      <c r="AH1353" s="80"/>
      <c r="AI1353" s="80"/>
    </row>
    <row r="1354" spans="1:35" x14ac:dyDescent="0.2">
      <c r="A1354" s="80"/>
      <c r="B1354" s="80"/>
      <c r="C1354" s="80"/>
      <c r="D1354" s="80"/>
      <c r="E1354" s="80"/>
      <c r="F1354" s="80"/>
      <c r="G1354" s="80"/>
      <c r="H1354" s="80"/>
      <c r="I1354" s="80"/>
      <c r="J1354" s="80"/>
      <c r="K1354" s="80"/>
      <c r="L1354" s="2"/>
      <c r="M1354" s="2"/>
      <c r="N1354" s="2"/>
      <c r="O1354" s="2"/>
      <c r="P1354" s="2"/>
      <c r="Q1354" s="2"/>
      <c r="R1354" s="80"/>
      <c r="S1354" s="80"/>
      <c r="T1354" s="80"/>
      <c r="U1354" s="80"/>
      <c r="V1354" s="80"/>
      <c r="W1354" s="80"/>
      <c r="X1354" s="80"/>
      <c r="Y1354" s="80"/>
      <c r="Z1354" s="80"/>
      <c r="AA1354" s="80"/>
      <c r="AB1354" s="80"/>
      <c r="AC1354" s="80"/>
      <c r="AD1354" s="80"/>
      <c r="AE1354" s="80"/>
      <c r="AF1354" s="80"/>
      <c r="AG1354" s="80"/>
      <c r="AH1354" s="80"/>
      <c r="AI1354" s="80"/>
    </row>
    <row r="1355" spans="1:35" x14ac:dyDescent="0.2">
      <c r="A1355" s="80"/>
      <c r="B1355" s="80"/>
      <c r="C1355" s="80"/>
      <c r="D1355" s="80"/>
      <c r="E1355" s="80"/>
      <c r="F1355" s="80"/>
      <c r="G1355" s="80"/>
      <c r="H1355" s="80"/>
      <c r="I1355" s="80"/>
      <c r="J1355" s="80"/>
      <c r="K1355" s="80"/>
      <c r="L1355" s="2"/>
      <c r="M1355" s="2"/>
      <c r="N1355" s="2"/>
      <c r="O1355" s="2"/>
      <c r="P1355" s="2"/>
      <c r="Q1355" s="2"/>
      <c r="R1355" s="80"/>
      <c r="S1355" s="80"/>
      <c r="T1355" s="80"/>
      <c r="U1355" s="80"/>
      <c r="V1355" s="80"/>
      <c r="W1355" s="80"/>
      <c r="X1355" s="80"/>
      <c r="Y1355" s="80"/>
      <c r="Z1355" s="80"/>
      <c r="AA1355" s="80"/>
      <c r="AB1355" s="80"/>
      <c r="AC1355" s="80"/>
      <c r="AD1355" s="80"/>
      <c r="AE1355" s="80"/>
      <c r="AF1355" s="80"/>
      <c r="AG1355" s="80"/>
      <c r="AH1355" s="80"/>
      <c r="AI1355" s="80"/>
    </row>
    <row r="1356" spans="1:35" x14ac:dyDescent="0.2">
      <c r="A1356" s="80"/>
      <c r="B1356" s="80"/>
      <c r="C1356" s="80"/>
      <c r="D1356" s="80"/>
      <c r="E1356" s="80"/>
      <c r="F1356" s="80"/>
      <c r="G1356" s="80"/>
      <c r="H1356" s="80"/>
      <c r="I1356" s="80"/>
      <c r="J1356" s="80"/>
      <c r="K1356" s="80"/>
      <c r="L1356" s="2"/>
      <c r="M1356" s="2"/>
      <c r="N1356" s="2"/>
      <c r="O1356" s="2"/>
      <c r="P1356" s="2"/>
      <c r="Q1356" s="2"/>
      <c r="R1356" s="80"/>
      <c r="S1356" s="80"/>
      <c r="T1356" s="80"/>
      <c r="U1356" s="80"/>
      <c r="V1356" s="80"/>
      <c r="W1356" s="80"/>
      <c r="X1356" s="80"/>
      <c r="Y1356" s="80"/>
      <c r="Z1356" s="80"/>
      <c r="AA1356" s="80"/>
      <c r="AB1356" s="80"/>
      <c r="AC1356" s="80"/>
      <c r="AD1356" s="80"/>
      <c r="AE1356" s="80"/>
      <c r="AF1356" s="80"/>
      <c r="AG1356" s="80"/>
      <c r="AH1356" s="80"/>
      <c r="AI1356" s="80"/>
    </row>
    <row r="1357" spans="1:35" x14ac:dyDescent="0.2">
      <c r="A1357" s="80"/>
      <c r="B1357" s="80"/>
      <c r="C1357" s="80"/>
      <c r="D1357" s="80"/>
      <c r="E1357" s="80"/>
      <c r="F1357" s="80"/>
      <c r="G1357" s="80"/>
      <c r="H1357" s="80"/>
      <c r="I1357" s="80"/>
      <c r="J1357" s="80"/>
      <c r="K1357" s="80"/>
      <c r="L1357" s="2"/>
      <c r="M1357" s="2"/>
      <c r="N1357" s="2"/>
      <c r="O1357" s="2"/>
      <c r="P1357" s="2"/>
      <c r="Q1357" s="2"/>
      <c r="R1357" s="80"/>
      <c r="S1357" s="80"/>
      <c r="T1357" s="80"/>
      <c r="U1357" s="80"/>
      <c r="V1357" s="80"/>
      <c r="W1357" s="80"/>
      <c r="X1357" s="80"/>
      <c r="Y1357" s="80"/>
      <c r="Z1357" s="80"/>
      <c r="AA1357" s="80"/>
      <c r="AB1357" s="80"/>
      <c r="AC1357" s="80"/>
      <c r="AD1357" s="80"/>
      <c r="AE1357" s="80"/>
      <c r="AF1357" s="80"/>
      <c r="AG1357" s="80"/>
      <c r="AH1357" s="80"/>
      <c r="AI1357" s="80"/>
    </row>
    <row r="1358" spans="1:35" x14ac:dyDescent="0.2">
      <c r="A1358" s="80"/>
      <c r="B1358" s="80"/>
      <c r="C1358" s="80"/>
      <c r="D1358" s="80"/>
      <c r="E1358" s="80"/>
      <c r="F1358" s="80"/>
      <c r="G1358" s="80"/>
      <c r="H1358" s="80"/>
      <c r="I1358" s="80"/>
      <c r="J1358" s="80"/>
      <c r="K1358" s="80"/>
      <c r="L1358" s="2"/>
      <c r="M1358" s="2"/>
      <c r="N1358" s="2"/>
      <c r="O1358" s="2"/>
      <c r="P1358" s="2"/>
      <c r="Q1358" s="2"/>
      <c r="R1358" s="80"/>
      <c r="S1358" s="80"/>
      <c r="T1358" s="80"/>
      <c r="U1358" s="80"/>
      <c r="V1358" s="80"/>
      <c r="W1358" s="80"/>
      <c r="X1358" s="80"/>
      <c r="Y1358" s="80"/>
      <c r="Z1358" s="80"/>
      <c r="AA1358" s="80"/>
      <c r="AB1358" s="80"/>
      <c r="AC1358" s="80"/>
      <c r="AD1358" s="80"/>
      <c r="AE1358" s="80"/>
      <c r="AF1358" s="80"/>
      <c r="AG1358" s="80"/>
      <c r="AH1358" s="80"/>
      <c r="AI1358" s="80"/>
    </row>
    <row r="1359" spans="1:35" x14ac:dyDescent="0.2">
      <c r="A1359" s="80"/>
      <c r="B1359" s="80"/>
      <c r="C1359" s="80"/>
      <c r="D1359" s="80"/>
      <c r="E1359" s="80"/>
      <c r="F1359" s="80"/>
      <c r="G1359" s="80"/>
      <c r="H1359" s="80"/>
      <c r="I1359" s="80"/>
      <c r="J1359" s="80"/>
      <c r="K1359" s="80"/>
      <c r="L1359" s="2"/>
      <c r="M1359" s="2"/>
      <c r="N1359" s="2"/>
      <c r="O1359" s="2"/>
      <c r="P1359" s="2"/>
      <c r="Q1359" s="2"/>
      <c r="R1359" s="80"/>
      <c r="S1359" s="80"/>
      <c r="T1359" s="80"/>
      <c r="U1359" s="80"/>
      <c r="V1359" s="80"/>
      <c r="W1359" s="80"/>
      <c r="X1359" s="80"/>
      <c r="Y1359" s="80"/>
      <c r="Z1359" s="80"/>
      <c r="AA1359" s="80"/>
      <c r="AB1359" s="80"/>
      <c r="AC1359" s="80"/>
      <c r="AD1359" s="80"/>
      <c r="AE1359" s="80"/>
      <c r="AF1359" s="80"/>
      <c r="AG1359" s="80"/>
      <c r="AH1359" s="80"/>
      <c r="AI1359" s="80"/>
    </row>
    <row r="1360" spans="1:35" x14ac:dyDescent="0.2">
      <c r="A1360" s="80"/>
      <c r="B1360" s="80"/>
      <c r="C1360" s="80"/>
      <c r="D1360" s="80"/>
      <c r="E1360" s="80"/>
      <c r="F1360" s="80"/>
      <c r="G1360" s="80"/>
      <c r="H1360" s="80"/>
      <c r="I1360" s="80"/>
      <c r="J1360" s="80"/>
      <c r="K1360" s="80"/>
      <c r="L1360" s="2"/>
      <c r="M1360" s="2"/>
      <c r="N1360" s="2"/>
      <c r="O1360" s="2"/>
      <c r="P1360" s="2"/>
      <c r="Q1360" s="2"/>
      <c r="R1360" s="80"/>
      <c r="S1360" s="80"/>
      <c r="T1360" s="80"/>
      <c r="U1360" s="80"/>
      <c r="V1360" s="80"/>
      <c r="W1360" s="80"/>
      <c r="X1360" s="80"/>
      <c r="Y1360" s="80"/>
      <c r="Z1360" s="80"/>
      <c r="AA1360" s="80"/>
      <c r="AB1360" s="80"/>
      <c r="AC1360" s="80"/>
      <c r="AD1360" s="80"/>
      <c r="AE1360" s="80"/>
      <c r="AF1360" s="80"/>
      <c r="AG1360" s="80"/>
      <c r="AH1360" s="80"/>
      <c r="AI1360" s="80"/>
    </row>
    <row r="1361" spans="1:35" x14ac:dyDescent="0.2">
      <c r="A1361" s="80"/>
      <c r="B1361" s="80"/>
      <c r="C1361" s="80"/>
      <c r="D1361" s="80"/>
      <c r="E1361" s="80"/>
      <c r="F1361" s="80"/>
      <c r="G1361" s="80"/>
      <c r="H1361" s="80"/>
      <c r="I1361" s="80"/>
      <c r="J1361" s="80"/>
      <c r="K1361" s="80"/>
      <c r="L1361" s="2"/>
      <c r="M1361" s="2"/>
      <c r="N1361" s="2"/>
      <c r="O1361" s="2"/>
      <c r="P1361" s="2"/>
      <c r="Q1361" s="2"/>
      <c r="R1361" s="80"/>
      <c r="S1361" s="80"/>
      <c r="T1361" s="80"/>
      <c r="U1361" s="80"/>
      <c r="V1361" s="80"/>
      <c r="W1361" s="80"/>
      <c r="X1361" s="80"/>
      <c r="Y1361" s="80"/>
      <c r="Z1361" s="80"/>
      <c r="AA1361" s="80"/>
      <c r="AB1361" s="80"/>
      <c r="AC1361" s="80"/>
      <c r="AD1361" s="80"/>
      <c r="AE1361" s="80"/>
      <c r="AF1361" s="80"/>
      <c r="AG1361" s="80"/>
      <c r="AH1361" s="80"/>
      <c r="AI1361" s="80"/>
    </row>
    <row r="1362" spans="1:35" x14ac:dyDescent="0.2">
      <c r="A1362" s="80"/>
      <c r="B1362" s="80"/>
      <c r="C1362" s="80"/>
      <c r="D1362" s="80"/>
      <c r="E1362" s="80"/>
      <c r="F1362" s="80"/>
      <c r="G1362" s="80"/>
      <c r="H1362" s="80"/>
      <c r="I1362" s="80"/>
      <c r="J1362" s="80"/>
      <c r="K1362" s="80"/>
      <c r="L1362" s="2"/>
      <c r="M1362" s="2"/>
      <c r="N1362" s="2"/>
      <c r="O1362" s="2"/>
      <c r="P1362" s="2"/>
      <c r="Q1362" s="2"/>
      <c r="R1362" s="80"/>
      <c r="S1362" s="80"/>
      <c r="T1362" s="80"/>
      <c r="U1362" s="80"/>
      <c r="V1362" s="80"/>
      <c r="W1362" s="80"/>
      <c r="X1362" s="80"/>
      <c r="Y1362" s="80"/>
      <c r="Z1362" s="80"/>
      <c r="AA1362" s="80"/>
      <c r="AB1362" s="80"/>
      <c r="AC1362" s="80"/>
      <c r="AD1362" s="80"/>
      <c r="AE1362" s="80"/>
      <c r="AF1362" s="80"/>
      <c r="AG1362" s="80"/>
      <c r="AH1362" s="80"/>
      <c r="AI1362" s="80"/>
    </row>
    <row r="1363" spans="1:35" x14ac:dyDescent="0.2">
      <c r="A1363" s="80"/>
      <c r="B1363" s="80"/>
      <c r="C1363" s="80"/>
      <c r="D1363" s="80"/>
      <c r="E1363" s="80"/>
      <c r="F1363" s="80"/>
      <c r="G1363" s="80"/>
      <c r="H1363" s="80"/>
      <c r="I1363" s="80"/>
      <c r="J1363" s="80"/>
      <c r="K1363" s="80"/>
      <c r="L1363" s="2"/>
      <c r="M1363" s="2"/>
      <c r="N1363" s="2"/>
      <c r="O1363" s="2"/>
      <c r="P1363" s="2"/>
      <c r="Q1363" s="2"/>
      <c r="R1363" s="80"/>
      <c r="S1363" s="80"/>
      <c r="T1363" s="80"/>
      <c r="U1363" s="80"/>
      <c r="V1363" s="80"/>
      <c r="W1363" s="80"/>
      <c r="X1363" s="80"/>
      <c r="Y1363" s="80"/>
      <c r="Z1363" s="80"/>
      <c r="AA1363" s="80"/>
      <c r="AB1363" s="80"/>
      <c r="AC1363" s="80"/>
      <c r="AD1363" s="80"/>
      <c r="AE1363" s="80"/>
      <c r="AF1363" s="80"/>
      <c r="AG1363" s="80"/>
      <c r="AH1363" s="80"/>
      <c r="AI1363" s="80"/>
    </row>
    <row r="1364" spans="1:35" x14ac:dyDescent="0.2">
      <c r="A1364" s="80"/>
      <c r="B1364" s="80"/>
      <c r="C1364" s="80"/>
      <c r="D1364" s="80"/>
      <c r="E1364" s="80"/>
      <c r="F1364" s="80"/>
      <c r="G1364" s="80"/>
      <c r="H1364" s="80"/>
      <c r="I1364" s="80"/>
      <c r="J1364" s="80"/>
      <c r="K1364" s="80"/>
      <c r="L1364" s="2"/>
      <c r="M1364" s="2"/>
      <c r="N1364" s="2"/>
      <c r="O1364" s="2"/>
      <c r="P1364" s="2"/>
      <c r="Q1364" s="2"/>
      <c r="R1364" s="80"/>
      <c r="S1364" s="80"/>
      <c r="T1364" s="80"/>
      <c r="U1364" s="80"/>
      <c r="V1364" s="80"/>
      <c r="W1364" s="80"/>
      <c r="X1364" s="80"/>
      <c r="Y1364" s="80"/>
      <c r="Z1364" s="80"/>
      <c r="AA1364" s="80"/>
      <c r="AB1364" s="80"/>
      <c r="AC1364" s="80"/>
      <c r="AD1364" s="80"/>
      <c r="AE1364" s="80"/>
      <c r="AF1364" s="80"/>
      <c r="AG1364" s="80"/>
      <c r="AH1364" s="80"/>
      <c r="AI1364" s="80"/>
    </row>
    <row r="1365" spans="1:35" x14ac:dyDescent="0.2">
      <c r="A1365" s="80"/>
      <c r="B1365" s="80"/>
      <c r="C1365" s="80"/>
      <c r="D1365" s="80"/>
      <c r="E1365" s="80"/>
      <c r="F1365" s="80"/>
      <c r="G1365" s="80"/>
      <c r="H1365" s="80"/>
      <c r="I1365" s="80"/>
      <c r="J1365" s="80"/>
      <c r="K1365" s="80"/>
      <c r="L1365" s="2"/>
      <c r="M1365" s="2"/>
      <c r="N1365" s="2"/>
      <c r="O1365" s="2"/>
      <c r="P1365" s="2"/>
      <c r="Q1365" s="2"/>
      <c r="R1365" s="80"/>
      <c r="S1365" s="80"/>
      <c r="T1365" s="80"/>
      <c r="U1365" s="80"/>
      <c r="V1365" s="80"/>
      <c r="W1365" s="80"/>
      <c r="X1365" s="80"/>
      <c r="Y1365" s="80"/>
      <c r="Z1365" s="80"/>
      <c r="AA1365" s="80"/>
      <c r="AB1365" s="80"/>
      <c r="AC1365" s="80"/>
      <c r="AD1365" s="80"/>
      <c r="AE1365" s="80"/>
      <c r="AF1365" s="80"/>
      <c r="AG1365" s="80"/>
      <c r="AH1365" s="80"/>
      <c r="AI1365" s="80"/>
    </row>
    <row r="1366" spans="1:35" x14ac:dyDescent="0.2">
      <c r="A1366" s="80"/>
      <c r="B1366" s="80"/>
      <c r="C1366" s="80"/>
      <c r="D1366" s="80"/>
      <c r="E1366" s="80"/>
      <c r="F1366" s="80"/>
      <c r="G1366" s="80"/>
      <c r="H1366" s="80"/>
      <c r="I1366" s="80"/>
      <c r="J1366" s="80"/>
      <c r="K1366" s="80"/>
      <c r="L1366" s="2"/>
      <c r="M1366" s="2"/>
      <c r="N1366" s="2"/>
      <c r="O1366" s="2"/>
      <c r="P1366" s="2"/>
      <c r="Q1366" s="2"/>
      <c r="R1366" s="80"/>
      <c r="S1366" s="80"/>
      <c r="T1366" s="80"/>
      <c r="U1366" s="80"/>
      <c r="V1366" s="80"/>
      <c r="W1366" s="80"/>
      <c r="X1366" s="80"/>
      <c r="Y1366" s="80"/>
      <c r="Z1366" s="80"/>
      <c r="AA1366" s="80"/>
      <c r="AB1366" s="80"/>
      <c r="AC1366" s="80"/>
      <c r="AD1366" s="80"/>
      <c r="AE1366" s="80"/>
      <c r="AF1366" s="80"/>
      <c r="AG1366" s="80"/>
      <c r="AH1366" s="80"/>
      <c r="AI1366" s="80"/>
    </row>
    <row r="1367" spans="1:35" x14ac:dyDescent="0.2">
      <c r="A1367" s="80"/>
      <c r="B1367" s="80"/>
      <c r="C1367" s="80"/>
      <c r="D1367" s="80"/>
      <c r="E1367" s="80"/>
      <c r="F1367" s="80"/>
      <c r="G1367" s="80"/>
      <c r="H1367" s="80"/>
      <c r="I1367" s="80"/>
      <c r="J1367" s="80"/>
      <c r="K1367" s="80"/>
      <c r="L1367" s="2"/>
      <c r="M1367" s="2"/>
      <c r="N1367" s="2"/>
      <c r="O1367" s="2"/>
      <c r="P1367" s="2"/>
      <c r="Q1367" s="2"/>
      <c r="R1367" s="80"/>
      <c r="S1367" s="80"/>
      <c r="T1367" s="80"/>
      <c r="U1367" s="80"/>
      <c r="V1367" s="80"/>
      <c r="W1367" s="80"/>
      <c r="X1367" s="80"/>
      <c r="Y1367" s="80"/>
      <c r="Z1367" s="80"/>
      <c r="AA1367" s="80"/>
      <c r="AB1367" s="80"/>
      <c r="AC1367" s="80"/>
      <c r="AD1367" s="80"/>
      <c r="AE1367" s="80"/>
      <c r="AF1367" s="80"/>
      <c r="AG1367" s="80"/>
      <c r="AH1367" s="80"/>
      <c r="AI1367" s="80"/>
    </row>
    <row r="1368" spans="1:35" x14ac:dyDescent="0.2">
      <c r="A1368" s="80"/>
      <c r="B1368" s="80"/>
      <c r="C1368" s="80"/>
      <c r="D1368" s="80"/>
      <c r="E1368" s="80"/>
      <c r="F1368" s="80"/>
      <c r="G1368" s="80"/>
      <c r="H1368" s="80"/>
      <c r="I1368" s="80"/>
      <c r="J1368" s="80"/>
      <c r="K1368" s="80"/>
      <c r="L1368" s="2"/>
      <c r="M1368" s="2"/>
      <c r="N1368" s="2"/>
      <c r="O1368" s="2"/>
      <c r="P1368" s="2"/>
      <c r="Q1368" s="2"/>
      <c r="R1368" s="80"/>
      <c r="S1368" s="80"/>
      <c r="T1368" s="80"/>
      <c r="U1368" s="80"/>
      <c r="V1368" s="80"/>
      <c r="W1368" s="80"/>
      <c r="X1368" s="80"/>
      <c r="Y1368" s="80"/>
      <c r="Z1368" s="80"/>
      <c r="AA1368" s="80"/>
      <c r="AB1368" s="80"/>
      <c r="AC1368" s="80"/>
      <c r="AD1368" s="80"/>
      <c r="AE1368" s="80"/>
      <c r="AF1368" s="80"/>
      <c r="AG1368" s="80"/>
      <c r="AH1368" s="80"/>
      <c r="AI1368" s="80"/>
    </row>
    <row r="1369" spans="1:35" x14ac:dyDescent="0.2">
      <c r="A1369" s="80"/>
      <c r="B1369" s="80"/>
      <c r="C1369" s="80"/>
      <c r="D1369" s="80"/>
      <c r="E1369" s="80"/>
      <c r="F1369" s="80"/>
      <c r="G1369" s="80"/>
      <c r="H1369" s="80"/>
      <c r="I1369" s="80"/>
      <c r="J1369" s="80"/>
      <c r="K1369" s="80"/>
      <c r="L1369" s="2"/>
      <c r="M1369" s="2"/>
      <c r="N1369" s="2"/>
      <c r="O1369" s="2"/>
      <c r="P1369" s="2"/>
      <c r="Q1369" s="2"/>
      <c r="R1369" s="80"/>
      <c r="S1369" s="80"/>
      <c r="T1369" s="80"/>
      <c r="U1369" s="80"/>
      <c r="V1369" s="80"/>
      <c r="W1369" s="80"/>
      <c r="X1369" s="80"/>
      <c r="Y1369" s="80"/>
      <c r="Z1369" s="80"/>
      <c r="AA1369" s="80"/>
      <c r="AB1369" s="80"/>
      <c r="AC1369" s="80"/>
      <c r="AD1369" s="80"/>
      <c r="AE1369" s="80"/>
      <c r="AF1369" s="80"/>
      <c r="AG1369" s="80"/>
      <c r="AH1369" s="80"/>
      <c r="AI1369" s="80"/>
    </row>
    <row r="1370" spans="1:35" x14ac:dyDescent="0.2">
      <c r="A1370" s="80"/>
      <c r="B1370" s="80"/>
      <c r="C1370" s="80"/>
      <c r="D1370" s="80"/>
      <c r="E1370" s="80"/>
      <c r="F1370" s="80"/>
      <c r="G1370" s="80"/>
      <c r="H1370" s="80"/>
      <c r="I1370" s="80"/>
      <c r="J1370" s="80"/>
      <c r="K1370" s="80"/>
      <c r="L1370" s="2"/>
      <c r="M1370" s="2"/>
      <c r="N1370" s="2"/>
      <c r="O1370" s="2"/>
      <c r="P1370" s="2"/>
      <c r="Q1370" s="2"/>
      <c r="R1370" s="80"/>
      <c r="S1370" s="80"/>
      <c r="T1370" s="80"/>
      <c r="U1370" s="80"/>
      <c r="V1370" s="80"/>
      <c r="W1370" s="80"/>
      <c r="X1370" s="80"/>
      <c r="Y1370" s="80"/>
      <c r="Z1370" s="80"/>
      <c r="AA1370" s="80"/>
      <c r="AB1370" s="80"/>
      <c r="AC1370" s="80"/>
      <c r="AD1370" s="80"/>
      <c r="AE1370" s="80"/>
      <c r="AF1370" s="80"/>
      <c r="AG1370" s="80"/>
      <c r="AH1370" s="80"/>
      <c r="AI1370" s="80"/>
    </row>
    <row r="1371" spans="1:35" x14ac:dyDescent="0.2">
      <c r="A1371" s="80"/>
      <c r="B1371" s="80"/>
      <c r="C1371" s="80"/>
      <c r="D1371" s="80"/>
      <c r="E1371" s="80"/>
      <c r="F1371" s="80"/>
      <c r="G1371" s="80"/>
      <c r="H1371" s="80"/>
      <c r="I1371" s="80"/>
      <c r="J1371" s="80"/>
      <c r="K1371" s="80"/>
      <c r="L1371" s="2"/>
      <c r="M1371" s="2"/>
      <c r="N1371" s="2"/>
      <c r="O1371" s="2"/>
      <c r="P1371" s="2"/>
      <c r="Q1371" s="2"/>
      <c r="R1371" s="80"/>
      <c r="S1371" s="80"/>
      <c r="T1371" s="80"/>
      <c r="U1371" s="80"/>
      <c r="V1371" s="80"/>
      <c r="W1371" s="80"/>
      <c r="X1371" s="80"/>
      <c r="Y1371" s="80"/>
      <c r="Z1371" s="80"/>
      <c r="AA1371" s="80"/>
      <c r="AB1371" s="80"/>
      <c r="AC1371" s="80"/>
      <c r="AD1371" s="80"/>
      <c r="AE1371" s="80"/>
      <c r="AF1371" s="80"/>
      <c r="AG1371" s="80"/>
      <c r="AH1371" s="80"/>
      <c r="AI1371" s="80"/>
    </row>
    <row r="1372" spans="1:35" x14ac:dyDescent="0.2">
      <c r="A1372" s="80"/>
      <c r="B1372" s="80"/>
      <c r="C1372" s="80"/>
      <c r="D1372" s="80"/>
      <c r="E1372" s="80"/>
      <c r="F1372" s="80"/>
      <c r="G1372" s="80"/>
      <c r="H1372" s="80"/>
      <c r="I1372" s="80"/>
      <c r="J1372" s="80"/>
      <c r="K1372" s="80"/>
      <c r="L1372" s="2"/>
      <c r="M1372" s="2"/>
      <c r="N1372" s="2"/>
      <c r="O1372" s="2"/>
      <c r="P1372" s="2"/>
      <c r="Q1372" s="2"/>
      <c r="R1372" s="80"/>
      <c r="S1372" s="80"/>
      <c r="T1372" s="80"/>
      <c r="U1372" s="80"/>
      <c r="V1372" s="80"/>
      <c r="W1372" s="80"/>
      <c r="X1372" s="80"/>
      <c r="Y1372" s="80"/>
      <c r="Z1372" s="80"/>
      <c r="AA1372" s="80"/>
      <c r="AB1372" s="80"/>
      <c r="AC1372" s="80"/>
      <c r="AD1372" s="80"/>
      <c r="AE1372" s="80"/>
      <c r="AF1372" s="80"/>
      <c r="AG1372" s="80"/>
      <c r="AH1372" s="80"/>
      <c r="AI1372" s="80"/>
    </row>
    <row r="1373" spans="1:35" x14ac:dyDescent="0.2">
      <c r="A1373" s="80"/>
      <c r="B1373" s="80"/>
      <c r="C1373" s="80"/>
      <c r="D1373" s="80"/>
      <c r="E1373" s="80"/>
      <c r="F1373" s="80"/>
      <c r="G1373" s="80"/>
      <c r="H1373" s="80"/>
      <c r="I1373" s="80"/>
      <c r="J1373" s="80"/>
      <c r="K1373" s="80"/>
      <c r="L1373" s="2"/>
      <c r="M1373" s="2"/>
      <c r="N1373" s="2"/>
      <c r="O1373" s="2"/>
      <c r="P1373" s="2"/>
      <c r="Q1373" s="2"/>
      <c r="R1373" s="80"/>
      <c r="S1373" s="80"/>
      <c r="T1373" s="80"/>
      <c r="U1373" s="80"/>
      <c r="V1373" s="80"/>
      <c r="W1373" s="80"/>
      <c r="X1373" s="80"/>
      <c r="Y1373" s="80"/>
      <c r="Z1373" s="80"/>
      <c r="AA1373" s="80"/>
      <c r="AB1373" s="80"/>
      <c r="AC1373" s="80"/>
      <c r="AD1373" s="80"/>
      <c r="AE1373" s="80"/>
      <c r="AF1373" s="80"/>
      <c r="AG1373" s="80"/>
      <c r="AH1373" s="80"/>
      <c r="AI1373" s="80"/>
    </row>
    <row r="1374" spans="1:35" x14ac:dyDescent="0.2">
      <c r="A1374" s="80"/>
      <c r="B1374" s="80"/>
      <c r="C1374" s="80"/>
      <c r="D1374" s="80"/>
      <c r="E1374" s="80"/>
      <c r="F1374" s="80"/>
      <c r="G1374" s="80"/>
      <c r="H1374" s="80"/>
      <c r="I1374" s="80"/>
      <c r="J1374" s="80"/>
      <c r="K1374" s="80"/>
      <c r="L1374" s="2"/>
      <c r="M1374" s="2"/>
      <c r="N1374" s="2"/>
      <c r="O1374" s="2"/>
      <c r="P1374" s="2"/>
      <c r="Q1374" s="2"/>
      <c r="R1374" s="80"/>
      <c r="S1374" s="80"/>
      <c r="T1374" s="80"/>
      <c r="U1374" s="80"/>
      <c r="V1374" s="80"/>
      <c r="W1374" s="80"/>
      <c r="X1374" s="80"/>
      <c r="Y1374" s="80"/>
      <c r="Z1374" s="80"/>
      <c r="AA1374" s="80"/>
      <c r="AB1374" s="80"/>
      <c r="AC1374" s="80"/>
      <c r="AD1374" s="80"/>
      <c r="AE1374" s="80"/>
      <c r="AF1374" s="80"/>
      <c r="AG1374" s="80"/>
      <c r="AH1374" s="80"/>
      <c r="AI1374" s="80"/>
    </row>
    <row r="1375" spans="1:35" x14ac:dyDescent="0.2">
      <c r="A1375" s="80"/>
      <c r="B1375" s="80"/>
      <c r="C1375" s="80"/>
      <c r="D1375" s="80"/>
      <c r="E1375" s="80"/>
      <c r="F1375" s="80"/>
      <c r="G1375" s="80"/>
      <c r="H1375" s="80"/>
      <c r="I1375" s="80"/>
      <c r="J1375" s="80"/>
      <c r="K1375" s="80"/>
      <c r="L1375" s="2"/>
      <c r="M1375" s="2"/>
      <c r="N1375" s="2"/>
      <c r="O1375" s="2"/>
      <c r="P1375" s="2"/>
      <c r="Q1375" s="2"/>
      <c r="R1375" s="80"/>
      <c r="S1375" s="80"/>
      <c r="T1375" s="80"/>
      <c r="U1375" s="80"/>
      <c r="V1375" s="80"/>
      <c r="W1375" s="80"/>
      <c r="X1375" s="80"/>
      <c r="Y1375" s="80"/>
      <c r="Z1375" s="80"/>
      <c r="AA1375" s="80"/>
      <c r="AB1375" s="80"/>
      <c r="AC1375" s="80"/>
      <c r="AD1375" s="80"/>
      <c r="AE1375" s="80"/>
      <c r="AF1375" s="80"/>
      <c r="AG1375" s="80"/>
      <c r="AH1375" s="80"/>
      <c r="AI1375" s="80"/>
    </row>
    <row r="1376" spans="1:35" x14ac:dyDescent="0.2">
      <c r="A1376" s="80"/>
      <c r="B1376" s="80"/>
      <c r="C1376" s="80"/>
      <c r="D1376" s="80"/>
      <c r="E1376" s="80"/>
      <c r="F1376" s="80"/>
      <c r="G1376" s="80"/>
      <c r="H1376" s="80"/>
      <c r="I1376" s="80"/>
      <c r="J1376" s="80"/>
      <c r="K1376" s="80"/>
      <c r="L1376" s="2"/>
      <c r="M1376" s="2"/>
      <c r="N1376" s="2"/>
      <c r="O1376" s="2"/>
      <c r="P1376" s="2"/>
      <c r="Q1376" s="2"/>
      <c r="R1376" s="80"/>
      <c r="S1376" s="80"/>
      <c r="T1376" s="80"/>
      <c r="U1376" s="80"/>
      <c r="V1376" s="80"/>
      <c r="W1376" s="80"/>
      <c r="X1376" s="80"/>
      <c r="Y1376" s="80"/>
      <c r="Z1376" s="80"/>
      <c r="AA1376" s="80"/>
      <c r="AB1376" s="80"/>
      <c r="AC1376" s="80"/>
      <c r="AD1376" s="80"/>
      <c r="AE1376" s="80"/>
      <c r="AF1376" s="80"/>
      <c r="AG1376" s="80"/>
      <c r="AH1376" s="80"/>
      <c r="AI1376" s="80"/>
    </row>
    <row r="1377" spans="1:35" x14ac:dyDescent="0.2">
      <c r="A1377" s="80"/>
      <c r="B1377" s="80"/>
      <c r="C1377" s="80"/>
      <c r="D1377" s="80"/>
      <c r="E1377" s="80"/>
      <c r="F1377" s="80"/>
      <c r="G1377" s="80"/>
      <c r="H1377" s="80"/>
      <c r="I1377" s="80"/>
      <c r="J1377" s="80"/>
      <c r="K1377" s="80"/>
      <c r="L1377" s="2"/>
      <c r="M1377" s="2"/>
      <c r="N1377" s="2"/>
      <c r="O1377" s="2"/>
      <c r="P1377" s="2"/>
      <c r="Q1377" s="2"/>
      <c r="R1377" s="80"/>
      <c r="S1377" s="80"/>
      <c r="T1377" s="80"/>
      <c r="U1377" s="80"/>
      <c r="V1377" s="80"/>
      <c r="W1377" s="80"/>
      <c r="X1377" s="80"/>
      <c r="Y1377" s="80"/>
      <c r="Z1377" s="80"/>
      <c r="AA1377" s="80"/>
      <c r="AB1377" s="80"/>
      <c r="AC1377" s="80"/>
      <c r="AD1377" s="80"/>
      <c r="AE1377" s="80"/>
      <c r="AF1377" s="80"/>
      <c r="AG1377" s="80"/>
      <c r="AH1377" s="80"/>
      <c r="AI1377" s="80"/>
    </row>
    <row r="1378" spans="1:35" x14ac:dyDescent="0.2">
      <c r="A1378" s="80"/>
      <c r="B1378" s="80"/>
      <c r="C1378" s="80"/>
      <c r="D1378" s="80"/>
      <c r="E1378" s="80"/>
      <c r="F1378" s="80"/>
      <c r="G1378" s="80"/>
      <c r="H1378" s="80"/>
      <c r="I1378" s="80"/>
      <c r="J1378" s="80"/>
      <c r="K1378" s="80"/>
      <c r="L1378" s="2"/>
      <c r="M1378" s="2"/>
      <c r="N1378" s="2"/>
      <c r="O1378" s="2"/>
      <c r="P1378" s="2"/>
      <c r="Q1378" s="2"/>
      <c r="R1378" s="80"/>
      <c r="S1378" s="80"/>
      <c r="T1378" s="80"/>
      <c r="U1378" s="80"/>
      <c r="V1378" s="80"/>
      <c r="W1378" s="80"/>
      <c r="X1378" s="80"/>
      <c r="Y1378" s="80"/>
      <c r="Z1378" s="80"/>
      <c r="AA1378" s="80"/>
      <c r="AB1378" s="80"/>
      <c r="AC1378" s="80"/>
      <c r="AD1378" s="80"/>
      <c r="AE1378" s="80"/>
      <c r="AF1378" s="80"/>
      <c r="AG1378" s="80"/>
      <c r="AH1378" s="80"/>
      <c r="AI1378" s="80"/>
    </row>
    <row r="1379" spans="1:35" x14ac:dyDescent="0.2">
      <c r="A1379" s="80"/>
      <c r="B1379" s="80"/>
      <c r="C1379" s="80"/>
      <c r="D1379" s="80"/>
      <c r="E1379" s="80"/>
      <c r="F1379" s="80"/>
      <c r="G1379" s="80"/>
      <c r="H1379" s="80"/>
      <c r="I1379" s="80"/>
      <c r="J1379" s="80"/>
      <c r="K1379" s="80"/>
      <c r="L1379" s="2"/>
      <c r="M1379" s="2"/>
      <c r="N1379" s="2"/>
      <c r="O1379" s="2"/>
      <c r="P1379" s="2"/>
      <c r="Q1379" s="2"/>
      <c r="R1379" s="80"/>
      <c r="S1379" s="80"/>
      <c r="T1379" s="80"/>
      <c r="U1379" s="80"/>
      <c r="V1379" s="80"/>
      <c r="W1379" s="80"/>
      <c r="X1379" s="80"/>
      <c r="Y1379" s="80"/>
      <c r="Z1379" s="80"/>
      <c r="AA1379" s="80"/>
      <c r="AB1379" s="80"/>
      <c r="AC1379" s="80"/>
      <c r="AD1379" s="80"/>
      <c r="AE1379" s="80"/>
      <c r="AF1379" s="80"/>
      <c r="AG1379" s="80"/>
      <c r="AH1379" s="80"/>
      <c r="AI1379" s="80"/>
    </row>
    <row r="1380" spans="1:35" x14ac:dyDescent="0.2">
      <c r="A1380" s="80"/>
      <c r="B1380" s="80"/>
      <c r="C1380" s="80"/>
      <c r="D1380" s="80"/>
      <c r="E1380" s="80"/>
      <c r="F1380" s="80"/>
      <c r="G1380" s="80"/>
      <c r="H1380" s="80"/>
      <c r="I1380" s="80"/>
      <c r="J1380" s="80"/>
      <c r="K1380" s="80"/>
      <c r="L1380" s="2"/>
      <c r="M1380" s="2"/>
      <c r="N1380" s="2"/>
      <c r="O1380" s="2"/>
      <c r="P1380" s="2"/>
      <c r="Q1380" s="2"/>
      <c r="R1380" s="80"/>
      <c r="S1380" s="80"/>
      <c r="T1380" s="80"/>
      <c r="U1380" s="80"/>
      <c r="V1380" s="80"/>
      <c r="W1380" s="80"/>
      <c r="X1380" s="80"/>
      <c r="Y1380" s="80"/>
      <c r="Z1380" s="80"/>
      <c r="AA1380" s="80"/>
      <c r="AB1380" s="80"/>
      <c r="AC1380" s="80"/>
      <c r="AD1380" s="80"/>
      <c r="AE1380" s="80"/>
      <c r="AF1380" s="80"/>
      <c r="AG1380" s="80"/>
      <c r="AH1380" s="80"/>
      <c r="AI1380" s="80"/>
    </row>
    <row r="1381" spans="1:35" x14ac:dyDescent="0.2">
      <c r="A1381" s="80"/>
      <c r="B1381" s="80"/>
      <c r="C1381" s="80"/>
      <c r="D1381" s="80"/>
      <c r="E1381" s="80"/>
      <c r="F1381" s="80"/>
      <c r="G1381" s="80"/>
      <c r="H1381" s="80"/>
      <c r="I1381" s="80"/>
      <c r="J1381" s="80"/>
      <c r="K1381" s="80"/>
      <c r="L1381" s="2"/>
      <c r="M1381" s="2"/>
      <c r="N1381" s="2"/>
      <c r="O1381" s="2"/>
      <c r="P1381" s="2"/>
      <c r="Q1381" s="2"/>
      <c r="R1381" s="80"/>
      <c r="S1381" s="80"/>
      <c r="T1381" s="80"/>
      <c r="U1381" s="80"/>
      <c r="V1381" s="80"/>
      <c r="W1381" s="80"/>
      <c r="X1381" s="80"/>
      <c r="Y1381" s="80"/>
      <c r="Z1381" s="80"/>
      <c r="AA1381" s="80"/>
      <c r="AB1381" s="80"/>
      <c r="AC1381" s="80"/>
      <c r="AD1381" s="80"/>
      <c r="AE1381" s="80"/>
      <c r="AF1381" s="80"/>
      <c r="AG1381" s="80"/>
      <c r="AH1381" s="80"/>
      <c r="AI1381" s="80"/>
    </row>
    <row r="1382" spans="1:35" x14ac:dyDescent="0.2">
      <c r="A1382" s="80"/>
      <c r="B1382" s="80"/>
      <c r="C1382" s="80"/>
      <c r="D1382" s="80"/>
      <c r="E1382" s="80"/>
      <c r="F1382" s="80"/>
      <c r="G1382" s="80"/>
      <c r="H1382" s="80"/>
      <c r="I1382" s="80"/>
      <c r="J1382" s="80"/>
      <c r="K1382" s="80"/>
      <c r="L1382" s="2"/>
      <c r="M1382" s="2"/>
      <c r="N1382" s="2"/>
      <c r="O1382" s="2"/>
      <c r="P1382" s="2"/>
      <c r="Q1382" s="2"/>
      <c r="R1382" s="80"/>
      <c r="S1382" s="80"/>
      <c r="T1382" s="80"/>
      <c r="U1382" s="80"/>
      <c r="V1382" s="80"/>
      <c r="W1382" s="80"/>
      <c r="X1382" s="80"/>
      <c r="Y1382" s="80"/>
      <c r="Z1382" s="80"/>
      <c r="AA1382" s="80"/>
      <c r="AB1382" s="80"/>
      <c r="AC1382" s="80"/>
      <c r="AD1382" s="80"/>
      <c r="AE1382" s="80"/>
      <c r="AF1382" s="80"/>
      <c r="AG1382" s="80"/>
      <c r="AH1382" s="80"/>
      <c r="AI1382" s="80"/>
    </row>
    <row r="1383" spans="1:35" x14ac:dyDescent="0.2">
      <c r="A1383" s="80"/>
      <c r="B1383" s="80"/>
      <c r="C1383" s="80"/>
      <c r="D1383" s="80"/>
      <c r="E1383" s="80"/>
      <c r="F1383" s="80"/>
      <c r="G1383" s="80"/>
      <c r="H1383" s="80"/>
      <c r="I1383" s="80"/>
      <c r="J1383" s="80"/>
      <c r="K1383" s="80"/>
      <c r="L1383" s="2"/>
      <c r="M1383" s="2"/>
      <c r="N1383" s="2"/>
      <c r="O1383" s="2"/>
      <c r="P1383" s="2"/>
      <c r="Q1383" s="2"/>
      <c r="R1383" s="80"/>
      <c r="S1383" s="80"/>
      <c r="T1383" s="80"/>
      <c r="U1383" s="80"/>
      <c r="V1383" s="80"/>
      <c r="W1383" s="80"/>
      <c r="X1383" s="80"/>
      <c r="Y1383" s="80"/>
      <c r="Z1383" s="80"/>
      <c r="AA1383" s="80"/>
      <c r="AB1383" s="80"/>
      <c r="AC1383" s="80"/>
      <c r="AD1383" s="80"/>
      <c r="AE1383" s="80"/>
      <c r="AF1383" s="80"/>
      <c r="AG1383" s="80"/>
      <c r="AH1383" s="80"/>
      <c r="AI1383" s="80"/>
    </row>
    <row r="1384" spans="1:35" x14ac:dyDescent="0.2">
      <c r="A1384" s="80"/>
      <c r="B1384" s="80"/>
      <c r="C1384" s="80"/>
      <c r="D1384" s="80"/>
      <c r="E1384" s="80"/>
      <c r="F1384" s="80"/>
      <c r="G1384" s="80"/>
      <c r="H1384" s="80"/>
      <c r="I1384" s="80"/>
      <c r="J1384" s="80"/>
      <c r="K1384" s="80"/>
      <c r="L1384" s="2"/>
      <c r="M1384" s="2"/>
      <c r="N1384" s="2"/>
      <c r="O1384" s="2"/>
      <c r="P1384" s="2"/>
      <c r="Q1384" s="2"/>
      <c r="R1384" s="80"/>
      <c r="S1384" s="80"/>
      <c r="T1384" s="80"/>
      <c r="U1384" s="80"/>
      <c r="V1384" s="80"/>
      <c r="W1384" s="80"/>
      <c r="X1384" s="80"/>
      <c r="Y1384" s="80"/>
      <c r="Z1384" s="80"/>
      <c r="AA1384" s="80"/>
      <c r="AB1384" s="80"/>
      <c r="AC1384" s="80"/>
      <c r="AD1384" s="80"/>
      <c r="AE1384" s="80"/>
      <c r="AF1384" s="80"/>
      <c r="AG1384" s="80"/>
      <c r="AH1384" s="80"/>
      <c r="AI1384" s="80"/>
    </row>
    <row r="1385" spans="1:35" x14ac:dyDescent="0.2">
      <c r="A1385" s="80"/>
      <c r="B1385" s="80"/>
      <c r="C1385" s="80"/>
      <c r="D1385" s="80"/>
      <c r="E1385" s="80"/>
      <c r="F1385" s="80"/>
      <c r="G1385" s="80"/>
      <c r="H1385" s="80"/>
      <c r="I1385" s="80"/>
      <c r="J1385" s="80"/>
      <c r="K1385" s="80"/>
      <c r="L1385" s="2"/>
      <c r="M1385" s="2"/>
      <c r="N1385" s="2"/>
      <c r="O1385" s="2"/>
      <c r="P1385" s="2"/>
      <c r="Q1385" s="2"/>
      <c r="R1385" s="80"/>
      <c r="S1385" s="80"/>
      <c r="T1385" s="80"/>
      <c r="U1385" s="80"/>
      <c r="V1385" s="80"/>
      <c r="W1385" s="80"/>
      <c r="X1385" s="80"/>
      <c r="Y1385" s="80"/>
      <c r="Z1385" s="80"/>
      <c r="AA1385" s="80"/>
      <c r="AB1385" s="80"/>
      <c r="AC1385" s="80"/>
      <c r="AD1385" s="80"/>
      <c r="AE1385" s="80"/>
      <c r="AF1385" s="80"/>
      <c r="AG1385" s="80"/>
      <c r="AH1385" s="80"/>
      <c r="AI1385" s="80"/>
    </row>
    <row r="1386" spans="1:35" x14ac:dyDescent="0.2">
      <c r="A1386" s="80"/>
      <c r="B1386" s="80"/>
      <c r="C1386" s="80"/>
      <c r="D1386" s="80"/>
      <c r="E1386" s="80"/>
      <c r="F1386" s="80"/>
      <c r="G1386" s="80"/>
      <c r="H1386" s="80"/>
      <c r="I1386" s="80"/>
      <c r="J1386" s="80"/>
      <c r="K1386" s="80"/>
      <c r="L1386" s="2"/>
      <c r="M1386" s="2"/>
      <c r="N1386" s="2"/>
      <c r="O1386" s="2"/>
      <c r="P1386" s="2"/>
      <c r="Q1386" s="2"/>
      <c r="R1386" s="80"/>
      <c r="S1386" s="80"/>
      <c r="T1386" s="80"/>
      <c r="U1386" s="80"/>
      <c r="V1386" s="80"/>
      <c r="W1386" s="80"/>
      <c r="X1386" s="80"/>
      <c r="Y1386" s="80"/>
      <c r="Z1386" s="80"/>
      <c r="AA1386" s="80"/>
      <c r="AB1386" s="80"/>
      <c r="AC1386" s="80"/>
      <c r="AD1386" s="80"/>
      <c r="AE1386" s="80"/>
      <c r="AF1386" s="80"/>
      <c r="AG1386" s="80"/>
      <c r="AH1386" s="80"/>
      <c r="AI1386" s="80"/>
    </row>
    <row r="1387" spans="1:35" x14ac:dyDescent="0.2">
      <c r="A1387" s="80"/>
      <c r="B1387" s="80"/>
      <c r="C1387" s="80"/>
      <c r="D1387" s="80"/>
      <c r="E1387" s="80"/>
      <c r="F1387" s="80"/>
      <c r="G1387" s="80"/>
      <c r="H1387" s="80"/>
      <c r="I1387" s="80"/>
      <c r="J1387" s="80"/>
      <c r="K1387" s="80"/>
      <c r="L1387" s="2"/>
      <c r="M1387" s="2"/>
      <c r="N1387" s="2"/>
      <c r="O1387" s="2"/>
      <c r="P1387" s="2"/>
      <c r="Q1387" s="2"/>
      <c r="R1387" s="80"/>
      <c r="S1387" s="80"/>
      <c r="T1387" s="80"/>
      <c r="U1387" s="80"/>
      <c r="V1387" s="80"/>
      <c r="W1387" s="80"/>
      <c r="X1387" s="80"/>
      <c r="Y1387" s="80"/>
      <c r="Z1387" s="80"/>
      <c r="AA1387" s="80"/>
      <c r="AB1387" s="80"/>
      <c r="AC1387" s="80"/>
      <c r="AD1387" s="80"/>
      <c r="AE1387" s="80"/>
      <c r="AF1387" s="80"/>
      <c r="AG1387" s="80"/>
      <c r="AH1387" s="80"/>
      <c r="AI1387" s="80"/>
    </row>
    <row r="1388" spans="1:35" x14ac:dyDescent="0.2">
      <c r="A1388" s="80"/>
      <c r="B1388" s="80"/>
      <c r="C1388" s="80"/>
      <c r="D1388" s="80"/>
      <c r="E1388" s="80"/>
      <c r="F1388" s="80"/>
      <c r="G1388" s="80"/>
      <c r="H1388" s="80"/>
      <c r="I1388" s="80"/>
      <c r="J1388" s="80"/>
      <c r="K1388" s="80"/>
      <c r="L1388" s="2"/>
      <c r="M1388" s="2"/>
      <c r="N1388" s="2"/>
      <c r="O1388" s="2"/>
      <c r="P1388" s="2"/>
      <c r="Q1388" s="2"/>
      <c r="R1388" s="80"/>
      <c r="S1388" s="80"/>
      <c r="T1388" s="80"/>
      <c r="U1388" s="80"/>
      <c r="V1388" s="80"/>
      <c r="W1388" s="80"/>
      <c r="X1388" s="80"/>
      <c r="Y1388" s="80"/>
      <c r="Z1388" s="80"/>
      <c r="AA1388" s="80"/>
      <c r="AB1388" s="80"/>
      <c r="AC1388" s="80"/>
      <c r="AD1388" s="80"/>
      <c r="AE1388" s="80"/>
      <c r="AF1388" s="80"/>
      <c r="AG1388" s="80"/>
      <c r="AH1388" s="80"/>
      <c r="AI1388" s="80"/>
    </row>
    <row r="1389" spans="1:35" x14ac:dyDescent="0.2">
      <c r="A1389" s="80"/>
      <c r="B1389" s="80"/>
      <c r="C1389" s="80"/>
      <c r="D1389" s="80"/>
      <c r="E1389" s="80"/>
      <c r="F1389" s="80"/>
      <c r="G1389" s="80"/>
      <c r="H1389" s="80"/>
      <c r="I1389" s="80"/>
      <c r="J1389" s="80"/>
      <c r="K1389" s="80"/>
      <c r="L1389" s="2"/>
      <c r="M1389" s="2"/>
      <c r="N1389" s="2"/>
      <c r="O1389" s="2"/>
      <c r="P1389" s="2"/>
      <c r="Q1389" s="2"/>
      <c r="R1389" s="80"/>
      <c r="S1389" s="80"/>
      <c r="T1389" s="80"/>
      <c r="U1389" s="80"/>
      <c r="V1389" s="80"/>
      <c r="W1389" s="80"/>
      <c r="X1389" s="80"/>
      <c r="Y1389" s="80"/>
      <c r="Z1389" s="80"/>
      <c r="AA1389" s="80"/>
      <c r="AB1389" s="80"/>
      <c r="AC1389" s="80"/>
      <c r="AD1389" s="80"/>
      <c r="AE1389" s="80"/>
      <c r="AF1389" s="80"/>
      <c r="AG1389" s="80"/>
      <c r="AH1389" s="80"/>
      <c r="AI1389" s="80"/>
    </row>
    <row r="1390" spans="1:35" x14ac:dyDescent="0.2">
      <c r="A1390" s="80"/>
      <c r="B1390" s="80"/>
      <c r="C1390" s="80"/>
      <c r="D1390" s="80"/>
      <c r="E1390" s="80"/>
      <c r="F1390" s="80"/>
      <c r="G1390" s="80"/>
      <c r="H1390" s="80"/>
      <c r="I1390" s="80"/>
      <c r="J1390" s="80"/>
      <c r="K1390" s="80"/>
      <c r="L1390" s="2"/>
      <c r="M1390" s="2"/>
      <c r="N1390" s="2"/>
      <c r="O1390" s="2"/>
      <c r="P1390" s="2"/>
      <c r="Q1390" s="2"/>
      <c r="R1390" s="80"/>
      <c r="S1390" s="80"/>
      <c r="T1390" s="80"/>
      <c r="U1390" s="80"/>
      <c r="V1390" s="80"/>
      <c r="W1390" s="80"/>
      <c r="X1390" s="80"/>
      <c r="Y1390" s="80"/>
      <c r="Z1390" s="80"/>
      <c r="AA1390" s="80"/>
      <c r="AB1390" s="80"/>
      <c r="AC1390" s="80"/>
      <c r="AD1390" s="80"/>
      <c r="AE1390" s="80"/>
      <c r="AF1390" s="80"/>
      <c r="AG1390" s="80"/>
      <c r="AH1390" s="80"/>
      <c r="AI1390" s="80"/>
    </row>
    <row r="1391" spans="1:35" x14ac:dyDescent="0.2">
      <c r="A1391" s="80"/>
      <c r="B1391" s="80"/>
      <c r="C1391" s="80"/>
      <c r="D1391" s="80"/>
      <c r="E1391" s="80"/>
      <c r="F1391" s="80"/>
      <c r="G1391" s="80"/>
      <c r="H1391" s="80"/>
      <c r="I1391" s="80"/>
      <c r="J1391" s="80"/>
      <c r="K1391" s="80"/>
      <c r="L1391" s="2"/>
      <c r="M1391" s="2"/>
      <c r="N1391" s="2"/>
      <c r="O1391" s="2"/>
      <c r="P1391" s="2"/>
      <c r="Q1391" s="2"/>
      <c r="R1391" s="80"/>
      <c r="S1391" s="80"/>
      <c r="T1391" s="80"/>
      <c r="U1391" s="80"/>
      <c r="V1391" s="80"/>
      <c r="W1391" s="80"/>
      <c r="X1391" s="80"/>
      <c r="Y1391" s="80"/>
      <c r="Z1391" s="80"/>
      <c r="AA1391" s="80"/>
      <c r="AB1391" s="80"/>
      <c r="AC1391" s="80"/>
      <c r="AD1391" s="80"/>
      <c r="AE1391" s="80"/>
      <c r="AF1391" s="80"/>
      <c r="AG1391" s="80"/>
      <c r="AH1391" s="80"/>
      <c r="AI1391" s="80"/>
    </row>
    <row r="1392" spans="1:35" x14ac:dyDescent="0.2">
      <c r="A1392" s="80"/>
      <c r="B1392" s="80"/>
      <c r="C1392" s="80"/>
      <c r="D1392" s="80"/>
      <c r="E1392" s="80"/>
      <c r="F1392" s="80"/>
      <c r="G1392" s="80"/>
      <c r="H1392" s="80"/>
      <c r="I1392" s="80"/>
      <c r="J1392" s="80"/>
      <c r="K1392" s="80"/>
      <c r="L1392" s="2"/>
      <c r="M1392" s="2"/>
      <c r="N1392" s="2"/>
      <c r="O1392" s="2"/>
      <c r="P1392" s="2"/>
      <c r="Q1392" s="2"/>
      <c r="R1392" s="80"/>
      <c r="S1392" s="80"/>
      <c r="T1392" s="80"/>
      <c r="U1392" s="80"/>
      <c r="V1392" s="80"/>
      <c r="W1392" s="80"/>
      <c r="X1392" s="80"/>
      <c r="Y1392" s="80"/>
      <c r="Z1392" s="80"/>
      <c r="AA1392" s="80"/>
      <c r="AB1392" s="80"/>
      <c r="AC1392" s="80"/>
      <c r="AD1392" s="80"/>
      <c r="AE1392" s="80"/>
      <c r="AF1392" s="80"/>
      <c r="AG1392" s="80"/>
      <c r="AH1392" s="80"/>
      <c r="AI1392" s="80"/>
    </row>
    <row r="1393" spans="1:35" x14ac:dyDescent="0.2">
      <c r="A1393" s="80"/>
      <c r="B1393" s="80"/>
      <c r="C1393" s="80"/>
      <c r="D1393" s="80"/>
      <c r="E1393" s="80"/>
      <c r="F1393" s="80"/>
      <c r="G1393" s="80"/>
      <c r="H1393" s="80"/>
      <c r="I1393" s="80"/>
      <c r="J1393" s="80"/>
      <c r="K1393" s="80"/>
      <c r="L1393" s="2"/>
      <c r="M1393" s="2"/>
      <c r="N1393" s="2"/>
      <c r="O1393" s="2"/>
      <c r="P1393" s="2"/>
      <c r="Q1393" s="2"/>
      <c r="R1393" s="80"/>
      <c r="S1393" s="80"/>
      <c r="T1393" s="80"/>
      <c r="U1393" s="80"/>
      <c r="V1393" s="80"/>
      <c r="W1393" s="80"/>
      <c r="X1393" s="80"/>
      <c r="Y1393" s="80"/>
      <c r="Z1393" s="80"/>
      <c r="AA1393" s="80"/>
      <c r="AB1393" s="80"/>
      <c r="AC1393" s="80"/>
      <c r="AD1393" s="80"/>
      <c r="AE1393" s="80"/>
      <c r="AF1393" s="80"/>
      <c r="AG1393" s="80"/>
      <c r="AH1393" s="80"/>
      <c r="AI1393" s="80"/>
    </row>
    <row r="1394" spans="1:35" x14ac:dyDescent="0.2">
      <c r="A1394" s="80"/>
      <c r="B1394" s="80"/>
      <c r="C1394" s="80"/>
      <c r="D1394" s="80"/>
      <c r="E1394" s="80"/>
      <c r="F1394" s="80"/>
      <c r="G1394" s="80"/>
      <c r="H1394" s="80"/>
      <c r="I1394" s="80"/>
      <c r="J1394" s="80"/>
      <c r="K1394" s="80"/>
      <c r="L1394" s="2"/>
      <c r="M1394" s="2"/>
      <c r="N1394" s="2"/>
      <c r="O1394" s="2"/>
      <c r="P1394" s="2"/>
      <c r="Q1394" s="2"/>
      <c r="R1394" s="80"/>
      <c r="S1394" s="80"/>
      <c r="T1394" s="80"/>
      <c r="U1394" s="80"/>
      <c r="V1394" s="80"/>
      <c r="W1394" s="80"/>
      <c r="X1394" s="80"/>
      <c r="Y1394" s="80"/>
      <c r="Z1394" s="80"/>
      <c r="AA1394" s="80"/>
      <c r="AB1394" s="80"/>
      <c r="AC1394" s="80"/>
      <c r="AD1394" s="80"/>
      <c r="AE1394" s="80"/>
      <c r="AF1394" s="80"/>
      <c r="AG1394" s="80"/>
      <c r="AH1394" s="80"/>
      <c r="AI1394" s="80"/>
    </row>
    <row r="1395" spans="1:35" x14ac:dyDescent="0.2">
      <c r="A1395" s="80"/>
      <c r="B1395" s="80"/>
      <c r="C1395" s="80"/>
      <c r="D1395" s="80"/>
      <c r="E1395" s="80"/>
      <c r="F1395" s="80"/>
      <c r="G1395" s="80"/>
      <c r="H1395" s="80"/>
      <c r="I1395" s="80"/>
      <c r="J1395" s="80"/>
      <c r="K1395" s="80"/>
      <c r="L1395" s="2"/>
      <c r="M1395" s="2"/>
      <c r="N1395" s="2"/>
      <c r="O1395" s="2"/>
      <c r="P1395" s="2"/>
      <c r="Q1395" s="2"/>
      <c r="R1395" s="80"/>
      <c r="S1395" s="80"/>
      <c r="T1395" s="80"/>
      <c r="U1395" s="80"/>
      <c r="V1395" s="80"/>
      <c r="W1395" s="80"/>
      <c r="X1395" s="80"/>
      <c r="Y1395" s="80"/>
      <c r="Z1395" s="80"/>
      <c r="AA1395" s="80"/>
      <c r="AB1395" s="80"/>
      <c r="AC1395" s="80"/>
      <c r="AD1395" s="80"/>
      <c r="AE1395" s="80"/>
      <c r="AF1395" s="80"/>
      <c r="AG1395" s="80"/>
      <c r="AH1395" s="80"/>
      <c r="AI1395" s="80"/>
    </row>
    <row r="1396" spans="1:35" x14ac:dyDescent="0.2">
      <c r="A1396" s="80"/>
      <c r="B1396" s="80"/>
      <c r="C1396" s="80"/>
      <c r="D1396" s="80"/>
      <c r="E1396" s="80"/>
      <c r="F1396" s="80"/>
      <c r="G1396" s="80"/>
      <c r="H1396" s="80"/>
      <c r="I1396" s="80"/>
      <c r="J1396" s="80"/>
      <c r="K1396" s="80"/>
      <c r="L1396" s="2"/>
      <c r="M1396" s="2"/>
      <c r="N1396" s="2"/>
      <c r="O1396" s="2"/>
      <c r="P1396" s="2"/>
      <c r="Q1396" s="2"/>
      <c r="R1396" s="80"/>
      <c r="S1396" s="80"/>
      <c r="T1396" s="80"/>
      <c r="U1396" s="80"/>
      <c r="V1396" s="80"/>
      <c r="W1396" s="80"/>
      <c r="X1396" s="80"/>
      <c r="Y1396" s="80"/>
      <c r="Z1396" s="80"/>
      <c r="AA1396" s="80"/>
      <c r="AB1396" s="80"/>
      <c r="AC1396" s="80"/>
      <c r="AD1396" s="80"/>
      <c r="AE1396" s="80"/>
      <c r="AF1396" s="80"/>
      <c r="AG1396" s="80"/>
      <c r="AH1396" s="80"/>
      <c r="AI1396" s="80"/>
    </row>
    <row r="1397" spans="1:35" x14ac:dyDescent="0.2">
      <c r="A1397" s="80"/>
      <c r="B1397" s="80"/>
      <c r="C1397" s="80"/>
      <c r="D1397" s="80"/>
      <c r="E1397" s="80"/>
      <c r="F1397" s="80"/>
      <c r="G1397" s="80"/>
      <c r="H1397" s="80"/>
      <c r="I1397" s="80"/>
      <c r="J1397" s="80"/>
      <c r="K1397" s="80"/>
      <c r="L1397" s="2"/>
      <c r="M1397" s="2"/>
      <c r="N1397" s="2"/>
      <c r="O1397" s="2"/>
      <c r="P1397" s="2"/>
      <c r="Q1397" s="2"/>
      <c r="R1397" s="80"/>
      <c r="S1397" s="80"/>
      <c r="T1397" s="80"/>
      <c r="U1397" s="80"/>
      <c r="V1397" s="80"/>
      <c r="W1397" s="80"/>
      <c r="X1397" s="80"/>
      <c r="Y1397" s="80"/>
      <c r="Z1397" s="80"/>
      <c r="AA1397" s="80"/>
      <c r="AB1397" s="80"/>
      <c r="AC1397" s="80"/>
      <c r="AD1397" s="80"/>
      <c r="AE1397" s="80"/>
      <c r="AF1397" s="80"/>
      <c r="AG1397" s="80"/>
      <c r="AH1397" s="80"/>
      <c r="AI1397" s="80"/>
    </row>
    <row r="1398" spans="1:35" x14ac:dyDescent="0.2">
      <c r="A1398" s="80"/>
      <c r="B1398" s="80"/>
      <c r="C1398" s="80"/>
      <c r="D1398" s="80"/>
      <c r="E1398" s="80"/>
      <c r="F1398" s="80"/>
      <c r="G1398" s="80"/>
      <c r="H1398" s="80"/>
      <c r="I1398" s="80"/>
      <c r="J1398" s="80"/>
      <c r="K1398" s="80"/>
      <c r="L1398" s="2"/>
      <c r="M1398" s="2"/>
      <c r="N1398" s="2"/>
      <c r="O1398" s="2"/>
      <c r="P1398" s="2"/>
      <c r="Q1398" s="2"/>
      <c r="R1398" s="80"/>
      <c r="S1398" s="80"/>
      <c r="T1398" s="80"/>
      <c r="U1398" s="80"/>
      <c r="V1398" s="80"/>
      <c r="W1398" s="80"/>
      <c r="X1398" s="80"/>
      <c r="Y1398" s="80"/>
      <c r="Z1398" s="80"/>
      <c r="AA1398" s="80"/>
      <c r="AB1398" s="80"/>
      <c r="AC1398" s="80"/>
      <c r="AD1398" s="80"/>
      <c r="AE1398" s="80"/>
      <c r="AF1398" s="80"/>
      <c r="AG1398" s="80"/>
      <c r="AH1398" s="80"/>
      <c r="AI1398" s="80"/>
    </row>
    <row r="1399" spans="1:35" x14ac:dyDescent="0.2">
      <c r="A1399" s="80"/>
      <c r="B1399" s="80"/>
      <c r="C1399" s="80"/>
      <c r="D1399" s="80"/>
      <c r="E1399" s="80"/>
      <c r="F1399" s="80"/>
      <c r="G1399" s="80"/>
      <c r="H1399" s="80"/>
      <c r="I1399" s="80"/>
      <c r="J1399" s="80"/>
      <c r="K1399" s="80"/>
      <c r="L1399" s="2"/>
      <c r="M1399" s="2"/>
      <c r="N1399" s="2"/>
      <c r="O1399" s="2"/>
      <c r="P1399" s="2"/>
      <c r="Q1399" s="2"/>
      <c r="R1399" s="80"/>
      <c r="S1399" s="80"/>
      <c r="T1399" s="80"/>
      <c r="U1399" s="80"/>
      <c r="V1399" s="80"/>
      <c r="W1399" s="80"/>
      <c r="X1399" s="80"/>
      <c r="Y1399" s="80"/>
      <c r="Z1399" s="80"/>
      <c r="AA1399" s="80"/>
      <c r="AB1399" s="80"/>
      <c r="AC1399" s="80"/>
      <c r="AD1399" s="80"/>
      <c r="AE1399" s="80"/>
      <c r="AF1399" s="80"/>
      <c r="AG1399" s="80"/>
      <c r="AH1399" s="80"/>
      <c r="AI1399" s="80"/>
    </row>
    <row r="1400" spans="1:35" x14ac:dyDescent="0.2">
      <c r="A1400" s="80"/>
      <c r="B1400" s="80"/>
      <c r="C1400" s="80"/>
      <c r="D1400" s="80"/>
      <c r="E1400" s="80"/>
      <c r="F1400" s="80"/>
      <c r="G1400" s="80"/>
      <c r="H1400" s="80"/>
      <c r="I1400" s="80"/>
      <c r="J1400" s="80"/>
      <c r="K1400" s="80"/>
      <c r="L1400" s="2"/>
      <c r="M1400" s="2"/>
      <c r="N1400" s="2"/>
      <c r="O1400" s="2"/>
      <c r="P1400" s="2"/>
      <c r="Q1400" s="2"/>
      <c r="R1400" s="80"/>
      <c r="S1400" s="80"/>
      <c r="T1400" s="80"/>
      <c r="U1400" s="80"/>
      <c r="V1400" s="80"/>
      <c r="W1400" s="80"/>
      <c r="X1400" s="80"/>
      <c r="Y1400" s="80"/>
      <c r="Z1400" s="80"/>
      <c r="AA1400" s="80"/>
      <c r="AB1400" s="80"/>
      <c r="AC1400" s="80"/>
      <c r="AD1400" s="80"/>
      <c r="AE1400" s="80"/>
      <c r="AF1400" s="80"/>
      <c r="AG1400" s="80"/>
      <c r="AH1400" s="80"/>
      <c r="AI1400" s="80"/>
    </row>
    <row r="1401" spans="1:35" x14ac:dyDescent="0.2">
      <c r="A1401" s="80"/>
      <c r="B1401" s="80"/>
      <c r="C1401" s="80"/>
      <c r="D1401" s="80"/>
      <c r="E1401" s="80"/>
      <c r="F1401" s="80"/>
      <c r="G1401" s="80"/>
      <c r="H1401" s="80"/>
      <c r="I1401" s="80"/>
      <c r="J1401" s="80"/>
      <c r="K1401" s="80"/>
      <c r="L1401" s="2"/>
      <c r="M1401" s="2"/>
      <c r="N1401" s="2"/>
      <c r="O1401" s="2"/>
      <c r="P1401" s="2"/>
      <c r="Q1401" s="2"/>
      <c r="R1401" s="80"/>
      <c r="S1401" s="80"/>
      <c r="T1401" s="80"/>
      <c r="U1401" s="80"/>
      <c r="V1401" s="80"/>
      <c r="W1401" s="80"/>
      <c r="X1401" s="80"/>
      <c r="Y1401" s="80"/>
      <c r="Z1401" s="80"/>
      <c r="AA1401" s="80"/>
      <c r="AB1401" s="80"/>
      <c r="AC1401" s="80"/>
      <c r="AD1401" s="80"/>
      <c r="AE1401" s="80"/>
      <c r="AF1401" s="80"/>
      <c r="AG1401" s="80"/>
      <c r="AH1401" s="80"/>
      <c r="AI1401" s="80"/>
    </row>
    <row r="1402" spans="1:35" x14ac:dyDescent="0.2">
      <c r="A1402" s="80"/>
      <c r="B1402" s="80"/>
      <c r="C1402" s="80"/>
      <c r="D1402" s="80"/>
      <c r="E1402" s="80"/>
      <c r="F1402" s="80"/>
      <c r="G1402" s="80"/>
      <c r="H1402" s="80"/>
      <c r="I1402" s="80"/>
      <c r="J1402" s="80"/>
      <c r="K1402" s="80"/>
      <c r="L1402" s="2"/>
      <c r="M1402" s="2"/>
      <c r="N1402" s="2"/>
      <c r="O1402" s="2"/>
      <c r="P1402" s="2"/>
      <c r="Q1402" s="2"/>
      <c r="R1402" s="80"/>
      <c r="S1402" s="80"/>
      <c r="T1402" s="80"/>
      <c r="U1402" s="80"/>
      <c r="V1402" s="80"/>
      <c r="W1402" s="80"/>
      <c r="X1402" s="80"/>
      <c r="Y1402" s="80"/>
      <c r="Z1402" s="80"/>
      <c r="AA1402" s="80"/>
      <c r="AB1402" s="80"/>
      <c r="AC1402" s="80"/>
      <c r="AD1402" s="80"/>
      <c r="AE1402" s="80"/>
      <c r="AF1402" s="80"/>
      <c r="AG1402" s="80"/>
      <c r="AH1402" s="80"/>
      <c r="AI1402" s="80"/>
    </row>
    <row r="1403" spans="1:35" x14ac:dyDescent="0.2">
      <c r="A1403" s="80"/>
      <c r="B1403" s="80"/>
      <c r="C1403" s="80"/>
      <c r="D1403" s="80"/>
      <c r="E1403" s="80"/>
      <c r="F1403" s="80"/>
      <c r="G1403" s="80"/>
      <c r="H1403" s="80"/>
      <c r="I1403" s="80"/>
      <c r="J1403" s="80"/>
      <c r="K1403" s="80"/>
      <c r="L1403" s="2"/>
      <c r="M1403" s="2"/>
      <c r="N1403" s="2"/>
      <c r="O1403" s="2"/>
      <c r="P1403" s="2"/>
      <c r="Q1403" s="2"/>
      <c r="R1403" s="80"/>
      <c r="S1403" s="80"/>
      <c r="T1403" s="80"/>
      <c r="U1403" s="80"/>
      <c r="V1403" s="80"/>
      <c r="W1403" s="80"/>
      <c r="X1403" s="80"/>
      <c r="Y1403" s="80"/>
      <c r="Z1403" s="80"/>
      <c r="AA1403" s="80"/>
      <c r="AB1403" s="80"/>
      <c r="AC1403" s="80"/>
      <c r="AD1403" s="80"/>
      <c r="AE1403" s="80"/>
      <c r="AF1403" s="80"/>
      <c r="AG1403" s="80"/>
      <c r="AH1403" s="80"/>
      <c r="AI1403" s="80"/>
    </row>
    <row r="1404" spans="1:35" x14ac:dyDescent="0.2">
      <c r="A1404" s="80"/>
      <c r="B1404" s="80"/>
      <c r="C1404" s="80"/>
      <c r="D1404" s="80"/>
      <c r="E1404" s="80"/>
      <c r="F1404" s="80"/>
      <c r="G1404" s="80"/>
      <c r="H1404" s="80"/>
      <c r="I1404" s="80"/>
      <c r="J1404" s="80"/>
      <c r="K1404" s="80"/>
      <c r="L1404" s="2"/>
      <c r="M1404" s="2"/>
      <c r="N1404" s="2"/>
      <c r="O1404" s="2"/>
      <c r="P1404" s="2"/>
      <c r="Q1404" s="2"/>
      <c r="R1404" s="80"/>
      <c r="S1404" s="80"/>
      <c r="T1404" s="80"/>
      <c r="U1404" s="80"/>
      <c r="V1404" s="80"/>
      <c r="W1404" s="80"/>
      <c r="X1404" s="80"/>
      <c r="Y1404" s="80"/>
      <c r="Z1404" s="80"/>
      <c r="AA1404" s="80"/>
      <c r="AB1404" s="80"/>
      <c r="AC1404" s="80"/>
      <c r="AD1404" s="80"/>
      <c r="AE1404" s="80"/>
      <c r="AF1404" s="80"/>
      <c r="AG1404" s="80"/>
      <c r="AH1404" s="80"/>
      <c r="AI1404" s="80"/>
    </row>
    <row r="1405" spans="1:35" x14ac:dyDescent="0.2">
      <c r="A1405" s="80"/>
      <c r="B1405" s="80"/>
      <c r="C1405" s="80"/>
      <c r="D1405" s="80"/>
      <c r="E1405" s="80"/>
      <c r="F1405" s="80"/>
      <c r="G1405" s="80"/>
      <c r="H1405" s="80"/>
      <c r="I1405" s="80"/>
      <c r="J1405" s="80"/>
      <c r="K1405" s="80"/>
      <c r="L1405" s="2"/>
      <c r="M1405" s="2"/>
      <c r="N1405" s="2"/>
      <c r="O1405" s="2"/>
      <c r="P1405" s="2"/>
      <c r="Q1405" s="2"/>
      <c r="R1405" s="80"/>
      <c r="S1405" s="80"/>
      <c r="T1405" s="80"/>
      <c r="U1405" s="80"/>
      <c r="V1405" s="80"/>
      <c r="W1405" s="80"/>
      <c r="X1405" s="80"/>
      <c r="Y1405" s="80"/>
      <c r="Z1405" s="80"/>
      <c r="AA1405" s="80"/>
      <c r="AB1405" s="80"/>
      <c r="AC1405" s="80"/>
      <c r="AD1405" s="80"/>
      <c r="AE1405" s="80"/>
      <c r="AF1405" s="80"/>
      <c r="AG1405" s="80"/>
      <c r="AH1405" s="80"/>
      <c r="AI1405" s="80"/>
    </row>
    <row r="1406" spans="1:35" x14ac:dyDescent="0.2">
      <c r="A1406" s="80"/>
      <c r="B1406" s="80"/>
      <c r="C1406" s="80"/>
      <c r="D1406" s="80"/>
      <c r="E1406" s="80"/>
      <c r="F1406" s="80"/>
      <c r="G1406" s="80"/>
      <c r="H1406" s="80"/>
      <c r="I1406" s="80"/>
      <c r="J1406" s="80"/>
      <c r="K1406" s="80"/>
      <c r="L1406" s="2"/>
      <c r="M1406" s="2"/>
      <c r="N1406" s="2"/>
      <c r="O1406" s="2"/>
      <c r="P1406" s="2"/>
      <c r="Q1406" s="2"/>
      <c r="R1406" s="80"/>
      <c r="S1406" s="80"/>
      <c r="T1406" s="80"/>
      <c r="U1406" s="80"/>
      <c r="V1406" s="80"/>
      <c r="W1406" s="80"/>
      <c r="X1406" s="80"/>
      <c r="Y1406" s="80"/>
      <c r="Z1406" s="80"/>
      <c r="AA1406" s="80"/>
      <c r="AB1406" s="80"/>
      <c r="AC1406" s="80"/>
      <c r="AD1406" s="80"/>
      <c r="AE1406" s="80"/>
      <c r="AF1406" s="80"/>
      <c r="AG1406" s="80"/>
      <c r="AH1406" s="80"/>
      <c r="AI1406" s="80"/>
    </row>
    <row r="1407" spans="1:35" x14ac:dyDescent="0.2">
      <c r="A1407" s="80"/>
      <c r="B1407" s="80"/>
      <c r="C1407" s="80"/>
      <c r="D1407" s="80"/>
      <c r="E1407" s="80"/>
      <c r="F1407" s="80"/>
      <c r="G1407" s="80"/>
      <c r="H1407" s="80"/>
      <c r="I1407" s="80"/>
      <c r="J1407" s="80"/>
      <c r="K1407" s="80"/>
      <c r="L1407" s="2"/>
      <c r="M1407" s="2"/>
      <c r="N1407" s="2"/>
      <c r="O1407" s="2"/>
      <c r="P1407" s="2"/>
      <c r="Q1407" s="2"/>
      <c r="R1407" s="80"/>
      <c r="S1407" s="80"/>
      <c r="T1407" s="80"/>
      <c r="U1407" s="80"/>
      <c r="V1407" s="80"/>
      <c r="W1407" s="80"/>
      <c r="X1407" s="80"/>
      <c r="Y1407" s="80"/>
      <c r="Z1407" s="80"/>
      <c r="AA1407" s="80"/>
      <c r="AB1407" s="80"/>
      <c r="AC1407" s="80"/>
      <c r="AD1407" s="80"/>
      <c r="AE1407" s="80"/>
      <c r="AF1407" s="80"/>
      <c r="AG1407" s="80"/>
      <c r="AH1407" s="80"/>
      <c r="AI1407" s="80"/>
    </row>
    <row r="1408" spans="1:35" x14ac:dyDescent="0.2">
      <c r="A1408" s="80"/>
      <c r="B1408" s="80"/>
      <c r="C1408" s="80"/>
      <c r="D1408" s="80"/>
      <c r="E1408" s="80"/>
      <c r="F1408" s="80"/>
      <c r="G1408" s="80"/>
      <c r="H1408" s="80"/>
      <c r="I1408" s="80"/>
      <c r="J1408" s="80"/>
      <c r="K1408" s="80"/>
      <c r="L1408" s="2"/>
      <c r="M1408" s="2"/>
      <c r="N1408" s="2"/>
      <c r="O1408" s="2"/>
      <c r="P1408" s="2"/>
      <c r="Q1408" s="2"/>
      <c r="R1408" s="80"/>
      <c r="S1408" s="80"/>
      <c r="T1408" s="80"/>
      <c r="U1408" s="80"/>
      <c r="V1408" s="80"/>
      <c r="W1408" s="80"/>
      <c r="X1408" s="80"/>
      <c r="Y1408" s="80"/>
      <c r="Z1408" s="80"/>
      <c r="AA1408" s="80"/>
      <c r="AB1408" s="80"/>
      <c r="AC1408" s="80"/>
      <c r="AD1408" s="80"/>
      <c r="AE1408" s="80"/>
      <c r="AF1408" s="80"/>
      <c r="AG1408" s="80"/>
      <c r="AH1408" s="80"/>
      <c r="AI1408" s="80"/>
    </row>
    <row r="1409" spans="1:35" x14ac:dyDescent="0.2">
      <c r="A1409" s="80"/>
      <c r="B1409" s="80"/>
      <c r="C1409" s="80"/>
      <c r="D1409" s="80"/>
      <c r="E1409" s="80"/>
      <c r="F1409" s="80"/>
      <c r="G1409" s="80"/>
      <c r="H1409" s="80"/>
      <c r="I1409" s="80"/>
      <c r="J1409" s="80"/>
      <c r="K1409" s="80"/>
      <c r="L1409" s="2"/>
      <c r="M1409" s="2"/>
      <c r="N1409" s="2"/>
      <c r="O1409" s="2"/>
      <c r="P1409" s="2"/>
      <c r="Q1409" s="2"/>
      <c r="R1409" s="80"/>
      <c r="S1409" s="80"/>
      <c r="T1409" s="80"/>
      <c r="U1409" s="80"/>
      <c r="V1409" s="80"/>
      <c r="W1409" s="80"/>
      <c r="X1409" s="80"/>
      <c r="Y1409" s="80"/>
      <c r="Z1409" s="80"/>
      <c r="AA1409" s="80"/>
      <c r="AB1409" s="80"/>
      <c r="AC1409" s="80"/>
      <c r="AD1409" s="80"/>
      <c r="AE1409" s="80"/>
      <c r="AF1409" s="80"/>
      <c r="AG1409" s="80"/>
      <c r="AH1409" s="80"/>
      <c r="AI1409" s="80"/>
    </row>
    <row r="1410" spans="1:35" x14ac:dyDescent="0.2">
      <c r="A1410" s="80"/>
      <c r="B1410" s="80"/>
      <c r="C1410" s="80"/>
      <c r="D1410" s="80"/>
      <c r="E1410" s="80"/>
      <c r="F1410" s="80"/>
      <c r="G1410" s="80"/>
      <c r="H1410" s="80"/>
      <c r="I1410" s="80"/>
      <c r="J1410" s="80"/>
      <c r="K1410" s="80"/>
      <c r="L1410" s="2"/>
      <c r="M1410" s="2"/>
      <c r="N1410" s="2"/>
      <c r="O1410" s="2"/>
      <c r="P1410" s="2"/>
      <c r="Q1410" s="2"/>
      <c r="R1410" s="80"/>
      <c r="S1410" s="80"/>
      <c r="T1410" s="80"/>
      <c r="U1410" s="80"/>
      <c r="V1410" s="80"/>
      <c r="W1410" s="80"/>
      <c r="X1410" s="80"/>
      <c r="Y1410" s="80"/>
      <c r="Z1410" s="80"/>
      <c r="AA1410" s="80"/>
      <c r="AB1410" s="80"/>
      <c r="AC1410" s="80"/>
      <c r="AD1410" s="80"/>
      <c r="AE1410" s="80"/>
      <c r="AF1410" s="80"/>
      <c r="AG1410" s="80"/>
      <c r="AH1410" s="80"/>
      <c r="AI1410" s="80"/>
    </row>
    <row r="1411" spans="1:35" x14ac:dyDescent="0.2">
      <c r="A1411" s="80"/>
      <c r="B1411" s="80"/>
      <c r="C1411" s="80"/>
      <c r="D1411" s="80"/>
      <c r="E1411" s="80"/>
      <c r="F1411" s="80"/>
      <c r="G1411" s="80"/>
      <c r="H1411" s="80"/>
      <c r="I1411" s="80"/>
      <c r="J1411" s="80"/>
      <c r="K1411" s="80"/>
      <c r="L1411" s="2"/>
      <c r="M1411" s="2"/>
      <c r="N1411" s="2"/>
      <c r="O1411" s="2"/>
      <c r="P1411" s="2"/>
      <c r="Q1411" s="2"/>
      <c r="R1411" s="80"/>
      <c r="S1411" s="80"/>
      <c r="T1411" s="80"/>
      <c r="U1411" s="80"/>
      <c r="V1411" s="80"/>
      <c r="W1411" s="80"/>
      <c r="X1411" s="80"/>
      <c r="Y1411" s="80"/>
      <c r="Z1411" s="80"/>
      <c r="AA1411" s="80"/>
      <c r="AB1411" s="80"/>
      <c r="AC1411" s="80"/>
      <c r="AD1411" s="80"/>
      <c r="AE1411" s="80"/>
      <c r="AF1411" s="80"/>
      <c r="AG1411" s="80"/>
      <c r="AH1411" s="80"/>
      <c r="AI1411" s="80"/>
    </row>
    <row r="1412" spans="1:35" x14ac:dyDescent="0.2">
      <c r="A1412" s="80"/>
      <c r="B1412" s="80"/>
      <c r="C1412" s="80"/>
      <c r="D1412" s="80"/>
      <c r="E1412" s="80"/>
      <c r="F1412" s="80"/>
      <c r="G1412" s="80"/>
      <c r="H1412" s="80"/>
      <c r="I1412" s="80"/>
      <c r="J1412" s="80"/>
      <c r="K1412" s="80"/>
      <c r="L1412" s="2"/>
      <c r="M1412" s="2"/>
      <c r="N1412" s="2"/>
      <c r="O1412" s="2"/>
      <c r="P1412" s="2"/>
      <c r="Q1412" s="2"/>
      <c r="R1412" s="80"/>
      <c r="S1412" s="80"/>
      <c r="T1412" s="80"/>
      <c r="U1412" s="80"/>
      <c r="V1412" s="80"/>
      <c r="W1412" s="80"/>
      <c r="X1412" s="80"/>
      <c r="Y1412" s="80"/>
      <c r="Z1412" s="80"/>
      <c r="AA1412" s="80"/>
      <c r="AB1412" s="80"/>
      <c r="AC1412" s="80"/>
      <c r="AD1412" s="80"/>
      <c r="AE1412" s="80"/>
      <c r="AF1412" s="80"/>
      <c r="AG1412" s="80"/>
      <c r="AH1412" s="80"/>
      <c r="AI1412" s="80"/>
    </row>
    <row r="1413" spans="1:35" x14ac:dyDescent="0.2">
      <c r="A1413" s="80"/>
      <c r="B1413" s="80"/>
      <c r="C1413" s="80"/>
      <c r="D1413" s="80"/>
      <c r="E1413" s="80"/>
      <c r="F1413" s="80"/>
      <c r="G1413" s="80"/>
      <c r="H1413" s="80"/>
      <c r="I1413" s="80"/>
      <c r="J1413" s="80"/>
      <c r="K1413" s="80"/>
      <c r="L1413" s="2"/>
      <c r="M1413" s="2"/>
      <c r="N1413" s="2"/>
      <c r="O1413" s="2"/>
      <c r="P1413" s="2"/>
      <c r="Q1413" s="2"/>
      <c r="R1413" s="80"/>
      <c r="S1413" s="80"/>
      <c r="T1413" s="80"/>
      <c r="U1413" s="80"/>
      <c r="V1413" s="80"/>
      <c r="W1413" s="80"/>
      <c r="X1413" s="80"/>
      <c r="Y1413" s="80"/>
      <c r="Z1413" s="80"/>
      <c r="AA1413" s="80"/>
      <c r="AB1413" s="80"/>
      <c r="AC1413" s="80"/>
      <c r="AD1413" s="80"/>
      <c r="AE1413" s="80"/>
      <c r="AF1413" s="80"/>
      <c r="AG1413" s="80"/>
      <c r="AH1413" s="80"/>
      <c r="AI1413" s="80"/>
    </row>
    <row r="1414" spans="1:35" x14ac:dyDescent="0.2">
      <c r="A1414" s="80"/>
      <c r="B1414" s="80"/>
      <c r="C1414" s="80"/>
      <c r="D1414" s="80"/>
      <c r="E1414" s="80"/>
      <c r="F1414" s="80"/>
      <c r="G1414" s="80"/>
      <c r="H1414" s="80"/>
      <c r="I1414" s="80"/>
      <c r="J1414" s="80"/>
      <c r="K1414" s="80"/>
      <c r="L1414" s="2"/>
      <c r="M1414" s="2"/>
      <c r="N1414" s="2"/>
      <c r="O1414" s="2"/>
      <c r="P1414" s="2"/>
      <c r="Q1414" s="2"/>
      <c r="R1414" s="80"/>
      <c r="S1414" s="80"/>
      <c r="T1414" s="80"/>
      <c r="U1414" s="80"/>
      <c r="V1414" s="80"/>
      <c r="W1414" s="80"/>
      <c r="X1414" s="80"/>
      <c r="Y1414" s="80"/>
      <c r="Z1414" s="80"/>
      <c r="AA1414" s="80"/>
      <c r="AB1414" s="80"/>
      <c r="AC1414" s="80"/>
      <c r="AD1414" s="80"/>
      <c r="AE1414" s="80"/>
      <c r="AF1414" s="80"/>
      <c r="AG1414" s="80"/>
      <c r="AH1414" s="80"/>
      <c r="AI1414" s="80"/>
    </row>
    <row r="1415" spans="1:35" x14ac:dyDescent="0.2">
      <c r="A1415" s="80"/>
      <c r="B1415" s="80"/>
      <c r="C1415" s="80"/>
      <c r="D1415" s="80"/>
      <c r="E1415" s="80"/>
      <c r="F1415" s="80"/>
      <c r="G1415" s="80"/>
      <c r="H1415" s="80"/>
      <c r="I1415" s="80"/>
      <c r="J1415" s="80"/>
      <c r="K1415" s="80"/>
      <c r="L1415" s="2"/>
      <c r="M1415" s="2"/>
      <c r="N1415" s="2"/>
      <c r="O1415" s="2"/>
      <c r="P1415" s="2"/>
      <c r="Q1415" s="2"/>
      <c r="R1415" s="80"/>
      <c r="S1415" s="80"/>
      <c r="T1415" s="80"/>
      <c r="U1415" s="80"/>
      <c r="V1415" s="80"/>
      <c r="W1415" s="80"/>
      <c r="X1415" s="80"/>
      <c r="Y1415" s="80"/>
      <c r="Z1415" s="80"/>
      <c r="AA1415" s="80"/>
      <c r="AB1415" s="80"/>
      <c r="AC1415" s="80"/>
      <c r="AD1415" s="80"/>
      <c r="AE1415" s="80"/>
      <c r="AF1415" s="80"/>
      <c r="AG1415" s="80"/>
      <c r="AH1415" s="80"/>
      <c r="AI1415" s="80"/>
    </row>
    <row r="1416" spans="1:35" x14ac:dyDescent="0.2">
      <c r="A1416" s="80"/>
      <c r="B1416" s="80"/>
      <c r="C1416" s="80"/>
      <c r="D1416" s="80"/>
      <c r="E1416" s="80"/>
      <c r="F1416" s="80"/>
      <c r="G1416" s="80"/>
      <c r="H1416" s="80"/>
      <c r="I1416" s="80"/>
      <c r="J1416" s="80"/>
      <c r="K1416" s="80"/>
      <c r="L1416" s="2"/>
      <c r="M1416" s="2"/>
      <c r="N1416" s="2"/>
      <c r="O1416" s="2"/>
      <c r="P1416" s="2"/>
      <c r="Q1416" s="2"/>
      <c r="R1416" s="80"/>
      <c r="S1416" s="80"/>
      <c r="T1416" s="80"/>
      <c r="U1416" s="80"/>
      <c r="V1416" s="80"/>
      <c r="W1416" s="80"/>
      <c r="X1416" s="80"/>
      <c r="Y1416" s="80"/>
      <c r="Z1416" s="80"/>
      <c r="AA1416" s="80"/>
      <c r="AB1416" s="80"/>
      <c r="AC1416" s="80"/>
      <c r="AD1416" s="80"/>
      <c r="AE1416" s="80"/>
      <c r="AF1416" s="80"/>
      <c r="AG1416" s="80"/>
      <c r="AH1416" s="80"/>
      <c r="AI1416" s="80"/>
    </row>
    <row r="1417" spans="1:35" x14ac:dyDescent="0.2">
      <c r="A1417" s="80"/>
      <c r="B1417" s="80"/>
      <c r="C1417" s="80"/>
      <c r="D1417" s="80"/>
      <c r="E1417" s="80"/>
      <c r="F1417" s="80"/>
      <c r="G1417" s="80"/>
      <c r="H1417" s="80"/>
      <c r="I1417" s="80"/>
      <c r="J1417" s="80"/>
      <c r="K1417" s="80"/>
      <c r="L1417" s="2"/>
      <c r="M1417" s="2"/>
      <c r="N1417" s="2"/>
      <c r="O1417" s="2"/>
      <c r="P1417" s="2"/>
      <c r="Q1417" s="2"/>
      <c r="R1417" s="80"/>
      <c r="S1417" s="80"/>
      <c r="T1417" s="80"/>
      <c r="U1417" s="80"/>
      <c r="V1417" s="80"/>
      <c r="W1417" s="80"/>
      <c r="X1417" s="80"/>
      <c r="Y1417" s="80"/>
      <c r="Z1417" s="80"/>
      <c r="AA1417" s="80"/>
      <c r="AB1417" s="80"/>
      <c r="AC1417" s="80"/>
      <c r="AD1417" s="80"/>
      <c r="AE1417" s="80"/>
      <c r="AF1417" s="80"/>
      <c r="AG1417" s="80"/>
      <c r="AH1417" s="80"/>
      <c r="AI1417" s="80"/>
    </row>
    <row r="1418" spans="1:35" x14ac:dyDescent="0.2">
      <c r="A1418" s="80"/>
      <c r="B1418" s="80"/>
      <c r="C1418" s="80"/>
      <c r="D1418" s="80"/>
      <c r="E1418" s="80"/>
      <c r="F1418" s="80"/>
      <c r="G1418" s="80"/>
      <c r="H1418" s="80"/>
      <c r="I1418" s="80"/>
      <c r="J1418" s="80"/>
      <c r="K1418" s="80"/>
      <c r="L1418" s="2"/>
      <c r="M1418" s="2"/>
      <c r="N1418" s="2"/>
      <c r="O1418" s="2"/>
      <c r="P1418" s="2"/>
      <c r="Q1418" s="2"/>
      <c r="R1418" s="80"/>
      <c r="S1418" s="80"/>
      <c r="T1418" s="80"/>
      <c r="U1418" s="80"/>
      <c r="V1418" s="80"/>
      <c r="W1418" s="80"/>
      <c r="X1418" s="80"/>
      <c r="Y1418" s="80"/>
      <c r="Z1418" s="80"/>
      <c r="AA1418" s="80"/>
      <c r="AB1418" s="80"/>
      <c r="AC1418" s="80"/>
      <c r="AD1418" s="80"/>
      <c r="AE1418" s="80"/>
      <c r="AF1418" s="80"/>
      <c r="AG1418" s="80"/>
      <c r="AH1418" s="80"/>
      <c r="AI1418" s="80"/>
    </row>
    <row r="1419" spans="1:35" x14ac:dyDescent="0.2">
      <c r="A1419" s="80"/>
      <c r="B1419" s="80"/>
      <c r="C1419" s="80"/>
      <c r="D1419" s="80"/>
      <c r="E1419" s="80"/>
      <c r="F1419" s="80"/>
      <c r="G1419" s="80"/>
      <c r="H1419" s="80"/>
      <c r="I1419" s="80"/>
      <c r="J1419" s="80"/>
      <c r="K1419" s="80"/>
      <c r="L1419" s="2"/>
      <c r="M1419" s="2"/>
      <c r="N1419" s="2"/>
      <c r="O1419" s="2"/>
      <c r="P1419" s="2"/>
      <c r="Q1419" s="2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E1419" s="80"/>
      <c r="AF1419" s="80"/>
      <c r="AG1419" s="80"/>
      <c r="AH1419" s="80"/>
      <c r="AI1419" s="80"/>
    </row>
    <row r="1420" spans="1:35" x14ac:dyDescent="0.2">
      <c r="A1420" s="80"/>
      <c r="B1420" s="80"/>
      <c r="C1420" s="80"/>
      <c r="D1420" s="80"/>
      <c r="E1420" s="80"/>
      <c r="F1420" s="80"/>
      <c r="G1420" s="80"/>
      <c r="H1420" s="80"/>
      <c r="I1420" s="80"/>
      <c r="J1420" s="80"/>
      <c r="K1420" s="80"/>
      <c r="L1420" s="2"/>
      <c r="M1420" s="2"/>
      <c r="N1420" s="2"/>
      <c r="O1420" s="2"/>
      <c r="P1420" s="2"/>
      <c r="Q1420" s="2"/>
      <c r="R1420" s="80"/>
      <c r="S1420" s="80"/>
      <c r="T1420" s="80"/>
      <c r="U1420" s="80"/>
      <c r="V1420" s="80"/>
      <c r="W1420" s="80"/>
      <c r="X1420" s="80"/>
      <c r="Y1420" s="80"/>
      <c r="Z1420" s="80"/>
      <c r="AA1420" s="80"/>
      <c r="AB1420" s="80"/>
      <c r="AC1420" s="80"/>
      <c r="AD1420" s="80"/>
      <c r="AE1420" s="80"/>
      <c r="AF1420" s="80"/>
      <c r="AG1420" s="80"/>
      <c r="AH1420" s="80"/>
      <c r="AI1420" s="80"/>
    </row>
    <row r="1421" spans="1:35" x14ac:dyDescent="0.2">
      <c r="A1421" s="80"/>
      <c r="B1421" s="80"/>
      <c r="C1421" s="80"/>
      <c r="D1421" s="80"/>
      <c r="E1421" s="80"/>
      <c r="F1421" s="80"/>
      <c r="G1421" s="80"/>
      <c r="H1421" s="80"/>
      <c r="I1421" s="80"/>
      <c r="J1421" s="80"/>
      <c r="K1421" s="80"/>
      <c r="L1421" s="2"/>
      <c r="M1421" s="2"/>
      <c r="N1421" s="2"/>
      <c r="O1421" s="2"/>
      <c r="P1421" s="2"/>
      <c r="Q1421" s="2"/>
      <c r="R1421" s="80"/>
      <c r="S1421" s="80"/>
      <c r="T1421" s="80"/>
      <c r="U1421" s="80"/>
      <c r="V1421" s="80"/>
      <c r="W1421" s="80"/>
      <c r="X1421" s="80"/>
      <c r="Y1421" s="80"/>
      <c r="Z1421" s="80"/>
      <c r="AA1421" s="80"/>
      <c r="AB1421" s="80"/>
      <c r="AC1421" s="80"/>
      <c r="AD1421" s="80"/>
      <c r="AE1421" s="80"/>
      <c r="AF1421" s="80"/>
      <c r="AG1421" s="80"/>
      <c r="AH1421" s="80"/>
      <c r="AI1421" s="80"/>
    </row>
    <row r="1422" spans="1:35" x14ac:dyDescent="0.2">
      <c r="A1422" s="80"/>
      <c r="B1422" s="80"/>
      <c r="C1422" s="80"/>
      <c r="D1422" s="80"/>
      <c r="E1422" s="80"/>
      <c r="F1422" s="80"/>
      <c r="G1422" s="80"/>
      <c r="H1422" s="80"/>
      <c r="I1422" s="80"/>
      <c r="J1422" s="80"/>
      <c r="K1422" s="80"/>
      <c r="L1422" s="2"/>
      <c r="M1422" s="2"/>
      <c r="N1422" s="2"/>
      <c r="O1422" s="2"/>
      <c r="P1422" s="2"/>
      <c r="Q1422" s="2"/>
      <c r="R1422" s="80"/>
      <c r="S1422" s="80"/>
      <c r="T1422" s="80"/>
      <c r="U1422" s="80"/>
      <c r="V1422" s="80"/>
      <c r="W1422" s="80"/>
      <c r="X1422" s="80"/>
      <c r="Y1422" s="80"/>
      <c r="Z1422" s="80"/>
      <c r="AA1422" s="80"/>
      <c r="AB1422" s="80"/>
      <c r="AC1422" s="80"/>
      <c r="AD1422" s="80"/>
      <c r="AE1422" s="80"/>
      <c r="AF1422" s="80"/>
      <c r="AG1422" s="80"/>
      <c r="AH1422" s="80"/>
      <c r="AI1422" s="80"/>
    </row>
    <row r="1423" spans="1:35" x14ac:dyDescent="0.2">
      <c r="A1423" s="80"/>
      <c r="B1423" s="80"/>
      <c r="C1423" s="80"/>
      <c r="D1423" s="80"/>
      <c r="E1423" s="80"/>
      <c r="F1423" s="80"/>
      <c r="G1423" s="80"/>
      <c r="H1423" s="80"/>
      <c r="I1423" s="80"/>
      <c r="J1423" s="80"/>
      <c r="K1423" s="80"/>
      <c r="L1423" s="2"/>
      <c r="M1423" s="2"/>
      <c r="N1423" s="2"/>
      <c r="O1423" s="2"/>
      <c r="P1423" s="2"/>
      <c r="Q1423" s="2"/>
      <c r="R1423" s="80"/>
      <c r="S1423" s="80"/>
      <c r="T1423" s="80"/>
      <c r="U1423" s="80"/>
      <c r="V1423" s="80"/>
      <c r="W1423" s="80"/>
      <c r="X1423" s="80"/>
      <c r="Y1423" s="80"/>
      <c r="Z1423" s="80"/>
      <c r="AA1423" s="80"/>
      <c r="AB1423" s="80"/>
      <c r="AC1423" s="80"/>
      <c r="AD1423" s="80"/>
      <c r="AE1423" s="80"/>
      <c r="AF1423" s="80"/>
      <c r="AG1423" s="80"/>
      <c r="AH1423" s="80"/>
      <c r="AI1423" s="80"/>
    </row>
    <row r="1424" spans="1:35" x14ac:dyDescent="0.2">
      <c r="A1424" s="80"/>
      <c r="B1424" s="80"/>
      <c r="C1424" s="80"/>
      <c r="D1424" s="80"/>
      <c r="E1424" s="80"/>
      <c r="F1424" s="80"/>
      <c r="G1424" s="80"/>
      <c r="H1424" s="80"/>
      <c r="I1424" s="80"/>
      <c r="J1424" s="80"/>
      <c r="K1424" s="80"/>
      <c r="L1424" s="2"/>
      <c r="M1424" s="2"/>
      <c r="N1424" s="2"/>
      <c r="O1424" s="2"/>
      <c r="P1424" s="2"/>
      <c r="Q1424" s="2"/>
      <c r="R1424" s="80"/>
      <c r="S1424" s="80"/>
      <c r="T1424" s="80"/>
      <c r="U1424" s="80"/>
      <c r="V1424" s="80"/>
      <c r="W1424" s="80"/>
      <c r="X1424" s="80"/>
      <c r="Y1424" s="80"/>
      <c r="Z1424" s="80"/>
      <c r="AA1424" s="80"/>
      <c r="AB1424" s="80"/>
      <c r="AC1424" s="80"/>
      <c r="AD1424" s="80"/>
      <c r="AE1424" s="80"/>
      <c r="AF1424" s="80"/>
      <c r="AG1424" s="80"/>
      <c r="AH1424" s="80"/>
      <c r="AI1424" s="80"/>
    </row>
    <row r="1425" spans="1:35" x14ac:dyDescent="0.2">
      <c r="A1425" s="80"/>
      <c r="B1425" s="80"/>
      <c r="C1425" s="80"/>
      <c r="D1425" s="80"/>
      <c r="E1425" s="80"/>
      <c r="F1425" s="80"/>
      <c r="G1425" s="80"/>
      <c r="H1425" s="80"/>
      <c r="I1425" s="80"/>
      <c r="J1425" s="80"/>
      <c r="K1425" s="80"/>
      <c r="L1425" s="2"/>
      <c r="M1425" s="2"/>
      <c r="N1425" s="2"/>
      <c r="O1425" s="2"/>
      <c r="P1425" s="2"/>
      <c r="Q1425" s="2"/>
      <c r="R1425" s="80"/>
      <c r="S1425" s="80"/>
      <c r="T1425" s="80"/>
      <c r="U1425" s="80"/>
      <c r="V1425" s="80"/>
      <c r="W1425" s="80"/>
      <c r="X1425" s="80"/>
      <c r="Y1425" s="80"/>
      <c r="Z1425" s="80"/>
      <c r="AA1425" s="80"/>
      <c r="AB1425" s="80"/>
      <c r="AC1425" s="80"/>
      <c r="AD1425" s="80"/>
      <c r="AE1425" s="80"/>
      <c r="AF1425" s="80"/>
      <c r="AG1425" s="80"/>
      <c r="AH1425" s="80"/>
      <c r="AI1425" s="80"/>
    </row>
    <row r="1426" spans="1:35" x14ac:dyDescent="0.2">
      <c r="A1426" s="80"/>
      <c r="B1426" s="80"/>
      <c r="C1426" s="80"/>
      <c r="D1426" s="80"/>
      <c r="E1426" s="80"/>
      <c r="F1426" s="80"/>
      <c r="G1426" s="80"/>
      <c r="H1426" s="80"/>
      <c r="I1426" s="80"/>
      <c r="J1426" s="80"/>
      <c r="K1426" s="80"/>
      <c r="L1426" s="2"/>
      <c r="M1426" s="2"/>
      <c r="N1426" s="2"/>
      <c r="O1426" s="2"/>
      <c r="P1426" s="2"/>
      <c r="Q1426" s="2"/>
      <c r="R1426" s="80"/>
      <c r="S1426" s="80"/>
      <c r="T1426" s="80"/>
      <c r="U1426" s="80"/>
      <c r="V1426" s="80"/>
      <c r="W1426" s="80"/>
      <c r="X1426" s="80"/>
      <c r="Y1426" s="80"/>
      <c r="Z1426" s="80"/>
      <c r="AA1426" s="80"/>
      <c r="AB1426" s="80"/>
      <c r="AC1426" s="80"/>
      <c r="AD1426" s="80"/>
      <c r="AE1426" s="80"/>
      <c r="AF1426" s="80"/>
      <c r="AG1426" s="80"/>
      <c r="AH1426" s="80"/>
      <c r="AI1426" s="80"/>
    </row>
    <row r="1427" spans="1:35" x14ac:dyDescent="0.2">
      <c r="A1427" s="80"/>
      <c r="B1427" s="80"/>
      <c r="C1427" s="80"/>
      <c r="D1427" s="80"/>
      <c r="E1427" s="80"/>
      <c r="F1427" s="80"/>
      <c r="G1427" s="80"/>
      <c r="H1427" s="80"/>
      <c r="I1427" s="80"/>
      <c r="J1427" s="80"/>
      <c r="K1427" s="80"/>
      <c r="L1427" s="2"/>
      <c r="M1427" s="2"/>
      <c r="N1427" s="2"/>
      <c r="O1427" s="2"/>
      <c r="P1427" s="2"/>
      <c r="Q1427" s="2"/>
      <c r="R1427" s="80"/>
      <c r="S1427" s="80"/>
      <c r="T1427" s="80"/>
      <c r="U1427" s="80"/>
      <c r="V1427" s="80"/>
      <c r="W1427" s="80"/>
      <c r="X1427" s="80"/>
      <c r="Y1427" s="80"/>
      <c r="Z1427" s="80"/>
      <c r="AA1427" s="80"/>
      <c r="AB1427" s="80"/>
      <c r="AC1427" s="80"/>
      <c r="AD1427" s="80"/>
      <c r="AE1427" s="80"/>
      <c r="AF1427" s="80"/>
      <c r="AG1427" s="80"/>
      <c r="AH1427" s="80"/>
      <c r="AI1427" s="80"/>
    </row>
    <row r="1428" spans="1:35" x14ac:dyDescent="0.2">
      <c r="A1428" s="80"/>
      <c r="B1428" s="80"/>
      <c r="C1428" s="80"/>
      <c r="D1428" s="80"/>
      <c r="E1428" s="80"/>
      <c r="F1428" s="80"/>
      <c r="G1428" s="80"/>
      <c r="H1428" s="80"/>
      <c r="I1428" s="80"/>
      <c r="J1428" s="80"/>
      <c r="K1428" s="80"/>
      <c r="L1428" s="2"/>
      <c r="M1428" s="2"/>
      <c r="N1428" s="2"/>
      <c r="O1428" s="2"/>
      <c r="P1428" s="2"/>
      <c r="Q1428" s="2"/>
      <c r="R1428" s="80"/>
      <c r="S1428" s="80"/>
      <c r="T1428" s="80"/>
      <c r="U1428" s="80"/>
      <c r="V1428" s="80"/>
      <c r="W1428" s="80"/>
      <c r="X1428" s="80"/>
      <c r="Y1428" s="80"/>
      <c r="Z1428" s="80"/>
      <c r="AA1428" s="80"/>
      <c r="AB1428" s="80"/>
      <c r="AC1428" s="80"/>
      <c r="AD1428" s="80"/>
      <c r="AE1428" s="80"/>
      <c r="AF1428" s="80"/>
      <c r="AG1428" s="80"/>
      <c r="AH1428" s="80"/>
      <c r="AI1428" s="80"/>
    </row>
    <row r="1429" spans="1:35" x14ac:dyDescent="0.2">
      <c r="A1429" s="80"/>
      <c r="B1429" s="80"/>
      <c r="C1429" s="80"/>
      <c r="D1429" s="80"/>
      <c r="E1429" s="80"/>
      <c r="F1429" s="80"/>
      <c r="G1429" s="80"/>
      <c r="H1429" s="80"/>
      <c r="I1429" s="80"/>
      <c r="J1429" s="80"/>
      <c r="K1429" s="80"/>
      <c r="L1429" s="2"/>
      <c r="M1429" s="2"/>
      <c r="N1429" s="2"/>
      <c r="O1429" s="2"/>
      <c r="P1429" s="2"/>
      <c r="Q1429" s="2"/>
      <c r="R1429" s="80"/>
      <c r="S1429" s="80"/>
      <c r="T1429" s="80"/>
      <c r="U1429" s="80"/>
      <c r="V1429" s="80"/>
      <c r="W1429" s="80"/>
      <c r="X1429" s="80"/>
      <c r="Y1429" s="80"/>
      <c r="Z1429" s="80"/>
      <c r="AA1429" s="80"/>
      <c r="AB1429" s="80"/>
      <c r="AC1429" s="80"/>
      <c r="AD1429" s="80"/>
      <c r="AE1429" s="80"/>
      <c r="AF1429" s="80"/>
      <c r="AG1429" s="80"/>
      <c r="AH1429" s="80"/>
      <c r="AI1429" s="80"/>
    </row>
    <row r="1430" spans="1:35" x14ac:dyDescent="0.2">
      <c r="A1430" s="80"/>
      <c r="B1430" s="80"/>
      <c r="C1430" s="80"/>
      <c r="D1430" s="80"/>
      <c r="E1430" s="80"/>
      <c r="F1430" s="80"/>
      <c r="G1430" s="80"/>
      <c r="H1430" s="80"/>
      <c r="I1430" s="80"/>
      <c r="J1430" s="80"/>
      <c r="K1430" s="80"/>
      <c r="L1430" s="2"/>
      <c r="M1430" s="2"/>
      <c r="N1430" s="2"/>
      <c r="O1430" s="2"/>
      <c r="P1430" s="2"/>
      <c r="Q1430" s="2"/>
      <c r="R1430" s="80"/>
      <c r="S1430" s="80"/>
      <c r="T1430" s="80"/>
      <c r="U1430" s="80"/>
      <c r="V1430" s="80"/>
      <c r="W1430" s="80"/>
      <c r="X1430" s="80"/>
      <c r="Y1430" s="80"/>
      <c r="Z1430" s="80"/>
      <c r="AA1430" s="80"/>
      <c r="AB1430" s="80"/>
      <c r="AC1430" s="80"/>
      <c r="AD1430" s="80"/>
      <c r="AE1430" s="80"/>
      <c r="AF1430" s="80"/>
      <c r="AG1430" s="80"/>
      <c r="AH1430" s="80"/>
      <c r="AI1430" s="80"/>
    </row>
    <row r="1431" spans="1:35" x14ac:dyDescent="0.2">
      <c r="A1431" s="80"/>
      <c r="B1431" s="80"/>
      <c r="C1431" s="80"/>
      <c r="D1431" s="80"/>
      <c r="E1431" s="80"/>
      <c r="F1431" s="80"/>
      <c r="G1431" s="80"/>
      <c r="H1431" s="80"/>
      <c r="I1431" s="80"/>
      <c r="J1431" s="80"/>
      <c r="K1431" s="80"/>
      <c r="L1431" s="2"/>
      <c r="M1431" s="2"/>
      <c r="N1431" s="2"/>
      <c r="O1431" s="2"/>
      <c r="P1431" s="2"/>
      <c r="Q1431" s="2"/>
      <c r="R1431" s="80"/>
      <c r="S1431" s="80"/>
      <c r="T1431" s="80"/>
      <c r="U1431" s="80"/>
      <c r="V1431" s="80"/>
      <c r="W1431" s="80"/>
      <c r="X1431" s="80"/>
      <c r="Y1431" s="80"/>
      <c r="Z1431" s="80"/>
      <c r="AA1431" s="80"/>
      <c r="AB1431" s="80"/>
      <c r="AC1431" s="80"/>
      <c r="AD1431" s="80"/>
      <c r="AE1431" s="80"/>
      <c r="AF1431" s="80"/>
      <c r="AG1431" s="80"/>
      <c r="AH1431" s="80"/>
      <c r="AI1431" s="80"/>
    </row>
    <row r="1432" spans="1:35" x14ac:dyDescent="0.2">
      <c r="A1432" s="80"/>
      <c r="B1432" s="80"/>
      <c r="C1432" s="80"/>
      <c r="D1432" s="80"/>
      <c r="E1432" s="80"/>
      <c r="F1432" s="80"/>
      <c r="G1432" s="80"/>
      <c r="H1432" s="80"/>
      <c r="I1432" s="80"/>
      <c r="J1432" s="80"/>
      <c r="K1432" s="80"/>
      <c r="L1432" s="2"/>
      <c r="M1432" s="2"/>
      <c r="N1432" s="2"/>
      <c r="O1432" s="2"/>
      <c r="P1432" s="2"/>
      <c r="Q1432" s="2"/>
      <c r="R1432" s="80"/>
      <c r="S1432" s="80"/>
      <c r="T1432" s="80"/>
      <c r="U1432" s="80"/>
      <c r="V1432" s="80"/>
      <c r="W1432" s="80"/>
      <c r="X1432" s="80"/>
      <c r="Y1432" s="80"/>
      <c r="Z1432" s="80"/>
      <c r="AA1432" s="80"/>
      <c r="AB1432" s="80"/>
      <c r="AC1432" s="80"/>
      <c r="AD1432" s="80"/>
      <c r="AE1432" s="80"/>
      <c r="AF1432" s="80"/>
      <c r="AG1432" s="80"/>
      <c r="AH1432" s="80"/>
      <c r="AI1432" s="80"/>
    </row>
    <row r="1433" spans="1:35" x14ac:dyDescent="0.2">
      <c r="A1433" s="80"/>
      <c r="B1433" s="80"/>
      <c r="C1433" s="80"/>
      <c r="D1433" s="80"/>
      <c r="E1433" s="80"/>
      <c r="F1433" s="80"/>
      <c r="G1433" s="80"/>
      <c r="H1433" s="80"/>
      <c r="I1433" s="80"/>
      <c r="J1433" s="80"/>
      <c r="K1433" s="80"/>
      <c r="L1433" s="2"/>
      <c r="M1433" s="2"/>
      <c r="N1433" s="2"/>
      <c r="O1433" s="2"/>
      <c r="P1433" s="2"/>
      <c r="Q1433" s="2"/>
      <c r="R1433" s="80"/>
      <c r="S1433" s="80"/>
      <c r="T1433" s="80"/>
      <c r="U1433" s="80"/>
      <c r="V1433" s="80"/>
      <c r="W1433" s="80"/>
      <c r="X1433" s="80"/>
      <c r="Y1433" s="80"/>
      <c r="Z1433" s="80"/>
      <c r="AA1433" s="80"/>
      <c r="AB1433" s="80"/>
      <c r="AC1433" s="80"/>
      <c r="AD1433" s="80"/>
      <c r="AE1433" s="80"/>
      <c r="AF1433" s="80"/>
      <c r="AG1433" s="80"/>
      <c r="AH1433" s="80"/>
      <c r="AI1433" s="80"/>
    </row>
    <row r="1434" spans="1:35" x14ac:dyDescent="0.2">
      <c r="A1434" s="80"/>
      <c r="B1434" s="80"/>
      <c r="C1434" s="80"/>
      <c r="D1434" s="80"/>
      <c r="E1434" s="80"/>
      <c r="F1434" s="80"/>
      <c r="G1434" s="80"/>
      <c r="H1434" s="80"/>
      <c r="I1434" s="80"/>
      <c r="J1434" s="80"/>
      <c r="K1434" s="80"/>
      <c r="L1434" s="2"/>
      <c r="M1434" s="2"/>
      <c r="N1434" s="2"/>
      <c r="O1434" s="2"/>
      <c r="P1434" s="2"/>
      <c r="Q1434" s="2"/>
      <c r="R1434" s="80"/>
      <c r="S1434" s="80"/>
      <c r="T1434" s="80"/>
      <c r="U1434" s="80"/>
      <c r="V1434" s="80"/>
      <c r="W1434" s="80"/>
      <c r="X1434" s="80"/>
      <c r="Y1434" s="80"/>
      <c r="Z1434" s="80"/>
      <c r="AA1434" s="80"/>
      <c r="AB1434" s="80"/>
      <c r="AC1434" s="80"/>
      <c r="AD1434" s="80"/>
      <c r="AE1434" s="80"/>
      <c r="AF1434" s="80"/>
      <c r="AG1434" s="80"/>
      <c r="AH1434" s="80"/>
      <c r="AI1434" s="80"/>
    </row>
    <row r="1435" spans="1:35" x14ac:dyDescent="0.2">
      <c r="A1435" s="80"/>
      <c r="B1435" s="80"/>
      <c r="C1435" s="80"/>
      <c r="D1435" s="80"/>
      <c r="E1435" s="80"/>
      <c r="F1435" s="80"/>
      <c r="G1435" s="80"/>
      <c r="H1435" s="80"/>
      <c r="I1435" s="80"/>
      <c r="J1435" s="80"/>
      <c r="K1435" s="80"/>
      <c r="L1435" s="2"/>
      <c r="M1435" s="2"/>
      <c r="N1435" s="2"/>
      <c r="O1435" s="2"/>
      <c r="P1435" s="2"/>
      <c r="Q1435" s="2"/>
      <c r="R1435" s="80"/>
      <c r="S1435" s="80"/>
      <c r="T1435" s="80"/>
      <c r="U1435" s="80"/>
      <c r="V1435" s="80"/>
      <c r="W1435" s="80"/>
      <c r="X1435" s="80"/>
      <c r="Y1435" s="80"/>
      <c r="Z1435" s="80"/>
      <c r="AA1435" s="80"/>
      <c r="AB1435" s="80"/>
      <c r="AC1435" s="80"/>
      <c r="AD1435" s="80"/>
      <c r="AE1435" s="80"/>
      <c r="AF1435" s="80"/>
      <c r="AG1435" s="80"/>
      <c r="AH1435" s="80"/>
      <c r="AI1435" s="80"/>
    </row>
    <row r="1436" spans="1:35" x14ac:dyDescent="0.2">
      <c r="A1436" s="80"/>
      <c r="B1436" s="80"/>
      <c r="C1436" s="80"/>
      <c r="D1436" s="80"/>
      <c r="E1436" s="80"/>
      <c r="F1436" s="80"/>
      <c r="G1436" s="80"/>
      <c r="H1436" s="80"/>
      <c r="I1436" s="80"/>
      <c r="J1436" s="80"/>
      <c r="K1436" s="80"/>
      <c r="L1436" s="2"/>
      <c r="M1436" s="2"/>
      <c r="N1436" s="2"/>
      <c r="O1436" s="2"/>
      <c r="P1436" s="2"/>
      <c r="Q1436" s="2"/>
      <c r="R1436" s="80"/>
      <c r="S1436" s="80"/>
      <c r="T1436" s="80"/>
      <c r="U1436" s="80"/>
      <c r="V1436" s="80"/>
      <c r="W1436" s="80"/>
      <c r="X1436" s="80"/>
      <c r="Y1436" s="80"/>
      <c r="Z1436" s="80"/>
      <c r="AA1436" s="80"/>
      <c r="AB1436" s="80"/>
      <c r="AC1436" s="80"/>
      <c r="AD1436" s="80"/>
      <c r="AE1436" s="80"/>
      <c r="AF1436" s="80"/>
      <c r="AG1436" s="80"/>
      <c r="AH1436" s="80"/>
      <c r="AI1436" s="80"/>
    </row>
    <row r="1437" spans="1:35" x14ac:dyDescent="0.2">
      <c r="A1437" s="80"/>
      <c r="B1437" s="80"/>
      <c r="C1437" s="80"/>
      <c r="D1437" s="80"/>
      <c r="E1437" s="80"/>
      <c r="F1437" s="80"/>
      <c r="G1437" s="80"/>
      <c r="H1437" s="80"/>
      <c r="I1437" s="80"/>
      <c r="J1437" s="80"/>
      <c r="K1437" s="80"/>
      <c r="L1437" s="2"/>
      <c r="M1437" s="2"/>
      <c r="N1437" s="2"/>
      <c r="O1437" s="2"/>
      <c r="P1437" s="2"/>
      <c r="Q1437" s="2"/>
      <c r="R1437" s="80"/>
      <c r="S1437" s="80"/>
      <c r="T1437" s="80"/>
      <c r="U1437" s="80"/>
      <c r="V1437" s="80"/>
      <c r="W1437" s="80"/>
      <c r="X1437" s="80"/>
      <c r="Y1437" s="80"/>
      <c r="Z1437" s="80"/>
      <c r="AA1437" s="80"/>
      <c r="AB1437" s="80"/>
      <c r="AC1437" s="80"/>
      <c r="AD1437" s="80"/>
      <c r="AE1437" s="80"/>
      <c r="AF1437" s="80"/>
      <c r="AG1437" s="80"/>
      <c r="AH1437" s="80"/>
      <c r="AI1437" s="80"/>
    </row>
    <row r="1438" spans="1:35" x14ac:dyDescent="0.2">
      <c r="A1438" s="80"/>
      <c r="B1438" s="80"/>
      <c r="C1438" s="80"/>
      <c r="D1438" s="80"/>
      <c r="E1438" s="80"/>
      <c r="F1438" s="80"/>
      <c r="G1438" s="80"/>
      <c r="H1438" s="80"/>
      <c r="I1438" s="80"/>
      <c r="J1438" s="80"/>
      <c r="K1438" s="80"/>
      <c r="L1438" s="2"/>
      <c r="M1438" s="2"/>
      <c r="N1438" s="2"/>
      <c r="O1438" s="2"/>
      <c r="P1438" s="2"/>
      <c r="Q1438" s="2"/>
      <c r="R1438" s="80"/>
      <c r="S1438" s="80"/>
      <c r="T1438" s="80"/>
      <c r="U1438" s="80"/>
      <c r="V1438" s="80"/>
      <c r="W1438" s="80"/>
      <c r="X1438" s="80"/>
      <c r="Y1438" s="80"/>
      <c r="Z1438" s="80"/>
      <c r="AA1438" s="80"/>
      <c r="AB1438" s="80"/>
      <c r="AC1438" s="80"/>
      <c r="AD1438" s="80"/>
      <c r="AE1438" s="80"/>
      <c r="AF1438" s="80"/>
      <c r="AG1438" s="80"/>
      <c r="AH1438" s="80"/>
      <c r="AI1438" s="80"/>
    </row>
    <row r="1439" spans="1:35" x14ac:dyDescent="0.2">
      <c r="A1439" s="80"/>
      <c r="B1439" s="80"/>
      <c r="C1439" s="80"/>
      <c r="D1439" s="80"/>
      <c r="E1439" s="80"/>
      <c r="F1439" s="80"/>
      <c r="G1439" s="80"/>
      <c r="H1439" s="80"/>
      <c r="I1439" s="80"/>
      <c r="J1439" s="80"/>
      <c r="K1439" s="80"/>
      <c r="L1439" s="2"/>
      <c r="M1439" s="2"/>
      <c r="N1439" s="2"/>
      <c r="O1439" s="2"/>
      <c r="P1439" s="2"/>
      <c r="Q1439" s="2"/>
      <c r="R1439" s="80"/>
      <c r="S1439" s="80"/>
      <c r="T1439" s="80"/>
      <c r="U1439" s="80"/>
      <c r="V1439" s="80"/>
      <c r="W1439" s="80"/>
      <c r="X1439" s="80"/>
      <c r="Y1439" s="80"/>
      <c r="Z1439" s="80"/>
      <c r="AA1439" s="80"/>
      <c r="AB1439" s="80"/>
      <c r="AC1439" s="80"/>
      <c r="AD1439" s="80"/>
      <c r="AE1439" s="80"/>
      <c r="AF1439" s="80"/>
      <c r="AG1439" s="80"/>
      <c r="AH1439" s="80"/>
      <c r="AI1439" s="80"/>
    </row>
    <row r="1440" spans="1:35" x14ac:dyDescent="0.2">
      <c r="A1440" s="80"/>
      <c r="B1440" s="80"/>
      <c r="C1440" s="80"/>
      <c r="D1440" s="80"/>
      <c r="E1440" s="80"/>
      <c r="F1440" s="80"/>
      <c r="G1440" s="80"/>
      <c r="H1440" s="80"/>
      <c r="I1440" s="80"/>
      <c r="J1440" s="80"/>
      <c r="K1440" s="80"/>
      <c r="L1440" s="2"/>
      <c r="M1440" s="2"/>
      <c r="N1440" s="2"/>
      <c r="O1440" s="2"/>
      <c r="P1440" s="2"/>
      <c r="Q1440" s="2"/>
      <c r="R1440" s="80"/>
      <c r="S1440" s="80"/>
      <c r="T1440" s="80"/>
      <c r="U1440" s="80"/>
      <c r="V1440" s="80"/>
      <c r="W1440" s="80"/>
      <c r="X1440" s="80"/>
      <c r="Y1440" s="80"/>
      <c r="Z1440" s="80"/>
      <c r="AA1440" s="80"/>
      <c r="AB1440" s="80"/>
      <c r="AC1440" s="80"/>
      <c r="AD1440" s="80"/>
      <c r="AE1440" s="80"/>
      <c r="AF1440" s="80"/>
      <c r="AG1440" s="80"/>
      <c r="AH1440" s="80"/>
      <c r="AI1440" s="80"/>
    </row>
    <row r="1441" spans="1:35" x14ac:dyDescent="0.2">
      <c r="A1441" s="80"/>
      <c r="B1441" s="80"/>
      <c r="C1441" s="80"/>
      <c r="D1441" s="80"/>
      <c r="E1441" s="80"/>
      <c r="F1441" s="80"/>
      <c r="G1441" s="80"/>
      <c r="H1441" s="80"/>
      <c r="I1441" s="80"/>
      <c r="J1441" s="80"/>
      <c r="K1441" s="80"/>
      <c r="L1441" s="2"/>
      <c r="M1441" s="2"/>
      <c r="N1441" s="2"/>
      <c r="O1441" s="2"/>
      <c r="P1441" s="2"/>
      <c r="Q1441" s="2"/>
      <c r="R1441" s="80"/>
      <c r="S1441" s="80"/>
      <c r="T1441" s="80"/>
      <c r="U1441" s="80"/>
      <c r="V1441" s="80"/>
      <c r="W1441" s="80"/>
      <c r="X1441" s="80"/>
      <c r="Y1441" s="80"/>
      <c r="Z1441" s="80"/>
      <c r="AA1441" s="80"/>
      <c r="AB1441" s="80"/>
      <c r="AC1441" s="80"/>
      <c r="AD1441" s="80"/>
      <c r="AE1441" s="80"/>
      <c r="AF1441" s="80"/>
      <c r="AG1441" s="80"/>
      <c r="AH1441" s="80"/>
      <c r="AI1441" s="80"/>
    </row>
    <row r="1442" spans="1:35" x14ac:dyDescent="0.2">
      <c r="A1442" s="80"/>
      <c r="B1442" s="80"/>
      <c r="C1442" s="80"/>
      <c r="D1442" s="80"/>
      <c r="E1442" s="80"/>
      <c r="F1442" s="80"/>
      <c r="G1442" s="80"/>
      <c r="H1442" s="80"/>
      <c r="I1442" s="80"/>
      <c r="J1442" s="80"/>
      <c r="K1442" s="80"/>
      <c r="L1442" s="2"/>
      <c r="M1442" s="2"/>
      <c r="N1442" s="2"/>
      <c r="O1442" s="2"/>
      <c r="P1442" s="2"/>
      <c r="Q1442" s="2"/>
      <c r="R1442" s="80"/>
      <c r="S1442" s="80"/>
      <c r="T1442" s="80"/>
      <c r="U1442" s="80"/>
      <c r="V1442" s="80"/>
      <c r="W1442" s="80"/>
      <c r="X1442" s="80"/>
      <c r="Y1442" s="80"/>
      <c r="Z1442" s="80"/>
      <c r="AA1442" s="80"/>
      <c r="AB1442" s="80"/>
      <c r="AC1442" s="80"/>
      <c r="AD1442" s="80"/>
      <c r="AE1442" s="80"/>
      <c r="AF1442" s="80"/>
      <c r="AG1442" s="80"/>
      <c r="AH1442" s="80"/>
      <c r="AI1442" s="80"/>
    </row>
    <row r="1443" spans="1:35" x14ac:dyDescent="0.2">
      <c r="A1443" s="80"/>
      <c r="B1443" s="80"/>
      <c r="C1443" s="80"/>
      <c r="D1443" s="80"/>
      <c r="E1443" s="80"/>
      <c r="F1443" s="80"/>
      <c r="G1443" s="80"/>
      <c r="H1443" s="80"/>
      <c r="I1443" s="80"/>
      <c r="J1443" s="80"/>
      <c r="K1443" s="80"/>
      <c r="L1443" s="2"/>
      <c r="M1443" s="2"/>
      <c r="N1443" s="2"/>
      <c r="O1443" s="2"/>
      <c r="P1443" s="2"/>
      <c r="Q1443" s="2"/>
      <c r="R1443" s="80"/>
      <c r="S1443" s="80"/>
      <c r="T1443" s="80"/>
      <c r="U1443" s="80"/>
      <c r="V1443" s="80"/>
      <c r="W1443" s="80"/>
      <c r="X1443" s="80"/>
      <c r="Y1443" s="80"/>
      <c r="Z1443" s="80"/>
      <c r="AA1443" s="80"/>
      <c r="AB1443" s="80"/>
      <c r="AC1443" s="80"/>
      <c r="AD1443" s="80"/>
      <c r="AE1443" s="80"/>
      <c r="AF1443" s="80"/>
      <c r="AG1443" s="80"/>
      <c r="AH1443" s="80"/>
      <c r="AI1443" s="80"/>
    </row>
    <row r="1444" spans="1:35" x14ac:dyDescent="0.2">
      <c r="A1444" s="80"/>
      <c r="B1444" s="80"/>
      <c r="C1444" s="80"/>
      <c r="D1444" s="80"/>
      <c r="E1444" s="80"/>
      <c r="F1444" s="80"/>
      <c r="G1444" s="80"/>
      <c r="H1444" s="80"/>
      <c r="I1444" s="80"/>
      <c r="J1444" s="80"/>
      <c r="K1444" s="80"/>
      <c r="L1444" s="2"/>
      <c r="M1444" s="2"/>
      <c r="N1444" s="2"/>
      <c r="O1444" s="2"/>
      <c r="P1444" s="2"/>
      <c r="Q1444" s="2"/>
      <c r="R1444" s="80"/>
      <c r="S1444" s="80"/>
      <c r="T1444" s="80"/>
      <c r="U1444" s="80"/>
      <c r="V1444" s="80"/>
      <c r="W1444" s="80"/>
      <c r="X1444" s="80"/>
      <c r="Y1444" s="80"/>
      <c r="Z1444" s="80"/>
      <c r="AA1444" s="80"/>
      <c r="AB1444" s="80"/>
      <c r="AC1444" s="80"/>
      <c r="AD1444" s="80"/>
      <c r="AE1444" s="80"/>
      <c r="AF1444" s="80"/>
      <c r="AG1444" s="80"/>
      <c r="AH1444" s="80"/>
      <c r="AI1444" s="80"/>
    </row>
    <row r="1445" spans="1:35" x14ac:dyDescent="0.2">
      <c r="A1445" s="80"/>
      <c r="B1445" s="80"/>
      <c r="C1445" s="80"/>
      <c r="D1445" s="80"/>
      <c r="E1445" s="80"/>
      <c r="F1445" s="80"/>
      <c r="G1445" s="80"/>
      <c r="H1445" s="80"/>
      <c r="I1445" s="80"/>
      <c r="J1445" s="80"/>
      <c r="K1445" s="80"/>
      <c r="L1445" s="2"/>
      <c r="M1445" s="2"/>
      <c r="N1445" s="2"/>
      <c r="O1445" s="2"/>
      <c r="P1445" s="2"/>
      <c r="Q1445" s="2"/>
      <c r="R1445" s="80"/>
      <c r="S1445" s="80"/>
      <c r="T1445" s="80"/>
      <c r="U1445" s="80"/>
      <c r="V1445" s="80"/>
      <c r="W1445" s="80"/>
      <c r="X1445" s="80"/>
      <c r="Y1445" s="80"/>
      <c r="Z1445" s="80"/>
      <c r="AA1445" s="80"/>
      <c r="AB1445" s="80"/>
      <c r="AC1445" s="80"/>
      <c r="AD1445" s="80"/>
      <c r="AE1445" s="80"/>
      <c r="AF1445" s="80"/>
      <c r="AG1445" s="80"/>
      <c r="AH1445" s="80"/>
      <c r="AI1445" s="80"/>
    </row>
    <row r="1446" spans="1:35" x14ac:dyDescent="0.2">
      <c r="A1446" s="80"/>
      <c r="B1446" s="80"/>
      <c r="C1446" s="80"/>
      <c r="D1446" s="80"/>
      <c r="E1446" s="80"/>
      <c r="F1446" s="80"/>
      <c r="G1446" s="80"/>
      <c r="H1446" s="80"/>
      <c r="I1446" s="80"/>
      <c r="J1446" s="80"/>
      <c r="K1446" s="80"/>
      <c r="L1446" s="2"/>
      <c r="M1446" s="2"/>
      <c r="N1446" s="2"/>
      <c r="O1446" s="2"/>
      <c r="P1446" s="2"/>
      <c r="Q1446" s="2"/>
      <c r="R1446" s="80"/>
      <c r="S1446" s="80"/>
      <c r="T1446" s="80"/>
      <c r="U1446" s="80"/>
      <c r="V1446" s="80"/>
      <c r="W1446" s="80"/>
      <c r="X1446" s="80"/>
      <c r="Y1446" s="80"/>
      <c r="Z1446" s="80"/>
      <c r="AA1446" s="80"/>
      <c r="AB1446" s="80"/>
      <c r="AC1446" s="80"/>
      <c r="AD1446" s="80"/>
      <c r="AE1446" s="80"/>
      <c r="AF1446" s="80"/>
      <c r="AG1446" s="80"/>
      <c r="AH1446" s="80"/>
      <c r="AI1446" s="80"/>
    </row>
    <row r="1447" spans="1:35" x14ac:dyDescent="0.2">
      <c r="A1447" s="80"/>
      <c r="B1447" s="80"/>
      <c r="C1447" s="80"/>
      <c r="D1447" s="80"/>
      <c r="E1447" s="80"/>
      <c r="F1447" s="80"/>
      <c r="G1447" s="80"/>
      <c r="H1447" s="80"/>
      <c r="I1447" s="80"/>
      <c r="J1447" s="80"/>
      <c r="K1447" s="80"/>
      <c r="L1447" s="2"/>
      <c r="M1447" s="2"/>
      <c r="N1447" s="2"/>
      <c r="O1447" s="2"/>
      <c r="P1447" s="2"/>
      <c r="Q1447" s="2"/>
      <c r="R1447" s="80"/>
      <c r="S1447" s="80"/>
      <c r="T1447" s="80"/>
      <c r="U1447" s="80"/>
      <c r="V1447" s="80"/>
      <c r="W1447" s="80"/>
      <c r="X1447" s="80"/>
      <c r="Y1447" s="80"/>
      <c r="Z1447" s="80"/>
      <c r="AA1447" s="80"/>
      <c r="AB1447" s="80"/>
      <c r="AC1447" s="80"/>
      <c r="AD1447" s="80"/>
      <c r="AE1447" s="80"/>
      <c r="AF1447" s="80"/>
      <c r="AG1447" s="80"/>
      <c r="AH1447" s="80"/>
      <c r="AI1447" s="80"/>
    </row>
    <row r="1448" spans="1:35" x14ac:dyDescent="0.2">
      <c r="A1448" s="80"/>
      <c r="B1448" s="80"/>
      <c r="C1448" s="80"/>
      <c r="D1448" s="80"/>
      <c r="E1448" s="80"/>
      <c r="F1448" s="80"/>
      <c r="G1448" s="80"/>
      <c r="H1448" s="80"/>
      <c r="I1448" s="80"/>
      <c r="J1448" s="80"/>
      <c r="K1448" s="80"/>
      <c r="L1448" s="2"/>
      <c r="M1448" s="2"/>
      <c r="N1448" s="2"/>
      <c r="O1448" s="2"/>
      <c r="P1448" s="2"/>
      <c r="Q1448" s="2"/>
      <c r="R1448" s="80"/>
      <c r="S1448" s="80"/>
      <c r="T1448" s="80"/>
      <c r="U1448" s="80"/>
      <c r="V1448" s="80"/>
      <c r="W1448" s="80"/>
      <c r="X1448" s="80"/>
      <c r="Y1448" s="80"/>
      <c r="Z1448" s="80"/>
      <c r="AA1448" s="80"/>
      <c r="AB1448" s="80"/>
      <c r="AC1448" s="80"/>
      <c r="AD1448" s="80"/>
      <c r="AE1448" s="80"/>
      <c r="AF1448" s="80"/>
      <c r="AG1448" s="80"/>
      <c r="AH1448" s="80"/>
      <c r="AI1448" s="80"/>
    </row>
    <row r="1449" spans="1:35" x14ac:dyDescent="0.2">
      <c r="A1449" s="80"/>
      <c r="B1449" s="80"/>
      <c r="C1449" s="80"/>
      <c r="D1449" s="80"/>
      <c r="E1449" s="80"/>
      <c r="F1449" s="80"/>
      <c r="G1449" s="80"/>
      <c r="H1449" s="80"/>
      <c r="I1449" s="80"/>
      <c r="J1449" s="80"/>
      <c r="K1449" s="80"/>
      <c r="L1449" s="2"/>
      <c r="M1449" s="2"/>
      <c r="N1449" s="2"/>
      <c r="O1449" s="2"/>
      <c r="P1449" s="2"/>
      <c r="Q1449" s="2"/>
      <c r="R1449" s="80"/>
      <c r="S1449" s="80"/>
      <c r="T1449" s="80"/>
      <c r="U1449" s="80"/>
      <c r="V1449" s="80"/>
      <c r="W1449" s="80"/>
      <c r="X1449" s="80"/>
      <c r="Y1449" s="80"/>
      <c r="Z1449" s="80"/>
      <c r="AA1449" s="80"/>
      <c r="AB1449" s="80"/>
      <c r="AC1449" s="80"/>
      <c r="AD1449" s="80"/>
      <c r="AE1449" s="80"/>
      <c r="AF1449" s="80"/>
      <c r="AG1449" s="80"/>
      <c r="AH1449" s="80"/>
      <c r="AI1449" s="80"/>
    </row>
    <row r="1450" spans="1:35" x14ac:dyDescent="0.2">
      <c r="A1450" s="80"/>
      <c r="B1450" s="80"/>
      <c r="C1450" s="80"/>
      <c r="D1450" s="80"/>
      <c r="E1450" s="80"/>
      <c r="F1450" s="80"/>
      <c r="G1450" s="80"/>
      <c r="H1450" s="80"/>
      <c r="I1450" s="80"/>
      <c r="J1450" s="80"/>
      <c r="K1450" s="80"/>
      <c r="L1450" s="2"/>
      <c r="M1450" s="2"/>
      <c r="N1450" s="2"/>
      <c r="O1450" s="2"/>
      <c r="P1450" s="2"/>
      <c r="Q1450" s="2"/>
      <c r="R1450" s="80"/>
      <c r="S1450" s="80"/>
      <c r="T1450" s="80"/>
      <c r="U1450" s="80"/>
      <c r="V1450" s="80"/>
      <c r="W1450" s="80"/>
      <c r="X1450" s="80"/>
      <c r="Y1450" s="80"/>
      <c r="Z1450" s="80"/>
      <c r="AA1450" s="80"/>
      <c r="AB1450" s="80"/>
      <c r="AC1450" s="80"/>
      <c r="AD1450" s="80"/>
      <c r="AE1450" s="80"/>
      <c r="AF1450" s="80"/>
      <c r="AG1450" s="80"/>
      <c r="AH1450" s="80"/>
      <c r="AI1450" s="80"/>
    </row>
    <row r="1451" spans="1:35" x14ac:dyDescent="0.2">
      <c r="A1451" s="80"/>
      <c r="B1451" s="80"/>
      <c r="C1451" s="80"/>
      <c r="D1451" s="80"/>
      <c r="E1451" s="80"/>
      <c r="F1451" s="80"/>
      <c r="G1451" s="80"/>
      <c r="H1451" s="80"/>
      <c r="I1451" s="80"/>
      <c r="J1451" s="80"/>
      <c r="K1451" s="80"/>
      <c r="L1451" s="2"/>
      <c r="M1451" s="2"/>
      <c r="N1451" s="2"/>
      <c r="O1451" s="2"/>
      <c r="P1451" s="2"/>
      <c r="Q1451" s="2"/>
      <c r="R1451" s="80"/>
      <c r="S1451" s="80"/>
      <c r="T1451" s="80"/>
      <c r="U1451" s="80"/>
      <c r="V1451" s="80"/>
      <c r="W1451" s="80"/>
      <c r="X1451" s="80"/>
      <c r="Y1451" s="80"/>
      <c r="Z1451" s="80"/>
      <c r="AA1451" s="80"/>
      <c r="AB1451" s="80"/>
      <c r="AC1451" s="80"/>
      <c r="AD1451" s="80"/>
      <c r="AE1451" s="80"/>
      <c r="AF1451" s="80"/>
      <c r="AG1451" s="80"/>
      <c r="AH1451" s="80"/>
      <c r="AI1451" s="80"/>
    </row>
    <row r="1452" spans="1:35" x14ac:dyDescent="0.2">
      <c r="A1452" s="80"/>
      <c r="B1452" s="80"/>
      <c r="C1452" s="80"/>
      <c r="D1452" s="80"/>
      <c r="E1452" s="80"/>
      <c r="F1452" s="80"/>
      <c r="G1452" s="80"/>
      <c r="H1452" s="80"/>
      <c r="I1452" s="80"/>
      <c r="J1452" s="80"/>
      <c r="K1452" s="80"/>
      <c r="L1452" s="2"/>
      <c r="M1452" s="2"/>
      <c r="N1452" s="2"/>
      <c r="O1452" s="2"/>
      <c r="P1452" s="2"/>
      <c r="Q1452" s="2"/>
      <c r="R1452" s="80"/>
      <c r="S1452" s="80"/>
      <c r="T1452" s="80"/>
      <c r="U1452" s="80"/>
      <c r="V1452" s="80"/>
      <c r="W1452" s="80"/>
      <c r="X1452" s="80"/>
      <c r="Y1452" s="80"/>
      <c r="Z1452" s="80"/>
      <c r="AA1452" s="80"/>
      <c r="AB1452" s="80"/>
      <c r="AC1452" s="80"/>
      <c r="AD1452" s="80"/>
      <c r="AE1452" s="80"/>
      <c r="AF1452" s="80"/>
      <c r="AG1452" s="80"/>
      <c r="AH1452" s="80"/>
      <c r="AI1452" s="80"/>
    </row>
    <row r="1453" spans="1:35" x14ac:dyDescent="0.2">
      <c r="A1453" s="80"/>
      <c r="B1453" s="80"/>
      <c r="C1453" s="80"/>
      <c r="D1453" s="80"/>
      <c r="E1453" s="80"/>
      <c r="F1453" s="80"/>
      <c r="G1453" s="80"/>
      <c r="H1453" s="80"/>
      <c r="I1453" s="80"/>
      <c r="J1453" s="80"/>
      <c r="K1453" s="80"/>
      <c r="L1453" s="2"/>
      <c r="M1453" s="2"/>
      <c r="N1453" s="2"/>
      <c r="O1453" s="2"/>
      <c r="P1453" s="2"/>
      <c r="Q1453" s="2"/>
      <c r="R1453" s="80"/>
      <c r="S1453" s="80"/>
      <c r="T1453" s="80"/>
      <c r="U1453" s="80"/>
      <c r="V1453" s="80"/>
      <c r="W1453" s="80"/>
      <c r="X1453" s="80"/>
      <c r="Y1453" s="80"/>
      <c r="Z1453" s="80"/>
      <c r="AA1453" s="80"/>
      <c r="AB1453" s="80"/>
      <c r="AC1453" s="80"/>
      <c r="AD1453" s="80"/>
      <c r="AE1453" s="80"/>
      <c r="AF1453" s="80"/>
      <c r="AG1453" s="80"/>
      <c r="AH1453" s="80"/>
      <c r="AI1453" s="80"/>
    </row>
    <row r="1454" spans="1:35" x14ac:dyDescent="0.2">
      <c r="A1454" s="80"/>
      <c r="B1454" s="80"/>
      <c r="C1454" s="80"/>
      <c r="D1454" s="80"/>
      <c r="E1454" s="80"/>
      <c r="F1454" s="80"/>
      <c r="G1454" s="80"/>
      <c r="H1454" s="80"/>
      <c r="I1454" s="80"/>
      <c r="J1454" s="80"/>
      <c r="K1454" s="80"/>
      <c r="L1454" s="2"/>
      <c r="M1454" s="2"/>
      <c r="N1454" s="2"/>
      <c r="O1454" s="2"/>
      <c r="P1454" s="2"/>
      <c r="Q1454" s="2"/>
      <c r="R1454" s="80"/>
      <c r="S1454" s="80"/>
      <c r="T1454" s="80"/>
      <c r="U1454" s="80"/>
      <c r="V1454" s="80"/>
      <c r="W1454" s="80"/>
      <c r="X1454" s="80"/>
      <c r="Y1454" s="80"/>
      <c r="Z1454" s="80"/>
      <c r="AA1454" s="80"/>
      <c r="AB1454" s="80"/>
      <c r="AC1454" s="80"/>
      <c r="AD1454" s="80"/>
      <c r="AE1454" s="80"/>
      <c r="AF1454" s="80"/>
      <c r="AG1454" s="80"/>
      <c r="AH1454" s="80"/>
      <c r="AI1454" s="80"/>
    </row>
    <row r="1455" spans="1:35" x14ac:dyDescent="0.2">
      <c r="A1455" s="80"/>
      <c r="B1455" s="80"/>
      <c r="C1455" s="80"/>
      <c r="D1455" s="80"/>
      <c r="E1455" s="80"/>
      <c r="F1455" s="80"/>
      <c r="G1455" s="80"/>
      <c r="H1455" s="80"/>
      <c r="I1455" s="80"/>
      <c r="J1455" s="80"/>
      <c r="K1455" s="80"/>
      <c r="L1455" s="2"/>
      <c r="M1455" s="2"/>
      <c r="N1455" s="2"/>
      <c r="O1455" s="2"/>
      <c r="P1455" s="2"/>
      <c r="Q1455" s="2"/>
      <c r="R1455" s="80"/>
      <c r="S1455" s="80"/>
      <c r="T1455" s="80"/>
      <c r="U1455" s="80"/>
      <c r="V1455" s="80"/>
      <c r="W1455" s="80"/>
      <c r="X1455" s="80"/>
      <c r="Y1455" s="80"/>
      <c r="Z1455" s="80"/>
      <c r="AA1455" s="80"/>
      <c r="AB1455" s="80"/>
      <c r="AC1455" s="80"/>
      <c r="AD1455" s="80"/>
      <c r="AE1455" s="80"/>
      <c r="AF1455" s="80"/>
      <c r="AG1455" s="80"/>
      <c r="AH1455" s="80"/>
      <c r="AI1455" s="80"/>
    </row>
    <row r="1456" spans="1:35" x14ac:dyDescent="0.2">
      <c r="A1456" s="80"/>
      <c r="B1456" s="80"/>
      <c r="C1456" s="80"/>
      <c r="D1456" s="80"/>
      <c r="E1456" s="80"/>
      <c r="F1456" s="80"/>
      <c r="G1456" s="80"/>
      <c r="H1456" s="80"/>
      <c r="I1456" s="80"/>
      <c r="J1456" s="80"/>
      <c r="K1456" s="80"/>
      <c r="L1456" s="2"/>
      <c r="M1456" s="2"/>
      <c r="N1456" s="2"/>
      <c r="O1456" s="2"/>
      <c r="P1456" s="2"/>
      <c r="Q1456" s="2"/>
      <c r="R1456" s="80"/>
      <c r="S1456" s="80"/>
      <c r="T1456" s="80"/>
      <c r="U1456" s="80"/>
      <c r="V1456" s="80"/>
      <c r="W1456" s="80"/>
      <c r="X1456" s="80"/>
      <c r="Y1456" s="80"/>
      <c r="Z1456" s="80"/>
      <c r="AA1456" s="80"/>
      <c r="AB1456" s="80"/>
      <c r="AC1456" s="80"/>
      <c r="AD1456" s="80"/>
      <c r="AE1456" s="80"/>
      <c r="AF1456" s="80"/>
      <c r="AG1456" s="80"/>
      <c r="AH1456" s="80"/>
      <c r="AI1456" s="80"/>
    </row>
    <row r="1457" spans="1:35" x14ac:dyDescent="0.2">
      <c r="A1457" s="80"/>
      <c r="B1457" s="80"/>
      <c r="C1457" s="80"/>
      <c r="D1457" s="80"/>
      <c r="E1457" s="80"/>
      <c r="F1457" s="80"/>
      <c r="G1457" s="80"/>
      <c r="H1457" s="80"/>
      <c r="I1457" s="80"/>
      <c r="J1457" s="80"/>
      <c r="K1457" s="80"/>
      <c r="L1457" s="2"/>
      <c r="M1457" s="2"/>
      <c r="N1457" s="2"/>
      <c r="O1457" s="2"/>
      <c r="P1457" s="2"/>
      <c r="Q1457" s="2"/>
      <c r="R1457" s="80"/>
      <c r="S1457" s="80"/>
      <c r="T1457" s="80"/>
      <c r="U1457" s="80"/>
      <c r="V1457" s="80"/>
      <c r="W1457" s="80"/>
      <c r="X1457" s="80"/>
      <c r="Y1457" s="80"/>
      <c r="Z1457" s="80"/>
      <c r="AA1457" s="80"/>
      <c r="AB1457" s="80"/>
      <c r="AC1457" s="80"/>
      <c r="AD1457" s="80"/>
      <c r="AE1457" s="80"/>
      <c r="AF1457" s="80"/>
      <c r="AG1457" s="80"/>
      <c r="AH1457" s="80"/>
      <c r="AI1457" s="80"/>
    </row>
    <row r="1458" spans="1:35" x14ac:dyDescent="0.2">
      <c r="A1458" s="80"/>
      <c r="B1458" s="80"/>
      <c r="C1458" s="80"/>
      <c r="D1458" s="80"/>
      <c r="E1458" s="80"/>
      <c r="F1458" s="80"/>
      <c r="G1458" s="80"/>
      <c r="H1458" s="80"/>
      <c r="I1458" s="80"/>
      <c r="J1458" s="80"/>
      <c r="K1458" s="80"/>
      <c r="L1458" s="2"/>
      <c r="M1458" s="2"/>
      <c r="N1458" s="2"/>
      <c r="O1458" s="2"/>
      <c r="P1458" s="2"/>
      <c r="Q1458" s="2"/>
      <c r="R1458" s="80"/>
      <c r="S1458" s="80"/>
      <c r="T1458" s="80"/>
      <c r="U1458" s="80"/>
      <c r="V1458" s="80"/>
      <c r="W1458" s="80"/>
      <c r="X1458" s="80"/>
      <c r="Y1458" s="80"/>
      <c r="Z1458" s="80"/>
      <c r="AA1458" s="80"/>
      <c r="AB1458" s="80"/>
      <c r="AC1458" s="80"/>
      <c r="AD1458" s="80"/>
      <c r="AE1458" s="80"/>
      <c r="AF1458" s="80"/>
      <c r="AG1458" s="80"/>
      <c r="AH1458" s="80"/>
      <c r="AI1458" s="80"/>
    </row>
    <row r="1459" spans="1:35" x14ac:dyDescent="0.2">
      <c r="A1459" s="80"/>
      <c r="B1459" s="80"/>
      <c r="C1459" s="80"/>
      <c r="D1459" s="80"/>
      <c r="E1459" s="80"/>
      <c r="F1459" s="80"/>
      <c r="G1459" s="80"/>
      <c r="H1459" s="80"/>
      <c r="I1459" s="80"/>
      <c r="J1459" s="80"/>
      <c r="K1459" s="80"/>
      <c r="L1459" s="2"/>
      <c r="M1459" s="2"/>
      <c r="N1459" s="2"/>
      <c r="O1459" s="2"/>
      <c r="P1459" s="2"/>
      <c r="Q1459" s="2"/>
      <c r="R1459" s="80"/>
      <c r="S1459" s="80"/>
      <c r="T1459" s="80"/>
      <c r="U1459" s="80"/>
      <c r="V1459" s="80"/>
      <c r="W1459" s="80"/>
      <c r="X1459" s="80"/>
      <c r="Y1459" s="80"/>
      <c r="Z1459" s="80"/>
      <c r="AA1459" s="80"/>
      <c r="AB1459" s="80"/>
      <c r="AC1459" s="80"/>
      <c r="AD1459" s="80"/>
      <c r="AE1459" s="80"/>
      <c r="AF1459" s="80"/>
      <c r="AG1459" s="80"/>
      <c r="AH1459" s="80"/>
      <c r="AI1459" s="80"/>
    </row>
    <row r="1460" spans="1:35" x14ac:dyDescent="0.2">
      <c r="A1460" s="80"/>
      <c r="B1460" s="80"/>
      <c r="C1460" s="80"/>
      <c r="D1460" s="80"/>
      <c r="E1460" s="80"/>
      <c r="F1460" s="80"/>
      <c r="G1460" s="80"/>
      <c r="H1460" s="80"/>
      <c r="I1460" s="80"/>
      <c r="J1460" s="80"/>
      <c r="K1460" s="80"/>
      <c r="L1460" s="2"/>
      <c r="M1460" s="2"/>
      <c r="N1460" s="2"/>
      <c r="O1460" s="2"/>
      <c r="P1460" s="2"/>
      <c r="Q1460" s="2"/>
      <c r="R1460" s="80"/>
      <c r="S1460" s="80"/>
      <c r="T1460" s="80"/>
      <c r="U1460" s="80"/>
      <c r="V1460" s="80"/>
      <c r="W1460" s="80"/>
      <c r="X1460" s="80"/>
      <c r="Y1460" s="80"/>
      <c r="Z1460" s="80"/>
      <c r="AA1460" s="80"/>
      <c r="AB1460" s="80"/>
      <c r="AC1460" s="80"/>
      <c r="AD1460" s="80"/>
      <c r="AE1460" s="80"/>
      <c r="AF1460" s="80"/>
      <c r="AG1460" s="80"/>
      <c r="AH1460" s="80"/>
      <c r="AI1460" s="80"/>
    </row>
    <row r="1461" spans="1:35" x14ac:dyDescent="0.2">
      <c r="A1461" s="80"/>
      <c r="B1461" s="80"/>
      <c r="C1461" s="80"/>
      <c r="D1461" s="80"/>
      <c r="E1461" s="80"/>
      <c r="F1461" s="80"/>
      <c r="G1461" s="80"/>
      <c r="H1461" s="80"/>
      <c r="I1461" s="80"/>
      <c r="J1461" s="80"/>
      <c r="K1461" s="80"/>
      <c r="L1461" s="2"/>
      <c r="M1461" s="2"/>
      <c r="N1461" s="2"/>
      <c r="O1461" s="2"/>
      <c r="P1461" s="2"/>
      <c r="Q1461" s="2"/>
      <c r="R1461" s="80"/>
      <c r="S1461" s="80"/>
      <c r="T1461" s="80"/>
      <c r="U1461" s="80"/>
      <c r="V1461" s="80"/>
      <c r="W1461" s="80"/>
      <c r="X1461" s="80"/>
      <c r="Y1461" s="80"/>
      <c r="Z1461" s="80"/>
      <c r="AA1461" s="80"/>
      <c r="AB1461" s="80"/>
      <c r="AC1461" s="80"/>
      <c r="AD1461" s="80"/>
      <c r="AE1461" s="80"/>
      <c r="AF1461" s="80"/>
      <c r="AG1461" s="80"/>
      <c r="AH1461" s="80"/>
      <c r="AI1461" s="80"/>
    </row>
    <row r="1462" spans="1:35" x14ac:dyDescent="0.2">
      <c r="A1462" s="80"/>
      <c r="B1462" s="80"/>
      <c r="C1462" s="80"/>
      <c r="D1462" s="80"/>
      <c r="E1462" s="80"/>
      <c r="F1462" s="80"/>
      <c r="G1462" s="80"/>
      <c r="H1462" s="80"/>
      <c r="I1462" s="80"/>
      <c r="J1462" s="80"/>
      <c r="K1462" s="80"/>
      <c r="L1462" s="2"/>
      <c r="M1462" s="2"/>
      <c r="N1462" s="2"/>
      <c r="O1462" s="2"/>
      <c r="P1462" s="2"/>
      <c r="Q1462" s="2"/>
      <c r="R1462" s="80"/>
      <c r="S1462" s="80"/>
      <c r="T1462" s="80"/>
      <c r="U1462" s="80"/>
      <c r="V1462" s="80"/>
      <c r="W1462" s="80"/>
      <c r="X1462" s="80"/>
      <c r="Y1462" s="80"/>
      <c r="Z1462" s="80"/>
      <c r="AA1462" s="80"/>
      <c r="AB1462" s="80"/>
      <c r="AC1462" s="80"/>
      <c r="AD1462" s="80"/>
      <c r="AE1462" s="80"/>
      <c r="AF1462" s="80"/>
      <c r="AG1462" s="80"/>
      <c r="AH1462" s="80"/>
      <c r="AI1462" s="80"/>
    </row>
    <row r="1463" spans="1:35" x14ac:dyDescent="0.2">
      <c r="A1463" s="80"/>
      <c r="B1463" s="80"/>
      <c r="C1463" s="80"/>
      <c r="D1463" s="80"/>
      <c r="E1463" s="80"/>
      <c r="F1463" s="80"/>
      <c r="G1463" s="80"/>
      <c r="H1463" s="80"/>
      <c r="I1463" s="80"/>
      <c r="J1463" s="80"/>
      <c r="K1463" s="80"/>
      <c r="L1463" s="2"/>
      <c r="M1463" s="2"/>
      <c r="N1463" s="2"/>
      <c r="O1463" s="2"/>
      <c r="P1463" s="2"/>
      <c r="Q1463" s="2"/>
      <c r="R1463" s="80"/>
      <c r="S1463" s="80"/>
      <c r="T1463" s="80"/>
      <c r="U1463" s="80"/>
      <c r="V1463" s="80"/>
      <c r="W1463" s="80"/>
      <c r="X1463" s="80"/>
      <c r="Y1463" s="80"/>
      <c r="Z1463" s="80"/>
      <c r="AA1463" s="80"/>
      <c r="AB1463" s="80"/>
      <c r="AC1463" s="80"/>
      <c r="AD1463" s="80"/>
      <c r="AE1463" s="80"/>
      <c r="AF1463" s="80"/>
      <c r="AG1463" s="80"/>
      <c r="AH1463" s="80"/>
      <c r="AI1463" s="80"/>
    </row>
    <row r="1464" spans="1:35" x14ac:dyDescent="0.2">
      <c r="A1464" s="80"/>
      <c r="B1464" s="80"/>
      <c r="C1464" s="80"/>
      <c r="D1464" s="80"/>
      <c r="E1464" s="80"/>
      <c r="F1464" s="80"/>
      <c r="G1464" s="80"/>
      <c r="H1464" s="80"/>
      <c r="I1464" s="80"/>
      <c r="J1464" s="80"/>
      <c r="K1464" s="80"/>
      <c r="L1464" s="2"/>
      <c r="M1464" s="2"/>
      <c r="N1464" s="2"/>
      <c r="O1464" s="2"/>
      <c r="P1464" s="2"/>
      <c r="Q1464" s="2"/>
      <c r="R1464" s="80"/>
      <c r="S1464" s="80"/>
      <c r="T1464" s="80"/>
      <c r="U1464" s="80"/>
      <c r="V1464" s="80"/>
      <c r="W1464" s="80"/>
      <c r="X1464" s="80"/>
      <c r="Y1464" s="80"/>
      <c r="Z1464" s="80"/>
      <c r="AA1464" s="80"/>
      <c r="AB1464" s="80"/>
      <c r="AC1464" s="80"/>
      <c r="AD1464" s="80"/>
      <c r="AE1464" s="80"/>
      <c r="AF1464" s="80"/>
      <c r="AG1464" s="80"/>
      <c r="AH1464" s="80"/>
      <c r="AI1464" s="80"/>
    </row>
    <row r="1465" spans="1:35" x14ac:dyDescent="0.2">
      <c r="A1465" s="80"/>
      <c r="B1465" s="80"/>
      <c r="C1465" s="80"/>
      <c r="D1465" s="80"/>
      <c r="E1465" s="80"/>
      <c r="F1465" s="80"/>
      <c r="G1465" s="80"/>
      <c r="H1465" s="80"/>
      <c r="I1465" s="80"/>
      <c r="J1465" s="80"/>
      <c r="K1465" s="80"/>
      <c r="L1465" s="2"/>
      <c r="M1465" s="2"/>
      <c r="N1465" s="2"/>
      <c r="O1465" s="2"/>
      <c r="P1465" s="2"/>
      <c r="Q1465" s="2"/>
      <c r="R1465" s="80"/>
      <c r="S1465" s="80"/>
      <c r="T1465" s="80"/>
      <c r="U1465" s="80"/>
      <c r="V1465" s="80"/>
      <c r="W1465" s="80"/>
      <c r="X1465" s="80"/>
      <c r="Y1465" s="80"/>
      <c r="Z1465" s="80"/>
      <c r="AA1465" s="80"/>
      <c r="AB1465" s="80"/>
      <c r="AC1465" s="80"/>
      <c r="AD1465" s="80"/>
      <c r="AE1465" s="80"/>
      <c r="AF1465" s="80"/>
      <c r="AG1465" s="80"/>
      <c r="AH1465" s="80"/>
      <c r="AI1465" s="80"/>
    </row>
    <row r="1466" spans="1:35" x14ac:dyDescent="0.2">
      <c r="A1466" s="80"/>
      <c r="B1466" s="80"/>
      <c r="C1466" s="80"/>
      <c r="D1466" s="80"/>
      <c r="E1466" s="80"/>
      <c r="F1466" s="80"/>
      <c r="G1466" s="80"/>
      <c r="H1466" s="80"/>
      <c r="I1466" s="80"/>
      <c r="J1466" s="80"/>
      <c r="K1466" s="80"/>
      <c r="L1466" s="2"/>
      <c r="M1466" s="2"/>
      <c r="N1466" s="2"/>
      <c r="O1466" s="2"/>
      <c r="P1466" s="2"/>
      <c r="Q1466" s="2"/>
      <c r="R1466" s="80"/>
      <c r="S1466" s="80"/>
      <c r="T1466" s="80"/>
      <c r="U1466" s="80"/>
      <c r="V1466" s="80"/>
      <c r="W1466" s="80"/>
      <c r="X1466" s="80"/>
      <c r="Y1466" s="80"/>
      <c r="Z1466" s="80"/>
      <c r="AA1466" s="80"/>
      <c r="AB1466" s="80"/>
      <c r="AC1466" s="80"/>
      <c r="AD1466" s="80"/>
      <c r="AE1466" s="80"/>
      <c r="AF1466" s="80"/>
      <c r="AG1466" s="80"/>
      <c r="AH1466" s="80"/>
      <c r="AI1466" s="80"/>
    </row>
    <row r="1467" spans="1:35" x14ac:dyDescent="0.2">
      <c r="A1467" s="80"/>
      <c r="B1467" s="80"/>
      <c r="C1467" s="80"/>
      <c r="D1467" s="80"/>
      <c r="E1467" s="80"/>
      <c r="F1467" s="80"/>
      <c r="G1467" s="80"/>
      <c r="H1467" s="80"/>
      <c r="I1467" s="80"/>
      <c r="J1467" s="80"/>
      <c r="K1467" s="80"/>
      <c r="L1467" s="2"/>
      <c r="M1467" s="2"/>
      <c r="N1467" s="2"/>
      <c r="O1467" s="2"/>
      <c r="P1467" s="2"/>
      <c r="Q1467" s="2"/>
      <c r="R1467" s="80"/>
      <c r="S1467" s="80"/>
      <c r="T1467" s="80"/>
      <c r="U1467" s="80"/>
      <c r="V1467" s="80"/>
      <c r="W1467" s="80"/>
      <c r="X1467" s="80"/>
      <c r="Y1467" s="80"/>
      <c r="Z1467" s="80"/>
      <c r="AA1467" s="80"/>
      <c r="AB1467" s="80"/>
      <c r="AC1467" s="80"/>
      <c r="AD1467" s="80"/>
      <c r="AE1467" s="80"/>
      <c r="AF1467" s="80"/>
      <c r="AG1467" s="80"/>
      <c r="AH1467" s="80"/>
      <c r="AI1467" s="80"/>
    </row>
    <row r="1468" spans="1:35" x14ac:dyDescent="0.2">
      <c r="A1468" s="80"/>
      <c r="B1468" s="80"/>
      <c r="C1468" s="80"/>
      <c r="D1468" s="80"/>
      <c r="E1468" s="80"/>
      <c r="F1468" s="80"/>
      <c r="G1468" s="80"/>
      <c r="H1468" s="80"/>
      <c r="I1468" s="80"/>
      <c r="J1468" s="80"/>
      <c r="K1468" s="80"/>
      <c r="L1468" s="2"/>
      <c r="M1468" s="2"/>
      <c r="N1468" s="2"/>
      <c r="O1468" s="2"/>
      <c r="P1468" s="2"/>
      <c r="Q1468" s="2"/>
      <c r="R1468" s="80"/>
      <c r="S1468" s="80"/>
      <c r="T1468" s="80"/>
      <c r="U1468" s="80"/>
      <c r="V1468" s="80"/>
      <c r="W1468" s="80"/>
      <c r="X1468" s="80"/>
      <c r="Y1468" s="80"/>
      <c r="Z1468" s="80"/>
      <c r="AA1468" s="80"/>
      <c r="AB1468" s="80"/>
      <c r="AC1468" s="80"/>
      <c r="AD1468" s="80"/>
      <c r="AE1468" s="80"/>
      <c r="AF1468" s="80"/>
      <c r="AG1468" s="80"/>
      <c r="AH1468" s="80"/>
      <c r="AI1468" s="80"/>
    </row>
    <row r="1469" spans="1:35" x14ac:dyDescent="0.2">
      <c r="A1469" s="80"/>
      <c r="B1469" s="80"/>
      <c r="C1469" s="80"/>
      <c r="D1469" s="80"/>
      <c r="E1469" s="80"/>
      <c r="F1469" s="80"/>
      <c r="G1469" s="80"/>
      <c r="H1469" s="80"/>
      <c r="I1469" s="80"/>
      <c r="J1469" s="80"/>
      <c r="K1469" s="80"/>
      <c r="L1469" s="2"/>
      <c r="M1469" s="2"/>
      <c r="N1469" s="2"/>
      <c r="O1469" s="2"/>
      <c r="P1469" s="2"/>
      <c r="Q1469" s="2"/>
      <c r="R1469" s="80"/>
      <c r="S1469" s="80"/>
      <c r="T1469" s="80"/>
      <c r="U1469" s="80"/>
      <c r="V1469" s="80"/>
      <c r="W1469" s="80"/>
      <c r="X1469" s="80"/>
      <c r="Y1469" s="80"/>
      <c r="Z1469" s="80"/>
      <c r="AA1469" s="80"/>
      <c r="AB1469" s="80"/>
      <c r="AC1469" s="80"/>
      <c r="AD1469" s="80"/>
      <c r="AE1469" s="80"/>
      <c r="AF1469" s="80"/>
      <c r="AG1469" s="80"/>
      <c r="AH1469" s="80"/>
      <c r="AI1469" s="80"/>
    </row>
    <row r="1470" spans="1:35" x14ac:dyDescent="0.2">
      <c r="A1470" s="80"/>
      <c r="B1470" s="80"/>
      <c r="C1470" s="80"/>
      <c r="D1470" s="80"/>
      <c r="E1470" s="80"/>
      <c r="F1470" s="80"/>
      <c r="G1470" s="80"/>
      <c r="H1470" s="80"/>
      <c r="I1470" s="80"/>
      <c r="J1470" s="80"/>
      <c r="K1470" s="80"/>
      <c r="L1470" s="2"/>
      <c r="M1470" s="2"/>
      <c r="N1470" s="2"/>
      <c r="O1470" s="2"/>
      <c r="P1470" s="2"/>
      <c r="Q1470" s="2"/>
      <c r="R1470" s="80"/>
      <c r="S1470" s="80"/>
      <c r="T1470" s="80"/>
      <c r="U1470" s="80"/>
      <c r="V1470" s="80"/>
      <c r="W1470" s="80"/>
      <c r="X1470" s="80"/>
      <c r="Y1470" s="80"/>
      <c r="Z1470" s="80"/>
      <c r="AA1470" s="80"/>
      <c r="AB1470" s="80"/>
      <c r="AC1470" s="80"/>
      <c r="AD1470" s="80"/>
      <c r="AE1470" s="80"/>
      <c r="AF1470" s="80"/>
      <c r="AG1470" s="80"/>
      <c r="AH1470" s="80"/>
      <c r="AI1470" s="80"/>
    </row>
    <row r="1471" spans="1:35" x14ac:dyDescent="0.2">
      <c r="A1471" s="80"/>
      <c r="B1471" s="80"/>
      <c r="C1471" s="80"/>
      <c r="D1471" s="80"/>
      <c r="E1471" s="80"/>
      <c r="F1471" s="80"/>
      <c r="G1471" s="80"/>
      <c r="H1471" s="80"/>
      <c r="I1471" s="80"/>
      <c r="J1471" s="80"/>
      <c r="K1471" s="80"/>
      <c r="L1471" s="2"/>
      <c r="M1471" s="2"/>
      <c r="N1471" s="2"/>
      <c r="O1471" s="2"/>
      <c r="P1471" s="2"/>
      <c r="Q1471" s="2"/>
      <c r="R1471" s="80"/>
      <c r="S1471" s="80"/>
      <c r="T1471" s="80"/>
      <c r="U1471" s="80"/>
      <c r="V1471" s="80"/>
      <c r="W1471" s="80"/>
      <c r="X1471" s="80"/>
      <c r="Y1471" s="80"/>
      <c r="Z1471" s="80"/>
      <c r="AA1471" s="80"/>
      <c r="AB1471" s="80"/>
      <c r="AC1471" s="80"/>
      <c r="AD1471" s="80"/>
      <c r="AE1471" s="80"/>
      <c r="AF1471" s="80"/>
      <c r="AG1471" s="80"/>
      <c r="AH1471" s="80"/>
      <c r="AI1471" s="80"/>
    </row>
    <row r="1472" spans="1:35" x14ac:dyDescent="0.2">
      <c r="A1472" s="80"/>
      <c r="B1472" s="80"/>
      <c r="C1472" s="80"/>
      <c r="D1472" s="80"/>
      <c r="E1472" s="80"/>
      <c r="F1472" s="80"/>
      <c r="G1472" s="80"/>
      <c r="H1472" s="80"/>
      <c r="I1472" s="80"/>
      <c r="J1472" s="80"/>
      <c r="K1472" s="80"/>
      <c r="L1472" s="2"/>
      <c r="M1472" s="2"/>
      <c r="N1472" s="2"/>
      <c r="O1472" s="2"/>
      <c r="P1472" s="2"/>
      <c r="Q1472" s="2"/>
      <c r="R1472" s="80"/>
      <c r="S1472" s="80"/>
      <c r="T1472" s="80"/>
      <c r="U1472" s="80"/>
      <c r="V1472" s="80"/>
      <c r="W1472" s="80"/>
      <c r="X1472" s="80"/>
      <c r="Y1472" s="80"/>
      <c r="Z1472" s="80"/>
      <c r="AA1472" s="80"/>
      <c r="AB1472" s="80"/>
      <c r="AC1472" s="80"/>
      <c r="AD1472" s="80"/>
      <c r="AE1472" s="80"/>
      <c r="AF1472" s="80"/>
      <c r="AG1472" s="80"/>
      <c r="AH1472" s="80"/>
      <c r="AI1472" s="80"/>
    </row>
    <row r="1473" spans="1:35" x14ac:dyDescent="0.2">
      <c r="A1473" s="80"/>
      <c r="B1473" s="80"/>
      <c r="C1473" s="80"/>
      <c r="D1473" s="80"/>
      <c r="E1473" s="80"/>
      <c r="F1473" s="80"/>
      <c r="G1473" s="80"/>
      <c r="H1473" s="80"/>
      <c r="I1473" s="80"/>
      <c r="J1473" s="80"/>
      <c r="K1473" s="80"/>
      <c r="L1473" s="2"/>
      <c r="M1473" s="2"/>
      <c r="N1473" s="2"/>
      <c r="O1473" s="2"/>
      <c r="P1473" s="2"/>
      <c r="Q1473" s="2"/>
      <c r="R1473" s="80"/>
      <c r="S1473" s="80"/>
      <c r="T1473" s="80"/>
      <c r="U1473" s="80"/>
      <c r="V1473" s="80"/>
      <c r="W1473" s="80"/>
      <c r="X1473" s="80"/>
      <c r="Y1473" s="80"/>
      <c r="Z1473" s="80"/>
      <c r="AA1473" s="80"/>
      <c r="AB1473" s="80"/>
      <c r="AC1473" s="80"/>
      <c r="AD1473" s="80"/>
      <c r="AE1473" s="80"/>
      <c r="AF1473" s="80"/>
      <c r="AG1473" s="80"/>
      <c r="AH1473" s="80"/>
      <c r="AI1473" s="80"/>
    </row>
    <row r="1474" spans="1:35" x14ac:dyDescent="0.2">
      <c r="A1474" s="80"/>
      <c r="B1474" s="80"/>
      <c r="C1474" s="80"/>
      <c r="D1474" s="80"/>
      <c r="E1474" s="80"/>
      <c r="F1474" s="80"/>
      <c r="G1474" s="80"/>
      <c r="H1474" s="80"/>
      <c r="I1474" s="80"/>
      <c r="J1474" s="80"/>
      <c r="K1474" s="80"/>
      <c r="L1474" s="2"/>
      <c r="M1474" s="2"/>
      <c r="N1474" s="2"/>
      <c r="O1474" s="2"/>
      <c r="P1474" s="2"/>
      <c r="Q1474" s="2"/>
      <c r="R1474" s="80"/>
      <c r="S1474" s="80"/>
      <c r="T1474" s="80"/>
      <c r="U1474" s="80"/>
      <c r="V1474" s="80"/>
      <c r="W1474" s="80"/>
      <c r="X1474" s="80"/>
      <c r="Y1474" s="80"/>
      <c r="Z1474" s="80"/>
      <c r="AA1474" s="80"/>
      <c r="AB1474" s="80"/>
      <c r="AC1474" s="80"/>
      <c r="AD1474" s="80"/>
      <c r="AE1474" s="80"/>
      <c r="AF1474" s="80"/>
      <c r="AG1474" s="80"/>
      <c r="AH1474" s="80"/>
      <c r="AI1474" s="80"/>
    </row>
    <row r="1475" spans="1:35" x14ac:dyDescent="0.2">
      <c r="A1475" s="80"/>
      <c r="B1475" s="80"/>
      <c r="C1475" s="80"/>
      <c r="D1475" s="80"/>
      <c r="E1475" s="80"/>
      <c r="F1475" s="80"/>
      <c r="G1475" s="80"/>
      <c r="H1475" s="80"/>
      <c r="I1475" s="80"/>
      <c r="J1475" s="80"/>
      <c r="K1475" s="80"/>
      <c r="L1475" s="2"/>
      <c r="M1475" s="2"/>
      <c r="N1475" s="2"/>
      <c r="O1475" s="2"/>
      <c r="P1475" s="2"/>
      <c r="Q1475" s="2"/>
      <c r="R1475" s="80"/>
      <c r="S1475" s="80"/>
      <c r="T1475" s="80"/>
      <c r="U1475" s="80"/>
      <c r="V1475" s="80"/>
      <c r="W1475" s="80"/>
      <c r="X1475" s="80"/>
      <c r="Y1475" s="80"/>
      <c r="Z1475" s="80"/>
      <c r="AA1475" s="80"/>
      <c r="AB1475" s="80"/>
      <c r="AC1475" s="80"/>
      <c r="AD1475" s="80"/>
      <c r="AE1475" s="80"/>
      <c r="AF1475" s="80"/>
      <c r="AG1475" s="80"/>
      <c r="AH1475" s="80"/>
      <c r="AI1475" s="80"/>
    </row>
    <row r="1476" spans="1:35" x14ac:dyDescent="0.2">
      <c r="A1476" s="80"/>
      <c r="B1476" s="80"/>
      <c r="C1476" s="80"/>
      <c r="D1476" s="80"/>
      <c r="E1476" s="80"/>
      <c r="F1476" s="80"/>
      <c r="G1476" s="80"/>
      <c r="H1476" s="80"/>
      <c r="I1476" s="80"/>
      <c r="J1476" s="80"/>
      <c r="K1476" s="80"/>
      <c r="L1476" s="2"/>
      <c r="M1476" s="2"/>
      <c r="N1476" s="2"/>
      <c r="O1476" s="2"/>
      <c r="P1476" s="2"/>
      <c r="Q1476" s="2"/>
      <c r="R1476" s="80"/>
      <c r="S1476" s="80"/>
      <c r="T1476" s="80"/>
      <c r="U1476" s="80"/>
      <c r="V1476" s="80"/>
      <c r="W1476" s="80"/>
      <c r="X1476" s="80"/>
      <c r="Y1476" s="80"/>
      <c r="Z1476" s="80"/>
      <c r="AA1476" s="80"/>
      <c r="AB1476" s="80"/>
      <c r="AC1476" s="80"/>
      <c r="AD1476" s="80"/>
      <c r="AE1476" s="80"/>
      <c r="AF1476" s="80"/>
      <c r="AG1476" s="80"/>
      <c r="AH1476" s="80"/>
      <c r="AI1476" s="80"/>
    </row>
    <row r="1477" spans="1:35" x14ac:dyDescent="0.2">
      <c r="A1477" s="80"/>
      <c r="B1477" s="80"/>
      <c r="C1477" s="80"/>
      <c r="D1477" s="80"/>
      <c r="E1477" s="80"/>
      <c r="F1477" s="80"/>
      <c r="G1477" s="80"/>
      <c r="H1477" s="80"/>
      <c r="I1477" s="80"/>
      <c r="J1477" s="80"/>
      <c r="K1477" s="80"/>
      <c r="L1477" s="2"/>
      <c r="M1477" s="2"/>
      <c r="N1477" s="2"/>
      <c r="O1477" s="2"/>
      <c r="P1477" s="2"/>
      <c r="Q1477" s="2"/>
      <c r="R1477" s="80"/>
      <c r="S1477" s="80"/>
      <c r="T1477" s="80"/>
      <c r="U1477" s="80"/>
      <c r="V1477" s="80"/>
      <c r="W1477" s="80"/>
      <c r="X1477" s="80"/>
      <c r="Y1477" s="80"/>
      <c r="Z1477" s="80"/>
      <c r="AA1477" s="80"/>
      <c r="AB1477" s="80"/>
      <c r="AC1477" s="80"/>
      <c r="AD1477" s="80"/>
      <c r="AE1477" s="80"/>
      <c r="AF1477" s="80"/>
      <c r="AG1477" s="80"/>
      <c r="AH1477" s="80"/>
      <c r="AI1477" s="80"/>
    </row>
    <row r="1478" spans="1:35" x14ac:dyDescent="0.2">
      <c r="A1478" s="80"/>
      <c r="B1478" s="80"/>
      <c r="C1478" s="80"/>
      <c r="D1478" s="80"/>
      <c r="E1478" s="80"/>
      <c r="F1478" s="80"/>
      <c r="G1478" s="80"/>
      <c r="H1478" s="80"/>
      <c r="I1478" s="80"/>
      <c r="J1478" s="80"/>
      <c r="K1478" s="80"/>
      <c r="L1478" s="2"/>
      <c r="M1478" s="2"/>
      <c r="N1478" s="2"/>
      <c r="O1478" s="2"/>
      <c r="P1478" s="2"/>
      <c r="Q1478" s="2"/>
      <c r="R1478" s="80"/>
      <c r="S1478" s="80"/>
      <c r="T1478" s="80"/>
      <c r="U1478" s="80"/>
      <c r="V1478" s="80"/>
      <c r="W1478" s="80"/>
      <c r="X1478" s="80"/>
      <c r="Y1478" s="80"/>
      <c r="Z1478" s="80"/>
      <c r="AA1478" s="80"/>
      <c r="AB1478" s="80"/>
      <c r="AC1478" s="80"/>
      <c r="AD1478" s="80"/>
      <c r="AE1478" s="80"/>
      <c r="AF1478" s="80"/>
      <c r="AG1478" s="80"/>
      <c r="AH1478" s="80"/>
      <c r="AI1478" s="80"/>
    </row>
    <row r="1479" spans="1:35" x14ac:dyDescent="0.2">
      <c r="A1479" s="80"/>
      <c r="B1479" s="80"/>
      <c r="C1479" s="80"/>
      <c r="D1479" s="80"/>
      <c r="E1479" s="80"/>
      <c r="F1479" s="80"/>
      <c r="G1479" s="80"/>
      <c r="H1479" s="80"/>
      <c r="I1479" s="80"/>
      <c r="J1479" s="80"/>
      <c r="K1479" s="80"/>
      <c r="L1479" s="2"/>
      <c r="M1479" s="2"/>
      <c r="N1479" s="2"/>
      <c r="O1479" s="2"/>
      <c r="P1479" s="2"/>
      <c r="Q1479" s="2"/>
      <c r="R1479" s="80"/>
      <c r="S1479" s="80"/>
      <c r="T1479" s="80"/>
      <c r="U1479" s="80"/>
      <c r="V1479" s="80"/>
      <c r="W1479" s="80"/>
      <c r="X1479" s="80"/>
      <c r="Y1479" s="80"/>
      <c r="Z1479" s="80"/>
      <c r="AA1479" s="80"/>
      <c r="AB1479" s="80"/>
      <c r="AC1479" s="80"/>
      <c r="AD1479" s="80"/>
      <c r="AE1479" s="80"/>
      <c r="AF1479" s="80"/>
      <c r="AG1479" s="80"/>
      <c r="AH1479" s="80"/>
      <c r="AI1479" s="80"/>
    </row>
    <row r="1480" spans="1:35" x14ac:dyDescent="0.2">
      <c r="A1480" s="80"/>
      <c r="B1480" s="80"/>
      <c r="C1480" s="80"/>
      <c r="D1480" s="80"/>
      <c r="E1480" s="80"/>
      <c r="F1480" s="80"/>
      <c r="G1480" s="80"/>
      <c r="H1480" s="80"/>
      <c r="I1480" s="80"/>
      <c r="J1480" s="80"/>
      <c r="K1480" s="80"/>
      <c r="L1480" s="2"/>
      <c r="M1480" s="2"/>
      <c r="N1480" s="2"/>
      <c r="O1480" s="2"/>
      <c r="P1480" s="2"/>
      <c r="Q1480" s="2"/>
      <c r="R1480" s="80"/>
      <c r="S1480" s="80"/>
      <c r="T1480" s="80"/>
      <c r="U1480" s="80"/>
      <c r="V1480" s="80"/>
      <c r="W1480" s="80"/>
      <c r="X1480" s="80"/>
      <c r="Y1480" s="80"/>
      <c r="Z1480" s="80"/>
      <c r="AA1480" s="80"/>
      <c r="AB1480" s="80"/>
      <c r="AC1480" s="80"/>
      <c r="AD1480" s="80"/>
      <c r="AE1480" s="80"/>
      <c r="AF1480" s="80"/>
      <c r="AG1480" s="80"/>
      <c r="AH1480" s="80"/>
      <c r="AI1480" s="80"/>
    </row>
    <row r="1481" spans="1:35" x14ac:dyDescent="0.2">
      <c r="A1481" s="80"/>
      <c r="B1481" s="80"/>
      <c r="C1481" s="80"/>
      <c r="D1481" s="80"/>
      <c r="E1481" s="80"/>
      <c r="F1481" s="80"/>
      <c r="G1481" s="80"/>
      <c r="H1481" s="80"/>
      <c r="I1481" s="80"/>
      <c r="J1481" s="80"/>
      <c r="K1481" s="80"/>
      <c r="L1481" s="2"/>
      <c r="M1481" s="2"/>
      <c r="N1481" s="2"/>
      <c r="O1481" s="2"/>
      <c r="P1481" s="2"/>
      <c r="Q1481" s="2"/>
      <c r="R1481" s="80"/>
      <c r="S1481" s="80"/>
      <c r="T1481" s="80"/>
      <c r="U1481" s="80"/>
      <c r="V1481" s="80"/>
      <c r="W1481" s="80"/>
      <c r="X1481" s="80"/>
      <c r="Y1481" s="80"/>
      <c r="Z1481" s="80"/>
      <c r="AA1481" s="80"/>
      <c r="AB1481" s="80"/>
      <c r="AC1481" s="80"/>
      <c r="AD1481" s="80"/>
      <c r="AE1481" s="80"/>
      <c r="AF1481" s="80"/>
      <c r="AG1481" s="80"/>
      <c r="AH1481" s="80"/>
      <c r="AI1481" s="80"/>
    </row>
    <row r="1482" spans="1:35" x14ac:dyDescent="0.2">
      <c r="A1482" s="80"/>
      <c r="B1482" s="80"/>
      <c r="C1482" s="80"/>
      <c r="D1482" s="80"/>
      <c r="E1482" s="80"/>
      <c r="F1482" s="80"/>
      <c r="G1482" s="80"/>
      <c r="H1482" s="80"/>
      <c r="I1482" s="80"/>
      <c r="J1482" s="80"/>
      <c r="K1482" s="80"/>
      <c r="L1482" s="2"/>
      <c r="M1482" s="2"/>
      <c r="N1482" s="2"/>
      <c r="O1482" s="2"/>
      <c r="P1482" s="2"/>
      <c r="Q1482" s="2"/>
      <c r="R1482" s="80"/>
      <c r="S1482" s="80"/>
      <c r="T1482" s="80"/>
      <c r="U1482" s="80"/>
      <c r="V1482" s="80"/>
      <c r="W1482" s="80"/>
      <c r="X1482" s="80"/>
      <c r="Y1482" s="80"/>
      <c r="Z1482" s="80"/>
      <c r="AA1482" s="80"/>
      <c r="AB1482" s="80"/>
      <c r="AC1482" s="80"/>
      <c r="AD1482" s="80"/>
      <c r="AE1482" s="80"/>
      <c r="AF1482" s="80"/>
      <c r="AG1482" s="80"/>
      <c r="AH1482" s="80"/>
      <c r="AI1482" s="80"/>
    </row>
    <row r="1483" spans="1:35" x14ac:dyDescent="0.2">
      <c r="A1483" s="80"/>
      <c r="B1483" s="80"/>
      <c r="C1483" s="80"/>
      <c r="D1483" s="80"/>
      <c r="E1483" s="80"/>
      <c r="F1483" s="80"/>
      <c r="G1483" s="80"/>
      <c r="H1483" s="80"/>
      <c r="I1483" s="80"/>
      <c r="J1483" s="80"/>
      <c r="K1483" s="80"/>
      <c r="L1483" s="2"/>
      <c r="M1483" s="2"/>
      <c r="N1483" s="2"/>
      <c r="O1483" s="2"/>
      <c r="P1483" s="2"/>
      <c r="Q1483" s="2"/>
      <c r="R1483" s="80"/>
      <c r="S1483" s="80"/>
      <c r="T1483" s="80"/>
      <c r="U1483" s="80"/>
      <c r="V1483" s="80"/>
      <c r="W1483" s="80"/>
      <c r="X1483" s="80"/>
      <c r="Y1483" s="80"/>
      <c r="Z1483" s="80"/>
      <c r="AA1483" s="80"/>
      <c r="AB1483" s="80"/>
      <c r="AC1483" s="80"/>
      <c r="AD1483" s="80"/>
      <c r="AE1483" s="80"/>
      <c r="AF1483" s="80"/>
      <c r="AG1483" s="80"/>
      <c r="AH1483" s="80"/>
      <c r="AI1483" s="80"/>
    </row>
    <row r="1484" spans="1:35" x14ac:dyDescent="0.2">
      <c r="A1484" s="80"/>
      <c r="B1484" s="80"/>
      <c r="C1484" s="80"/>
      <c r="D1484" s="80"/>
      <c r="E1484" s="80"/>
      <c r="F1484" s="80"/>
      <c r="G1484" s="80"/>
      <c r="H1484" s="80"/>
      <c r="I1484" s="80"/>
      <c r="J1484" s="80"/>
      <c r="K1484" s="80"/>
      <c r="L1484" s="2"/>
      <c r="M1484" s="2"/>
      <c r="N1484" s="2"/>
      <c r="O1484" s="2"/>
      <c r="P1484" s="2"/>
      <c r="Q1484" s="2"/>
      <c r="R1484" s="80"/>
      <c r="S1484" s="80"/>
      <c r="T1484" s="80"/>
      <c r="U1484" s="80"/>
      <c r="V1484" s="80"/>
      <c r="W1484" s="80"/>
      <c r="X1484" s="80"/>
      <c r="Y1484" s="80"/>
      <c r="Z1484" s="80"/>
      <c r="AA1484" s="80"/>
      <c r="AB1484" s="80"/>
      <c r="AC1484" s="80"/>
      <c r="AD1484" s="80"/>
      <c r="AE1484" s="80"/>
      <c r="AF1484" s="80"/>
      <c r="AG1484" s="80"/>
      <c r="AH1484" s="80"/>
      <c r="AI1484" s="80"/>
    </row>
    <row r="1485" spans="1:35" x14ac:dyDescent="0.2">
      <c r="A1485" s="80"/>
      <c r="B1485" s="80"/>
      <c r="C1485" s="80"/>
      <c r="D1485" s="80"/>
      <c r="E1485" s="80"/>
      <c r="F1485" s="80"/>
      <c r="G1485" s="80"/>
      <c r="H1485" s="80"/>
      <c r="I1485" s="80"/>
      <c r="J1485" s="80"/>
      <c r="K1485" s="80"/>
      <c r="L1485" s="2"/>
      <c r="M1485" s="2"/>
      <c r="N1485" s="2"/>
      <c r="O1485" s="2"/>
      <c r="P1485" s="2"/>
      <c r="Q1485" s="2"/>
      <c r="R1485" s="80"/>
      <c r="S1485" s="80"/>
      <c r="T1485" s="80"/>
      <c r="U1485" s="80"/>
      <c r="V1485" s="80"/>
      <c r="W1485" s="80"/>
      <c r="X1485" s="80"/>
      <c r="Y1485" s="80"/>
      <c r="Z1485" s="80"/>
      <c r="AA1485" s="80"/>
      <c r="AB1485" s="80"/>
      <c r="AC1485" s="80"/>
      <c r="AD1485" s="80"/>
      <c r="AE1485" s="80"/>
      <c r="AF1485" s="80"/>
      <c r="AG1485" s="80"/>
      <c r="AH1485" s="80"/>
      <c r="AI1485" s="80"/>
    </row>
    <row r="1486" spans="1:35" x14ac:dyDescent="0.2">
      <c r="A1486" s="80"/>
      <c r="B1486" s="80"/>
      <c r="C1486" s="80"/>
      <c r="D1486" s="80"/>
      <c r="E1486" s="80"/>
      <c r="F1486" s="80"/>
      <c r="G1486" s="80"/>
      <c r="H1486" s="80"/>
      <c r="I1486" s="80"/>
      <c r="J1486" s="80"/>
      <c r="K1486" s="80"/>
      <c r="L1486" s="2"/>
      <c r="M1486" s="2"/>
      <c r="N1486" s="2"/>
      <c r="O1486" s="2"/>
      <c r="P1486" s="2"/>
      <c r="Q1486" s="2"/>
      <c r="R1486" s="80"/>
      <c r="S1486" s="80"/>
      <c r="T1486" s="80"/>
      <c r="U1486" s="80"/>
      <c r="V1486" s="80"/>
      <c r="W1486" s="80"/>
      <c r="X1486" s="80"/>
      <c r="Y1486" s="80"/>
      <c r="Z1486" s="80"/>
      <c r="AA1486" s="80"/>
      <c r="AB1486" s="80"/>
      <c r="AC1486" s="80"/>
      <c r="AD1486" s="80"/>
      <c r="AE1486" s="80"/>
      <c r="AF1486" s="80"/>
      <c r="AG1486" s="80"/>
      <c r="AH1486" s="80"/>
      <c r="AI1486" s="80"/>
    </row>
    <row r="1487" spans="1:35" x14ac:dyDescent="0.2">
      <c r="A1487" s="80"/>
      <c r="B1487" s="80"/>
      <c r="C1487" s="80"/>
      <c r="D1487" s="80"/>
      <c r="E1487" s="80"/>
      <c r="F1487" s="80"/>
      <c r="G1487" s="80"/>
      <c r="H1487" s="80"/>
      <c r="I1487" s="80"/>
      <c r="J1487" s="80"/>
      <c r="K1487" s="80"/>
      <c r="L1487" s="2"/>
      <c r="M1487" s="2"/>
      <c r="N1487" s="2"/>
      <c r="O1487" s="2"/>
      <c r="P1487" s="2"/>
      <c r="Q1487" s="2"/>
      <c r="R1487" s="80"/>
      <c r="S1487" s="80"/>
      <c r="T1487" s="80"/>
      <c r="U1487" s="80"/>
      <c r="V1487" s="80"/>
      <c r="W1487" s="80"/>
      <c r="X1487" s="80"/>
      <c r="Y1487" s="80"/>
      <c r="Z1487" s="80"/>
      <c r="AA1487" s="80"/>
      <c r="AB1487" s="80"/>
      <c r="AC1487" s="80"/>
      <c r="AD1487" s="80"/>
      <c r="AE1487" s="80"/>
      <c r="AF1487" s="80"/>
      <c r="AG1487" s="80"/>
      <c r="AH1487" s="80"/>
      <c r="AI1487" s="80"/>
    </row>
    <row r="1488" spans="1:35" x14ac:dyDescent="0.2">
      <c r="A1488" s="80"/>
      <c r="B1488" s="80"/>
      <c r="C1488" s="80"/>
      <c r="D1488" s="80"/>
      <c r="E1488" s="80"/>
      <c r="F1488" s="80"/>
      <c r="G1488" s="80"/>
      <c r="H1488" s="80"/>
      <c r="I1488" s="80"/>
      <c r="J1488" s="80"/>
      <c r="K1488" s="80"/>
      <c r="L1488" s="2"/>
      <c r="M1488" s="2"/>
      <c r="N1488" s="2"/>
      <c r="O1488" s="2"/>
      <c r="P1488" s="2"/>
      <c r="Q1488" s="2"/>
      <c r="R1488" s="80"/>
      <c r="S1488" s="80"/>
      <c r="T1488" s="80"/>
      <c r="U1488" s="80"/>
      <c r="V1488" s="80"/>
      <c r="W1488" s="80"/>
      <c r="X1488" s="80"/>
      <c r="Y1488" s="80"/>
      <c r="Z1488" s="80"/>
      <c r="AA1488" s="80"/>
      <c r="AB1488" s="80"/>
      <c r="AC1488" s="80"/>
      <c r="AD1488" s="80"/>
      <c r="AE1488" s="80"/>
      <c r="AF1488" s="80"/>
      <c r="AG1488" s="80"/>
      <c r="AH1488" s="80"/>
      <c r="AI1488" s="80"/>
    </row>
    <row r="1489" spans="1:35" x14ac:dyDescent="0.2">
      <c r="A1489" s="80"/>
      <c r="B1489" s="80"/>
      <c r="C1489" s="80"/>
      <c r="D1489" s="80"/>
      <c r="E1489" s="80"/>
      <c r="F1489" s="80"/>
      <c r="G1489" s="80"/>
      <c r="H1489" s="80"/>
      <c r="I1489" s="80"/>
      <c r="J1489" s="80"/>
      <c r="K1489" s="80"/>
      <c r="L1489" s="2"/>
      <c r="M1489" s="2"/>
      <c r="N1489" s="2"/>
      <c r="O1489" s="2"/>
      <c r="P1489" s="2"/>
      <c r="Q1489" s="2"/>
      <c r="R1489" s="80"/>
      <c r="S1489" s="80"/>
      <c r="T1489" s="80"/>
      <c r="U1489" s="80"/>
      <c r="V1489" s="80"/>
      <c r="W1489" s="80"/>
      <c r="X1489" s="80"/>
      <c r="Y1489" s="80"/>
      <c r="Z1489" s="80"/>
      <c r="AA1489" s="80"/>
      <c r="AB1489" s="80"/>
      <c r="AC1489" s="80"/>
      <c r="AD1489" s="80"/>
      <c r="AE1489" s="80"/>
      <c r="AF1489" s="80"/>
      <c r="AG1489" s="80"/>
      <c r="AH1489" s="80"/>
      <c r="AI1489" s="80"/>
    </row>
    <row r="1490" spans="1:35" x14ac:dyDescent="0.2">
      <c r="A1490" s="80"/>
      <c r="B1490" s="80"/>
      <c r="C1490" s="80"/>
      <c r="D1490" s="80"/>
      <c r="E1490" s="80"/>
      <c r="F1490" s="80"/>
      <c r="G1490" s="80"/>
      <c r="H1490" s="80"/>
      <c r="I1490" s="80"/>
      <c r="J1490" s="80"/>
      <c r="K1490" s="80"/>
      <c r="L1490" s="2"/>
      <c r="M1490" s="2"/>
      <c r="N1490" s="2"/>
      <c r="O1490" s="2"/>
      <c r="P1490" s="2"/>
      <c r="Q1490" s="2"/>
      <c r="R1490" s="80"/>
      <c r="S1490" s="80"/>
      <c r="T1490" s="80"/>
      <c r="U1490" s="80"/>
      <c r="V1490" s="80"/>
      <c r="W1490" s="80"/>
      <c r="X1490" s="80"/>
      <c r="Y1490" s="80"/>
      <c r="Z1490" s="80"/>
      <c r="AA1490" s="80"/>
      <c r="AB1490" s="80"/>
      <c r="AC1490" s="80"/>
      <c r="AD1490" s="80"/>
      <c r="AE1490" s="80"/>
      <c r="AF1490" s="80"/>
      <c r="AG1490" s="80"/>
      <c r="AH1490" s="80"/>
      <c r="AI1490" s="80"/>
    </row>
    <row r="1491" spans="1:35" x14ac:dyDescent="0.2">
      <c r="A1491" s="80"/>
      <c r="B1491" s="80"/>
      <c r="C1491" s="80"/>
      <c r="D1491" s="80"/>
      <c r="E1491" s="80"/>
      <c r="F1491" s="80"/>
      <c r="G1491" s="80"/>
      <c r="H1491" s="80"/>
      <c r="I1491" s="80"/>
      <c r="J1491" s="80"/>
      <c r="K1491" s="80"/>
      <c r="L1491" s="2"/>
      <c r="M1491" s="2"/>
      <c r="N1491" s="2"/>
      <c r="O1491" s="2"/>
      <c r="P1491" s="2"/>
      <c r="Q1491" s="2"/>
      <c r="R1491" s="80"/>
      <c r="S1491" s="80"/>
      <c r="T1491" s="80"/>
      <c r="U1491" s="80"/>
      <c r="V1491" s="80"/>
      <c r="W1491" s="80"/>
      <c r="X1491" s="80"/>
      <c r="Y1491" s="80"/>
      <c r="Z1491" s="80"/>
      <c r="AA1491" s="80"/>
      <c r="AB1491" s="80"/>
      <c r="AC1491" s="80"/>
      <c r="AD1491" s="80"/>
      <c r="AE1491" s="80"/>
      <c r="AF1491" s="80"/>
      <c r="AG1491" s="80"/>
      <c r="AH1491" s="80"/>
      <c r="AI1491" s="80"/>
    </row>
    <row r="1492" spans="1:35" x14ac:dyDescent="0.2">
      <c r="A1492" s="80"/>
      <c r="B1492" s="80"/>
      <c r="C1492" s="80"/>
      <c r="D1492" s="80"/>
      <c r="E1492" s="80"/>
      <c r="F1492" s="80"/>
      <c r="G1492" s="80"/>
      <c r="H1492" s="80"/>
      <c r="I1492" s="80"/>
      <c r="J1492" s="80"/>
      <c r="K1492" s="80"/>
      <c r="L1492" s="2"/>
      <c r="M1492" s="2"/>
      <c r="N1492" s="2"/>
      <c r="O1492" s="2"/>
      <c r="P1492" s="2"/>
      <c r="Q1492" s="2"/>
      <c r="R1492" s="80"/>
      <c r="S1492" s="80"/>
      <c r="T1492" s="80"/>
      <c r="U1492" s="80"/>
      <c r="V1492" s="80"/>
      <c r="W1492" s="80"/>
      <c r="X1492" s="80"/>
      <c r="Y1492" s="80"/>
      <c r="Z1492" s="80"/>
      <c r="AA1492" s="80"/>
      <c r="AB1492" s="80"/>
      <c r="AC1492" s="80"/>
      <c r="AD1492" s="80"/>
      <c r="AE1492" s="80"/>
      <c r="AF1492" s="80"/>
      <c r="AG1492" s="80"/>
      <c r="AH1492" s="80"/>
      <c r="AI1492" s="80"/>
    </row>
    <row r="1493" spans="1:35" x14ac:dyDescent="0.2">
      <c r="A1493" s="80"/>
      <c r="B1493" s="80"/>
      <c r="C1493" s="80"/>
      <c r="D1493" s="80"/>
      <c r="E1493" s="80"/>
      <c r="F1493" s="80"/>
      <c r="G1493" s="80"/>
      <c r="H1493" s="80"/>
      <c r="I1493" s="80"/>
      <c r="J1493" s="80"/>
      <c r="K1493" s="80"/>
      <c r="L1493" s="2"/>
      <c r="M1493" s="2"/>
      <c r="N1493" s="2"/>
      <c r="O1493" s="2"/>
      <c r="P1493" s="2"/>
      <c r="Q1493" s="2"/>
      <c r="R1493" s="80"/>
      <c r="S1493" s="80"/>
      <c r="T1493" s="80"/>
      <c r="U1493" s="80"/>
      <c r="V1493" s="80"/>
      <c r="W1493" s="80"/>
      <c r="X1493" s="80"/>
      <c r="Y1493" s="80"/>
      <c r="Z1493" s="80"/>
      <c r="AA1493" s="80"/>
      <c r="AB1493" s="80"/>
      <c r="AC1493" s="80"/>
      <c r="AD1493" s="80"/>
      <c r="AE1493" s="80"/>
      <c r="AF1493" s="80"/>
      <c r="AG1493" s="80"/>
      <c r="AH1493" s="80"/>
      <c r="AI1493" s="80"/>
    </row>
    <row r="1494" spans="1:35" x14ac:dyDescent="0.2">
      <c r="A1494" s="80"/>
      <c r="B1494" s="80"/>
      <c r="C1494" s="80"/>
      <c r="D1494" s="80"/>
      <c r="E1494" s="80"/>
      <c r="F1494" s="80"/>
      <c r="G1494" s="80"/>
      <c r="H1494" s="80"/>
      <c r="I1494" s="80"/>
      <c r="J1494" s="80"/>
      <c r="K1494" s="80"/>
      <c r="L1494" s="2"/>
      <c r="M1494" s="2"/>
      <c r="N1494" s="2"/>
      <c r="O1494" s="2"/>
      <c r="P1494" s="2"/>
      <c r="Q1494" s="2"/>
      <c r="R1494" s="80"/>
      <c r="S1494" s="80"/>
      <c r="T1494" s="80"/>
      <c r="U1494" s="80"/>
      <c r="V1494" s="80"/>
      <c r="W1494" s="80"/>
      <c r="X1494" s="80"/>
      <c r="Y1494" s="80"/>
      <c r="Z1494" s="80"/>
      <c r="AA1494" s="80"/>
      <c r="AB1494" s="80"/>
      <c r="AC1494" s="80"/>
      <c r="AD1494" s="80"/>
      <c r="AE1494" s="80"/>
      <c r="AF1494" s="80"/>
      <c r="AG1494" s="80"/>
      <c r="AH1494" s="80"/>
      <c r="AI1494" s="80"/>
    </row>
    <row r="1495" spans="1:35" x14ac:dyDescent="0.2">
      <c r="A1495" s="80"/>
      <c r="B1495" s="80"/>
      <c r="C1495" s="80"/>
      <c r="D1495" s="80"/>
      <c r="E1495" s="80"/>
      <c r="F1495" s="80"/>
      <c r="G1495" s="80"/>
      <c r="H1495" s="80"/>
      <c r="I1495" s="80"/>
      <c r="J1495" s="80"/>
      <c r="K1495" s="80"/>
      <c r="L1495" s="2"/>
      <c r="M1495" s="2"/>
      <c r="N1495" s="2"/>
      <c r="O1495" s="2"/>
      <c r="P1495" s="2"/>
      <c r="Q1495" s="2"/>
      <c r="R1495" s="80"/>
      <c r="S1495" s="80"/>
      <c r="T1495" s="80"/>
      <c r="U1495" s="80"/>
      <c r="V1495" s="80"/>
      <c r="W1495" s="80"/>
      <c r="X1495" s="80"/>
      <c r="Y1495" s="80"/>
      <c r="Z1495" s="80"/>
      <c r="AA1495" s="80"/>
      <c r="AB1495" s="80"/>
      <c r="AC1495" s="80"/>
      <c r="AD1495" s="80"/>
      <c r="AE1495" s="80"/>
      <c r="AF1495" s="80"/>
      <c r="AG1495" s="80"/>
      <c r="AH1495" s="80"/>
      <c r="AI1495" s="80"/>
    </row>
    <row r="1496" spans="1:35" x14ac:dyDescent="0.2">
      <c r="A1496" s="80"/>
      <c r="B1496" s="80"/>
      <c r="C1496" s="80"/>
      <c r="D1496" s="80"/>
      <c r="E1496" s="80"/>
      <c r="F1496" s="80"/>
      <c r="G1496" s="80"/>
      <c r="H1496" s="80"/>
      <c r="I1496" s="80"/>
      <c r="J1496" s="80"/>
      <c r="K1496" s="80"/>
      <c r="L1496" s="2"/>
      <c r="M1496" s="2"/>
      <c r="N1496" s="2"/>
      <c r="O1496" s="2"/>
      <c r="P1496" s="2"/>
      <c r="Q1496" s="2"/>
      <c r="R1496" s="80"/>
      <c r="S1496" s="80"/>
      <c r="T1496" s="80"/>
      <c r="U1496" s="80"/>
      <c r="V1496" s="80"/>
      <c r="W1496" s="80"/>
      <c r="X1496" s="80"/>
      <c r="Y1496" s="80"/>
      <c r="Z1496" s="80"/>
      <c r="AA1496" s="80"/>
      <c r="AB1496" s="80"/>
      <c r="AC1496" s="80"/>
      <c r="AD1496" s="80"/>
      <c r="AE1496" s="80"/>
      <c r="AF1496" s="80"/>
      <c r="AG1496" s="80"/>
      <c r="AH1496" s="80"/>
      <c r="AI1496" s="80"/>
    </row>
    <row r="1497" spans="1:35" x14ac:dyDescent="0.2">
      <c r="A1497" s="80"/>
      <c r="B1497" s="80"/>
      <c r="C1497" s="80"/>
      <c r="D1497" s="80"/>
      <c r="E1497" s="80"/>
      <c r="F1497" s="80"/>
      <c r="G1497" s="80"/>
      <c r="H1497" s="80"/>
      <c r="I1497" s="80"/>
      <c r="J1497" s="80"/>
      <c r="K1497" s="80"/>
      <c r="L1497" s="2"/>
      <c r="M1497" s="2"/>
      <c r="N1497" s="2"/>
      <c r="O1497" s="2"/>
      <c r="P1497" s="2"/>
      <c r="Q1497" s="2"/>
      <c r="R1497" s="80"/>
      <c r="S1497" s="80"/>
      <c r="T1497" s="80"/>
      <c r="U1497" s="80"/>
      <c r="V1497" s="80"/>
      <c r="W1497" s="80"/>
      <c r="X1497" s="80"/>
      <c r="Y1497" s="80"/>
      <c r="Z1497" s="80"/>
      <c r="AA1497" s="80"/>
      <c r="AB1497" s="80"/>
      <c r="AC1497" s="80"/>
      <c r="AD1497" s="80"/>
      <c r="AE1497" s="80"/>
      <c r="AF1497" s="80"/>
      <c r="AG1497" s="80"/>
      <c r="AH1497" s="80"/>
      <c r="AI1497" s="80"/>
    </row>
    <row r="1498" spans="1:35" x14ac:dyDescent="0.2">
      <c r="A1498" s="80"/>
      <c r="B1498" s="80"/>
      <c r="C1498" s="80"/>
      <c r="D1498" s="80"/>
      <c r="E1498" s="80"/>
      <c r="F1498" s="80"/>
      <c r="G1498" s="80"/>
      <c r="H1498" s="80"/>
      <c r="I1498" s="80"/>
      <c r="J1498" s="80"/>
      <c r="K1498" s="80"/>
      <c r="L1498" s="2"/>
      <c r="M1498" s="2"/>
      <c r="N1498" s="2"/>
      <c r="O1498" s="2"/>
      <c r="P1498" s="2"/>
      <c r="Q1498" s="2"/>
      <c r="R1498" s="80"/>
      <c r="S1498" s="80"/>
      <c r="T1498" s="80"/>
      <c r="U1498" s="80"/>
      <c r="V1498" s="80"/>
      <c r="W1498" s="80"/>
      <c r="X1498" s="80"/>
      <c r="Y1498" s="80"/>
      <c r="Z1498" s="80"/>
      <c r="AA1498" s="80"/>
      <c r="AB1498" s="80"/>
      <c r="AC1498" s="80"/>
      <c r="AD1498" s="80"/>
      <c r="AE1498" s="80"/>
      <c r="AF1498" s="80"/>
      <c r="AG1498" s="80"/>
      <c r="AH1498" s="80"/>
      <c r="AI1498" s="80"/>
    </row>
    <row r="1499" spans="1:35" x14ac:dyDescent="0.2">
      <c r="A1499" s="80"/>
      <c r="B1499" s="80"/>
      <c r="C1499" s="80"/>
      <c r="D1499" s="80"/>
      <c r="E1499" s="80"/>
      <c r="F1499" s="80"/>
      <c r="G1499" s="80"/>
      <c r="H1499" s="80"/>
      <c r="I1499" s="80"/>
      <c r="J1499" s="80"/>
      <c r="K1499" s="80"/>
      <c r="L1499" s="2"/>
      <c r="M1499" s="2"/>
      <c r="N1499" s="2"/>
      <c r="O1499" s="2"/>
      <c r="P1499" s="2"/>
      <c r="Q1499" s="2"/>
      <c r="R1499" s="80"/>
      <c r="S1499" s="80"/>
      <c r="T1499" s="80"/>
      <c r="U1499" s="80"/>
      <c r="V1499" s="80"/>
      <c r="W1499" s="80"/>
      <c r="X1499" s="80"/>
      <c r="Y1499" s="80"/>
      <c r="Z1499" s="80"/>
      <c r="AA1499" s="80"/>
      <c r="AB1499" s="80"/>
      <c r="AC1499" s="80"/>
      <c r="AD1499" s="80"/>
      <c r="AE1499" s="80"/>
      <c r="AF1499" s="80"/>
      <c r="AG1499" s="80"/>
      <c r="AH1499" s="80"/>
      <c r="AI1499" s="80"/>
    </row>
    <row r="1500" spans="1:35" x14ac:dyDescent="0.2">
      <c r="A1500" s="80"/>
      <c r="B1500" s="80"/>
      <c r="C1500" s="80"/>
      <c r="D1500" s="80"/>
      <c r="E1500" s="80"/>
      <c r="F1500" s="80"/>
      <c r="G1500" s="80"/>
      <c r="H1500" s="80"/>
      <c r="I1500" s="80"/>
      <c r="J1500" s="80"/>
      <c r="K1500" s="80"/>
      <c r="L1500" s="2"/>
      <c r="M1500" s="2"/>
      <c r="N1500" s="2"/>
      <c r="O1500" s="2"/>
      <c r="P1500" s="2"/>
      <c r="Q1500" s="2"/>
      <c r="R1500" s="80"/>
      <c r="S1500" s="80"/>
      <c r="T1500" s="80"/>
      <c r="U1500" s="80"/>
      <c r="V1500" s="80"/>
      <c r="W1500" s="80"/>
      <c r="X1500" s="80"/>
      <c r="Y1500" s="80"/>
      <c r="Z1500" s="80"/>
      <c r="AA1500" s="80"/>
      <c r="AB1500" s="80"/>
      <c r="AC1500" s="80"/>
      <c r="AD1500" s="80"/>
      <c r="AE1500" s="80"/>
      <c r="AF1500" s="80"/>
      <c r="AG1500" s="80"/>
      <c r="AH1500" s="80"/>
      <c r="AI1500" s="80"/>
    </row>
    <row r="1501" spans="1:35" x14ac:dyDescent="0.2">
      <c r="A1501" s="80"/>
      <c r="B1501" s="80"/>
      <c r="C1501" s="80"/>
      <c r="D1501" s="80"/>
      <c r="E1501" s="80"/>
      <c r="F1501" s="80"/>
      <c r="G1501" s="80"/>
      <c r="H1501" s="80"/>
      <c r="I1501" s="80"/>
      <c r="J1501" s="80"/>
      <c r="K1501" s="80"/>
      <c r="L1501" s="2"/>
      <c r="M1501" s="2"/>
      <c r="N1501" s="2"/>
      <c r="O1501" s="2"/>
      <c r="P1501" s="2"/>
      <c r="Q1501" s="2"/>
      <c r="R1501" s="80"/>
      <c r="S1501" s="80"/>
      <c r="T1501" s="80"/>
      <c r="U1501" s="80"/>
      <c r="V1501" s="80"/>
      <c r="W1501" s="80"/>
      <c r="X1501" s="80"/>
      <c r="Y1501" s="80"/>
      <c r="Z1501" s="80"/>
      <c r="AA1501" s="80"/>
      <c r="AB1501" s="80"/>
      <c r="AC1501" s="80"/>
      <c r="AD1501" s="80"/>
      <c r="AE1501" s="80"/>
      <c r="AF1501" s="80"/>
      <c r="AG1501" s="80"/>
      <c r="AH1501" s="80"/>
      <c r="AI1501" s="80"/>
    </row>
    <row r="1502" spans="1:35" x14ac:dyDescent="0.2">
      <c r="A1502" s="80"/>
      <c r="B1502" s="80"/>
      <c r="C1502" s="80"/>
      <c r="D1502" s="80"/>
      <c r="E1502" s="80"/>
      <c r="F1502" s="80"/>
      <c r="G1502" s="80"/>
      <c r="H1502" s="80"/>
      <c r="I1502" s="80"/>
      <c r="J1502" s="80"/>
      <c r="K1502" s="80"/>
      <c r="L1502" s="2"/>
      <c r="M1502" s="2"/>
      <c r="N1502" s="2"/>
      <c r="O1502" s="2"/>
      <c r="P1502" s="2"/>
      <c r="Q1502" s="2"/>
      <c r="R1502" s="80"/>
      <c r="S1502" s="80"/>
      <c r="T1502" s="80"/>
      <c r="U1502" s="80"/>
      <c r="V1502" s="80"/>
      <c r="W1502" s="80"/>
      <c r="X1502" s="80"/>
      <c r="Y1502" s="80"/>
      <c r="Z1502" s="80"/>
      <c r="AA1502" s="80"/>
      <c r="AB1502" s="80"/>
      <c r="AC1502" s="80"/>
      <c r="AD1502" s="80"/>
      <c r="AE1502" s="80"/>
      <c r="AF1502" s="80"/>
      <c r="AG1502" s="80"/>
      <c r="AH1502" s="80"/>
      <c r="AI1502" s="80"/>
    </row>
    <row r="1503" spans="1:35" x14ac:dyDescent="0.2">
      <c r="A1503" s="80"/>
      <c r="B1503" s="80"/>
      <c r="C1503" s="80"/>
      <c r="D1503" s="80"/>
      <c r="E1503" s="80"/>
      <c r="F1503" s="80"/>
      <c r="G1503" s="80"/>
      <c r="H1503" s="80"/>
      <c r="I1503" s="80"/>
      <c r="J1503" s="80"/>
      <c r="K1503" s="80"/>
      <c r="L1503" s="2"/>
      <c r="M1503" s="2"/>
      <c r="N1503" s="2"/>
      <c r="O1503" s="2"/>
      <c r="P1503" s="2"/>
      <c r="Q1503" s="2"/>
      <c r="R1503" s="80"/>
      <c r="S1503" s="80"/>
      <c r="T1503" s="80"/>
      <c r="U1503" s="80"/>
      <c r="V1503" s="80"/>
      <c r="W1503" s="80"/>
      <c r="X1503" s="80"/>
      <c r="Y1503" s="80"/>
      <c r="Z1503" s="80"/>
      <c r="AA1503" s="80"/>
      <c r="AB1503" s="80"/>
      <c r="AC1503" s="80"/>
      <c r="AD1503" s="80"/>
      <c r="AE1503" s="80"/>
      <c r="AF1503" s="80"/>
      <c r="AG1503" s="80"/>
      <c r="AH1503" s="80"/>
      <c r="AI1503" s="80"/>
    </row>
    <row r="1504" spans="1:35" x14ac:dyDescent="0.2">
      <c r="A1504" s="80"/>
      <c r="B1504" s="80"/>
      <c r="C1504" s="80"/>
      <c r="D1504" s="80"/>
      <c r="E1504" s="80"/>
      <c r="F1504" s="80"/>
      <c r="G1504" s="80"/>
      <c r="H1504" s="80"/>
      <c r="I1504" s="80"/>
      <c r="J1504" s="80"/>
      <c r="K1504" s="80"/>
      <c r="L1504" s="2"/>
      <c r="M1504" s="2"/>
      <c r="N1504" s="2"/>
      <c r="O1504" s="2"/>
      <c r="P1504" s="2"/>
      <c r="Q1504" s="2"/>
      <c r="R1504" s="80"/>
      <c r="S1504" s="80"/>
      <c r="T1504" s="80"/>
      <c r="U1504" s="80"/>
      <c r="V1504" s="80"/>
      <c r="W1504" s="80"/>
      <c r="X1504" s="80"/>
      <c r="Y1504" s="80"/>
      <c r="Z1504" s="80"/>
      <c r="AA1504" s="80"/>
      <c r="AB1504" s="80"/>
      <c r="AC1504" s="80"/>
      <c r="AD1504" s="80"/>
      <c r="AE1504" s="80"/>
      <c r="AF1504" s="80"/>
      <c r="AG1504" s="80"/>
      <c r="AH1504" s="80"/>
      <c r="AI1504" s="80"/>
    </row>
    <row r="1505" spans="1:35" x14ac:dyDescent="0.2">
      <c r="A1505" s="80"/>
      <c r="B1505" s="80"/>
      <c r="C1505" s="80"/>
      <c r="D1505" s="80"/>
      <c r="E1505" s="80"/>
      <c r="F1505" s="80"/>
      <c r="G1505" s="80"/>
      <c r="H1505" s="80"/>
      <c r="I1505" s="80"/>
      <c r="J1505" s="80"/>
      <c r="K1505" s="80"/>
      <c r="L1505" s="2"/>
      <c r="M1505" s="2"/>
      <c r="N1505" s="2"/>
      <c r="O1505" s="2"/>
      <c r="P1505" s="2"/>
      <c r="Q1505" s="2"/>
      <c r="R1505" s="80"/>
      <c r="S1505" s="80"/>
      <c r="T1505" s="80"/>
      <c r="U1505" s="80"/>
      <c r="V1505" s="80"/>
      <c r="W1505" s="80"/>
      <c r="X1505" s="80"/>
      <c r="Y1505" s="80"/>
      <c r="Z1505" s="80"/>
      <c r="AA1505" s="80"/>
      <c r="AB1505" s="80"/>
      <c r="AC1505" s="80"/>
      <c r="AD1505" s="80"/>
      <c r="AE1505" s="80"/>
      <c r="AF1505" s="80"/>
      <c r="AG1505" s="80"/>
      <c r="AH1505" s="80"/>
      <c r="AI1505" s="80"/>
    </row>
    <row r="1506" spans="1:35" x14ac:dyDescent="0.2">
      <c r="A1506" s="80"/>
      <c r="B1506" s="80"/>
      <c r="C1506" s="80"/>
      <c r="D1506" s="80"/>
      <c r="E1506" s="80"/>
      <c r="F1506" s="80"/>
      <c r="G1506" s="80"/>
      <c r="H1506" s="80"/>
      <c r="I1506" s="80"/>
      <c r="J1506" s="80"/>
      <c r="K1506" s="80"/>
      <c r="L1506" s="2"/>
      <c r="M1506" s="2"/>
      <c r="N1506" s="2"/>
      <c r="O1506" s="2"/>
      <c r="P1506" s="2"/>
      <c r="Q1506" s="2"/>
      <c r="R1506" s="80"/>
      <c r="S1506" s="80"/>
      <c r="T1506" s="80"/>
      <c r="U1506" s="80"/>
      <c r="V1506" s="80"/>
      <c r="W1506" s="80"/>
      <c r="X1506" s="80"/>
      <c r="Y1506" s="80"/>
      <c r="Z1506" s="80"/>
      <c r="AA1506" s="80"/>
      <c r="AB1506" s="80"/>
      <c r="AC1506" s="80"/>
      <c r="AD1506" s="80"/>
      <c r="AE1506" s="80"/>
      <c r="AF1506" s="80"/>
      <c r="AG1506" s="80"/>
      <c r="AH1506" s="80"/>
      <c r="AI1506" s="80"/>
    </row>
    <row r="1507" spans="1:35" x14ac:dyDescent="0.2">
      <c r="A1507" s="80"/>
      <c r="B1507" s="80"/>
      <c r="C1507" s="80"/>
      <c r="D1507" s="80"/>
      <c r="E1507" s="80"/>
      <c r="F1507" s="80"/>
      <c r="G1507" s="80"/>
      <c r="H1507" s="80"/>
      <c r="I1507" s="80"/>
      <c r="J1507" s="80"/>
      <c r="K1507" s="80"/>
      <c r="L1507" s="2"/>
      <c r="M1507" s="2"/>
      <c r="N1507" s="2"/>
      <c r="O1507" s="2"/>
      <c r="P1507" s="2"/>
      <c r="Q1507" s="2"/>
      <c r="R1507" s="80"/>
      <c r="S1507" s="80"/>
      <c r="T1507" s="80"/>
      <c r="U1507" s="80"/>
      <c r="V1507" s="80"/>
      <c r="W1507" s="80"/>
      <c r="X1507" s="80"/>
      <c r="Y1507" s="80"/>
      <c r="Z1507" s="80"/>
      <c r="AA1507" s="80"/>
      <c r="AB1507" s="80"/>
      <c r="AC1507" s="80"/>
      <c r="AD1507" s="80"/>
      <c r="AE1507" s="80"/>
      <c r="AF1507" s="80"/>
      <c r="AG1507" s="80"/>
      <c r="AH1507" s="80"/>
      <c r="AI1507" s="80"/>
    </row>
    <row r="1508" spans="1:35" x14ac:dyDescent="0.2">
      <c r="A1508" s="80"/>
      <c r="B1508" s="80"/>
      <c r="C1508" s="80"/>
      <c r="D1508" s="80"/>
      <c r="E1508" s="80"/>
      <c r="F1508" s="80"/>
      <c r="G1508" s="80"/>
      <c r="H1508" s="80"/>
      <c r="I1508" s="80"/>
      <c r="J1508" s="80"/>
      <c r="K1508" s="80"/>
      <c r="L1508" s="2"/>
      <c r="M1508" s="2"/>
      <c r="N1508" s="2"/>
      <c r="O1508" s="2"/>
      <c r="P1508" s="2"/>
      <c r="Q1508" s="2"/>
      <c r="R1508" s="80"/>
      <c r="S1508" s="80"/>
      <c r="T1508" s="80"/>
      <c r="U1508" s="80"/>
      <c r="V1508" s="80"/>
      <c r="W1508" s="80"/>
      <c r="X1508" s="80"/>
      <c r="Y1508" s="80"/>
      <c r="Z1508" s="80"/>
      <c r="AA1508" s="80"/>
      <c r="AB1508" s="80"/>
      <c r="AC1508" s="80"/>
      <c r="AD1508" s="80"/>
      <c r="AE1508" s="80"/>
      <c r="AF1508" s="80"/>
      <c r="AG1508" s="80"/>
      <c r="AH1508" s="80"/>
      <c r="AI1508" s="80"/>
    </row>
    <row r="1509" spans="1:35" x14ac:dyDescent="0.2">
      <c r="A1509" s="80"/>
      <c r="B1509" s="80"/>
      <c r="C1509" s="80"/>
      <c r="D1509" s="80"/>
      <c r="E1509" s="80"/>
      <c r="F1509" s="80"/>
      <c r="G1509" s="80"/>
      <c r="H1509" s="80"/>
      <c r="I1509" s="80"/>
      <c r="J1509" s="80"/>
      <c r="K1509" s="80"/>
      <c r="L1509" s="2"/>
      <c r="M1509" s="2"/>
      <c r="N1509" s="2"/>
      <c r="O1509" s="2"/>
      <c r="P1509" s="2"/>
      <c r="Q1509" s="2"/>
      <c r="R1509" s="80"/>
      <c r="S1509" s="80"/>
      <c r="T1509" s="80"/>
      <c r="U1509" s="80"/>
      <c r="V1509" s="80"/>
      <c r="W1509" s="80"/>
      <c r="X1509" s="80"/>
      <c r="Y1509" s="80"/>
      <c r="Z1509" s="80"/>
      <c r="AA1509" s="80"/>
      <c r="AB1509" s="80"/>
      <c r="AC1509" s="80"/>
      <c r="AD1509" s="80"/>
      <c r="AE1509" s="80"/>
      <c r="AF1509" s="80"/>
      <c r="AG1509" s="80"/>
      <c r="AH1509" s="80"/>
      <c r="AI1509" s="80"/>
    </row>
    <row r="1510" spans="1:35" x14ac:dyDescent="0.2">
      <c r="A1510" s="80"/>
      <c r="B1510" s="80"/>
      <c r="C1510" s="80"/>
      <c r="D1510" s="80"/>
      <c r="E1510" s="80"/>
      <c r="F1510" s="80"/>
      <c r="G1510" s="80"/>
      <c r="H1510" s="80"/>
      <c r="I1510" s="80"/>
      <c r="J1510" s="80"/>
      <c r="K1510" s="80"/>
      <c r="L1510" s="2"/>
      <c r="M1510" s="2"/>
      <c r="N1510" s="2"/>
      <c r="O1510" s="2"/>
      <c r="P1510" s="2"/>
      <c r="Q1510" s="2"/>
      <c r="R1510" s="80"/>
      <c r="S1510" s="80"/>
      <c r="T1510" s="80"/>
      <c r="U1510" s="80"/>
      <c r="V1510" s="80"/>
      <c r="W1510" s="80"/>
      <c r="X1510" s="80"/>
      <c r="Y1510" s="80"/>
      <c r="Z1510" s="80"/>
      <c r="AA1510" s="80"/>
      <c r="AB1510" s="80"/>
      <c r="AC1510" s="80"/>
      <c r="AD1510" s="80"/>
      <c r="AE1510" s="80"/>
      <c r="AF1510" s="80"/>
      <c r="AG1510" s="80"/>
      <c r="AH1510" s="80"/>
      <c r="AI1510" s="80"/>
    </row>
    <row r="1511" spans="1:35" x14ac:dyDescent="0.2">
      <c r="A1511" s="80"/>
      <c r="B1511" s="80"/>
      <c r="C1511" s="80"/>
      <c r="D1511" s="80"/>
      <c r="E1511" s="80"/>
      <c r="F1511" s="80"/>
      <c r="G1511" s="80"/>
      <c r="H1511" s="80"/>
      <c r="I1511" s="80"/>
      <c r="J1511" s="80"/>
      <c r="K1511" s="80"/>
      <c r="L1511" s="2"/>
      <c r="M1511" s="2"/>
      <c r="N1511" s="2"/>
      <c r="O1511" s="2"/>
      <c r="P1511" s="2"/>
      <c r="Q1511" s="2"/>
      <c r="R1511" s="80"/>
      <c r="S1511" s="80"/>
      <c r="T1511" s="80"/>
      <c r="U1511" s="80"/>
      <c r="V1511" s="80"/>
      <c r="W1511" s="80"/>
      <c r="X1511" s="80"/>
      <c r="Y1511" s="80"/>
      <c r="Z1511" s="80"/>
      <c r="AA1511" s="80"/>
      <c r="AB1511" s="80"/>
      <c r="AC1511" s="80"/>
      <c r="AD1511" s="80"/>
      <c r="AE1511" s="80"/>
      <c r="AF1511" s="80"/>
      <c r="AG1511" s="80"/>
      <c r="AH1511" s="80"/>
      <c r="AI1511" s="80"/>
    </row>
    <row r="1512" spans="1:35" x14ac:dyDescent="0.2">
      <c r="A1512" s="80"/>
      <c r="B1512" s="80"/>
      <c r="C1512" s="80"/>
      <c r="D1512" s="80"/>
      <c r="E1512" s="80"/>
      <c r="F1512" s="80"/>
      <c r="G1512" s="80"/>
      <c r="H1512" s="80"/>
      <c r="I1512" s="80"/>
      <c r="J1512" s="80"/>
      <c r="K1512" s="80"/>
      <c r="L1512" s="2"/>
      <c r="M1512" s="2"/>
      <c r="N1512" s="2"/>
      <c r="O1512" s="2"/>
      <c r="P1512" s="2"/>
      <c r="Q1512" s="2"/>
      <c r="R1512" s="80"/>
      <c r="S1512" s="80"/>
      <c r="T1512" s="80"/>
      <c r="U1512" s="80"/>
      <c r="V1512" s="80"/>
      <c r="W1512" s="80"/>
      <c r="X1512" s="80"/>
      <c r="Y1512" s="80"/>
      <c r="Z1512" s="80"/>
      <c r="AA1512" s="80"/>
      <c r="AB1512" s="80"/>
      <c r="AC1512" s="80"/>
      <c r="AD1512" s="80"/>
      <c r="AE1512" s="80"/>
      <c r="AF1512" s="80"/>
      <c r="AG1512" s="80"/>
      <c r="AH1512" s="80"/>
      <c r="AI1512" s="80"/>
    </row>
    <row r="1513" spans="1:35" x14ac:dyDescent="0.2">
      <c r="A1513" s="80"/>
      <c r="B1513" s="80"/>
      <c r="C1513" s="80"/>
      <c r="D1513" s="80"/>
      <c r="E1513" s="80"/>
      <c r="F1513" s="80"/>
      <c r="G1513" s="80"/>
      <c r="H1513" s="80"/>
      <c r="I1513" s="80"/>
      <c r="J1513" s="80"/>
      <c r="K1513" s="80"/>
      <c r="L1513" s="2"/>
      <c r="M1513" s="2"/>
      <c r="N1513" s="2"/>
      <c r="O1513" s="2"/>
      <c r="P1513" s="2"/>
      <c r="Q1513" s="2"/>
      <c r="R1513" s="80"/>
      <c r="S1513" s="80"/>
      <c r="T1513" s="80"/>
      <c r="U1513" s="80"/>
      <c r="V1513" s="80"/>
      <c r="W1513" s="80"/>
      <c r="X1513" s="80"/>
      <c r="Y1513" s="80"/>
      <c r="Z1513" s="80"/>
      <c r="AA1513" s="80"/>
      <c r="AB1513" s="80"/>
      <c r="AC1513" s="80"/>
      <c r="AD1513" s="80"/>
      <c r="AE1513" s="80"/>
      <c r="AF1513" s="80"/>
      <c r="AG1513" s="80"/>
      <c r="AH1513" s="80"/>
      <c r="AI1513" s="80"/>
    </row>
    <row r="1514" spans="1:35" x14ac:dyDescent="0.2">
      <c r="A1514" s="80"/>
      <c r="B1514" s="80"/>
      <c r="C1514" s="80"/>
      <c r="D1514" s="80"/>
      <c r="E1514" s="80"/>
      <c r="F1514" s="80"/>
      <c r="G1514" s="80"/>
      <c r="H1514" s="80"/>
      <c r="I1514" s="80"/>
      <c r="J1514" s="80"/>
      <c r="K1514" s="80"/>
      <c r="L1514" s="2"/>
      <c r="M1514" s="2"/>
      <c r="N1514" s="2"/>
      <c r="O1514" s="2"/>
      <c r="P1514" s="2"/>
      <c r="Q1514" s="2"/>
      <c r="R1514" s="80"/>
      <c r="S1514" s="80"/>
      <c r="T1514" s="80"/>
      <c r="U1514" s="80"/>
      <c r="V1514" s="80"/>
      <c r="W1514" s="80"/>
      <c r="X1514" s="80"/>
      <c r="Y1514" s="80"/>
      <c r="Z1514" s="80"/>
      <c r="AA1514" s="80"/>
      <c r="AB1514" s="80"/>
      <c r="AC1514" s="80"/>
      <c r="AD1514" s="80"/>
      <c r="AE1514" s="80"/>
      <c r="AF1514" s="80"/>
      <c r="AG1514" s="80"/>
      <c r="AH1514" s="80"/>
      <c r="AI1514" s="80"/>
    </row>
    <row r="1515" spans="1:35" x14ac:dyDescent="0.2">
      <c r="A1515" s="80"/>
      <c r="B1515" s="80"/>
      <c r="C1515" s="80"/>
      <c r="D1515" s="80"/>
      <c r="E1515" s="80"/>
      <c r="F1515" s="80"/>
      <c r="G1515" s="80"/>
      <c r="H1515" s="80"/>
      <c r="I1515" s="80"/>
      <c r="J1515" s="80"/>
      <c r="K1515" s="80"/>
      <c r="L1515" s="2"/>
      <c r="M1515" s="2"/>
      <c r="N1515" s="2"/>
      <c r="O1515" s="2"/>
      <c r="P1515" s="2"/>
      <c r="Q1515" s="2"/>
      <c r="R1515" s="80"/>
      <c r="S1515" s="80"/>
      <c r="T1515" s="80"/>
      <c r="U1515" s="80"/>
      <c r="V1515" s="80"/>
      <c r="W1515" s="80"/>
      <c r="X1515" s="80"/>
      <c r="Y1515" s="80"/>
      <c r="Z1515" s="80"/>
      <c r="AA1515" s="80"/>
      <c r="AB1515" s="80"/>
      <c r="AC1515" s="80"/>
      <c r="AD1515" s="80"/>
      <c r="AE1515" s="80"/>
      <c r="AF1515" s="80"/>
      <c r="AG1515" s="80"/>
      <c r="AH1515" s="80"/>
      <c r="AI1515" s="80"/>
    </row>
    <row r="1516" spans="1:35" x14ac:dyDescent="0.2">
      <c r="A1516" s="80"/>
      <c r="B1516" s="80"/>
      <c r="C1516" s="80"/>
      <c r="D1516" s="80"/>
      <c r="E1516" s="80"/>
      <c r="F1516" s="80"/>
      <c r="G1516" s="80"/>
      <c r="H1516" s="80"/>
      <c r="I1516" s="80"/>
      <c r="J1516" s="80"/>
      <c r="K1516" s="80"/>
      <c r="L1516" s="2"/>
      <c r="M1516" s="2"/>
      <c r="N1516" s="2"/>
      <c r="O1516" s="2"/>
      <c r="P1516" s="2"/>
      <c r="Q1516" s="2"/>
      <c r="R1516" s="80"/>
      <c r="S1516" s="80"/>
      <c r="T1516" s="80"/>
      <c r="U1516" s="80"/>
      <c r="V1516" s="80"/>
      <c r="W1516" s="80"/>
      <c r="X1516" s="80"/>
      <c r="Y1516" s="80"/>
      <c r="Z1516" s="80"/>
      <c r="AA1516" s="80"/>
      <c r="AB1516" s="80"/>
      <c r="AC1516" s="80"/>
      <c r="AD1516" s="80"/>
      <c r="AE1516" s="80"/>
      <c r="AF1516" s="80"/>
      <c r="AG1516" s="80"/>
      <c r="AH1516" s="80"/>
      <c r="AI1516" s="80"/>
    </row>
    <row r="1517" spans="1:35" x14ac:dyDescent="0.2">
      <c r="A1517" s="80"/>
      <c r="B1517" s="80"/>
      <c r="C1517" s="80"/>
      <c r="D1517" s="80"/>
      <c r="E1517" s="80"/>
      <c r="F1517" s="80"/>
      <c r="G1517" s="80"/>
      <c r="H1517" s="80"/>
      <c r="I1517" s="80"/>
      <c r="J1517" s="80"/>
      <c r="K1517" s="80"/>
      <c r="L1517" s="2"/>
      <c r="M1517" s="2"/>
      <c r="N1517" s="2"/>
      <c r="O1517" s="2"/>
      <c r="P1517" s="2"/>
      <c r="Q1517" s="2"/>
      <c r="R1517" s="80"/>
      <c r="S1517" s="80"/>
      <c r="T1517" s="80"/>
      <c r="U1517" s="80"/>
      <c r="V1517" s="80"/>
      <c r="W1517" s="80"/>
      <c r="X1517" s="80"/>
      <c r="Y1517" s="80"/>
      <c r="Z1517" s="80"/>
      <c r="AA1517" s="80"/>
      <c r="AB1517" s="80"/>
      <c r="AC1517" s="80"/>
      <c r="AD1517" s="80"/>
      <c r="AE1517" s="80"/>
      <c r="AF1517" s="80"/>
      <c r="AG1517" s="80"/>
      <c r="AH1517" s="80"/>
      <c r="AI1517" s="80"/>
    </row>
    <row r="1518" spans="1:35" x14ac:dyDescent="0.2">
      <c r="A1518" s="80"/>
      <c r="B1518" s="80"/>
      <c r="C1518" s="80"/>
      <c r="D1518" s="80"/>
      <c r="E1518" s="80"/>
      <c r="F1518" s="80"/>
      <c r="G1518" s="80"/>
      <c r="H1518" s="80"/>
      <c r="I1518" s="80"/>
      <c r="J1518" s="80"/>
      <c r="K1518" s="80"/>
      <c r="L1518" s="2"/>
      <c r="M1518" s="2"/>
      <c r="N1518" s="2"/>
      <c r="O1518" s="2"/>
      <c r="P1518" s="2"/>
      <c r="Q1518" s="2"/>
      <c r="R1518" s="80"/>
      <c r="S1518" s="80"/>
      <c r="T1518" s="80"/>
      <c r="U1518" s="80"/>
      <c r="V1518" s="80"/>
      <c r="W1518" s="80"/>
      <c r="X1518" s="80"/>
      <c r="Y1518" s="80"/>
      <c r="Z1518" s="80"/>
      <c r="AA1518" s="80"/>
      <c r="AB1518" s="80"/>
      <c r="AC1518" s="80"/>
      <c r="AD1518" s="80"/>
      <c r="AE1518" s="80"/>
      <c r="AF1518" s="80"/>
      <c r="AG1518" s="80"/>
      <c r="AH1518" s="80"/>
      <c r="AI1518" s="80"/>
    </row>
    <row r="1519" spans="1:35" x14ac:dyDescent="0.2">
      <c r="A1519" s="80"/>
      <c r="B1519" s="80"/>
      <c r="C1519" s="80"/>
      <c r="D1519" s="80"/>
      <c r="E1519" s="80"/>
      <c r="F1519" s="80"/>
      <c r="G1519" s="80"/>
      <c r="H1519" s="80"/>
      <c r="I1519" s="80"/>
      <c r="J1519" s="80"/>
      <c r="K1519" s="80"/>
      <c r="L1519" s="2"/>
      <c r="M1519" s="2"/>
      <c r="N1519" s="2"/>
      <c r="O1519" s="2"/>
      <c r="P1519" s="2"/>
      <c r="Q1519" s="2"/>
      <c r="R1519" s="80"/>
      <c r="S1519" s="80"/>
      <c r="T1519" s="80"/>
      <c r="U1519" s="80"/>
      <c r="V1519" s="80"/>
      <c r="W1519" s="80"/>
      <c r="X1519" s="80"/>
      <c r="Y1519" s="80"/>
      <c r="Z1519" s="80"/>
      <c r="AA1519" s="80"/>
      <c r="AB1519" s="80"/>
      <c r="AC1519" s="80"/>
      <c r="AD1519" s="80"/>
      <c r="AE1519" s="80"/>
      <c r="AF1519" s="80"/>
      <c r="AG1519" s="80"/>
      <c r="AH1519" s="80"/>
      <c r="AI1519" s="80"/>
    </row>
    <row r="1520" spans="1:35" x14ac:dyDescent="0.2">
      <c r="A1520" s="80"/>
      <c r="B1520" s="80"/>
      <c r="C1520" s="80"/>
      <c r="D1520" s="80"/>
      <c r="E1520" s="80"/>
      <c r="F1520" s="80"/>
      <c r="G1520" s="80"/>
      <c r="H1520" s="80"/>
      <c r="I1520" s="80"/>
      <c r="J1520" s="80"/>
      <c r="K1520" s="80"/>
      <c r="L1520" s="2"/>
      <c r="M1520" s="2"/>
      <c r="N1520" s="2"/>
      <c r="O1520" s="2"/>
      <c r="P1520" s="2"/>
      <c r="Q1520" s="2"/>
      <c r="R1520" s="80"/>
      <c r="S1520" s="80"/>
      <c r="T1520" s="80"/>
      <c r="U1520" s="80"/>
      <c r="V1520" s="80"/>
      <c r="W1520" s="80"/>
      <c r="X1520" s="80"/>
      <c r="Y1520" s="80"/>
      <c r="Z1520" s="80"/>
      <c r="AA1520" s="80"/>
      <c r="AB1520" s="80"/>
      <c r="AC1520" s="80"/>
      <c r="AD1520" s="80"/>
      <c r="AE1520" s="80"/>
      <c r="AF1520" s="80"/>
      <c r="AG1520" s="80"/>
      <c r="AH1520" s="80"/>
      <c r="AI1520" s="80"/>
    </row>
    <row r="1521" spans="1:35" x14ac:dyDescent="0.2">
      <c r="A1521" s="80"/>
      <c r="B1521" s="80"/>
      <c r="C1521" s="80"/>
      <c r="D1521" s="80"/>
      <c r="E1521" s="80"/>
      <c r="F1521" s="80"/>
      <c r="G1521" s="80"/>
      <c r="H1521" s="80"/>
      <c r="I1521" s="80"/>
      <c r="J1521" s="80"/>
      <c r="K1521" s="80"/>
      <c r="L1521" s="2"/>
      <c r="M1521" s="2"/>
      <c r="N1521" s="2"/>
      <c r="O1521" s="2"/>
      <c r="P1521" s="2"/>
      <c r="Q1521" s="2"/>
      <c r="R1521" s="80"/>
      <c r="S1521" s="80"/>
      <c r="T1521" s="80"/>
      <c r="U1521" s="80"/>
      <c r="V1521" s="80"/>
      <c r="W1521" s="80"/>
      <c r="X1521" s="80"/>
      <c r="Y1521" s="80"/>
      <c r="Z1521" s="80"/>
      <c r="AA1521" s="80"/>
      <c r="AB1521" s="80"/>
      <c r="AC1521" s="80"/>
      <c r="AD1521" s="80"/>
      <c r="AE1521" s="80"/>
      <c r="AF1521" s="80"/>
      <c r="AG1521" s="80"/>
      <c r="AH1521" s="80"/>
      <c r="AI1521" s="80"/>
    </row>
    <row r="1522" spans="1:35" x14ac:dyDescent="0.2">
      <c r="A1522" s="80"/>
      <c r="B1522" s="80"/>
      <c r="C1522" s="80"/>
      <c r="D1522" s="80"/>
      <c r="E1522" s="80"/>
      <c r="F1522" s="80"/>
      <c r="G1522" s="80"/>
      <c r="H1522" s="80"/>
      <c r="I1522" s="80"/>
      <c r="J1522" s="80"/>
      <c r="K1522" s="80"/>
      <c r="L1522" s="2"/>
      <c r="M1522" s="2"/>
      <c r="N1522" s="2"/>
      <c r="O1522" s="2"/>
      <c r="P1522" s="2"/>
      <c r="Q1522" s="2"/>
      <c r="R1522" s="80"/>
      <c r="S1522" s="80"/>
      <c r="T1522" s="80"/>
      <c r="U1522" s="80"/>
      <c r="V1522" s="80"/>
      <c r="W1522" s="80"/>
      <c r="X1522" s="80"/>
      <c r="Y1522" s="80"/>
      <c r="Z1522" s="80"/>
      <c r="AA1522" s="80"/>
      <c r="AB1522" s="80"/>
      <c r="AC1522" s="80"/>
      <c r="AD1522" s="80"/>
      <c r="AE1522" s="80"/>
      <c r="AF1522" s="80"/>
      <c r="AG1522" s="80"/>
      <c r="AH1522" s="80"/>
      <c r="AI1522" s="80"/>
    </row>
    <row r="1523" spans="1:35" x14ac:dyDescent="0.2">
      <c r="A1523" s="80"/>
      <c r="B1523" s="80"/>
      <c r="C1523" s="80"/>
      <c r="D1523" s="80"/>
      <c r="E1523" s="80"/>
      <c r="F1523" s="80"/>
      <c r="G1523" s="80"/>
      <c r="H1523" s="80"/>
      <c r="I1523" s="80"/>
      <c r="J1523" s="80"/>
      <c r="K1523" s="80"/>
      <c r="L1523" s="2"/>
      <c r="M1523" s="2"/>
      <c r="N1523" s="2"/>
      <c r="O1523" s="2"/>
      <c r="P1523" s="2"/>
      <c r="Q1523" s="2"/>
      <c r="R1523" s="80"/>
      <c r="S1523" s="80"/>
      <c r="T1523" s="80"/>
      <c r="U1523" s="80"/>
      <c r="V1523" s="80"/>
      <c r="W1523" s="80"/>
      <c r="X1523" s="80"/>
      <c r="Y1523" s="80"/>
      <c r="Z1523" s="80"/>
      <c r="AA1523" s="80"/>
      <c r="AB1523" s="80"/>
      <c r="AC1523" s="80"/>
      <c r="AD1523" s="80"/>
      <c r="AE1523" s="80"/>
      <c r="AF1523" s="80"/>
      <c r="AG1523" s="80"/>
      <c r="AH1523" s="80"/>
      <c r="AI1523" s="80"/>
    </row>
    <row r="1524" spans="1:35" x14ac:dyDescent="0.2">
      <c r="A1524" s="80"/>
      <c r="B1524" s="80"/>
      <c r="C1524" s="80"/>
      <c r="D1524" s="80"/>
      <c r="E1524" s="80"/>
      <c r="F1524" s="80"/>
      <c r="G1524" s="80"/>
      <c r="H1524" s="80"/>
      <c r="I1524" s="80"/>
      <c r="J1524" s="80"/>
      <c r="K1524" s="80"/>
      <c r="L1524" s="2"/>
      <c r="M1524" s="2"/>
      <c r="N1524" s="2"/>
      <c r="O1524" s="2"/>
      <c r="P1524" s="2"/>
      <c r="Q1524" s="2"/>
      <c r="R1524" s="80"/>
      <c r="S1524" s="80"/>
      <c r="T1524" s="80"/>
      <c r="U1524" s="80"/>
      <c r="V1524" s="80"/>
      <c r="W1524" s="80"/>
      <c r="X1524" s="80"/>
      <c r="Y1524" s="80"/>
      <c r="Z1524" s="80"/>
      <c r="AA1524" s="80"/>
      <c r="AB1524" s="80"/>
      <c r="AC1524" s="80"/>
      <c r="AD1524" s="80"/>
      <c r="AE1524" s="80"/>
      <c r="AF1524" s="80"/>
      <c r="AG1524" s="80"/>
      <c r="AH1524" s="80"/>
      <c r="AI1524" s="80"/>
    </row>
    <row r="1525" spans="1:35" x14ac:dyDescent="0.2">
      <c r="A1525" s="80"/>
      <c r="B1525" s="80"/>
      <c r="C1525" s="80"/>
      <c r="D1525" s="80"/>
      <c r="E1525" s="80"/>
      <c r="F1525" s="80"/>
      <c r="G1525" s="80"/>
      <c r="H1525" s="80"/>
      <c r="I1525" s="80"/>
      <c r="J1525" s="80"/>
      <c r="K1525" s="80"/>
      <c r="L1525" s="2"/>
      <c r="M1525" s="2"/>
      <c r="N1525" s="2"/>
      <c r="O1525" s="2"/>
      <c r="P1525" s="2"/>
      <c r="Q1525" s="2"/>
      <c r="R1525" s="80"/>
      <c r="S1525" s="80"/>
      <c r="T1525" s="80"/>
      <c r="U1525" s="80"/>
      <c r="V1525" s="80"/>
      <c r="W1525" s="80"/>
      <c r="X1525" s="80"/>
      <c r="Y1525" s="80"/>
      <c r="Z1525" s="80"/>
      <c r="AA1525" s="80"/>
      <c r="AB1525" s="80"/>
      <c r="AC1525" s="80"/>
      <c r="AD1525" s="80"/>
      <c r="AE1525" s="80"/>
      <c r="AF1525" s="80"/>
      <c r="AG1525" s="80"/>
      <c r="AH1525" s="80"/>
      <c r="AI1525" s="80"/>
    </row>
    <row r="1526" spans="1:35" x14ac:dyDescent="0.2">
      <c r="A1526" s="80"/>
      <c r="B1526" s="80"/>
      <c r="C1526" s="80"/>
      <c r="D1526" s="80"/>
      <c r="E1526" s="80"/>
      <c r="F1526" s="80"/>
      <c r="G1526" s="80"/>
      <c r="H1526" s="80"/>
      <c r="I1526" s="80"/>
      <c r="J1526" s="80"/>
      <c r="K1526" s="80"/>
      <c r="L1526" s="2"/>
      <c r="M1526" s="2"/>
      <c r="N1526" s="2"/>
      <c r="O1526" s="2"/>
      <c r="P1526" s="2"/>
      <c r="Q1526" s="2"/>
      <c r="R1526" s="80"/>
      <c r="S1526" s="80"/>
      <c r="T1526" s="80"/>
      <c r="U1526" s="80"/>
      <c r="V1526" s="80"/>
      <c r="W1526" s="80"/>
      <c r="X1526" s="80"/>
      <c r="Y1526" s="80"/>
      <c r="Z1526" s="80"/>
      <c r="AA1526" s="80"/>
      <c r="AB1526" s="80"/>
      <c r="AC1526" s="80"/>
      <c r="AD1526" s="80"/>
      <c r="AE1526" s="80"/>
      <c r="AF1526" s="80"/>
      <c r="AG1526" s="80"/>
      <c r="AH1526" s="80"/>
      <c r="AI1526" s="80"/>
    </row>
    <row r="1527" spans="1:35" x14ac:dyDescent="0.2">
      <c r="A1527" s="80"/>
      <c r="B1527" s="80"/>
      <c r="C1527" s="80"/>
      <c r="D1527" s="80"/>
      <c r="E1527" s="80"/>
      <c r="F1527" s="80"/>
      <c r="G1527" s="80"/>
      <c r="H1527" s="80"/>
      <c r="I1527" s="80"/>
      <c r="J1527" s="80"/>
      <c r="K1527" s="80"/>
      <c r="L1527" s="2"/>
      <c r="M1527" s="2"/>
      <c r="N1527" s="2"/>
      <c r="O1527" s="2"/>
      <c r="P1527" s="2"/>
      <c r="Q1527" s="2"/>
      <c r="R1527" s="80"/>
      <c r="S1527" s="80"/>
      <c r="T1527" s="80"/>
      <c r="U1527" s="80"/>
      <c r="V1527" s="80"/>
      <c r="W1527" s="80"/>
      <c r="X1527" s="80"/>
      <c r="Y1527" s="80"/>
      <c r="Z1527" s="80"/>
      <c r="AA1527" s="80"/>
      <c r="AB1527" s="80"/>
      <c r="AC1527" s="80"/>
      <c r="AD1527" s="80"/>
      <c r="AE1527" s="80"/>
      <c r="AF1527" s="80"/>
      <c r="AG1527" s="80"/>
      <c r="AH1527" s="80"/>
      <c r="AI1527" s="80"/>
    </row>
    <row r="1528" spans="1:35" x14ac:dyDescent="0.2">
      <c r="A1528" s="80"/>
      <c r="B1528" s="80"/>
      <c r="C1528" s="80"/>
      <c r="D1528" s="80"/>
      <c r="E1528" s="80"/>
      <c r="F1528" s="80"/>
      <c r="G1528" s="80"/>
      <c r="H1528" s="80"/>
      <c r="I1528" s="80"/>
      <c r="J1528" s="80"/>
      <c r="K1528" s="80"/>
      <c r="L1528" s="2"/>
      <c r="M1528" s="2"/>
      <c r="N1528" s="2"/>
      <c r="O1528" s="2"/>
      <c r="P1528" s="2"/>
      <c r="Q1528" s="2"/>
      <c r="R1528" s="80"/>
      <c r="S1528" s="80"/>
      <c r="T1528" s="80"/>
      <c r="U1528" s="80"/>
      <c r="V1528" s="80"/>
      <c r="W1528" s="80"/>
      <c r="X1528" s="80"/>
      <c r="Y1528" s="80"/>
      <c r="Z1528" s="80"/>
      <c r="AA1528" s="80"/>
      <c r="AB1528" s="80"/>
      <c r="AC1528" s="80"/>
      <c r="AD1528" s="80"/>
      <c r="AE1528" s="80"/>
      <c r="AF1528" s="80"/>
      <c r="AG1528" s="80"/>
      <c r="AH1528" s="80"/>
      <c r="AI1528" s="80"/>
    </row>
    <row r="1529" spans="1:35" x14ac:dyDescent="0.2">
      <c r="A1529" s="80"/>
      <c r="B1529" s="80"/>
      <c r="C1529" s="80"/>
      <c r="D1529" s="80"/>
      <c r="E1529" s="80"/>
      <c r="F1529" s="80"/>
      <c r="G1529" s="80"/>
      <c r="H1529" s="80"/>
      <c r="I1529" s="80"/>
      <c r="J1529" s="80"/>
      <c r="K1529" s="80"/>
      <c r="L1529" s="2"/>
      <c r="M1529" s="2"/>
      <c r="N1529" s="2"/>
      <c r="O1529" s="2"/>
      <c r="P1529" s="2"/>
      <c r="Q1529" s="2"/>
      <c r="R1529" s="80"/>
      <c r="S1529" s="80"/>
      <c r="T1529" s="80"/>
      <c r="U1529" s="80"/>
      <c r="V1529" s="80"/>
      <c r="W1529" s="80"/>
      <c r="X1529" s="80"/>
      <c r="Y1529" s="80"/>
      <c r="Z1529" s="80"/>
      <c r="AA1529" s="80"/>
      <c r="AB1529" s="80"/>
      <c r="AC1529" s="80"/>
      <c r="AD1529" s="80"/>
      <c r="AE1529" s="80"/>
      <c r="AF1529" s="80"/>
      <c r="AG1529" s="80"/>
      <c r="AH1529" s="80"/>
      <c r="AI1529" s="80"/>
    </row>
    <row r="1530" spans="1:35" x14ac:dyDescent="0.2">
      <c r="A1530" s="80"/>
      <c r="B1530" s="80"/>
      <c r="C1530" s="80"/>
      <c r="D1530" s="80"/>
      <c r="E1530" s="80"/>
      <c r="F1530" s="80"/>
      <c r="G1530" s="80"/>
      <c r="H1530" s="80"/>
      <c r="I1530" s="80"/>
      <c r="J1530" s="80"/>
      <c r="K1530" s="80"/>
      <c r="L1530" s="2"/>
      <c r="M1530" s="2"/>
      <c r="N1530" s="2"/>
      <c r="O1530" s="2"/>
      <c r="P1530" s="2"/>
      <c r="Q1530" s="2"/>
      <c r="R1530" s="80"/>
      <c r="S1530" s="80"/>
      <c r="T1530" s="80"/>
      <c r="U1530" s="80"/>
      <c r="V1530" s="80"/>
      <c r="W1530" s="80"/>
      <c r="X1530" s="80"/>
      <c r="Y1530" s="80"/>
      <c r="Z1530" s="80"/>
      <c r="AA1530" s="80"/>
      <c r="AB1530" s="80"/>
      <c r="AC1530" s="80"/>
      <c r="AD1530" s="80"/>
      <c r="AE1530" s="80"/>
      <c r="AF1530" s="80"/>
      <c r="AG1530" s="80"/>
      <c r="AH1530" s="80"/>
      <c r="AI1530" s="80"/>
    </row>
    <row r="1531" spans="1:35" x14ac:dyDescent="0.2">
      <c r="A1531" s="80"/>
      <c r="B1531" s="80"/>
      <c r="C1531" s="80"/>
      <c r="D1531" s="80"/>
      <c r="E1531" s="80"/>
      <c r="F1531" s="80"/>
      <c r="G1531" s="80"/>
      <c r="H1531" s="80"/>
      <c r="I1531" s="80"/>
      <c r="J1531" s="80"/>
      <c r="K1531" s="80"/>
      <c r="L1531" s="2"/>
      <c r="M1531" s="2"/>
      <c r="N1531" s="2"/>
      <c r="O1531" s="2"/>
      <c r="P1531" s="2"/>
      <c r="Q1531" s="2"/>
      <c r="R1531" s="80"/>
      <c r="S1531" s="80"/>
      <c r="T1531" s="80"/>
      <c r="U1531" s="80"/>
      <c r="V1531" s="80"/>
      <c r="W1531" s="80"/>
      <c r="X1531" s="80"/>
      <c r="Y1531" s="80"/>
      <c r="Z1531" s="80"/>
      <c r="AA1531" s="80"/>
      <c r="AB1531" s="80"/>
      <c r="AC1531" s="80"/>
      <c r="AD1531" s="80"/>
      <c r="AE1531" s="80"/>
      <c r="AF1531" s="80"/>
      <c r="AG1531" s="80"/>
      <c r="AH1531" s="80"/>
      <c r="AI1531" s="80"/>
    </row>
    <row r="1532" spans="1:35" x14ac:dyDescent="0.2">
      <c r="A1532" s="80"/>
      <c r="B1532" s="80"/>
      <c r="C1532" s="80"/>
      <c r="D1532" s="80"/>
      <c r="E1532" s="80"/>
      <c r="F1532" s="80"/>
      <c r="G1532" s="80"/>
      <c r="H1532" s="80"/>
      <c r="I1532" s="80"/>
      <c r="J1532" s="80"/>
      <c r="K1532" s="80"/>
      <c r="L1532" s="2"/>
      <c r="M1532" s="2"/>
      <c r="N1532" s="2"/>
      <c r="O1532" s="2"/>
      <c r="P1532" s="2"/>
      <c r="Q1532" s="2"/>
      <c r="R1532" s="80"/>
      <c r="S1532" s="80"/>
      <c r="T1532" s="80"/>
      <c r="U1532" s="80"/>
      <c r="V1532" s="80"/>
      <c r="W1532" s="80"/>
      <c r="X1532" s="80"/>
      <c r="Y1532" s="80"/>
      <c r="Z1532" s="80"/>
      <c r="AA1532" s="80"/>
      <c r="AB1532" s="80"/>
      <c r="AC1532" s="80"/>
      <c r="AD1532" s="80"/>
      <c r="AE1532" s="80"/>
      <c r="AF1532" s="80"/>
      <c r="AG1532" s="80"/>
      <c r="AH1532" s="80"/>
      <c r="AI1532" s="80"/>
    </row>
    <row r="1533" spans="1:35" x14ac:dyDescent="0.2">
      <c r="A1533" s="80"/>
      <c r="B1533" s="80"/>
      <c r="C1533" s="80"/>
      <c r="D1533" s="80"/>
      <c r="E1533" s="80"/>
      <c r="F1533" s="80"/>
      <c r="G1533" s="80"/>
      <c r="H1533" s="80"/>
      <c r="I1533" s="80"/>
      <c r="J1533" s="80"/>
      <c r="K1533" s="80"/>
      <c r="L1533" s="2"/>
      <c r="M1533" s="2"/>
      <c r="N1533" s="2"/>
      <c r="O1533" s="2"/>
      <c r="P1533" s="2"/>
      <c r="Q1533" s="2"/>
      <c r="R1533" s="80"/>
      <c r="S1533" s="80"/>
      <c r="T1533" s="80"/>
      <c r="U1533" s="80"/>
      <c r="V1533" s="80"/>
      <c r="W1533" s="80"/>
      <c r="X1533" s="80"/>
      <c r="Y1533" s="80"/>
      <c r="Z1533" s="80"/>
      <c r="AA1533" s="80"/>
      <c r="AB1533" s="80"/>
      <c r="AC1533" s="80"/>
      <c r="AD1533" s="80"/>
      <c r="AE1533" s="80"/>
      <c r="AF1533" s="80"/>
      <c r="AG1533" s="80"/>
      <c r="AH1533" s="80"/>
      <c r="AI1533" s="80"/>
    </row>
    <row r="1534" spans="1:35" x14ac:dyDescent="0.2">
      <c r="A1534" s="80"/>
      <c r="B1534" s="80"/>
      <c r="C1534" s="80"/>
      <c r="D1534" s="80"/>
      <c r="E1534" s="80"/>
      <c r="F1534" s="80"/>
      <c r="G1534" s="80"/>
      <c r="H1534" s="80"/>
      <c r="I1534" s="80"/>
      <c r="J1534" s="80"/>
      <c r="K1534" s="80"/>
      <c r="L1534" s="2"/>
      <c r="M1534" s="2"/>
      <c r="N1534" s="2"/>
      <c r="O1534" s="2"/>
      <c r="P1534" s="2"/>
      <c r="Q1534" s="2"/>
      <c r="R1534" s="80"/>
      <c r="S1534" s="80"/>
      <c r="T1534" s="80"/>
      <c r="U1534" s="80"/>
      <c r="V1534" s="80"/>
      <c r="W1534" s="80"/>
      <c r="X1534" s="80"/>
      <c r="Y1534" s="80"/>
      <c r="Z1534" s="80"/>
      <c r="AA1534" s="80"/>
      <c r="AB1534" s="80"/>
      <c r="AC1534" s="80"/>
      <c r="AD1534" s="80"/>
      <c r="AE1534" s="80"/>
      <c r="AF1534" s="80"/>
      <c r="AG1534" s="80"/>
      <c r="AH1534" s="80"/>
      <c r="AI1534" s="80"/>
    </row>
    <row r="1535" spans="1:35" x14ac:dyDescent="0.2">
      <c r="A1535" s="80"/>
      <c r="B1535" s="80"/>
      <c r="C1535" s="80"/>
      <c r="D1535" s="80"/>
      <c r="E1535" s="80"/>
      <c r="F1535" s="80"/>
      <c r="G1535" s="80"/>
      <c r="H1535" s="80"/>
      <c r="I1535" s="80"/>
      <c r="J1535" s="80"/>
      <c r="K1535" s="80"/>
      <c r="L1535" s="2"/>
      <c r="M1535" s="2"/>
      <c r="N1535" s="2"/>
      <c r="O1535" s="2"/>
      <c r="P1535" s="2"/>
      <c r="Q1535" s="2"/>
      <c r="R1535" s="80"/>
      <c r="S1535" s="80"/>
      <c r="T1535" s="80"/>
      <c r="U1535" s="80"/>
      <c r="V1535" s="80"/>
      <c r="W1535" s="80"/>
      <c r="X1535" s="80"/>
      <c r="Y1535" s="80"/>
      <c r="Z1535" s="80"/>
      <c r="AA1535" s="80"/>
      <c r="AB1535" s="80"/>
      <c r="AC1535" s="80"/>
      <c r="AD1535" s="80"/>
      <c r="AE1535" s="80"/>
      <c r="AF1535" s="80"/>
      <c r="AG1535" s="80"/>
      <c r="AH1535" s="80"/>
      <c r="AI1535" s="80"/>
    </row>
    <row r="1536" spans="1:35" x14ac:dyDescent="0.2">
      <c r="A1536" s="80"/>
      <c r="B1536" s="80"/>
      <c r="C1536" s="80"/>
      <c r="D1536" s="80"/>
      <c r="E1536" s="80"/>
      <c r="F1536" s="80"/>
      <c r="G1536" s="80"/>
      <c r="H1536" s="80"/>
      <c r="I1536" s="80"/>
      <c r="J1536" s="80"/>
      <c r="K1536" s="80"/>
      <c r="L1536" s="2"/>
      <c r="M1536" s="2"/>
      <c r="N1536" s="2"/>
      <c r="O1536" s="2"/>
      <c r="P1536" s="2"/>
      <c r="Q1536" s="2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E1536" s="80"/>
      <c r="AF1536" s="80"/>
      <c r="AG1536" s="80"/>
      <c r="AH1536" s="80"/>
      <c r="AI1536" s="80"/>
    </row>
    <row r="1537" spans="1:35" x14ac:dyDescent="0.2">
      <c r="A1537" s="80"/>
      <c r="B1537" s="80"/>
      <c r="C1537" s="80"/>
      <c r="D1537" s="80"/>
      <c r="E1537" s="80"/>
      <c r="F1537" s="80"/>
      <c r="G1537" s="80"/>
      <c r="H1537" s="80"/>
      <c r="I1537" s="80"/>
      <c r="J1537" s="80"/>
      <c r="K1537" s="80"/>
      <c r="L1537" s="2"/>
      <c r="M1537" s="2"/>
      <c r="N1537" s="2"/>
      <c r="O1537" s="2"/>
      <c r="P1537" s="2"/>
      <c r="Q1537" s="2"/>
      <c r="R1537" s="80"/>
      <c r="S1537" s="80"/>
      <c r="T1537" s="80"/>
      <c r="U1537" s="80"/>
      <c r="V1537" s="80"/>
      <c r="W1537" s="80"/>
      <c r="X1537" s="80"/>
      <c r="Y1537" s="80"/>
      <c r="Z1537" s="80"/>
      <c r="AA1537" s="80"/>
      <c r="AB1537" s="80"/>
      <c r="AC1537" s="80"/>
      <c r="AD1537" s="80"/>
      <c r="AE1537" s="80"/>
      <c r="AF1537" s="80"/>
      <c r="AG1537" s="80"/>
      <c r="AH1537" s="80"/>
      <c r="AI1537" s="80"/>
    </row>
    <row r="1538" spans="1:35" x14ac:dyDescent="0.2">
      <c r="A1538" s="80"/>
      <c r="B1538" s="80"/>
      <c r="C1538" s="80"/>
      <c r="D1538" s="80"/>
      <c r="E1538" s="80"/>
      <c r="F1538" s="80"/>
      <c r="G1538" s="80"/>
      <c r="H1538" s="80"/>
      <c r="I1538" s="80"/>
      <c r="J1538" s="80"/>
      <c r="K1538" s="80"/>
      <c r="L1538" s="2"/>
      <c r="M1538" s="2"/>
      <c r="N1538" s="2"/>
      <c r="O1538" s="2"/>
      <c r="P1538" s="2"/>
      <c r="Q1538" s="2"/>
      <c r="R1538" s="80"/>
      <c r="S1538" s="80"/>
      <c r="T1538" s="80"/>
      <c r="U1538" s="80"/>
      <c r="V1538" s="80"/>
      <c r="W1538" s="80"/>
      <c r="X1538" s="80"/>
      <c r="Y1538" s="80"/>
      <c r="Z1538" s="80"/>
      <c r="AA1538" s="80"/>
      <c r="AB1538" s="80"/>
      <c r="AC1538" s="80"/>
      <c r="AD1538" s="80"/>
      <c r="AE1538" s="80"/>
      <c r="AF1538" s="80"/>
      <c r="AG1538" s="80"/>
      <c r="AH1538" s="80"/>
      <c r="AI1538" s="80"/>
    </row>
    <row r="1539" spans="1:35" x14ac:dyDescent="0.2">
      <c r="A1539" s="80"/>
      <c r="B1539" s="80"/>
      <c r="C1539" s="80"/>
      <c r="D1539" s="80"/>
      <c r="E1539" s="80"/>
      <c r="F1539" s="80"/>
      <c r="G1539" s="80"/>
      <c r="H1539" s="80"/>
      <c r="I1539" s="80"/>
      <c r="J1539" s="80"/>
      <c r="K1539" s="80"/>
      <c r="L1539" s="2"/>
      <c r="M1539" s="2"/>
      <c r="N1539" s="2"/>
      <c r="O1539" s="2"/>
      <c r="P1539" s="2"/>
      <c r="Q1539" s="2"/>
      <c r="R1539" s="80"/>
      <c r="S1539" s="80"/>
      <c r="T1539" s="80"/>
      <c r="U1539" s="80"/>
      <c r="V1539" s="80"/>
      <c r="W1539" s="80"/>
      <c r="X1539" s="80"/>
      <c r="Y1539" s="80"/>
      <c r="Z1539" s="80"/>
      <c r="AA1539" s="80"/>
      <c r="AB1539" s="80"/>
      <c r="AC1539" s="80"/>
      <c r="AD1539" s="80"/>
      <c r="AE1539" s="80"/>
      <c r="AF1539" s="80"/>
      <c r="AG1539" s="80"/>
      <c r="AH1539" s="80"/>
      <c r="AI1539" s="80"/>
    </row>
    <row r="1540" spans="1:35" x14ac:dyDescent="0.2">
      <c r="A1540" s="80"/>
      <c r="B1540" s="80"/>
      <c r="C1540" s="80"/>
      <c r="D1540" s="80"/>
      <c r="E1540" s="80"/>
      <c r="F1540" s="80"/>
      <c r="G1540" s="80"/>
      <c r="H1540" s="80"/>
      <c r="I1540" s="80"/>
      <c r="J1540" s="80"/>
      <c r="K1540" s="80"/>
      <c r="L1540" s="2"/>
      <c r="M1540" s="2"/>
      <c r="N1540" s="2"/>
      <c r="O1540" s="2"/>
      <c r="P1540" s="2"/>
      <c r="Q1540" s="2"/>
      <c r="R1540" s="80"/>
      <c r="S1540" s="80"/>
      <c r="T1540" s="80"/>
      <c r="U1540" s="80"/>
      <c r="V1540" s="80"/>
      <c r="W1540" s="80"/>
      <c r="X1540" s="80"/>
      <c r="Y1540" s="80"/>
      <c r="Z1540" s="80"/>
      <c r="AA1540" s="80"/>
      <c r="AB1540" s="80"/>
      <c r="AC1540" s="80"/>
      <c r="AD1540" s="80"/>
      <c r="AE1540" s="80"/>
      <c r="AF1540" s="80"/>
      <c r="AG1540" s="80"/>
      <c r="AH1540" s="80"/>
      <c r="AI1540" s="80"/>
    </row>
    <row r="1541" spans="1:35" x14ac:dyDescent="0.2">
      <c r="A1541" s="80"/>
      <c r="B1541" s="80"/>
      <c r="C1541" s="80"/>
      <c r="D1541" s="80"/>
      <c r="E1541" s="80"/>
      <c r="F1541" s="80"/>
      <c r="G1541" s="80"/>
      <c r="H1541" s="80"/>
      <c r="I1541" s="80"/>
      <c r="J1541" s="80"/>
      <c r="K1541" s="80"/>
      <c r="L1541" s="2"/>
      <c r="M1541" s="2"/>
      <c r="N1541" s="2"/>
      <c r="O1541" s="2"/>
      <c r="P1541" s="2"/>
      <c r="Q1541" s="2"/>
      <c r="R1541" s="80"/>
      <c r="S1541" s="80"/>
      <c r="T1541" s="80"/>
      <c r="U1541" s="80"/>
      <c r="V1541" s="80"/>
      <c r="W1541" s="80"/>
      <c r="X1541" s="80"/>
      <c r="Y1541" s="80"/>
      <c r="Z1541" s="80"/>
      <c r="AA1541" s="80"/>
      <c r="AB1541" s="80"/>
      <c r="AC1541" s="80"/>
      <c r="AD1541" s="80"/>
      <c r="AE1541" s="80"/>
      <c r="AF1541" s="80"/>
      <c r="AG1541" s="80"/>
      <c r="AH1541" s="80"/>
      <c r="AI1541" s="80"/>
    </row>
    <row r="1542" spans="1:35" x14ac:dyDescent="0.2">
      <c r="A1542" s="80"/>
      <c r="B1542" s="80"/>
      <c r="C1542" s="80"/>
      <c r="D1542" s="80"/>
      <c r="E1542" s="80"/>
      <c r="F1542" s="80"/>
      <c r="G1542" s="80"/>
      <c r="H1542" s="80"/>
      <c r="I1542" s="80"/>
      <c r="J1542" s="80"/>
      <c r="K1542" s="80"/>
      <c r="L1542" s="2"/>
      <c r="M1542" s="2"/>
      <c r="N1542" s="2"/>
      <c r="O1542" s="2"/>
      <c r="P1542" s="2"/>
      <c r="Q1542" s="2"/>
      <c r="R1542" s="80"/>
      <c r="S1542" s="80"/>
      <c r="T1542" s="80"/>
      <c r="U1542" s="80"/>
      <c r="V1542" s="80"/>
      <c r="W1542" s="80"/>
      <c r="X1542" s="80"/>
      <c r="Y1542" s="80"/>
      <c r="Z1542" s="80"/>
      <c r="AA1542" s="80"/>
      <c r="AB1542" s="80"/>
      <c r="AC1542" s="80"/>
      <c r="AD1542" s="80"/>
      <c r="AE1542" s="80"/>
      <c r="AF1542" s="80"/>
      <c r="AG1542" s="80"/>
      <c r="AH1542" s="80"/>
      <c r="AI1542" s="80"/>
    </row>
    <row r="1543" spans="1:35" x14ac:dyDescent="0.2">
      <c r="A1543" s="80"/>
      <c r="B1543" s="80"/>
      <c r="C1543" s="80"/>
      <c r="D1543" s="80"/>
      <c r="E1543" s="80"/>
      <c r="F1543" s="80"/>
      <c r="G1543" s="80"/>
      <c r="H1543" s="80"/>
      <c r="I1543" s="80"/>
      <c r="J1543" s="80"/>
      <c r="K1543" s="80"/>
      <c r="L1543" s="2"/>
      <c r="M1543" s="2"/>
      <c r="N1543" s="2"/>
      <c r="O1543" s="2"/>
      <c r="P1543" s="2"/>
      <c r="Q1543" s="2"/>
      <c r="R1543" s="80"/>
      <c r="S1543" s="80"/>
      <c r="T1543" s="80"/>
      <c r="U1543" s="80"/>
      <c r="V1543" s="80"/>
      <c r="W1543" s="80"/>
      <c r="X1543" s="80"/>
      <c r="Y1543" s="80"/>
      <c r="Z1543" s="80"/>
      <c r="AA1543" s="80"/>
      <c r="AB1543" s="80"/>
      <c r="AC1543" s="80"/>
      <c r="AD1543" s="80"/>
      <c r="AE1543" s="80"/>
      <c r="AF1543" s="80"/>
      <c r="AG1543" s="80"/>
      <c r="AH1543" s="80"/>
      <c r="AI1543" s="80"/>
    </row>
    <row r="1544" spans="1:35" x14ac:dyDescent="0.2">
      <c r="A1544" s="80"/>
      <c r="B1544" s="80"/>
      <c r="C1544" s="80"/>
      <c r="D1544" s="80"/>
      <c r="E1544" s="80"/>
      <c r="F1544" s="80"/>
      <c r="G1544" s="80"/>
      <c r="H1544" s="80"/>
      <c r="I1544" s="80"/>
      <c r="J1544" s="80"/>
      <c r="K1544" s="80"/>
      <c r="L1544" s="2"/>
      <c r="M1544" s="2"/>
      <c r="N1544" s="2"/>
      <c r="O1544" s="2"/>
      <c r="P1544" s="2"/>
      <c r="Q1544" s="2"/>
      <c r="R1544" s="80"/>
      <c r="S1544" s="80"/>
      <c r="T1544" s="80"/>
      <c r="U1544" s="80"/>
      <c r="V1544" s="80"/>
      <c r="W1544" s="80"/>
      <c r="X1544" s="80"/>
      <c r="Y1544" s="80"/>
      <c r="Z1544" s="80"/>
      <c r="AA1544" s="80"/>
      <c r="AB1544" s="80"/>
      <c r="AC1544" s="80"/>
      <c r="AD1544" s="80"/>
      <c r="AE1544" s="80"/>
      <c r="AF1544" s="80"/>
      <c r="AG1544" s="80"/>
      <c r="AH1544" s="80"/>
      <c r="AI1544" s="80"/>
    </row>
    <row r="1545" spans="1:35" x14ac:dyDescent="0.2">
      <c r="A1545" s="80"/>
      <c r="B1545" s="80"/>
      <c r="C1545" s="80"/>
      <c r="D1545" s="80"/>
      <c r="E1545" s="80"/>
      <c r="F1545" s="80"/>
      <c r="G1545" s="80"/>
      <c r="H1545" s="80"/>
      <c r="I1545" s="80"/>
      <c r="J1545" s="80"/>
      <c r="K1545" s="80"/>
      <c r="L1545" s="2"/>
      <c r="M1545" s="2"/>
      <c r="N1545" s="2"/>
      <c r="O1545" s="2"/>
      <c r="P1545" s="2"/>
      <c r="Q1545" s="2"/>
      <c r="R1545" s="80"/>
      <c r="S1545" s="80"/>
      <c r="T1545" s="80"/>
      <c r="U1545" s="80"/>
      <c r="V1545" s="80"/>
      <c r="W1545" s="80"/>
      <c r="X1545" s="80"/>
      <c r="Y1545" s="80"/>
      <c r="Z1545" s="80"/>
      <c r="AA1545" s="80"/>
      <c r="AB1545" s="80"/>
      <c r="AC1545" s="80"/>
      <c r="AD1545" s="80"/>
      <c r="AE1545" s="80"/>
      <c r="AF1545" s="80"/>
      <c r="AG1545" s="80"/>
      <c r="AH1545" s="80"/>
      <c r="AI1545" s="80"/>
    </row>
    <row r="1546" spans="1:35" x14ac:dyDescent="0.2">
      <c r="A1546" s="80"/>
      <c r="B1546" s="80"/>
      <c r="C1546" s="80"/>
      <c r="D1546" s="80"/>
      <c r="E1546" s="80"/>
      <c r="F1546" s="80"/>
      <c r="G1546" s="80"/>
      <c r="H1546" s="80"/>
      <c r="I1546" s="80"/>
      <c r="J1546" s="80"/>
      <c r="K1546" s="80"/>
      <c r="L1546" s="2"/>
      <c r="M1546" s="2"/>
      <c r="N1546" s="2"/>
      <c r="O1546" s="2"/>
      <c r="P1546" s="2"/>
      <c r="Q1546" s="2"/>
      <c r="R1546" s="80"/>
      <c r="S1546" s="80"/>
      <c r="T1546" s="80"/>
      <c r="U1546" s="80"/>
      <c r="V1546" s="80"/>
      <c r="W1546" s="80"/>
      <c r="X1546" s="80"/>
      <c r="Y1546" s="80"/>
      <c r="Z1546" s="80"/>
      <c r="AA1546" s="80"/>
      <c r="AB1546" s="80"/>
      <c r="AC1546" s="80"/>
      <c r="AD1546" s="80"/>
      <c r="AE1546" s="80"/>
      <c r="AF1546" s="80"/>
      <c r="AG1546" s="80"/>
      <c r="AH1546" s="80"/>
      <c r="AI1546" s="80"/>
    </row>
    <row r="1547" spans="1:35" x14ac:dyDescent="0.2">
      <c r="A1547" s="80"/>
      <c r="B1547" s="80"/>
      <c r="C1547" s="80"/>
      <c r="D1547" s="80"/>
      <c r="E1547" s="80"/>
      <c r="F1547" s="80"/>
      <c r="G1547" s="80"/>
      <c r="H1547" s="80"/>
      <c r="I1547" s="80"/>
      <c r="J1547" s="80"/>
      <c r="K1547" s="80"/>
      <c r="L1547" s="2"/>
      <c r="M1547" s="2"/>
      <c r="N1547" s="2"/>
      <c r="O1547" s="2"/>
      <c r="P1547" s="2"/>
      <c r="Q1547" s="2"/>
      <c r="R1547" s="80"/>
      <c r="S1547" s="80"/>
      <c r="T1547" s="80"/>
      <c r="U1547" s="80"/>
      <c r="V1547" s="80"/>
      <c r="W1547" s="80"/>
      <c r="X1547" s="80"/>
      <c r="Y1547" s="80"/>
      <c r="Z1547" s="80"/>
      <c r="AA1547" s="80"/>
      <c r="AB1547" s="80"/>
      <c r="AC1547" s="80"/>
      <c r="AD1547" s="80"/>
      <c r="AE1547" s="80"/>
      <c r="AF1547" s="80"/>
      <c r="AG1547" s="80"/>
      <c r="AH1547" s="80"/>
      <c r="AI1547" s="80"/>
    </row>
    <row r="1548" spans="1:35" x14ac:dyDescent="0.2">
      <c r="A1548" s="80"/>
      <c r="B1548" s="80"/>
      <c r="C1548" s="80"/>
      <c r="D1548" s="80"/>
      <c r="E1548" s="80"/>
      <c r="F1548" s="80"/>
      <c r="G1548" s="80"/>
      <c r="H1548" s="80"/>
      <c r="I1548" s="80"/>
      <c r="J1548" s="80"/>
      <c r="K1548" s="80"/>
      <c r="L1548" s="2"/>
      <c r="M1548" s="2"/>
      <c r="N1548" s="2"/>
      <c r="O1548" s="2"/>
      <c r="P1548" s="2"/>
      <c r="Q1548" s="2"/>
      <c r="R1548" s="80"/>
      <c r="S1548" s="80"/>
      <c r="T1548" s="80"/>
      <c r="U1548" s="80"/>
      <c r="V1548" s="80"/>
      <c r="W1548" s="80"/>
      <c r="X1548" s="80"/>
      <c r="Y1548" s="80"/>
      <c r="Z1548" s="80"/>
      <c r="AA1548" s="80"/>
      <c r="AB1548" s="80"/>
      <c r="AC1548" s="80"/>
      <c r="AD1548" s="80"/>
      <c r="AE1548" s="80"/>
      <c r="AF1548" s="80"/>
      <c r="AG1548" s="80"/>
      <c r="AH1548" s="80"/>
      <c r="AI1548" s="80"/>
    </row>
    <row r="1549" spans="1:35" x14ac:dyDescent="0.2">
      <c r="A1549" s="80"/>
      <c r="B1549" s="80"/>
      <c r="C1549" s="80"/>
      <c r="D1549" s="80"/>
      <c r="E1549" s="80"/>
      <c r="F1549" s="80"/>
      <c r="G1549" s="80"/>
      <c r="H1549" s="80"/>
      <c r="I1549" s="80"/>
      <c r="J1549" s="80"/>
      <c r="K1549" s="80"/>
      <c r="L1549" s="2"/>
      <c r="M1549" s="2"/>
      <c r="N1549" s="2"/>
      <c r="O1549" s="2"/>
      <c r="P1549" s="2"/>
      <c r="Q1549" s="2"/>
      <c r="R1549" s="80"/>
      <c r="S1549" s="80"/>
      <c r="T1549" s="80"/>
      <c r="U1549" s="80"/>
      <c r="V1549" s="80"/>
      <c r="W1549" s="80"/>
      <c r="X1549" s="80"/>
      <c r="Y1549" s="80"/>
      <c r="Z1549" s="80"/>
      <c r="AA1549" s="80"/>
      <c r="AB1549" s="80"/>
      <c r="AC1549" s="80"/>
      <c r="AD1549" s="80"/>
      <c r="AE1549" s="80"/>
      <c r="AF1549" s="80"/>
      <c r="AG1549" s="80"/>
      <c r="AH1549" s="80"/>
      <c r="AI1549" s="80"/>
    </row>
    <row r="1550" spans="1:35" x14ac:dyDescent="0.2">
      <c r="A1550" s="80"/>
      <c r="B1550" s="80"/>
      <c r="C1550" s="80"/>
      <c r="D1550" s="80"/>
      <c r="E1550" s="80"/>
      <c r="F1550" s="80"/>
      <c r="G1550" s="80"/>
      <c r="H1550" s="80"/>
      <c r="I1550" s="80"/>
      <c r="J1550" s="80"/>
      <c r="K1550" s="80"/>
      <c r="L1550" s="2"/>
      <c r="M1550" s="2"/>
      <c r="N1550" s="2"/>
      <c r="O1550" s="2"/>
      <c r="P1550" s="2"/>
      <c r="Q1550" s="2"/>
      <c r="R1550" s="80"/>
      <c r="S1550" s="80"/>
      <c r="T1550" s="80"/>
      <c r="U1550" s="80"/>
      <c r="V1550" s="80"/>
      <c r="W1550" s="80"/>
      <c r="X1550" s="80"/>
      <c r="Y1550" s="80"/>
      <c r="Z1550" s="80"/>
      <c r="AA1550" s="80"/>
      <c r="AB1550" s="80"/>
      <c r="AC1550" s="80"/>
      <c r="AD1550" s="80"/>
      <c r="AE1550" s="80"/>
      <c r="AF1550" s="80"/>
      <c r="AG1550" s="80"/>
      <c r="AH1550" s="80"/>
      <c r="AI1550" s="80"/>
    </row>
    <row r="1551" spans="1:35" x14ac:dyDescent="0.2">
      <c r="A1551" s="80"/>
      <c r="B1551" s="80"/>
      <c r="C1551" s="80"/>
      <c r="D1551" s="80"/>
      <c r="E1551" s="80"/>
      <c r="F1551" s="80"/>
      <c r="G1551" s="80"/>
      <c r="H1551" s="80"/>
      <c r="I1551" s="80"/>
      <c r="J1551" s="80"/>
      <c r="K1551" s="80"/>
      <c r="L1551" s="2"/>
      <c r="M1551" s="2"/>
      <c r="N1551" s="2"/>
      <c r="O1551" s="2"/>
      <c r="P1551" s="2"/>
      <c r="Q1551" s="2"/>
      <c r="R1551" s="80"/>
      <c r="S1551" s="80"/>
      <c r="T1551" s="80"/>
      <c r="U1551" s="80"/>
      <c r="V1551" s="80"/>
      <c r="W1551" s="80"/>
      <c r="X1551" s="80"/>
      <c r="Y1551" s="80"/>
      <c r="Z1551" s="80"/>
      <c r="AA1551" s="80"/>
      <c r="AB1551" s="80"/>
      <c r="AC1551" s="80"/>
      <c r="AD1551" s="80"/>
      <c r="AE1551" s="80"/>
      <c r="AF1551" s="80"/>
      <c r="AG1551" s="80"/>
      <c r="AH1551" s="80"/>
      <c r="AI1551" s="80"/>
    </row>
    <row r="1552" spans="1:35" x14ac:dyDescent="0.2">
      <c r="A1552" s="80"/>
      <c r="B1552" s="80"/>
      <c r="C1552" s="80"/>
      <c r="D1552" s="80"/>
      <c r="E1552" s="80"/>
      <c r="F1552" s="80"/>
      <c r="G1552" s="80"/>
      <c r="H1552" s="80"/>
      <c r="I1552" s="80"/>
      <c r="J1552" s="80"/>
      <c r="K1552" s="80"/>
      <c r="L1552" s="2"/>
      <c r="M1552" s="2"/>
      <c r="N1552" s="2"/>
      <c r="O1552" s="2"/>
      <c r="P1552" s="2"/>
      <c r="Q1552" s="2"/>
      <c r="R1552" s="80"/>
      <c r="S1552" s="80"/>
      <c r="T1552" s="80"/>
      <c r="U1552" s="80"/>
      <c r="V1552" s="80"/>
      <c r="W1552" s="80"/>
      <c r="X1552" s="80"/>
      <c r="Y1552" s="80"/>
      <c r="Z1552" s="80"/>
      <c r="AA1552" s="80"/>
      <c r="AB1552" s="80"/>
      <c r="AC1552" s="80"/>
      <c r="AD1552" s="80"/>
      <c r="AE1552" s="80"/>
      <c r="AF1552" s="80"/>
      <c r="AG1552" s="80"/>
      <c r="AH1552" s="80"/>
      <c r="AI1552" s="80"/>
    </row>
    <row r="1553" spans="1:35" x14ac:dyDescent="0.2">
      <c r="A1553" s="80"/>
      <c r="B1553" s="80"/>
      <c r="C1553" s="80"/>
      <c r="D1553" s="80"/>
      <c r="E1553" s="80"/>
      <c r="F1553" s="80"/>
      <c r="G1553" s="80"/>
      <c r="H1553" s="80"/>
      <c r="I1553" s="80"/>
      <c r="J1553" s="80"/>
      <c r="K1553" s="80"/>
      <c r="L1553" s="2"/>
      <c r="M1553" s="2"/>
      <c r="N1553" s="2"/>
      <c r="O1553" s="2"/>
      <c r="P1553" s="2"/>
      <c r="Q1553" s="2"/>
      <c r="R1553" s="80"/>
      <c r="S1553" s="80"/>
      <c r="T1553" s="80"/>
      <c r="U1553" s="80"/>
      <c r="V1553" s="80"/>
      <c r="W1553" s="80"/>
      <c r="X1553" s="80"/>
      <c r="Y1553" s="80"/>
      <c r="Z1553" s="80"/>
      <c r="AA1553" s="80"/>
      <c r="AB1553" s="80"/>
      <c r="AC1553" s="80"/>
      <c r="AD1553" s="80"/>
      <c r="AE1553" s="80"/>
      <c r="AF1553" s="80"/>
      <c r="AG1553" s="80"/>
      <c r="AH1553" s="80"/>
      <c r="AI1553" s="80"/>
    </row>
    <row r="1554" spans="1:35" x14ac:dyDescent="0.2">
      <c r="A1554" s="80"/>
      <c r="B1554" s="80"/>
      <c r="C1554" s="80"/>
      <c r="D1554" s="80"/>
      <c r="E1554" s="80"/>
      <c r="F1554" s="80"/>
      <c r="G1554" s="80"/>
      <c r="H1554" s="80"/>
      <c r="I1554" s="80"/>
      <c r="J1554" s="80"/>
      <c r="K1554" s="80"/>
      <c r="L1554" s="2"/>
      <c r="M1554" s="2"/>
      <c r="N1554" s="2"/>
      <c r="O1554" s="2"/>
      <c r="P1554" s="2"/>
      <c r="Q1554" s="2"/>
      <c r="R1554" s="80"/>
      <c r="S1554" s="80"/>
      <c r="T1554" s="80"/>
      <c r="U1554" s="80"/>
      <c r="V1554" s="80"/>
      <c r="W1554" s="80"/>
      <c r="X1554" s="80"/>
      <c r="Y1554" s="80"/>
      <c r="Z1554" s="80"/>
      <c r="AA1554" s="80"/>
      <c r="AB1554" s="80"/>
      <c r="AC1554" s="80"/>
      <c r="AD1554" s="80"/>
      <c r="AE1554" s="80"/>
      <c r="AF1554" s="80"/>
      <c r="AG1554" s="80"/>
      <c r="AH1554" s="80"/>
      <c r="AI1554" s="80"/>
    </row>
    <row r="1555" spans="1:35" x14ac:dyDescent="0.2">
      <c r="A1555" s="80"/>
      <c r="B1555" s="80"/>
      <c r="C1555" s="80"/>
      <c r="D1555" s="80"/>
      <c r="E1555" s="80"/>
      <c r="F1555" s="80"/>
      <c r="G1555" s="80"/>
      <c r="H1555" s="80"/>
      <c r="I1555" s="80"/>
      <c r="J1555" s="80"/>
      <c r="K1555" s="80"/>
      <c r="L1555" s="2"/>
      <c r="M1555" s="2"/>
      <c r="N1555" s="2"/>
      <c r="O1555" s="2"/>
      <c r="P1555" s="2"/>
      <c r="Q1555" s="2"/>
      <c r="R1555" s="80"/>
      <c r="S1555" s="80"/>
      <c r="T1555" s="80"/>
      <c r="U1555" s="80"/>
      <c r="V1555" s="80"/>
      <c r="W1555" s="80"/>
      <c r="X1555" s="80"/>
      <c r="Y1555" s="80"/>
      <c r="Z1555" s="80"/>
      <c r="AA1555" s="80"/>
      <c r="AB1555" s="80"/>
      <c r="AC1555" s="80"/>
      <c r="AD1555" s="80"/>
      <c r="AE1555" s="80"/>
      <c r="AF1555" s="80"/>
      <c r="AG1555" s="80"/>
      <c r="AH1555" s="80"/>
      <c r="AI1555" s="80"/>
    </row>
    <row r="1556" spans="1:35" x14ac:dyDescent="0.2">
      <c r="A1556" s="80"/>
      <c r="B1556" s="80"/>
      <c r="C1556" s="80"/>
      <c r="D1556" s="80"/>
      <c r="E1556" s="80"/>
      <c r="F1556" s="80"/>
      <c r="G1556" s="80"/>
      <c r="H1556" s="80"/>
      <c r="I1556" s="80"/>
      <c r="J1556" s="80"/>
      <c r="K1556" s="80"/>
      <c r="L1556" s="2"/>
      <c r="M1556" s="2"/>
      <c r="N1556" s="2"/>
      <c r="O1556" s="2"/>
      <c r="P1556" s="2"/>
      <c r="Q1556" s="2"/>
      <c r="R1556" s="80"/>
      <c r="S1556" s="80"/>
      <c r="T1556" s="80"/>
      <c r="U1556" s="80"/>
      <c r="V1556" s="80"/>
      <c r="W1556" s="80"/>
      <c r="X1556" s="80"/>
      <c r="Y1556" s="80"/>
      <c r="Z1556" s="80"/>
      <c r="AA1556" s="80"/>
      <c r="AB1556" s="80"/>
      <c r="AC1556" s="80"/>
      <c r="AD1556" s="80"/>
      <c r="AE1556" s="80"/>
      <c r="AF1556" s="80"/>
      <c r="AG1556" s="80"/>
      <c r="AH1556" s="80"/>
      <c r="AI1556" s="80"/>
    </row>
    <row r="1557" spans="1:35" x14ac:dyDescent="0.2">
      <c r="A1557" s="80"/>
      <c r="B1557" s="80"/>
      <c r="C1557" s="80"/>
      <c r="D1557" s="80"/>
      <c r="E1557" s="80"/>
      <c r="F1557" s="80"/>
      <c r="G1557" s="80"/>
      <c r="H1557" s="80"/>
      <c r="I1557" s="80"/>
      <c r="J1557" s="80"/>
      <c r="K1557" s="80"/>
      <c r="L1557" s="2"/>
      <c r="M1557" s="2"/>
      <c r="N1557" s="2"/>
      <c r="O1557" s="2"/>
      <c r="P1557" s="2"/>
      <c r="Q1557" s="2"/>
      <c r="R1557" s="80"/>
      <c r="S1557" s="80"/>
      <c r="T1557" s="80"/>
      <c r="U1557" s="80"/>
      <c r="V1557" s="80"/>
      <c r="W1557" s="80"/>
      <c r="X1557" s="80"/>
      <c r="Y1557" s="80"/>
      <c r="Z1557" s="80"/>
      <c r="AA1557" s="80"/>
      <c r="AB1557" s="80"/>
      <c r="AC1557" s="80"/>
      <c r="AD1557" s="80"/>
      <c r="AE1557" s="80"/>
      <c r="AF1557" s="80"/>
      <c r="AG1557" s="80"/>
      <c r="AH1557" s="80"/>
      <c r="AI1557" s="80"/>
    </row>
    <row r="1558" spans="1:35" x14ac:dyDescent="0.2">
      <c r="A1558" s="80"/>
      <c r="B1558" s="80"/>
      <c r="C1558" s="80"/>
      <c r="D1558" s="80"/>
      <c r="E1558" s="80"/>
      <c r="F1558" s="80"/>
      <c r="G1558" s="80"/>
      <c r="H1558" s="80"/>
      <c r="I1558" s="80"/>
      <c r="J1558" s="80"/>
      <c r="K1558" s="80"/>
      <c r="L1558" s="2"/>
      <c r="M1558" s="2"/>
      <c r="N1558" s="2"/>
      <c r="O1558" s="2"/>
      <c r="P1558" s="2"/>
      <c r="Q1558" s="2"/>
      <c r="R1558" s="80"/>
      <c r="S1558" s="80"/>
      <c r="T1558" s="80"/>
      <c r="U1558" s="80"/>
      <c r="V1558" s="80"/>
      <c r="W1558" s="80"/>
      <c r="X1558" s="80"/>
      <c r="Y1558" s="80"/>
      <c r="Z1558" s="80"/>
      <c r="AA1558" s="80"/>
      <c r="AB1558" s="80"/>
      <c r="AC1558" s="80"/>
      <c r="AD1558" s="80"/>
      <c r="AE1558" s="80"/>
      <c r="AF1558" s="80"/>
      <c r="AG1558" s="80"/>
      <c r="AH1558" s="80"/>
      <c r="AI1558" s="80"/>
    </row>
    <row r="1559" spans="1:35" x14ac:dyDescent="0.2">
      <c r="A1559" s="80"/>
      <c r="B1559" s="80"/>
      <c r="C1559" s="80"/>
      <c r="D1559" s="80"/>
      <c r="E1559" s="80"/>
      <c r="F1559" s="80"/>
      <c r="G1559" s="80"/>
      <c r="H1559" s="80"/>
      <c r="I1559" s="80"/>
      <c r="J1559" s="80"/>
      <c r="K1559" s="80"/>
      <c r="L1559" s="2"/>
      <c r="M1559" s="2"/>
      <c r="N1559" s="2"/>
      <c r="O1559" s="2"/>
      <c r="P1559" s="2"/>
      <c r="Q1559" s="2"/>
      <c r="R1559" s="80"/>
      <c r="S1559" s="80"/>
      <c r="T1559" s="80"/>
      <c r="U1559" s="80"/>
      <c r="V1559" s="80"/>
      <c r="W1559" s="80"/>
      <c r="X1559" s="80"/>
      <c r="Y1559" s="80"/>
      <c r="Z1559" s="80"/>
      <c r="AA1559" s="80"/>
      <c r="AB1559" s="80"/>
      <c r="AC1559" s="80"/>
      <c r="AD1559" s="80"/>
      <c r="AE1559" s="80"/>
      <c r="AF1559" s="80"/>
      <c r="AG1559" s="80"/>
      <c r="AH1559" s="80"/>
      <c r="AI1559" s="80"/>
    </row>
    <row r="1560" spans="1:35" x14ac:dyDescent="0.2">
      <c r="A1560" s="80"/>
      <c r="B1560" s="80"/>
      <c r="C1560" s="80"/>
      <c r="D1560" s="80"/>
      <c r="E1560" s="80"/>
      <c r="F1560" s="80"/>
      <c r="G1560" s="80"/>
      <c r="H1560" s="80"/>
      <c r="I1560" s="80"/>
      <c r="J1560" s="80"/>
      <c r="K1560" s="80"/>
      <c r="L1560" s="2"/>
      <c r="M1560" s="2"/>
      <c r="N1560" s="2"/>
      <c r="O1560" s="2"/>
      <c r="P1560" s="2"/>
      <c r="Q1560" s="2"/>
      <c r="R1560" s="80"/>
      <c r="S1560" s="80"/>
      <c r="T1560" s="80"/>
      <c r="U1560" s="80"/>
      <c r="V1560" s="80"/>
      <c r="W1560" s="80"/>
      <c r="X1560" s="80"/>
      <c r="Y1560" s="80"/>
      <c r="Z1560" s="80"/>
      <c r="AA1560" s="80"/>
      <c r="AB1560" s="80"/>
      <c r="AC1560" s="80"/>
      <c r="AD1560" s="80"/>
      <c r="AE1560" s="80"/>
      <c r="AF1560" s="80"/>
      <c r="AG1560" s="80"/>
      <c r="AH1560" s="80"/>
      <c r="AI1560" s="80"/>
    </row>
    <row r="1561" spans="1:35" x14ac:dyDescent="0.2">
      <c r="A1561" s="80"/>
      <c r="B1561" s="80"/>
      <c r="C1561" s="80"/>
      <c r="D1561" s="80"/>
      <c r="E1561" s="80"/>
      <c r="F1561" s="80"/>
      <c r="G1561" s="80"/>
      <c r="H1561" s="80"/>
      <c r="I1561" s="80"/>
      <c r="J1561" s="80"/>
      <c r="K1561" s="80"/>
      <c r="L1561" s="2"/>
      <c r="M1561" s="2"/>
      <c r="N1561" s="2"/>
      <c r="O1561" s="2"/>
      <c r="P1561" s="2"/>
      <c r="Q1561" s="2"/>
      <c r="R1561" s="80"/>
      <c r="S1561" s="80"/>
      <c r="T1561" s="80"/>
      <c r="U1561" s="80"/>
      <c r="V1561" s="80"/>
      <c r="W1561" s="80"/>
      <c r="X1561" s="80"/>
      <c r="Y1561" s="80"/>
      <c r="Z1561" s="80"/>
      <c r="AA1561" s="80"/>
      <c r="AB1561" s="80"/>
      <c r="AC1561" s="80"/>
      <c r="AD1561" s="80"/>
      <c r="AE1561" s="80"/>
      <c r="AF1561" s="80"/>
      <c r="AG1561" s="80"/>
      <c r="AH1561" s="80"/>
      <c r="AI1561" s="80"/>
    </row>
    <row r="1562" spans="1:35" x14ac:dyDescent="0.2">
      <c r="A1562" s="80"/>
      <c r="B1562" s="80"/>
      <c r="C1562" s="80"/>
      <c r="D1562" s="80"/>
      <c r="E1562" s="80"/>
      <c r="F1562" s="80"/>
      <c r="G1562" s="80"/>
      <c r="H1562" s="80"/>
      <c r="I1562" s="80"/>
      <c r="J1562" s="80"/>
      <c r="K1562" s="80"/>
      <c r="L1562" s="2"/>
      <c r="M1562" s="2"/>
      <c r="N1562" s="2"/>
      <c r="O1562" s="2"/>
      <c r="P1562" s="2"/>
      <c r="Q1562" s="2"/>
      <c r="R1562" s="80"/>
      <c r="S1562" s="80"/>
      <c r="T1562" s="80"/>
      <c r="U1562" s="80"/>
      <c r="V1562" s="80"/>
      <c r="W1562" s="80"/>
      <c r="X1562" s="80"/>
      <c r="Y1562" s="80"/>
      <c r="Z1562" s="80"/>
      <c r="AA1562" s="80"/>
      <c r="AB1562" s="80"/>
      <c r="AC1562" s="80"/>
      <c r="AD1562" s="80"/>
      <c r="AE1562" s="80"/>
      <c r="AF1562" s="80"/>
      <c r="AG1562" s="80"/>
      <c r="AH1562" s="80"/>
      <c r="AI1562" s="80"/>
    </row>
    <row r="1563" spans="1:35" x14ac:dyDescent="0.2">
      <c r="A1563" s="80"/>
      <c r="B1563" s="80"/>
      <c r="C1563" s="80"/>
      <c r="D1563" s="80"/>
      <c r="E1563" s="80"/>
      <c r="F1563" s="80"/>
      <c r="G1563" s="80"/>
      <c r="H1563" s="80"/>
      <c r="I1563" s="80"/>
      <c r="J1563" s="80"/>
      <c r="K1563" s="80"/>
      <c r="L1563" s="2"/>
      <c r="M1563" s="2"/>
      <c r="N1563" s="2"/>
      <c r="O1563" s="2"/>
      <c r="P1563" s="2"/>
      <c r="Q1563" s="2"/>
      <c r="R1563" s="80"/>
      <c r="S1563" s="80"/>
      <c r="T1563" s="80"/>
      <c r="U1563" s="80"/>
      <c r="V1563" s="80"/>
      <c r="W1563" s="80"/>
      <c r="X1563" s="80"/>
      <c r="Y1563" s="80"/>
      <c r="Z1563" s="80"/>
      <c r="AA1563" s="80"/>
      <c r="AB1563" s="80"/>
      <c r="AC1563" s="80"/>
      <c r="AD1563" s="80"/>
      <c r="AE1563" s="80"/>
      <c r="AF1563" s="80"/>
      <c r="AG1563" s="80"/>
      <c r="AH1563" s="80"/>
      <c r="AI1563" s="80"/>
    </row>
    <row r="1564" spans="1:35" x14ac:dyDescent="0.2">
      <c r="A1564" s="80"/>
      <c r="B1564" s="80"/>
      <c r="C1564" s="80"/>
      <c r="D1564" s="80"/>
      <c r="E1564" s="80"/>
      <c r="F1564" s="80"/>
      <c r="G1564" s="80"/>
      <c r="H1564" s="80"/>
      <c r="I1564" s="80"/>
      <c r="J1564" s="80"/>
      <c r="K1564" s="80"/>
      <c r="L1564" s="2"/>
      <c r="M1564" s="2"/>
      <c r="N1564" s="2"/>
      <c r="O1564" s="2"/>
      <c r="P1564" s="2"/>
      <c r="Q1564" s="2"/>
      <c r="R1564" s="80"/>
      <c r="S1564" s="80"/>
      <c r="T1564" s="80"/>
      <c r="U1564" s="80"/>
      <c r="V1564" s="80"/>
      <c r="W1564" s="80"/>
      <c r="X1564" s="80"/>
      <c r="Y1564" s="80"/>
      <c r="Z1564" s="80"/>
      <c r="AA1564" s="80"/>
      <c r="AB1564" s="80"/>
      <c r="AC1564" s="80"/>
      <c r="AD1564" s="80"/>
      <c r="AE1564" s="80"/>
      <c r="AF1564" s="80"/>
      <c r="AG1564" s="80"/>
      <c r="AH1564" s="80"/>
      <c r="AI1564" s="80"/>
    </row>
    <row r="1565" spans="1:35" x14ac:dyDescent="0.2">
      <c r="A1565" s="80"/>
      <c r="B1565" s="80"/>
      <c r="C1565" s="80"/>
      <c r="D1565" s="80"/>
      <c r="E1565" s="80"/>
      <c r="F1565" s="80"/>
      <c r="G1565" s="80"/>
      <c r="H1565" s="80"/>
      <c r="I1565" s="80"/>
      <c r="J1565" s="80"/>
      <c r="K1565" s="80"/>
      <c r="L1565" s="2"/>
      <c r="M1565" s="2"/>
      <c r="N1565" s="2"/>
      <c r="O1565" s="2"/>
      <c r="P1565" s="2"/>
      <c r="Q1565" s="2"/>
      <c r="R1565" s="80"/>
      <c r="S1565" s="80"/>
      <c r="T1565" s="80"/>
      <c r="U1565" s="80"/>
      <c r="V1565" s="80"/>
      <c r="W1565" s="80"/>
      <c r="X1565" s="80"/>
      <c r="Y1565" s="80"/>
      <c r="Z1565" s="80"/>
      <c r="AA1565" s="80"/>
      <c r="AB1565" s="80"/>
      <c r="AC1565" s="80"/>
      <c r="AD1565" s="80"/>
      <c r="AE1565" s="80"/>
      <c r="AF1565" s="80"/>
      <c r="AG1565" s="80"/>
      <c r="AH1565" s="80"/>
      <c r="AI1565" s="80"/>
    </row>
    <row r="1566" spans="1:35" x14ac:dyDescent="0.2">
      <c r="A1566" s="80"/>
      <c r="B1566" s="80"/>
      <c r="C1566" s="80"/>
      <c r="D1566" s="80"/>
      <c r="E1566" s="80"/>
      <c r="F1566" s="80"/>
      <c r="G1566" s="80"/>
      <c r="H1566" s="80"/>
      <c r="I1566" s="80"/>
      <c r="J1566" s="80"/>
      <c r="K1566" s="80"/>
      <c r="L1566" s="2"/>
      <c r="M1566" s="2"/>
      <c r="N1566" s="2"/>
      <c r="O1566" s="2"/>
      <c r="P1566" s="2"/>
      <c r="Q1566" s="2"/>
      <c r="R1566" s="80"/>
      <c r="S1566" s="80"/>
      <c r="T1566" s="80"/>
      <c r="U1566" s="80"/>
      <c r="V1566" s="80"/>
      <c r="W1566" s="80"/>
      <c r="X1566" s="80"/>
      <c r="Y1566" s="80"/>
      <c r="Z1566" s="80"/>
      <c r="AA1566" s="80"/>
      <c r="AB1566" s="80"/>
      <c r="AC1566" s="80"/>
      <c r="AD1566" s="80"/>
      <c r="AE1566" s="80"/>
      <c r="AF1566" s="80"/>
      <c r="AG1566" s="80"/>
      <c r="AH1566" s="80"/>
      <c r="AI1566" s="80"/>
    </row>
    <row r="1567" spans="1:35" x14ac:dyDescent="0.2">
      <c r="A1567" s="80"/>
      <c r="B1567" s="80"/>
      <c r="C1567" s="80"/>
      <c r="D1567" s="80"/>
      <c r="E1567" s="80"/>
      <c r="F1567" s="80"/>
      <c r="G1567" s="80"/>
      <c r="H1567" s="80"/>
      <c r="I1567" s="80"/>
      <c r="J1567" s="80"/>
      <c r="K1567" s="80"/>
      <c r="L1567" s="2"/>
      <c r="M1567" s="2"/>
      <c r="N1567" s="2"/>
      <c r="O1567" s="2"/>
      <c r="P1567" s="2"/>
      <c r="Q1567" s="2"/>
      <c r="R1567" s="80"/>
      <c r="S1567" s="80"/>
      <c r="T1567" s="80"/>
      <c r="U1567" s="80"/>
      <c r="V1567" s="80"/>
      <c r="W1567" s="80"/>
      <c r="X1567" s="80"/>
      <c r="Y1567" s="80"/>
      <c r="Z1567" s="80"/>
      <c r="AA1567" s="80"/>
      <c r="AB1567" s="80"/>
      <c r="AC1567" s="80"/>
      <c r="AD1567" s="80"/>
      <c r="AE1567" s="80"/>
      <c r="AF1567" s="80"/>
      <c r="AG1567" s="80"/>
      <c r="AH1567" s="80"/>
      <c r="AI1567" s="80"/>
    </row>
    <row r="1568" spans="1:35" x14ac:dyDescent="0.2">
      <c r="A1568" s="80"/>
      <c r="B1568" s="80"/>
      <c r="C1568" s="80"/>
      <c r="D1568" s="80"/>
      <c r="E1568" s="80"/>
      <c r="F1568" s="80"/>
      <c r="G1568" s="80"/>
      <c r="H1568" s="80"/>
      <c r="I1568" s="80"/>
      <c r="J1568" s="80"/>
      <c r="K1568" s="80"/>
      <c r="L1568" s="2"/>
      <c r="M1568" s="2"/>
      <c r="N1568" s="2"/>
      <c r="O1568" s="2"/>
      <c r="P1568" s="2"/>
      <c r="Q1568" s="2"/>
      <c r="R1568" s="80"/>
      <c r="S1568" s="80"/>
      <c r="T1568" s="80"/>
      <c r="U1568" s="80"/>
      <c r="V1568" s="80"/>
      <c r="W1568" s="80"/>
      <c r="X1568" s="80"/>
      <c r="Y1568" s="80"/>
      <c r="Z1568" s="80"/>
      <c r="AA1568" s="80"/>
      <c r="AB1568" s="80"/>
      <c r="AC1568" s="80"/>
      <c r="AD1568" s="80"/>
      <c r="AE1568" s="80"/>
      <c r="AF1568" s="80"/>
      <c r="AG1568" s="80"/>
      <c r="AH1568" s="80"/>
      <c r="AI1568" s="80"/>
    </row>
    <row r="1569" spans="1:35" x14ac:dyDescent="0.2">
      <c r="A1569" s="80"/>
      <c r="B1569" s="80"/>
      <c r="C1569" s="80"/>
      <c r="D1569" s="80"/>
      <c r="E1569" s="80"/>
      <c r="F1569" s="80"/>
      <c r="G1569" s="80"/>
      <c r="H1569" s="80"/>
      <c r="I1569" s="80"/>
      <c r="J1569" s="80"/>
      <c r="K1569" s="80"/>
      <c r="L1569" s="2"/>
      <c r="M1569" s="2"/>
      <c r="N1569" s="2"/>
      <c r="O1569" s="2"/>
      <c r="P1569" s="2"/>
      <c r="Q1569" s="2"/>
      <c r="R1569" s="80"/>
      <c r="S1569" s="80"/>
      <c r="T1569" s="80"/>
      <c r="U1569" s="80"/>
      <c r="V1569" s="80"/>
      <c r="W1569" s="80"/>
      <c r="X1569" s="80"/>
      <c r="Y1569" s="80"/>
      <c r="Z1569" s="80"/>
      <c r="AA1569" s="80"/>
      <c r="AB1569" s="80"/>
      <c r="AC1569" s="80"/>
      <c r="AD1569" s="80"/>
      <c r="AE1569" s="80"/>
      <c r="AF1569" s="80"/>
      <c r="AG1569" s="80"/>
      <c r="AH1569" s="80"/>
      <c r="AI1569" s="80"/>
    </row>
    <row r="1570" spans="1:35" x14ac:dyDescent="0.2">
      <c r="A1570" s="80"/>
      <c r="B1570" s="80"/>
      <c r="C1570" s="80"/>
      <c r="D1570" s="80"/>
      <c r="E1570" s="80"/>
      <c r="F1570" s="80"/>
      <c r="G1570" s="80"/>
      <c r="H1570" s="80"/>
      <c r="I1570" s="80"/>
      <c r="J1570" s="80"/>
      <c r="K1570" s="80"/>
      <c r="L1570" s="2"/>
      <c r="M1570" s="2"/>
      <c r="N1570" s="2"/>
      <c r="O1570" s="2"/>
      <c r="P1570" s="2"/>
      <c r="Q1570" s="2"/>
      <c r="R1570" s="80"/>
      <c r="S1570" s="80"/>
      <c r="T1570" s="80"/>
      <c r="U1570" s="80"/>
      <c r="V1570" s="80"/>
      <c r="W1570" s="80"/>
      <c r="X1570" s="80"/>
      <c r="Y1570" s="80"/>
      <c r="Z1570" s="80"/>
      <c r="AA1570" s="80"/>
      <c r="AB1570" s="80"/>
      <c r="AC1570" s="80"/>
      <c r="AD1570" s="80"/>
      <c r="AE1570" s="80"/>
      <c r="AF1570" s="80"/>
      <c r="AG1570" s="80"/>
      <c r="AH1570" s="80"/>
      <c r="AI1570" s="80"/>
    </row>
    <row r="1571" spans="1:35" x14ac:dyDescent="0.2">
      <c r="A1571" s="80"/>
      <c r="B1571" s="80"/>
      <c r="C1571" s="80"/>
      <c r="D1571" s="80"/>
      <c r="E1571" s="80"/>
      <c r="F1571" s="80"/>
      <c r="G1571" s="80"/>
      <c r="H1571" s="80"/>
      <c r="I1571" s="80"/>
      <c r="J1571" s="80"/>
      <c r="K1571" s="80"/>
      <c r="L1571" s="2"/>
      <c r="M1571" s="2"/>
      <c r="N1571" s="2"/>
      <c r="O1571" s="2"/>
      <c r="P1571" s="2"/>
      <c r="Q1571" s="2"/>
      <c r="R1571" s="80"/>
      <c r="S1571" s="80"/>
      <c r="T1571" s="80"/>
      <c r="U1571" s="80"/>
      <c r="V1571" s="80"/>
      <c r="W1571" s="80"/>
      <c r="X1571" s="80"/>
      <c r="Y1571" s="80"/>
      <c r="Z1571" s="80"/>
      <c r="AA1571" s="80"/>
      <c r="AB1571" s="80"/>
      <c r="AC1571" s="80"/>
      <c r="AD1571" s="80"/>
      <c r="AE1571" s="80"/>
      <c r="AF1571" s="80"/>
      <c r="AG1571" s="80"/>
      <c r="AH1571" s="80"/>
      <c r="AI1571" s="80"/>
    </row>
    <row r="1572" spans="1:35" x14ac:dyDescent="0.2">
      <c r="A1572" s="80"/>
      <c r="B1572" s="80"/>
      <c r="C1572" s="80"/>
      <c r="D1572" s="80"/>
      <c r="E1572" s="80"/>
      <c r="F1572" s="80"/>
      <c r="G1572" s="80"/>
      <c r="H1572" s="80"/>
      <c r="I1572" s="80"/>
      <c r="J1572" s="80"/>
      <c r="K1572" s="80"/>
      <c r="L1572" s="2"/>
      <c r="M1572" s="2"/>
      <c r="N1572" s="2"/>
      <c r="O1572" s="2"/>
      <c r="P1572" s="2"/>
      <c r="Q1572" s="2"/>
      <c r="R1572" s="80"/>
      <c r="S1572" s="80"/>
      <c r="T1572" s="80"/>
      <c r="U1572" s="80"/>
      <c r="V1572" s="80"/>
      <c r="W1572" s="80"/>
      <c r="X1572" s="80"/>
      <c r="Y1572" s="80"/>
      <c r="Z1572" s="80"/>
      <c r="AA1572" s="80"/>
      <c r="AB1572" s="80"/>
      <c r="AC1572" s="80"/>
      <c r="AD1572" s="80"/>
      <c r="AE1572" s="80"/>
      <c r="AF1572" s="80"/>
      <c r="AG1572" s="80"/>
      <c r="AH1572" s="80"/>
      <c r="AI1572" s="80"/>
    </row>
    <row r="1573" spans="1:35" x14ac:dyDescent="0.2">
      <c r="A1573" s="80"/>
      <c r="B1573" s="80"/>
      <c r="C1573" s="80"/>
      <c r="D1573" s="80"/>
      <c r="E1573" s="80"/>
      <c r="F1573" s="80"/>
      <c r="G1573" s="80"/>
      <c r="H1573" s="80"/>
      <c r="I1573" s="80"/>
      <c r="J1573" s="80"/>
      <c r="K1573" s="80"/>
      <c r="L1573" s="2"/>
      <c r="M1573" s="2"/>
      <c r="N1573" s="2"/>
      <c r="O1573" s="2"/>
      <c r="P1573" s="2"/>
      <c r="Q1573" s="2"/>
      <c r="R1573" s="80"/>
      <c r="S1573" s="80"/>
      <c r="T1573" s="80"/>
      <c r="U1573" s="80"/>
      <c r="V1573" s="80"/>
      <c r="W1573" s="80"/>
      <c r="X1573" s="80"/>
      <c r="Y1573" s="80"/>
      <c r="Z1573" s="80"/>
      <c r="AA1573" s="80"/>
      <c r="AB1573" s="80"/>
      <c r="AC1573" s="80"/>
      <c r="AD1573" s="80"/>
      <c r="AE1573" s="80"/>
      <c r="AF1573" s="80"/>
      <c r="AG1573" s="80"/>
      <c r="AH1573" s="80"/>
      <c r="AI1573" s="80"/>
    </row>
    <row r="1574" spans="1:35" x14ac:dyDescent="0.2">
      <c r="A1574" s="80"/>
      <c r="B1574" s="80"/>
      <c r="C1574" s="80"/>
      <c r="D1574" s="80"/>
      <c r="E1574" s="80"/>
      <c r="F1574" s="80"/>
      <c r="G1574" s="80"/>
      <c r="H1574" s="80"/>
      <c r="I1574" s="80"/>
      <c r="J1574" s="80"/>
      <c r="K1574" s="80"/>
      <c r="L1574" s="2"/>
      <c r="M1574" s="2"/>
      <c r="N1574" s="2"/>
      <c r="O1574" s="2"/>
      <c r="P1574" s="2"/>
      <c r="Q1574" s="2"/>
      <c r="R1574" s="80"/>
      <c r="S1574" s="80"/>
      <c r="T1574" s="80"/>
      <c r="U1574" s="80"/>
      <c r="V1574" s="80"/>
      <c r="W1574" s="80"/>
      <c r="X1574" s="80"/>
      <c r="Y1574" s="80"/>
      <c r="Z1574" s="80"/>
      <c r="AA1574" s="80"/>
      <c r="AB1574" s="80"/>
      <c r="AC1574" s="80"/>
      <c r="AD1574" s="80"/>
      <c r="AE1574" s="80"/>
      <c r="AF1574" s="80"/>
      <c r="AG1574" s="80"/>
      <c r="AH1574" s="80"/>
      <c r="AI1574" s="80"/>
    </row>
    <row r="1575" spans="1:35" x14ac:dyDescent="0.2">
      <c r="A1575" s="80"/>
      <c r="B1575" s="80"/>
      <c r="C1575" s="80"/>
      <c r="D1575" s="80"/>
      <c r="E1575" s="80"/>
      <c r="F1575" s="80"/>
      <c r="G1575" s="80"/>
      <c r="H1575" s="80"/>
      <c r="I1575" s="80"/>
      <c r="J1575" s="80"/>
      <c r="K1575" s="80"/>
      <c r="L1575" s="2"/>
      <c r="M1575" s="2"/>
      <c r="N1575" s="2"/>
      <c r="O1575" s="2"/>
      <c r="P1575" s="2"/>
      <c r="Q1575" s="2"/>
      <c r="R1575" s="80"/>
      <c r="S1575" s="80"/>
      <c r="T1575" s="80"/>
      <c r="U1575" s="80"/>
      <c r="V1575" s="80"/>
      <c r="W1575" s="80"/>
      <c r="X1575" s="80"/>
      <c r="Y1575" s="80"/>
      <c r="Z1575" s="80"/>
      <c r="AA1575" s="80"/>
      <c r="AB1575" s="80"/>
      <c r="AC1575" s="80"/>
      <c r="AD1575" s="80"/>
      <c r="AE1575" s="80"/>
      <c r="AF1575" s="80"/>
      <c r="AG1575" s="80"/>
      <c r="AH1575" s="80"/>
      <c r="AI1575" s="80"/>
    </row>
    <row r="1576" spans="1:35" x14ac:dyDescent="0.2">
      <c r="A1576" s="80"/>
      <c r="B1576" s="80"/>
      <c r="C1576" s="80"/>
      <c r="D1576" s="80"/>
      <c r="E1576" s="80"/>
      <c r="F1576" s="80"/>
      <c r="G1576" s="80"/>
      <c r="H1576" s="80"/>
      <c r="I1576" s="80"/>
      <c r="J1576" s="80"/>
      <c r="K1576" s="80"/>
      <c r="L1576" s="2"/>
      <c r="M1576" s="2"/>
      <c r="N1576" s="2"/>
      <c r="O1576" s="2"/>
      <c r="P1576" s="2"/>
      <c r="Q1576" s="2"/>
      <c r="R1576" s="80"/>
      <c r="S1576" s="80"/>
      <c r="T1576" s="80"/>
      <c r="U1576" s="80"/>
      <c r="V1576" s="80"/>
      <c r="W1576" s="80"/>
      <c r="X1576" s="80"/>
      <c r="Y1576" s="80"/>
      <c r="Z1576" s="80"/>
      <c r="AA1576" s="80"/>
      <c r="AB1576" s="80"/>
      <c r="AC1576" s="80"/>
      <c r="AD1576" s="80"/>
      <c r="AE1576" s="80"/>
      <c r="AF1576" s="80"/>
      <c r="AG1576" s="80"/>
      <c r="AH1576" s="80"/>
      <c r="AI1576" s="80"/>
    </row>
    <row r="1577" spans="1:35" x14ac:dyDescent="0.2">
      <c r="A1577" s="80"/>
      <c r="B1577" s="80"/>
      <c r="C1577" s="80"/>
      <c r="D1577" s="80"/>
      <c r="E1577" s="80"/>
      <c r="F1577" s="80"/>
      <c r="G1577" s="80"/>
      <c r="H1577" s="80"/>
      <c r="I1577" s="80"/>
      <c r="J1577" s="80"/>
      <c r="K1577" s="80"/>
      <c r="L1577" s="2"/>
      <c r="M1577" s="2"/>
      <c r="N1577" s="2"/>
      <c r="O1577" s="2"/>
      <c r="P1577" s="2"/>
      <c r="Q1577" s="2"/>
      <c r="R1577" s="80"/>
      <c r="S1577" s="80"/>
      <c r="T1577" s="80"/>
      <c r="U1577" s="80"/>
      <c r="V1577" s="80"/>
      <c r="W1577" s="80"/>
      <c r="X1577" s="80"/>
      <c r="Y1577" s="80"/>
      <c r="Z1577" s="80"/>
      <c r="AA1577" s="80"/>
      <c r="AB1577" s="80"/>
      <c r="AC1577" s="80"/>
      <c r="AD1577" s="80"/>
      <c r="AE1577" s="80"/>
      <c r="AF1577" s="80"/>
      <c r="AG1577" s="80"/>
      <c r="AH1577" s="80"/>
      <c r="AI1577" s="80"/>
    </row>
    <row r="1578" spans="1:35" x14ac:dyDescent="0.2">
      <c r="A1578" s="80"/>
      <c r="B1578" s="80"/>
      <c r="C1578" s="80"/>
      <c r="D1578" s="80"/>
      <c r="E1578" s="80"/>
      <c r="F1578" s="80"/>
      <c r="G1578" s="80"/>
      <c r="H1578" s="80"/>
      <c r="I1578" s="80"/>
      <c r="J1578" s="80"/>
      <c r="K1578" s="80"/>
      <c r="L1578" s="2"/>
      <c r="M1578" s="2"/>
      <c r="N1578" s="2"/>
      <c r="O1578" s="2"/>
      <c r="P1578" s="2"/>
      <c r="Q1578" s="2"/>
      <c r="R1578" s="80"/>
      <c r="S1578" s="80"/>
      <c r="T1578" s="80"/>
      <c r="U1578" s="80"/>
      <c r="V1578" s="80"/>
      <c r="W1578" s="80"/>
      <c r="X1578" s="80"/>
      <c r="Y1578" s="80"/>
      <c r="Z1578" s="80"/>
      <c r="AA1578" s="80"/>
      <c r="AB1578" s="80"/>
      <c r="AC1578" s="80"/>
      <c r="AD1578" s="80"/>
      <c r="AE1578" s="80"/>
      <c r="AF1578" s="80"/>
      <c r="AG1578" s="80"/>
      <c r="AH1578" s="80"/>
      <c r="AI1578" s="80"/>
    </row>
    <row r="1579" spans="1:35" x14ac:dyDescent="0.2">
      <c r="A1579" s="80"/>
      <c r="B1579" s="80"/>
      <c r="C1579" s="80"/>
      <c r="D1579" s="80"/>
      <c r="E1579" s="80"/>
      <c r="F1579" s="80"/>
      <c r="G1579" s="80"/>
      <c r="H1579" s="80"/>
      <c r="I1579" s="80"/>
      <c r="J1579" s="80"/>
      <c r="K1579" s="80"/>
      <c r="L1579" s="2"/>
      <c r="M1579" s="2"/>
      <c r="N1579" s="2"/>
      <c r="O1579" s="2"/>
      <c r="P1579" s="2"/>
      <c r="Q1579" s="2"/>
      <c r="R1579" s="80"/>
      <c r="S1579" s="80"/>
      <c r="T1579" s="80"/>
      <c r="U1579" s="80"/>
      <c r="V1579" s="80"/>
      <c r="W1579" s="80"/>
      <c r="X1579" s="80"/>
      <c r="Y1579" s="80"/>
      <c r="Z1579" s="80"/>
      <c r="AA1579" s="80"/>
      <c r="AB1579" s="80"/>
      <c r="AC1579" s="80"/>
      <c r="AD1579" s="80"/>
      <c r="AE1579" s="80"/>
      <c r="AF1579" s="80"/>
      <c r="AG1579" s="80"/>
      <c r="AH1579" s="80"/>
      <c r="AI1579" s="80"/>
    </row>
    <row r="1580" spans="1:35" x14ac:dyDescent="0.2">
      <c r="A1580" s="80"/>
      <c r="B1580" s="80"/>
      <c r="C1580" s="80"/>
      <c r="D1580" s="80"/>
      <c r="E1580" s="80"/>
      <c r="F1580" s="80"/>
      <c r="G1580" s="80"/>
      <c r="H1580" s="80"/>
      <c r="I1580" s="80"/>
      <c r="J1580" s="80"/>
      <c r="K1580" s="80"/>
      <c r="L1580" s="2"/>
      <c r="M1580" s="2"/>
      <c r="N1580" s="2"/>
      <c r="O1580" s="2"/>
      <c r="P1580" s="2"/>
      <c r="Q1580" s="2"/>
      <c r="R1580" s="80"/>
      <c r="S1580" s="80"/>
      <c r="T1580" s="80"/>
      <c r="U1580" s="80"/>
      <c r="V1580" s="80"/>
      <c r="W1580" s="80"/>
      <c r="X1580" s="80"/>
      <c r="Y1580" s="80"/>
      <c r="Z1580" s="80"/>
      <c r="AA1580" s="80"/>
      <c r="AB1580" s="80"/>
      <c r="AC1580" s="80"/>
      <c r="AD1580" s="80"/>
      <c r="AE1580" s="80"/>
      <c r="AF1580" s="80"/>
      <c r="AG1580" s="80"/>
      <c r="AH1580" s="80"/>
      <c r="AI1580" s="80"/>
    </row>
    <row r="1581" spans="1:35" x14ac:dyDescent="0.2">
      <c r="A1581" s="80"/>
      <c r="B1581" s="80"/>
      <c r="C1581" s="80"/>
      <c r="D1581" s="80"/>
      <c r="E1581" s="80"/>
      <c r="F1581" s="80"/>
      <c r="G1581" s="80"/>
      <c r="H1581" s="80"/>
      <c r="I1581" s="80"/>
      <c r="J1581" s="80"/>
      <c r="K1581" s="80"/>
      <c r="L1581" s="2"/>
      <c r="M1581" s="2"/>
      <c r="N1581" s="2"/>
      <c r="O1581" s="2"/>
      <c r="P1581" s="2"/>
      <c r="Q1581" s="2"/>
      <c r="R1581" s="80"/>
      <c r="S1581" s="80"/>
      <c r="T1581" s="80"/>
      <c r="U1581" s="80"/>
      <c r="V1581" s="80"/>
      <c r="W1581" s="80"/>
      <c r="X1581" s="80"/>
      <c r="Y1581" s="80"/>
      <c r="Z1581" s="80"/>
      <c r="AA1581" s="80"/>
      <c r="AB1581" s="80"/>
      <c r="AC1581" s="80"/>
      <c r="AD1581" s="80"/>
      <c r="AE1581" s="80"/>
      <c r="AF1581" s="80"/>
      <c r="AG1581" s="80"/>
      <c r="AH1581" s="80"/>
      <c r="AI1581" s="80"/>
    </row>
    <row r="1582" spans="1:35" x14ac:dyDescent="0.2">
      <c r="A1582" s="80"/>
      <c r="B1582" s="80"/>
      <c r="C1582" s="80"/>
      <c r="D1582" s="80"/>
      <c r="E1582" s="80"/>
      <c r="F1582" s="80"/>
      <c r="G1582" s="80"/>
      <c r="H1582" s="80"/>
      <c r="I1582" s="80"/>
      <c r="J1582" s="80"/>
      <c r="K1582" s="80"/>
      <c r="L1582" s="2"/>
      <c r="M1582" s="2"/>
      <c r="N1582" s="2"/>
      <c r="O1582" s="2"/>
      <c r="P1582" s="2"/>
      <c r="Q1582" s="2"/>
      <c r="R1582" s="80"/>
      <c r="S1582" s="80"/>
      <c r="T1582" s="80"/>
      <c r="U1582" s="80"/>
      <c r="V1582" s="80"/>
      <c r="W1582" s="80"/>
      <c r="X1582" s="80"/>
      <c r="Y1582" s="80"/>
      <c r="Z1582" s="80"/>
      <c r="AA1582" s="80"/>
      <c r="AB1582" s="80"/>
      <c r="AC1582" s="80"/>
      <c r="AD1582" s="80"/>
      <c r="AE1582" s="80"/>
      <c r="AF1582" s="80"/>
      <c r="AG1582" s="80"/>
      <c r="AH1582" s="80"/>
      <c r="AI1582" s="80"/>
    </row>
    <row r="1583" spans="1:35" x14ac:dyDescent="0.2">
      <c r="A1583" s="80"/>
      <c r="B1583" s="80"/>
      <c r="C1583" s="80"/>
      <c r="D1583" s="80"/>
      <c r="E1583" s="80"/>
      <c r="F1583" s="80"/>
      <c r="G1583" s="80"/>
      <c r="H1583" s="80"/>
      <c r="I1583" s="80"/>
      <c r="J1583" s="80"/>
      <c r="K1583" s="80"/>
      <c r="L1583" s="2"/>
      <c r="M1583" s="2"/>
      <c r="N1583" s="2"/>
      <c r="O1583" s="2"/>
      <c r="P1583" s="2"/>
      <c r="Q1583" s="2"/>
      <c r="R1583" s="80"/>
      <c r="S1583" s="80"/>
      <c r="T1583" s="80"/>
      <c r="U1583" s="80"/>
      <c r="V1583" s="80"/>
      <c r="W1583" s="80"/>
      <c r="X1583" s="80"/>
      <c r="Y1583" s="80"/>
      <c r="Z1583" s="80"/>
      <c r="AA1583" s="80"/>
      <c r="AB1583" s="80"/>
      <c r="AC1583" s="80"/>
      <c r="AD1583" s="80"/>
      <c r="AE1583" s="80"/>
      <c r="AF1583" s="80"/>
      <c r="AG1583" s="80"/>
      <c r="AH1583" s="80"/>
      <c r="AI1583" s="80"/>
    </row>
    <row r="1584" spans="1:35" x14ac:dyDescent="0.2">
      <c r="A1584" s="80"/>
      <c r="B1584" s="80"/>
      <c r="C1584" s="80"/>
      <c r="D1584" s="80"/>
      <c r="E1584" s="80"/>
      <c r="F1584" s="80"/>
      <c r="G1584" s="80"/>
      <c r="H1584" s="80"/>
      <c r="I1584" s="80"/>
      <c r="J1584" s="80"/>
      <c r="K1584" s="80"/>
      <c r="L1584" s="2"/>
      <c r="M1584" s="2"/>
      <c r="N1584" s="2"/>
      <c r="O1584" s="2"/>
      <c r="P1584" s="2"/>
      <c r="Q1584" s="2"/>
      <c r="R1584" s="80"/>
      <c r="S1584" s="80"/>
      <c r="T1584" s="80"/>
      <c r="U1584" s="80"/>
      <c r="V1584" s="80"/>
      <c r="W1584" s="80"/>
      <c r="X1584" s="80"/>
      <c r="Y1584" s="80"/>
      <c r="Z1584" s="80"/>
      <c r="AA1584" s="80"/>
      <c r="AB1584" s="80"/>
      <c r="AC1584" s="80"/>
      <c r="AD1584" s="80"/>
      <c r="AE1584" s="80"/>
      <c r="AF1584" s="80"/>
      <c r="AG1584" s="80"/>
      <c r="AH1584" s="80"/>
      <c r="AI1584" s="80"/>
    </row>
    <row r="1585" spans="1:35" x14ac:dyDescent="0.2">
      <c r="A1585" s="80"/>
      <c r="B1585" s="80"/>
      <c r="C1585" s="80"/>
      <c r="D1585" s="80"/>
      <c r="E1585" s="80"/>
      <c r="F1585" s="80"/>
      <c r="G1585" s="80"/>
      <c r="H1585" s="80"/>
      <c r="I1585" s="80"/>
      <c r="J1585" s="80"/>
      <c r="K1585" s="80"/>
      <c r="L1585" s="2"/>
      <c r="M1585" s="2"/>
      <c r="N1585" s="2"/>
      <c r="O1585" s="2"/>
      <c r="P1585" s="2"/>
      <c r="Q1585" s="2"/>
      <c r="R1585" s="80"/>
      <c r="S1585" s="80"/>
      <c r="T1585" s="80"/>
      <c r="U1585" s="80"/>
      <c r="V1585" s="80"/>
      <c r="W1585" s="80"/>
      <c r="X1585" s="80"/>
      <c r="Y1585" s="80"/>
      <c r="Z1585" s="80"/>
      <c r="AA1585" s="80"/>
      <c r="AB1585" s="80"/>
      <c r="AC1585" s="80"/>
      <c r="AD1585" s="80"/>
      <c r="AE1585" s="80"/>
      <c r="AF1585" s="80"/>
      <c r="AG1585" s="80"/>
      <c r="AH1585" s="80"/>
      <c r="AI1585" s="80"/>
    </row>
    <row r="1586" spans="1:35" x14ac:dyDescent="0.2">
      <c r="A1586" s="80"/>
      <c r="B1586" s="80"/>
      <c r="C1586" s="80"/>
      <c r="D1586" s="80"/>
      <c r="E1586" s="80"/>
      <c r="F1586" s="80"/>
      <c r="G1586" s="80"/>
      <c r="H1586" s="80"/>
      <c r="I1586" s="80"/>
      <c r="J1586" s="80"/>
      <c r="K1586" s="80"/>
      <c r="L1586" s="2"/>
      <c r="M1586" s="2"/>
      <c r="N1586" s="2"/>
      <c r="O1586" s="2"/>
      <c r="P1586" s="2"/>
      <c r="Q1586" s="2"/>
      <c r="R1586" s="80"/>
      <c r="S1586" s="80"/>
      <c r="T1586" s="80"/>
      <c r="U1586" s="80"/>
      <c r="V1586" s="80"/>
      <c r="W1586" s="80"/>
      <c r="X1586" s="80"/>
      <c r="Y1586" s="80"/>
      <c r="Z1586" s="80"/>
      <c r="AA1586" s="80"/>
      <c r="AB1586" s="80"/>
      <c r="AC1586" s="80"/>
      <c r="AD1586" s="80"/>
      <c r="AE1586" s="80"/>
      <c r="AF1586" s="80"/>
      <c r="AG1586" s="80"/>
      <c r="AH1586" s="80"/>
      <c r="AI1586" s="80"/>
    </row>
    <row r="1587" spans="1:35" x14ac:dyDescent="0.2">
      <c r="A1587" s="80"/>
      <c r="B1587" s="80"/>
      <c r="C1587" s="80"/>
      <c r="D1587" s="80"/>
      <c r="E1587" s="80"/>
      <c r="F1587" s="80"/>
      <c r="G1587" s="80"/>
      <c r="H1587" s="80"/>
      <c r="I1587" s="80"/>
      <c r="J1587" s="80"/>
      <c r="K1587" s="80"/>
      <c r="L1587" s="2"/>
      <c r="M1587" s="2"/>
      <c r="N1587" s="2"/>
      <c r="O1587" s="2"/>
      <c r="P1587" s="2"/>
      <c r="Q1587" s="2"/>
      <c r="R1587" s="80"/>
      <c r="S1587" s="80"/>
      <c r="T1587" s="80"/>
      <c r="U1587" s="80"/>
      <c r="V1587" s="80"/>
      <c r="W1587" s="80"/>
      <c r="X1587" s="80"/>
      <c r="Y1587" s="80"/>
      <c r="Z1587" s="80"/>
      <c r="AA1587" s="80"/>
      <c r="AB1587" s="80"/>
      <c r="AC1587" s="80"/>
      <c r="AD1587" s="80"/>
      <c r="AE1587" s="80"/>
      <c r="AF1587" s="80"/>
      <c r="AG1587" s="80"/>
      <c r="AH1587" s="80"/>
      <c r="AI1587" s="80"/>
    </row>
    <row r="1588" spans="1:35" x14ac:dyDescent="0.2">
      <c r="A1588" s="80"/>
      <c r="B1588" s="80"/>
      <c r="C1588" s="80"/>
      <c r="D1588" s="80"/>
      <c r="E1588" s="80"/>
      <c r="F1588" s="80"/>
      <c r="G1588" s="80"/>
      <c r="H1588" s="80"/>
      <c r="I1588" s="80"/>
      <c r="J1588" s="80"/>
      <c r="K1588" s="80"/>
      <c r="L1588" s="2"/>
      <c r="M1588" s="2"/>
      <c r="N1588" s="2"/>
      <c r="O1588" s="2"/>
      <c r="P1588" s="2"/>
      <c r="Q1588" s="2"/>
      <c r="R1588" s="80"/>
      <c r="S1588" s="80"/>
      <c r="T1588" s="80"/>
      <c r="U1588" s="80"/>
      <c r="V1588" s="80"/>
      <c r="W1588" s="80"/>
      <c r="X1588" s="80"/>
      <c r="Y1588" s="80"/>
      <c r="Z1588" s="80"/>
      <c r="AA1588" s="80"/>
      <c r="AB1588" s="80"/>
      <c r="AC1588" s="80"/>
      <c r="AD1588" s="80"/>
      <c r="AE1588" s="80"/>
      <c r="AF1588" s="80"/>
      <c r="AG1588" s="80"/>
      <c r="AH1588" s="80"/>
      <c r="AI1588" s="80"/>
    </row>
    <row r="1589" spans="1:35" x14ac:dyDescent="0.2">
      <c r="A1589" s="80"/>
      <c r="B1589" s="80"/>
      <c r="C1589" s="80"/>
      <c r="D1589" s="80"/>
      <c r="E1589" s="80"/>
      <c r="F1589" s="80"/>
      <c r="G1589" s="80"/>
      <c r="H1589" s="80"/>
      <c r="I1589" s="80"/>
      <c r="J1589" s="80"/>
      <c r="K1589" s="80"/>
      <c r="L1589" s="2"/>
      <c r="M1589" s="2"/>
      <c r="N1589" s="2"/>
      <c r="O1589" s="2"/>
      <c r="P1589" s="2"/>
      <c r="Q1589" s="2"/>
      <c r="R1589" s="80"/>
      <c r="S1589" s="80"/>
      <c r="T1589" s="80"/>
      <c r="U1589" s="80"/>
      <c r="V1589" s="80"/>
      <c r="W1589" s="80"/>
      <c r="X1589" s="80"/>
      <c r="Y1589" s="80"/>
      <c r="Z1589" s="80"/>
      <c r="AA1589" s="80"/>
      <c r="AB1589" s="80"/>
      <c r="AC1589" s="80"/>
      <c r="AD1589" s="80"/>
      <c r="AE1589" s="80"/>
      <c r="AF1589" s="80"/>
      <c r="AG1589" s="80"/>
      <c r="AH1589" s="80"/>
      <c r="AI1589" s="80"/>
    </row>
    <row r="1590" spans="1:35" x14ac:dyDescent="0.2">
      <c r="A1590" s="80"/>
      <c r="B1590" s="80"/>
      <c r="C1590" s="80"/>
      <c r="D1590" s="80"/>
      <c r="E1590" s="80"/>
      <c r="F1590" s="80"/>
      <c r="G1590" s="80"/>
      <c r="H1590" s="80"/>
      <c r="I1590" s="80"/>
      <c r="J1590" s="80"/>
      <c r="K1590" s="80"/>
      <c r="L1590" s="2"/>
      <c r="M1590" s="2"/>
      <c r="N1590" s="2"/>
      <c r="O1590" s="2"/>
      <c r="P1590" s="2"/>
      <c r="Q1590" s="2"/>
      <c r="R1590" s="80"/>
      <c r="S1590" s="80"/>
      <c r="T1590" s="80"/>
      <c r="U1590" s="80"/>
      <c r="V1590" s="80"/>
      <c r="W1590" s="80"/>
      <c r="X1590" s="80"/>
      <c r="Y1590" s="80"/>
      <c r="Z1590" s="80"/>
      <c r="AA1590" s="80"/>
      <c r="AB1590" s="80"/>
      <c r="AC1590" s="80"/>
      <c r="AD1590" s="80"/>
      <c r="AE1590" s="80"/>
      <c r="AF1590" s="80"/>
      <c r="AG1590" s="80"/>
      <c r="AH1590" s="80"/>
      <c r="AI1590" s="80"/>
    </row>
    <row r="1591" spans="1:35" x14ac:dyDescent="0.2">
      <c r="A1591" s="80"/>
      <c r="B1591" s="80"/>
      <c r="C1591" s="80"/>
      <c r="D1591" s="80"/>
      <c r="E1591" s="80"/>
      <c r="F1591" s="80"/>
      <c r="G1591" s="80"/>
      <c r="H1591" s="80"/>
      <c r="I1591" s="80"/>
      <c r="J1591" s="80"/>
      <c r="K1591" s="80"/>
      <c r="L1591" s="2"/>
      <c r="M1591" s="2"/>
      <c r="N1591" s="2"/>
      <c r="O1591" s="2"/>
      <c r="P1591" s="2"/>
      <c r="Q1591" s="2"/>
      <c r="R1591" s="80"/>
      <c r="S1591" s="80"/>
      <c r="T1591" s="80"/>
      <c r="U1591" s="80"/>
      <c r="V1591" s="80"/>
      <c r="W1591" s="80"/>
      <c r="X1591" s="80"/>
      <c r="Y1591" s="80"/>
      <c r="Z1591" s="80"/>
      <c r="AA1591" s="80"/>
      <c r="AB1591" s="80"/>
      <c r="AC1591" s="80"/>
      <c r="AD1591" s="80"/>
      <c r="AE1591" s="80"/>
      <c r="AF1591" s="80"/>
      <c r="AG1591" s="80"/>
      <c r="AH1591" s="80"/>
      <c r="AI1591" s="80"/>
    </row>
    <row r="1592" spans="1:35" x14ac:dyDescent="0.2">
      <c r="A1592" s="80"/>
      <c r="B1592" s="80"/>
      <c r="C1592" s="80"/>
      <c r="D1592" s="80"/>
      <c r="E1592" s="80"/>
      <c r="F1592" s="80"/>
      <c r="G1592" s="80"/>
      <c r="H1592" s="80"/>
      <c r="I1592" s="80"/>
      <c r="J1592" s="80"/>
      <c r="K1592" s="80"/>
      <c r="L1592" s="2"/>
      <c r="M1592" s="2"/>
      <c r="N1592" s="2"/>
      <c r="O1592" s="2"/>
      <c r="P1592" s="2"/>
      <c r="Q1592" s="2"/>
      <c r="R1592" s="80"/>
      <c r="S1592" s="80"/>
      <c r="T1592" s="80"/>
      <c r="U1592" s="80"/>
      <c r="V1592" s="80"/>
      <c r="W1592" s="80"/>
      <c r="X1592" s="80"/>
      <c r="Y1592" s="80"/>
      <c r="Z1592" s="80"/>
      <c r="AA1592" s="80"/>
      <c r="AB1592" s="80"/>
      <c r="AC1592" s="80"/>
      <c r="AD1592" s="80"/>
      <c r="AE1592" s="80"/>
      <c r="AF1592" s="80"/>
      <c r="AG1592" s="80"/>
      <c r="AH1592" s="80"/>
      <c r="AI1592" s="80"/>
    </row>
    <row r="1593" spans="1:35" x14ac:dyDescent="0.2">
      <c r="A1593" s="80"/>
      <c r="B1593" s="80"/>
      <c r="C1593" s="80"/>
      <c r="D1593" s="80"/>
      <c r="E1593" s="80"/>
      <c r="F1593" s="80"/>
      <c r="G1593" s="80"/>
      <c r="H1593" s="80"/>
      <c r="I1593" s="80"/>
      <c r="J1593" s="80"/>
      <c r="K1593" s="80"/>
      <c r="L1593" s="2"/>
      <c r="M1593" s="2"/>
      <c r="N1593" s="2"/>
      <c r="O1593" s="2"/>
      <c r="P1593" s="2"/>
      <c r="Q1593" s="2"/>
      <c r="R1593" s="80"/>
      <c r="S1593" s="80"/>
      <c r="T1593" s="80"/>
      <c r="U1593" s="80"/>
      <c r="V1593" s="80"/>
      <c r="W1593" s="80"/>
      <c r="X1593" s="80"/>
      <c r="Y1593" s="80"/>
      <c r="Z1593" s="80"/>
      <c r="AA1593" s="80"/>
      <c r="AB1593" s="80"/>
      <c r="AC1593" s="80"/>
      <c r="AD1593" s="80"/>
      <c r="AE1593" s="80"/>
      <c r="AF1593" s="80"/>
      <c r="AG1593" s="80"/>
      <c r="AH1593" s="80"/>
      <c r="AI1593" s="80"/>
    </row>
    <row r="1594" spans="1:35" x14ac:dyDescent="0.2">
      <c r="A1594" s="80"/>
      <c r="B1594" s="80"/>
      <c r="C1594" s="80"/>
      <c r="D1594" s="80"/>
      <c r="E1594" s="80"/>
      <c r="F1594" s="80"/>
      <c r="G1594" s="80"/>
      <c r="H1594" s="80"/>
      <c r="I1594" s="80"/>
      <c r="J1594" s="80"/>
      <c r="K1594" s="80"/>
      <c r="L1594" s="2"/>
      <c r="M1594" s="2"/>
      <c r="N1594" s="2"/>
      <c r="O1594" s="2"/>
      <c r="P1594" s="2"/>
      <c r="Q1594" s="2"/>
      <c r="R1594" s="80"/>
      <c r="S1594" s="80"/>
      <c r="T1594" s="80"/>
      <c r="U1594" s="80"/>
      <c r="V1594" s="80"/>
      <c r="W1594" s="80"/>
      <c r="X1594" s="80"/>
      <c r="Y1594" s="80"/>
      <c r="Z1594" s="80"/>
      <c r="AA1594" s="80"/>
      <c r="AB1594" s="80"/>
      <c r="AC1594" s="80"/>
      <c r="AD1594" s="80"/>
      <c r="AE1594" s="80"/>
      <c r="AF1594" s="80"/>
      <c r="AG1594" s="80"/>
      <c r="AH1594" s="80"/>
      <c r="AI1594" s="80"/>
    </row>
    <row r="1595" spans="1:35" x14ac:dyDescent="0.2">
      <c r="A1595" s="80"/>
      <c r="B1595" s="80"/>
      <c r="C1595" s="80"/>
      <c r="D1595" s="80"/>
      <c r="E1595" s="80"/>
      <c r="F1595" s="80"/>
      <c r="G1595" s="80"/>
      <c r="H1595" s="80"/>
      <c r="I1595" s="80"/>
      <c r="J1595" s="80"/>
      <c r="K1595" s="80"/>
      <c r="L1595" s="2"/>
      <c r="M1595" s="2"/>
      <c r="N1595" s="2"/>
      <c r="O1595" s="2"/>
      <c r="P1595" s="2"/>
      <c r="Q1595" s="2"/>
      <c r="R1595" s="80"/>
      <c r="S1595" s="80"/>
      <c r="T1595" s="80"/>
      <c r="U1595" s="80"/>
      <c r="V1595" s="80"/>
      <c r="W1595" s="80"/>
      <c r="X1595" s="80"/>
      <c r="Y1595" s="80"/>
      <c r="Z1595" s="80"/>
      <c r="AA1595" s="80"/>
      <c r="AB1595" s="80"/>
      <c r="AC1595" s="80"/>
      <c r="AD1595" s="80"/>
      <c r="AE1595" s="80"/>
      <c r="AF1595" s="80"/>
      <c r="AG1595" s="80"/>
      <c r="AH1595" s="80"/>
      <c r="AI1595" s="80"/>
    </row>
    <row r="1596" spans="1:35" x14ac:dyDescent="0.2">
      <c r="A1596" s="80"/>
      <c r="B1596" s="80"/>
      <c r="C1596" s="80"/>
      <c r="D1596" s="80"/>
      <c r="E1596" s="80"/>
      <c r="F1596" s="80"/>
      <c r="G1596" s="80"/>
      <c r="H1596" s="80"/>
      <c r="I1596" s="80"/>
      <c r="J1596" s="80"/>
      <c r="K1596" s="80"/>
      <c r="L1596" s="2"/>
      <c r="M1596" s="2"/>
      <c r="N1596" s="2"/>
      <c r="O1596" s="2"/>
      <c r="P1596" s="2"/>
      <c r="Q1596" s="2"/>
      <c r="R1596" s="80"/>
      <c r="S1596" s="80"/>
      <c r="T1596" s="80"/>
      <c r="U1596" s="80"/>
      <c r="V1596" s="80"/>
      <c r="W1596" s="80"/>
      <c r="X1596" s="80"/>
      <c r="Y1596" s="80"/>
      <c r="Z1596" s="80"/>
      <c r="AA1596" s="80"/>
      <c r="AB1596" s="80"/>
      <c r="AC1596" s="80"/>
      <c r="AD1596" s="80"/>
      <c r="AE1596" s="80"/>
      <c r="AF1596" s="80"/>
      <c r="AG1596" s="80"/>
      <c r="AH1596" s="80"/>
      <c r="AI1596" s="80"/>
    </row>
    <row r="1597" spans="1:35" x14ac:dyDescent="0.2">
      <c r="A1597" s="80"/>
      <c r="B1597" s="80"/>
      <c r="C1597" s="80"/>
      <c r="D1597" s="80"/>
      <c r="E1597" s="80"/>
      <c r="F1597" s="80"/>
      <c r="G1597" s="80"/>
      <c r="H1597" s="80"/>
      <c r="I1597" s="80"/>
      <c r="J1597" s="80"/>
      <c r="K1597" s="80"/>
      <c r="L1597" s="2"/>
      <c r="M1597" s="2"/>
      <c r="N1597" s="2"/>
      <c r="O1597" s="2"/>
      <c r="P1597" s="2"/>
      <c r="Q1597" s="2"/>
      <c r="R1597" s="80"/>
      <c r="S1597" s="80"/>
      <c r="T1597" s="80"/>
      <c r="U1597" s="80"/>
      <c r="V1597" s="80"/>
      <c r="W1597" s="80"/>
      <c r="X1597" s="80"/>
      <c r="Y1597" s="80"/>
      <c r="Z1597" s="80"/>
      <c r="AA1597" s="80"/>
      <c r="AB1597" s="80"/>
      <c r="AC1597" s="80"/>
      <c r="AD1597" s="80"/>
      <c r="AE1597" s="80"/>
      <c r="AF1597" s="80"/>
      <c r="AG1597" s="80"/>
      <c r="AH1597" s="80"/>
      <c r="AI1597" s="80"/>
    </row>
    <row r="1598" spans="1:35" x14ac:dyDescent="0.2">
      <c r="A1598" s="80"/>
      <c r="B1598" s="80"/>
      <c r="C1598" s="80"/>
      <c r="D1598" s="80"/>
      <c r="E1598" s="80"/>
      <c r="F1598" s="80"/>
      <c r="G1598" s="80"/>
      <c r="H1598" s="80"/>
      <c r="I1598" s="80"/>
      <c r="J1598" s="80"/>
      <c r="K1598" s="80"/>
      <c r="L1598" s="2"/>
      <c r="M1598" s="2"/>
      <c r="N1598" s="2"/>
      <c r="O1598" s="2"/>
      <c r="P1598" s="2"/>
      <c r="Q1598" s="2"/>
      <c r="R1598" s="80"/>
      <c r="S1598" s="80"/>
      <c r="T1598" s="80"/>
      <c r="U1598" s="80"/>
      <c r="V1598" s="80"/>
      <c r="W1598" s="80"/>
      <c r="X1598" s="80"/>
      <c r="Y1598" s="80"/>
      <c r="Z1598" s="80"/>
      <c r="AA1598" s="80"/>
      <c r="AB1598" s="80"/>
      <c r="AC1598" s="80"/>
      <c r="AD1598" s="80"/>
      <c r="AE1598" s="80"/>
      <c r="AF1598" s="80"/>
      <c r="AG1598" s="80"/>
      <c r="AH1598" s="80"/>
      <c r="AI1598" s="80"/>
    </row>
    <row r="1599" spans="1:35" x14ac:dyDescent="0.2">
      <c r="A1599" s="80"/>
      <c r="B1599" s="80"/>
      <c r="C1599" s="80"/>
      <c r="D1599" s="80"/>
      <c r="E1599" s="80"/>
      <c r="F1599" s="80"/>
      <c r="G1599" s="80"/>
      <c r="H1599" s="80"/>
      <c r="I1599" s="80"/>
      <c r="J1599" s="80"/>
      <c r="K1599" s="80"/>
      <c r="L1599" s="2"/>
      <c r="M1599" s="2"/>
      <c r="N1599" s="2"/>
      <c r="O1599" s="2"/>
      <c r="P1599" s="2"/>
      <c r="Q1599" s="2"/>
      <c r="R1599" s="80"/>
      <c r="S1599" s="80"/>
      <c r="T1599" s="80"/>
      <c r="U1599" s="80"/>
      <c r="V1599" s="80"/>
      <c r="W1599" s="80"/>
      <c r="X1599" s="80"/>
      <c r="Y1599" s="80"/>
      <c r="Z1599" s="80"/>
      <c r="AA1599" s="80"/>
      <c r="AB1599" s="80"/>
      <c r="AC1599" s="80"/>
      <c r="AD1599" s="80"/>
      <c r="AE1599" s="80"/>
      <c r="AF1599" s="80"/>
      <c r="AG1599" s="80"/>
      <c r="AH1599" s="80"/>
      <c r="AI1599" s="80"/>
    </row>
    <row r="1600" spans="1:35" x14ac:dyDescent="0.2">
      <c r="A1600" s="80"/>
      <c r="B1600" s="80"/>
      <c r="C1600" s="80"/>
      <c r="D1600" s="80"/>
      <c r="E1600" s="80"/>
      <c r="F1600" s="80"/>
      <c r="G1600" s="80"/>
      <c r="H1600" s="80"/>
      <c r="I1600" s="80"/>
      <c r="J1600" s="80"/>
      <c r="K1600" s="80"/>
      <c r="L1600" s="2"/>
      <c r="M1600" s="2"/>
      <c r="N1600" s="2"/>
      <c r="O1600" s="2"/>
      <c r="P1600" s="2"/>
      <c r="Q1600" s="2"/>
      <c r="R1600" s="80"/>
      <c r="S1600" s="80"/>
      <c r="T1600" s="80"/>
      <c r="U1600" s="80"/>
      <c r="V1600" s="80"/>
      <c r="W1600" s="80"/>
      <c r="X1600" s="80"/>
      <c r="Y1600" s="80"/>
      <c r="Z1600" s="80"/>
      <c r="AA1600" s="80"/>
      <c r="AB1600" s="80"/>
      <c r="AC1600" s="80"/>
      <c r="AD1600" s="80"/>
      <c r="AE1600" s="80"/>
      <c r="AF1600" s="80"/>
      <c r="AG1600" s="80"/>
      <c r="AH1600" s="80"/>
      <c r="AI1600" s="80"/>
    </row>
    <row r="1601" spans="1:35" x14ac:dyDescent="0.2">
      <c r="A1601" s="80"/>
      <c r="B1601" s="80"/>
      <c r="C1601" s="80"/>
      <c r="D1601" s="80"/>
      <c r="E1601" s="80"/>
      <c r="F1601" s="80"/>
      <c r="G1601" s="80"/>
      <c r="H1601" s="80"/>
      <c r="I1601" s="80"/>
      <c r="J1601" s="80"/>
      <c r="K1601" s="80"/>
      <c r="L1601" s="2"/>
      <c r="M1601" s="2"/>
      <c r="N1601" s="2"/>
      <c r="O1601" s="2"/>
      <c r="P1601" s="2"/>
      <c r="Q1601" s="2"/>
      <c r="R1601" s="80"/>
      <c r="S1601" s="80"/>
      <c r="T1601" s="80"/>
      <c r="U1601" s="80"/>
      <c r="V1601" s="80"/>
      <c r="W1601" s="80"/>
      <c r="X1601" s="80"/>
      <c r="Y1601" s="80"/>
      <c r="Z1601" s="80"/>
      <c r="AA1601" s="80"/>
      <c r="AB1601" s="80"/>
      <c r="AC1601" s="80"/>
      <c r="AD1601" s="80"/>
      <c r="AE1601" s="80"/>
      <c r="AF1601" s="80"/>
      <c r="AG1601" s="80"/>
      <c r="AH1601" s="80"/>
      <c r="AI1601" s="80"/>
    </row>
    <row r="1602" spans="1:35" x14ac:dyDescent="0.2">
      <c r="A1602" s="80"/>
      <c r="B1602" s="80"/>
      <c r="C1602" s="80"/>
      <c r="D1602" s="80"/>
      <c r="E1602" s="80"/>
      <c r="F1602" s="80"/>
      <c r="G1602" s="80"/>
      <c r="H1602" s="80"/>
      <c r="I1602" s="80"/>
      <c r="J1602" s="80"/>
      <c r="K1602" s="80"/>
      <c r="L1602" s="2"/>
      <c r="M1602" s="2"/>
      <c r="N1602" s="2"/>
      <c r="O1602" s="2"/>
      <c r="P1602" s="2"/>
      <c r="Q1602" s="2"/>
      <c r="R1602" s="80"/>
      <c r="S1602" s="80"/>
      <c r="T1602" s="80"/>
      <c r="U1602" s="80"/>
      <c r="V1602" s="80"/>
      <c r="W1602" s="80"/>
      <c r="X1602" s="80"/>
      <c r="Y1602" s="80"/>
      <c r="Z1602" s="80"/>
      <c r="AA1602" s="80"/>
      <c r="AB1602" s="80"/>
      <c r="AC1602" s="80"/>
      <c r="AD1602" s="80"/>
      <c r="AE1602" s="80"/>
      <c r="AF1602" s="80"/>
      <c r="AG1602" s="80"/>
      <c r="AH1602" s="80"/>
      <c r="AI1602" s="80"/>
    </row>
    <row r="1603" spans="1:35" x14ac:dyDescent="0.2">
      <c r="A1603" s="80"/>
      <c r="B1603" s="80"/>
      <c r="C1603" s="80"/>
      <c r="D1603" s="80"/>
      <c r="E1603" s="80"/>
      <c r="F1603" s="80"/>
      <c r="G1603" s="80"/>
      <c r="H1603" s="80"/>
      <c r="I1603" s="80"/>
      <c r="J1603" s="80"/>
      <c r="K1603" s="80"/>
      <c r="L1603" s="2"/>
      <c r="M1603" s="2"/>
      <c r="N1603" s="2"/>
      <c r="O1603" s="2"/>
      <c r="P1603" s="2"/>
      <c r="Q1603" s="2"/>
      <c r="R1603" s="80"/>
      <c r="S1603" s="80"/>
      <c r="T1603" s="80"/>
      <c r="U1603" s="80"/>
      <c r="V1603" s="80"/>
      <c r="W1603" s="80"/>
      <c r="X1603" s="80"/>
      <c r="Y1603" s="80"/>
      <c r="Z1603" s="80"/>
      <c r="AA1603" s="80"/>
      <c r="AB1603" s="80"/>
      <c r="AC1603" s="80"/>
      <c r="AD1603" s="80"/>
      <c r="AE1603" s="80"/>
      <c r="AF1603" s="80"/>
      <c r="AG1603" s="80"/>
      <c r="AH1603" s="80"/>
      <c r="AI1603" s="80"/>
    </row>
    <row r="1604" spans="1:35" x14ac:dyDescent="0.2">
      <c r="A1604" s="80"/>
      <c r="B1604" s="80"/>
      <c r="C1604" s="80"/>
      <c r="D1604" s="80"/>
      <c r="E1604" s="80"/>
      <c r="F1604" s="80"/>
      <c r="G1604" s="80"/>
      <c r="H1604" s="80"/>
      <c r="I1604" s="80"/>
      <c r="J1604" s="80"/>
      <c r="K1604" s="80"/>
      <c r="L1604" s="2"/>
      <c r="M1604" s="2"/>
      <c r="N1604" s="2"/>
      <c r="O1604" s="2"/>
      <c r="P1604" s="2"/>
      <c r="Q1604" s="2"/>
      <c r="R1604" s="80"/>
      <c r="S1604" s="80"/>
      <c r="T1604" s="80"/>
      <c r="U1604" s="80"/>
      <c r="V1604" s="80"/>
      <c r="W1604" s="80"/>
      <c r="X1604" s="80"/>
      <c r="Y1604" s="80"/>
      <c r="Z1604" s="80"/>
      <c r="AA1604" s="80"/>
      <c r="AB1604" s="80"/>
      <c r="AC1604" s="80"/>
      <c r="AD1604" s="80"/>
      <c r="AE1604" s="80"/>
      <c r="AF1604" s="80"/>
      <c r="AG1604" s="80"/>
      <c r="AH1604" s="80"/>
      <c r="AI1604" s="80"/>
    </row>
    <row r="1605" spans="1:35" x14ac:dyDescent="0.2">
      <c r="A1605" s="80"/>
      <c r="B1605" s="80"/>
      <c r="C1605" s="80"/>
      <c r="D1605" s="80"/>
      <c r="E1605" s="80"/>
      <c r="F1605" s="80"/>
      <c r="G1605" s="80"/>
      <c r="H1605" s="80"/>
      <c r="I1605" s="80"/>
      <c r="J1605" s="80"/>
      <c r="K1605" s="80"/>
      <c r="L1605" s="2"/>
      <c r="M1605" s="2"/>
      <c r="N1605" s="2"/>
      <c r="O1605" s="2"/>
      <c r="P1605" s="2"/>
      <c r="Q1605" s="2"/>
      <c r="R1605" s="80"/>
      <c r="S1605" s="80"/>
      <c r="T1605" s="80"/>
      <c r="U1605" s="80"/>
      <c r="V1605" s="80"/>
      <c r="W1605" s="80"/>
      <c r="X1605" s="80"/>
      <c r="Y1605" s="80"/>
      <c r="Z1605" s="80"/>
      <c r="AA1605" s="80"/>
      <c r="AB1605" s="80"/>
      <c r="AC1605" s="80"/>
      <c r="AD1605" s="80"/>
      <c r="AE1605" s="80"/>
      <c r="AF1605" s="80"/>
      <c r="AG1605" s="80"/>
      <c r="AH1605" s="80"/>
      <c r="AI1605" s="80"/>
    </row>
    <row r="1606" spans="1:35" x14ac:dyDescent="0.2">
      <c r="A1606" s="80"/>
      <c r="B1606" s="80"/>
      <c r="C1606" s="80"/>
      <c r="D1606" s="80"/>
      <c r="E1606" s="80"/>
      <c r="F1606" s="80"/>
      <c r="G1606" s="80"/>
      <c r="H1606" s="80"/>
      <c r="I1606" s="80"/>
      <c r="J1606" s="80"/>
      <c r="K1606" s="80"/>
      <c r="L1606" s="2"/>
      <c r="M1606" s="2"/>
      <c r="N1606" s="2"/>
      <c r="O1606" s="2"/>
      <c r="P1606" s="2"/>
      <c r="Q1606" s="2"/>
      <c r="R1606" s="80"/>
      <c r="S1606" s="80"/>
      <c r="T1606" s="80"/>
      <c r="U1606" s="80"/>
      <c r="V1606" s="80"/>
      <c r="W1606" s="80"/>
      <c r="X1606" s="80"/>
      <c r="Y1606" s="80"/>
      <c r="Z1606" s="80"/>
      <c r="AA1606" s="80"/>
      <c r="AB1606" s="80"/>
      <c r="AC1606" s="80"/>
      <c r="AD1606" s="80"/>
      <c r="AE1606" s="80"/>
      <c r="AF1606" s="80"/>
      <c r="AG1606" s="80"/>
      <c r="AH1606" s="80"/>
      <c r="AI1606" s="80"/>
    </row>
    <row r="1607" spans="1:35" x14ac:dyDescent="0.2">
      <c r="A1607" s="80"/>
      <c r="B1607" s="80"/>
      <c r="C1607" s="80"/>
      <c r="D1607" s="80"/>
      <c r="E1607" s="80"/>
      <c r="F1607" s="80"/>
      <c r="G1607" s="80"/>
      <c r="H1607" s="80"/>
      <c r="I1607" s="80"/>
      <c r="J1607" s="80"/>
      <c r="K1607" s="80"/>
      <c r="L1607" s="2"/>
      <c r="M1607" s="2"/>
      <c r="N1607" s="2"/>
      <c r="O1607" s="2"/>
      <c r="P1607" s="2"/>
      <c r="Q1607" s="2"/>
      <c r="R1607" s="80"/>
      <c r="S1607" s="80"/>
      <c r="T1607" s="80"/>
      <c r="U1607" s="80"/>
      <c r="V1607" s="80"/>
      <c r="W1607" s="80"/>
      <c r="X1607" s="80"/>
      <c r="Y1607" s="80"/>
      <c r="Z1607" s="80"/>
      <c r="AA1607" s="80"/>
      <c r="AB1607" s="80"/>
      <c r="AC1607" s="80"/>
      <c r="AD1607" s="80"/>
      <c r="AE1607" s="80"/>
      <c r="AF1607" s="80"/>
      <c r="AG1607" s="80"/>
      <c r="AH1607" s="80"/>
      <c r="AI1607" s="80"/>
    </row>
    <row r="1608" spans="1:35" x14ac:dyDescent="0.2">
      <c r="A1608" s="80"/>
      <c r="B1608" s="80"/>
      <c r="C1608" s="80"/>
      <c r="D1608" s="80"/>
      <c r="E1608" s="80"/>
      <c r="F1608" s="80"/>
      <c r="G1608" s="80"/>
      <c r="H1608" s="80"/>
      <c r="I1608" s="80"/>
      <c r="J1608" s="80"/>
      <c r="K1608" s="80"/>
      <c r="L1608" s="2"/>
      <c r="M1608" s="2"/>
      <c r="N1608" s="2"/>
      <c r="O1608" s="2"/>
      <c r="P1608" s="2"/>
      <c r="Q1608" s="2"/>
      <c r="R1608" s="80"/>
      <c r="S1608" s="80"/>
      <c r="T1608" s="80"/>
      <c r="U1608" s="80"/>
      <c r="V1608" s="80"/>
      <c r="W1608" s="80"/>
      <c r="X1608" s="80"/>
      <c r="Y1608" s="80"/>
      <c r="Z1608" s="80"/>
      <c r="AA1608" s="80"/>
      <c r="AB1608" s="80"/>
      <c r="AC1608" s="80"/>
      <c r="AD1608" s="80"/>
      <c r="AE1608" s="80"/>
      <c r="AF1608" s="80"/>
      <c r="AG1608" s="80"/>
      <c r="AH1608" s="80"/>
      <c r="AI1608" s="80"/>
    </row>
    <row r="1609" spans="1:35" x14ac:dyDescent="0.2">
      <c r="A1609" s="80"/>
      <c r="B1609" s="80"/>
      <c r="C1609" s="80"/>
      <c r="D1609" s="80"/>
      <c r="E1609" s="80"/>
      <c r="F1609" s="80"/>
      <c r="G1609" s="80"/>
      <c r="H1609" s="80"/>
      <c r="I1609" s="80"/>
      <c r="J1609" s="80"/>
      <c r="K1609" s="80"/>
      <c r="L1609" s="2"/>
      <c r="M1609" s="2"/>
      <c r="N1609" s="2"/>
      <c r="O1609" s="2"/>
      <c r="P1609" s="2"/>
      <c r="Q1609" s="2"/>
      <c r="R1609" s="80"/>
      <c r="S1609" s="80"/>
      <c r="T1609" s="80"/>
      <c r="U1609" s="80"/>
      <c r="V1609" s="80"/>
      <c r="W1609" s="80"/>
      <c r="X1609" s="80"/>
      <c r="Y1609" s="80"/>
      <c r="Z1609" s="80"/>
      <c r="AA1609" s="80"/>
      <c r="AB1609" s="80"/>
      <c r="AC1609" s="80"/>
      <c r="AD1609" s="80"/>
      <c r="AE1609" s="80"/>
      <c r="AF1609" s="80"/>
      <c r="AG1609" s="80"/>
      <c r="AH1609" s="80"/>
      <c r="AI1609" s="80"/>
    </row>
    <row r="1610" spans="1:35" x14ac:dyDescent="0.2">
      <c r="A1610" s="80"/>
      <c r="B1610" s="80"/>
      <c r="C1610" s="80"/>
      <c r="D1610" s="80"/>
      <c r="E1610" s="80"/>
      <c r="F1610" s="80"/>
      <c r="G1610" s="80"/>
      <c r="H1610" s="80"/>
      <c r="I1610" s="80"/>
      <c r="J1610" s="80"/>
      <c r="K1610" s="80"/>
      <c r="L1610" s="2"/>
      <c r="M1610" s="2"/>
      <c r="N1610" s="2"/>
      <c r="O1610" s="2"/>
      <c r="P1610" s="2"/>
      <c r="Q1610" s="2"/>
      <c r="R1610" s="80"/>
      <c r="S1610" s="80"/>
      <c r="T1610" s="80"/>
      <c r="U1610" s="80"/>
      <c r="V1610" s="80"/>
      <c r="W1610" s="80"/>
      <c r="X1610" s="80"/>
      <c r="Y1610" s="80"/>
      <c r="Z1610" s="80"/>
      <c r="AA1610" s="80"/>
      <c r="AB1610" s="80"/>
      <c r="AC1610" s="80"/>
      <c r="AD1610" s="80"/>
      <c r="AE1610" s="80"/>
      <c r="AF1610" s="80"/>
      <c r="AG1610" s="80"/>
      <c r="AH1610" s="80"/>
      <c r="AI1610" s="80"/>
    </row>
    <row r="1611" spans="1:35" x14ac:dyDescent="0.2">
      <c r="A1611" s="80"/>
      <c r="B1611" s="80"/>
      <c r="C1611" s="80"/>
      <c r="D1611" s="80"/>
      <c r="E1611" s="80"/>
      <c r="F1611" s="80"/>
      <c r="G1611" s="80"/>
      <c r="H1611" s="80"/>
      <c r="I1611" s="80"/>
      <c r="J1611" s="80"/>
      <c r="K1611" s="80"/>
      <c r="L1611" s="2"/>
      <c r="M1611" s="2"/>
      <c r="N1611" s="2"/>
      <c r="O1611" s="2"/>
      <c r="P1611" s="2"/>
      <c r="Q1611" s="2"/>
      <c r="R1611" s="80"/>
      <c r="S1611" s="80"/>
      <c r="T1611" s="80"/>
      <c r="U1611" s="80"/>
      <c r="V1611" s="80"/>
      <c r="W1611" s="80"/>
      <c r="X1611" s="80"/>
      <c r="Y1611" s="80"/>
      <c r="Z1611" s="80"/>
      <c r="AA1611" s="80"/>
      <c r="AB1611" s="80"/>
      <c r="AC1611" s="80"/>
      <c r="AD1611" s="80"/>
      <c r="AE1611" s="80"/>
      <c r="AF1611" s="80"/>
      <c r="AG1611" s="80"/>
      <c r="AH1611" s="80"/>
      <c r="AI1611" s="80"/>
    </row>
    <row r="1612" spans="1:35" x14ac:dyDescent="0.2">
      <c r="A1612" s="80"/>
      <c r="B1612" s="80"/>
      <c r="C1612" s="80"/>
      <c r="D1612" s="80"/>
      <c r="E1612" s="80"/>
      <c r="F1612" s="80"/>
      <c r="G1612" s="80"/>
      <c r="H1612" s="80"/>
      <c r="I1612" s="80"/>
      <c r="J1612" s="80"/>
      <c r="K1612" s="80"/>
      <c r="L1612" s="2"/>
      <c r="M1612" s="2"/>
      <c r="N1612" s="2"/>
      <c r="O1612" s="2"/>
      <c r="P1612" s="2"/>
      <c r="Q1612" s="2"/>
      <c r="R1612" s="80"/>
      <c r="S1612" s="80"/>
      <c r="T1612" s="80"/>
      <c r="U1612" s="80"/>
      <c r="V1612" s="80"/>
      <c r="W1612" s="80"/>
      <c r="X1612" s="80"/>
      <c r="Y1612" s="80"/>
      <c r="Z1612" s="80"/>
      <c r="AA1612" s="80"/>
      <c r="AB1612" s="80"/>
      <c r="AC1612" s="80"/>
      <c r="AD1612" s="80"/>
      <c r="AE1612" s="80"/>
      <c r="AF1612" s="80"/>
      <c r="AG1612" s="80"/>
      <c r="AH1612" s="80"/>
      <c r="AI1612" s="80"/>
    </row>
    <row r="1613" spans="1:35" x14ac:dyDescent="0.2">
      <c r="A1613" s="80"/>
      <c r="B1613" s="80"/>
      <c r="C1613" s="80"/>
      <c r="D1613" s="80"/>
      <c r="E1613" s="80"/>
      <c r="F1613" s="80"/>
      <c r="G1613" s="80"/>
      <c r="H1613" s="80"/>
      <c r="I1613" s="80"/>
      <c r="J1613" s="80"/>
      <c r="K1613" s="80"/>
      <c r="L1613" s="2"/>
      <c r="M1613" s="2"/>
      <c r="N1613" s="2"/>
      <c r="O1613" s="2"/>
      <c r="P1613" s="2"/>
      <c r="Q1613" s="2"/>
      <c r="R1613" s="80"/>
      <c r="S1613" s="80"/>
      <c r="T1613" s="80"/>
      <c r="U1613" s="80"/>
      <c r="V1613" s="80"/>
      <c r="W1613" s="80"/>
      <c r="X1613" s="80"/>
      <c r="Y1613" s="80"/>
      <c r="Z1613" s="80"/>
      <c r="AA1613" s="80"/>
      <c r="AB1613" s="80"/>
      <c r="AC1613" s="80"/>
      <c r="AD1613" s="80"/>
      <c r="AE1613" s="80"/>
      <c r="AF1613" s="80"/>
      <c r="AG1613" s="80"/>
      <c r="AH1613" s="80"/>
      <c r="AI1613" s="80"/>
    </row>
    <row r="1614" spans="1:35" x14ac:dyDescent="0.2">
      <c r="A1614" s="80"/>
      <c r="B1614" s="80"/>
      <c r="C1614" s="80"/>
      <c r="D1614" s="80"/>
      <c r="E1614" s="80"/>
      <c r="F1614" s="80"/>
      <c r="G1614" s="80"/>
      <c r="H1614" s="80"/>
      <c r="I1614" s="80"/>
      <c r="J1614" s="80"/>
      <c r="K1614" s="80"/>
      <c r="L1614" s="2"/>
      <c r="M1614" s="2"/>
      <c r="N1614" s="2"/>
      <c r="O1614" s="2"/>
      <c r="P1614" s="2"/>
      <c r="Q1614" s="2"/>
      <c r="R1614" s="80"/>
      <c r="S1614" s="80"/>
      <c r="T1614" s="80"/>
      <c r="U1614" s="80"/>
      <c r="V1614" s="80"/>
      <c r="W1614" s="80"/>
      <c r="X1614" s="80"/>
      <c r="Y1614" s="80"/>
      <c r="Z1614" s="80"/>
      <c r="AA1614" s="80"/>
      <c r="AB1614" s="80"/>
      <c r="AC1614" s="80"/>
      <c r="AD1614" s="80"/>
      <c r="AE1614" s="80"/>
      <c r="AF1614" s="80"/>
      <c r="AG1614" s="80"/>
      <c r="AH1614" s="80"/>
      <c r="AI1614" s="80"/>
    </row>
    <row r="1615" spans="1:35" x14ac:dyDescent="0.2">
      <c r="A1615" s="80"/>
      <c r="B1615" s="80"/>
      <c r="C1615" s="80"/>
      <c r="D1615" s="80"/>
      <c r="E1615" s="80"/>
      <c r="F1615" s="80"/>
      <c r="G1615" s="80"/>
      <c r="H1615" s="80"/>
      <c r="I1615" s="80"/>
      <c r="J1615" s="80"/>
      <c r="K1615" s="80"/>
      <c r="L1615" s="2"/>
      <c r="M1615" s="2"/>
      <c r="N1615" s="2"/>
      <c r="O1615" s="2"/>
      <c r="P1615" s="2"/>
      <c r="Q1615" s="2"/>
      <c r="R1615" s="80"/>
      <c r="S1615" s="80"/>
      <c r="T1615" s="80"/>
      <c r="U1615" s="80"/>
      <c r="V1615" s="80"/>
      <c r="W1615" s="80"/>
      <c r="X1615" s="80"/>
      <c r="Y1615" s="80"/>
      <c r="Z1615" s="80"/>
      <c r="AA1615" s="80"/>
      <c r="AB1615" s="80"/>
      <c r="AC1615" s="80"/>
      <c r="AD1615" s="80"/>
      <c r="AE1615" s="80"/>
      <c r="AF1615" s="80"/>
      <c r="AG1615" s="80"/>
      <c r="AH1615" s="80"/>
      <c r="AI1615" s="80"/>
    </row>
    <row r="1616" spans="1:35" x14ac:dyDescent="0.2">
      <c r="A1616" s="80"/>
      <c r="B1616" s="80"/>
      <c r="C1616" s="80"/>
      <c r="D1616" s="80"/>
      <c r="E1616" s="80"/>
      <c r="F1616" s="80"/>
      <c r="G1616" s="80"/>
      <c r="H1616" s="80"/>
      <c r="I1616" s="80"/>
      <c r="J1616" s="80"/>
      <c r="K1616" s="80"/>
      <c r="L1616" s="2"/>
      <c r="M1616" s="2"/>
      <c r="N1616" s="2"/>
      <c r="O1616" s="2"/>
      <c r="P1616" s="2"/>
      <c r="Q1616" s="2"/>
      <c r="R1616" s="80"/>
      <c r="S1616" s="80"/>
      <c r="T1616" s="80"/>
      <c r="U1616" s="80"/>
      <c r="V1616" s="80"/>
      <c r="W1616" s="80"/>
      <c r="X1616" s="80"/>
      <c r="Y1616" s="80"/>
      <c r="Z1616" s="80"/>
      <c r="AA1616" s="80"/>
      <c r="AB1616" s="80"/>
      <c r="AC1616" s="80"/>
      <c r="AD1616" s="80"/>
      <c r="AE1616" s="80"/>
      <c r="AF1616" s="80"/>
      <c r="AG1616" s="80"/>
      <c r="AH1616" s="80"/>
      <c r="AI1616" s="80"/>
    </row>
    <row r="1617" spans="1:35" x14ac:dyDescent="0.2">
      <c r="A1617" s="80"/>
      <c r="B1617" s="80"/>
      <c r="C1617" s="80"/>
      <c r="D1617" s="80"/>
      <c r="E1617" s="80"/>
      <c r="F1617" s="80"/>
      <c r="G1617" s="80"/>
      <c r="H1617" s="80"/>
      <c r="I1617" s="80"/>
      <c r="J1617" s="80"/>
      <c r="K1617" s="80"/>
      <c r="L1617" s="2"/>
      <c r="M1617" s="2"/>
      <c r="N1617" s="2"/>
      <c r="O1617" s="2"/>
      <c r="P1617" s="2"/>
      <c r="Q1617" s="2"/>
      <c r="R1617" s="80"/>
      <c r="S1617" s="80"/>
      <c r="T1617" s="80"/>
      <c r="U1617" s="80"/>
      <c r="V1617" s="80"/>
      <c r="W1617" s="80"/>
      <c r="X1617" s="80"/>
      <c r="Y1617" s="80"/>
      <c r="Z1617" s="80"/>
      <c r="AA1617" s="80"/>
      <c r="AB1617" s="80"/>
      <c r="AC1617" s="80"/>
      <c r="AD1617" s="80"/>
      <c r="AE1617" s="80"/>
      <c r="AF1617" s="80"/>
      <c r="AG1617" s="80"/>
      <c r="AH1617" s="80"/>
      <c r="AI1617" s="80"/>
    </row>
    <row r="1618" spans="1:35" x14ac:dyDescent="0.2">
      <c r="A1618" s="80"/>
      <c r="B1618" s="80"/>
      <c r="C1618" s="80"/>
      <c r="D1618" s="80"/>
      <c r="E1618" s="80"/>
      <c r="F1618" s="80"/>
      <c r="G1618" s="80"/>
      <c r="H1618" s="80"/>
      <c r="I1618" s="80"/>
      <c r="J1618" s="80"/>
      <c r="K1618" s="80"/>
      <c r="L1618" s="2"/>
      <c r="M1618" s="2"/>
      <c r="N1618" s="2"/>
      <c r="O1618" s="2"/>
      <c r="P1618" s="2"/>
      <c r="Q1618" s="2"/>
      <c r="R1618" s="80"/>
      <c r="S1618" s="80"/>
      <c r="T1618" s="80"/>
      <c r="U1618" s="80"/>
      <c r="V1618" s="80"/>
      <c r="W1618" s="80"/>
      <c r="X1618" s="80"/>
      <c r="Y1618" s="80"/>
      <c r="Z1618" s="80"/>
      <c r="AA1618" s="80"/>
      <c r="AB1618" s="80"/>
      <c r="AC1618" s="80"/>
      <c r="AD1618" s="80"/>
      <c r="AE1618" s="80"/>
      <c r="AF1618" s="80"/>
      <c r="AG1618" s="80"/>
      <c r="AH1618" s="80"/>
      <c r="AI1618" s="80"/>
    </row>
    <row r="1619" spans="1:35" x14ac:dyDescent="0.2">
      <c r="A1619" s="80"/>
      <c r="B1619" s="80"/>
      <c r="C1619" s="80"/>
      <c r="D1619" s="80"/>
      <c r="E1619" s="80"/>
      <c r="F1619" s="80"/>
      <c r="G1619" s="80"/>
      <c r="H1619" s="80"/>
      <c r="I1619" s="80"/>
      <c r="J1619" s="80"/>
      <c r="K1619" s="80"/>
      <c r="L1619" s="2"/>
      <c r="M1619" s="2"/>
      <c r="N1619" s="2"/>
      <c r="O1619" s="2"/>
      <c r="P1619" s="2"/>
      <c r="Q1619" s="2"/>
      <c r="R1619" s="80"/>
      <c r="S1619" s="80"/>
      <c r="T1619" s="80"/>
      <c r="U1619" s="80"/>
      <c r="V1619" s="80"/>
      <c r="W1619" s="80"/>
      <c r="X1619" s="80"/>
      <c r="Y1619" s="80"/>
      <c r="Z1619" s="80"/>
      <c r="AA1619" s="80"/>
      <c r="AB1619" s="80"/>
      <c r="AC1619" s="80"/>
      <c r="AD1619" s="80"/>
      <c r="AE1619" s="80"/>
      <c r="AF1619" s="80"/>
      <c r="AG1619" s="80"/>
      <c r="AH1619" s="80"/>
      <c r="AI1619" s="80"/>
    </row>
    <row r="1620" spans="1:35" x14ac:dyDescent="0.2">
      <c r="A1620" s="80"/>
      <c r="B1620" s="80"/>
      <c r="C1620" s="80"/>
      <c r="D1620" s="80"/>
      <c r="E1620" s="80"/>
      <c r="F1620" s="80"/>
      <c r="G1620" s="80"/>
      <c r="H1620" s="80"/>
      <c r="I1620" s="80"/>
      <c r="J1620" s="80"/>
      <c r="K1620" s="80"/>
      <c r="L1620" s="2"/>
      <c r="M1620" s="2"/>
      <c r="N1620" s="2"/>
      <c r="O1620" s="2"/>
      <c r="P1620" s="2"/>
      <c r="Q1620" s="2"/>
      <c r="R1620" s="80"/>
      <c r="S1620" s="80"/>
      <c r="T1620" s="80"/>
      <c r="U1620" s="80"/>
      <c r="V1620" s="80"/>
      <c r="W1620" s="80"/>
      <c r="X1620" s="80"/>
      <c r="Y1620" s="80"/>
      <c r="Z1620" s="80"/>
      <c r="AA1620" s="80"/>
      <c r="AB1620" s="80"/>
      <c r="AC1620" s="80"/>
      <c r="AD1620" s="80"/>
      <c r="AE1620" s="80"/>
      <c r="AF1620" s="80"/>
      <c r="AG1620" s="80"/>
      <c r="AH1620" s="80"/>
      <c r="AI1620" s="80"/>
    </row>
    <row r="1621" spans="1:35" x14ac:dyDescent="0.2">
      <c r="A1621" s="80"/>
      <c r="B1621" s="80"/>
      <c r="C1621" s="80"/>
      <c r="D1621" s="80"/>
      <c r="E1621" s="80"/>
      <c r="F1621" s="80"/>
      <c r="G1621" s="80"/>
      <c r="H1621" s="80"/>
      <c r="I1621" s="80"/>
      <c r="J1621" s="80"/>
      <c r="K1621" s="80"/>
      <c r="L1621" s="2"/>
      <c r="M1621" s="2"/>
      <c r="N1621" s="2"/>
      <c r="O1621" s="2"/>
      <c r="P1621" s="2"/>
      <c r="Q1621" s="2"/>
      <c r="R1621" s="80"/>
      <c r="S1621" s="80"/>
      <c r="T1621" s="80"/>
      <c r="U1621" s="80"/>
      <c r="V1621" s="80"/>
      <c r="W1621" s="80"/>
      <c r="X1621" s="80"/>
      <c r="Y1621" s="80"/>
      <c r="Z1621" s="80"/>
      <c r="AA1621" s="80"/>
      <c r="AB1621" s="80"/>
      <c r="AC1621" s="80"/>
      <c r="AD1621" s="80"/>
      <c r="AE1621" s="80"/>
      <c r="AF1621" s="80"/>
      <c r="AG1621" s="80"/>
      <c r="AH1621" s="80"/>
      <c r="AI1621" s="80"/>
    </row>
    <row r="1622" spans="1:35" x14ac:dyDescent="0.2">
      <c r="A1622" s="80"/>
      <c r="B1622" s="80"/>
      <c r="C1622" s="80"/>
      <c r="D1622" s="80"/>
      <c r="E1622" s="80"/>
      <c r="F1622" s="80"/>
      <c r="G1622" s="80"/>
      <c r="H1622" s="80"/>
      <c r="I1622" s="80"/>
      <c r="J1622" s="80"/>
      <c r="K1622" s="80"/>
      <c r="L1622" s="2"/>
      <c r="M1622" s="2"/>
      <c r="N1622" s="2"/>
      <c r="O1622" s="2"/>
      <c r="P1622" s="2"/>
      <c r="Q1622" s="2"/>
      <c r="R1622" s="80"/>
      <c r="S1622" s="80"/>
      <c r="T1622" s="80"/>
      <c r="U1622" s="80"/>
      <c r="V1622" s="80"/>
      <c r="W1622" s="80"/>
      <c r="X1622" s="80"/>
      <c r="Y1622" s="80"/>
      <c r="Z1622" s="80"/>
      <c r="AA1622" s="80"/>
      <c r="AB1622" s="80"/>
      <c r="AC1622" s="80"/>
      <c r="AD1622" s="80"/>
      <c r="AE1622" s="80"/>
      <c r="AF1622" s="80"/>
      <c r="AG1622" s="80"/>
      <c r="AH1622" s="80"/>
      <c r="AI1622" s="80"/>
    </row>
    <row r="1623" spans="1:35" x14ac:dyDescent="0.2">
      <c r="A1623" s="80"/>
      <c r="B1623" s="80"/>
      <c r="C1623" s="80"/>
      <c r="D1623" s="80"/>
      <c r="E1623" s="80"/>
      <c r="F1623" s="80"/>
      <c r="G1623" s="80"/>
      <c r="H1623" s="80"/>
      <c r="I1623" s="80"/>
      <c r="J1623" s="80"/>
      <c r="K1623" s="80"/>
      <c r="L1623" s="2"/>
      <c r="M1623" s="2"/>
      <c r="N1623" s="2"/>
      <c r="O1623" s="2"/>
      <c r="P1623" s="2"/>
      <c r="Q1623" s="2"/>
      <c r="R1623" s="80"/>
      <c r="S1623" s="80"/>
      <c r="T1623" s="80"/>
      <c r="U1623" s="80"/>
      <c r="V1623" s="80"/>
      <c r="W1623" s="80"/>
      <c r="X1623" s="80"/>
      <c r="Y1623" s="80"/>
      <c r="Z1623" s="80"/>
      <c r="AA1623" s="80"/>
      <c r="AB1623" s="80"/>
      <c r="AC1623" s="80"/>
      <c r="AD1623" s="80"/>
      <c r="AE1623" s="80"/>
      <c r="AF1623" s="80"/>
      <c r="AG1623" s="80"/>
      <c r="AH1623" s="80"/>
      <c r="AI1623" s="80"/>
    </row>
    <row r="1624" spans="1:35" x14ac:dyDescent="0.2">
      <c r="A1624" s="80"/>
      <c r="B1624" s="80"/>
      <c r="C1624" s="80"/>
      <c r="D1624" s="80"/>
      <c r="E1624" s="80"/>
      <c r="F1624" s="80"/>
      <c r="G1624" s="80"/>
      <c r="H1624" s="80"/>
      <c r="I1624" s="80"/>
      <c r="J1624" s="80"/>
      <c r="K1624" s="80"/>
      <c r="L1624" s="2"/>
      <c r="M1624" s="2"/>
      <c r="N1624" s="2"/>
      <c r="O1624" s="2"/>
      <c r="P1624" s="2"/>
      <c r="Q1624" s="2"/>
      <c r="R1624" s="80"/>
      <c r="S1624" s="80"/>
      <c r="T1624" s="80"/>
      <c r="U1624" s="80"/>
      <c r="V1624" s="80"/>
      <c r="W1624" s="80"/>
      <c r="X1624" s="80"/>
      <c r="Y1624" s="80"/>
      <c r="Z1624" s="80"/>
      <c r="AA1624" s="80"/>
      <c r="AB1624" s="80"/>
      <c r="AC1624" s="80"/>
      <c r="AD1624" s="80"/>
      <c r="AE1624" s="80"/>
      <c r="AF1624" s="80"/>
      <c r="AG1624" s="80"/>
      <c r="AH1624" s="80"/>
      <c r="AI1624" s="80"/>
    </row>
    <row r="1625" spans="1:35" x14ac:dyDescent="0.2">
      <c r="A1625" s="80"/>
      <c r="B1625" s="80"/>
      <c r="C1625" s="80"/>
      <c r="D1625" s="80"/>
      <c r="E1625" s="80"/>
      <c r="F1625" s="80"/>
      <c r="G1625" s="80"/>
      <c r="H1625" s="80"/>
      <c r="I1625" s="80"/>
      <c r="J1625" s="80"/>
      <c r="K1625" s="80"/>
      <c r="L1625" s="2"/>
      <c r="M1625" s="2"/>
      <c r="N1625" s="2"/>
      <c r="O1625" s="2"/>
      <c r="P1625" s="2"/>
      <c r="Q1625" s="2"/>
      <c r="R1625" s="80"/>
      <c r="S1625" s="80"/>
      <c r="T1625" s="80"/>
      <c r="U1625" s="80"/>
      <c r="V1625" s="80"/>
      <c r="W1625" s="80"/>
      <c r="X1625" s="80"/>
      <c r="Y1625" s="80"/>
      <c r="Z1625" s="80"/>
      <c r="AA1625" s="80"/>
      <c r="AB1625" s="80"/>
      <c r="AC1625" s="80"/>
      <c r="AD1625" s="80"/>
      <c r="AE1625" s="80"/>
      <c r="AF1625" s="80"/>
      <c r="AG1625" s="80"/>
      <c r="AH1625" s="80"/>
      <c r="AI1625" s="80"/>
    </row>
    <row r="1626" spans="1:35" x14ac:dyDescent="0.2">
      <c r="A1626" s="80"/>
      <c r="B1626" s="80"/>
      <c r="C1626" s="80"/>
      <c r="D1626" s="80"/>
      <c r="E1626" s="80"/>
      <c r="F1626" s="80"/>
      <c r="G1626" s="80"/>
      <c r="H1626" s="80"/>
      <c r="I1626" s="80"/>
      <c r="J1626" s="80"/>
      <c r="K1626" s="80"/>
      <c r="L1626" s="2"/>
      <c r="M1626" s="2"/>
      <c r="N1626" s="2"/>
      <c r="O1626" s="2"/>
      <c r="P1626" s="2"/>
      <c r="Q1626" s="2"/>
      <c r="R1626" s="80"/>
      <c r="S1626" s="80"/>
      <c r="T1626" s="80"/>
      <c r="U1626" s="80"/>
      <c r="V1626" s="80"/>
      <c r="W1626" s="80"/>
      <c r="X1626" s="80"/>
      <c r="Y1626" s="80"/>
      <c r="Z1626" s="80"/>
      <c r="AA1626" s="80"/>
      <c r="AB1626" s="80"/>
      <c r="AC1626" s="80"/>
      <c r="AD1626" s="80"/>
      <c r="AE1626" s="80"/>
      <c r="AF1626" s="80"/>
      <c r="AG1626" s="80"/>
      <c r="AH1626" s="80"/>
      <c r="AI1626" s="80"/>
    </row>
    <row r="1627" spans="1:35" x14ac:dyDescent="0.2">
      <c r="A1627" s="80"/>
      <c r="B1627" s="80"/>
      <c r="C1627" s="80"/>
      <c r="D1627" s="80"/>
      <c r="E1627" s="80"/>
      <c r="F1627" s="80"/>
      <c r="G1627" s="80"/>
      <c r="H1627" s="80"/>
      <c r="I1627" s="80"/>
      <c r="J1627" s="80"/>
      <c r="K1627" s="80"/>
      <c r="L1627" s="2"/>
      <c r="M1627" s="2"/>
      <c r="N1627" s="2"/>
      <c r="O1627" s="2"/>
      <c r="P1627" s="2"/>
      <c r="Q1627" s="2"/>
      <c r="R1627" s="80"/>
      <c r="S1627" s="80"/>
      <c r="T1627" s="80"/>
      <c r="U1627" s="80"/>
      <c r="V1627" s="80"/>
      <c r="W1627" s="80"/>
      <c r="X1627" s="80"/>
      <c r="Y1627" s="80"/>
      <c r="Z1627" s="80"/>
      <c r="AA1627" s="80"/>
      <c r="AB1627" s="80"/>
      <c r="AC1627" s="80"/>
      <c r="AD1627" s="80"/>
      <c r="AE1627" s="80"/>
      <c r="AF1627" s="80"/>
      <c r="AG1627" s="80"/>
      <c r="AH1627" s="80"/>
      <c r="AI1627" s="80"/>
    </row>
    <row r="1628" spans="1:35" x14ac:dyDescent="0.2">
      <c r="A1628" s="80"/>
      <c r="B1628" s="80"/>
      <c r="C1628" s="80"/>
      <c r="D1628" s="80"/>
      <c r="E1628" s="80"/>
      <c r="F1628" s="80"/>
      <c r="G1628" s="80"/>
      <c r="H1628" s="80"/>
      <c r="I1628" s="80"/>
      <c r="J1628" s="80"/>
      <c r="K1628" s="80"/>
      <c r="L1628" s="2"/>
      <c r="M1628" s="2"/>
      <c r="N1628" s="2"/>
      <c r="O1628" s="2"/>
      <c r="P1628" s="2"/>
      <c r="Q1628" s="2"/>
      <c r="R1628" s="80"/>
      <c r="S1628" s="80"/>
      <c r="T1628" s="80"/>
      <c r="U1628" s="80"/>
      <c r="V1628" s="80"/>
      <c r="W1628" s="80"/>
      <c r="X1628" s="80"/>
      <c r="Y1628" s="80"/>
      <c r="Z1628" s="80"/>
      <c r="AA1628" s="80"/>
      <c r="AB1628" s="80"/>
      <c r="AC1628" s="80"/>
      <c r="AD1628" s="80"/>
      <c r="AE1628" s="80"/>
      <c r="AF1628" s="80"/>
      <c r="AG1628" s="80"/>
      <c r="AH1628" s="80"/>
      <c r="AI1628" s="80"/>
    </row>
    <row r="1629" spans="1:35" x14ac:dyDescent="0.2">
      <c r="A1629" s="80"/>
      <c r="B1629" s="80"/>
      <c r="C1629" s="80"/>
      <c r="D1629" s="80"/>
      <c r="E1629" s="80"/>
      <c r="F1629" s="80"/>
      <c r="G1629" s="80"/>
      <c r="H1629" s="80"/>
      <c r="I1629" s="80"/>
      <c r="J1629" s="80"/>
      <c r="K1629" s="80"/>
      <c r="L1629" s="2"/>
      <c r="M1629" s="2"/>
      <c r="N1629" s="2"/>
      <c r="O1629" s="2"/>
      <c r="P1629" s="2"/>
      <c r="Q1629" s="2"/>
      <c r="R1629" s="80"/>
      <c r="S1629" s="80"/>
      <c r="T1629" s="80"/>
      <c r="U1629" s="80"/>
      <c r="V1629" s="80"/>
      <c r="W1629" s="80"/>
      <c r="X1629" s="80"/>
      <c r="Y1629" s="80"/>
      <c r="Z1629" s="80"/>
      <c r="AA1629" s="80"/>
      <c r="AB1629" s="80"/>
      <c r="AC1629" s="80"/>
      <c r="AD1629" s="80"/>
      <c r="AE1629" s="80"/>
      <c r="AF1629" s="80"/>
      <c r="AG1629" s="80"/>
      <c r="AH1629" s="80"/>
      <c r="AI1629" s="80"/>
    </row>
    <row r="1630" spans="1:35" x14ac:dyDescent="0.2">
      <c r="A1630" s="80"/>
      <c r="B1630" s="80"/>
      <c r="C1630" s="80"/>
      <c r="D1630" s="80"/>
      <c r="E1630" s="80"/>
      <c r="F1630" s="80"/>
      <c r="G1630" s="80"/>
      <c r="H1630" s="80"/>
      <c r="I1630" s="80"/>
      <c r="J1630" s="80"/>
      <c r="K1630" s="80"/>
      <c r="L1630" s="2"/>
      <c r="M1630" s="2"/>
      <c r="N1630" s="2"/>
      <c r="O1630" s="2"/>
      <c r="P1630" s="2"/>
      <c r="Q1630" s="2"/>
      <c r="R1630" s="80"/>
      <c r="S1630" s="80"/>
      <c r="T1630" s="80"/>
      <c r="U1630" s="80"/>
      <c r="V1630" s="80"/>
      <c r="W1630" s="80"/>
      <c r="X1630" s="80"/>
      <c r="Y1630" s="80"/>
      <c r="Z1630" s="80"/>
      <c r="AA1630" s="80"/>
      <c r="AB1630" s="80"/>
      <c r="AC1630" s="80"/>
      <c r="AD1630" s="80"/>
      <c r="AE1630" s="80"/>
      <c r="AF1630" s="80"/>
      <c r="AG1630" s="80"/>
      <c r="AH1630" s="80"/>
      <c r="AI1630" s="80"/>
    </row>
    <row r="1631" spans="1:35" x14ac:dyDescent="0.2">
      <c r="A1631" s="80"/>
      <c r="B1631" s="80"/>
      <c r="C1631" s="80"/>
      <c r="D1631" s="80"/>
      <c r="E1631" s="80"/>
      <c r="F1631" s="80"/>
      <c r="G1631" s="80"/>
      <c r="H1631" s="80"/>
      <c r="I1631" s="80"/>
      <c r="J1631" s="80"/>
      <c r="K1631" s="80"/>
      <c r="L1631" s="2"/>
      <c r="M1631" s="2"/>
      <c r="N1631" s="2"/>
      <c r="O1631" s="2"/>
      <c r="P1631" s="2"/>
      <c r="Q1631" s="2"/>
      <c r="R1631" s="80"/>
      <c r="S1631" s="80"/>
      <c r="T1631" s="80"/>
      <c r="U1631" s="80"/>
      <c r="V1631" s="80"/>
      <c r="W1631" s="80"/>
      <c r="X1631" s="80"/>
      <c r="Y1631" s="80"/>
      <c r="Z1631" s="80"/>
      <c r="AA1631" s="80"/>
      <c r="AB1631" s="80"/>
      <c r="AC1631" s="80"/>
      <c r="AD1631" s="80"/>
      <c r="AE1631" s="80"/>
      <c r="AF1631" s="80"/>
      <c r="AG1631" s="80"/>
      <c r="AH1631" s="80"/>
      <c r="AI1631" s="80"/>
    </row>
    <row r="1632" spans="1:35" x14ac:dyDescent="0.2">
      <c r="A1632" s="80"/>
      <c r="B1632" s="80"/>
      <c r="C1632" s="80"/>
      <c r="D1632" s="80"/>
      <c r="E1632" s="80"/>
      <c r="F1632" s="80"/>
      <c r="G1632" s="80"/>
      <c r="H1632" s="80"/>
      <c r="I1632" s="80"/>
      <c r="J1632" s="80"/>
      <c r="K1632" s="80"/>
      <c r="L1632" s="2"/>
      <c r="M1632" s="2"/>
      <c r="N1632" s="2"/>
      <c r="O1632" s="2"/>
      <c r="P1632" s="2"/>
      <c r="Q1632" s="2"/>
      <c r="R1632" s="80"/>
      <c r="S1632" s="80"/>
      <c r="T1632" s="80"/>
      <c r="U1632" s="80"/>
      <c r="V1632" s="80"/>
      <c r="W1632" s="80"/>
      <c r="X1632" s="80"/>
      <c r="Y1632" s="80"/>
      <c r="Z1632" s="80"/>
      <c r="AA1632" s="80"/>
      <c r="AB1632" s="80"/>
      <c r="AC1632" s="80"/>
      <c r="AD1632" s="80"/>
      <c r="AE1632" s="80"/>
      <c r="AF1632" s="80"/>
      <c r="AG1632" s="80"/>
      <c r="AH1632" s="80"/>
      <c r="AI1632" s="80"/>
    </row>
    <row r="1633" spans="1:35" x14ac:dyDescent="0.2">
      <c r="A1633" s="80"/>
      <c r="B1633" s="80"/>
      <c r="C1633" s="80"/>
      <c r="D1633" s="80"/>
      <c r="E1633" s="80"/>
      <c r="F1633" s="80"/>
      <c r="G1633" s="80"/>
      <c r="H1633" s="80"/>
      <c r="I1633" s="80"/>
      <c r="J1633" s="80"/>
      <c r="K1633" s="80"/>
      <c r="L1633" s="2"/>
      <c r="M1633" s="2"/>
      <c r="N1633" s="2"/>
      <c r="O1633" s="2"/>
      <c r="P1633" s="2"/>
      <c r="Q1633" s="2"/>
      <c r="R1633" s="80"/>
      <c r="S1633" s="80"/>
      <c r="T1633" s="80"/>
      <c r="U1633" s="80"/>
      <c r="V1633" s="80"/>
      <c r="W1633" s="80"/>
      <c r="X1633" s="80"/>
      <c r="Y1633" s="80"/>
      <c r="Z1633" s="80"/>
      <c r="AA1633" s="80"/>
      <c r="AB1633" s="80"/>
      <c r="AC1633" s="80"/>
      <c r="AD1633" s="80"/>
      <c r="AE1633" s="80"/>
      <c r="AF1633" s="80"/>
      <c r="AG1633" s="80"/>
      <c r="AH1633" s="80"/>
      <c r="AI1633" s="80"/>
    </row>
    <row r="1634" spans="1:35" x14ac:dyDescent="0.2">
      <c r="A1634" s="80"/>
      <c r="B1634" s="80"/>
      <c r="C1634" s="80"/>
      <c r="D1634" s="80"/>
      <c r="E1634" s="80"/>
      <c r="F1634" s="80"/>
      <c r="G1634" s="80"/>
      <c r="H1634" s="80"/>
      <c r="I1634" s="80"/>
      <c r="J1634" s="80"/>
      <c r="K1634" s="80"/>
      <c r="L1634" s="2"/>
      <c r="M1634" s="2"/>
      <c r="N1634" s="2"/>
      <c r="O1634" s="2"/>
      <c r="P1634" s="2"/>
      <c r="Q1634" s="2"/>
      <c r="R1634" s="80"/>
      <c r="S1634" s="80"/>
      <c r="T1634" s="80"/>
      <c r="U1634" s="80"/>
      <c r="V1634" s="80"/>
      <c r="W1634" s="80"/>
      <c r="X1634" s="80"/>
      <c r="Y1634" s="80"/>
      <c r="Z1634" s="80"/>
      <c r="AA1634" s="80"/>
      <c r="AB1634" s="80"/>
      <c r="AC1634" s="80"/>
      <c r="AD1634" s="80"/>
      <c r="AE1634" s="80"/>
      <c r="AF1634" s="80"/>
      <c r="AG1634" s="80"/>
      <c r="AH1634" s="80"/>
      <c r="AI1634" s="80"/>
    </row>
    <row r="1635" spans="1:35" x14ac:dyDescent="0.2">
      <c r="A1635" s="80"/>
      <c r="B1635" s="80"/>
      <c r="C1635" s="80"/>
      <c r="D1635" s="80"/>
      <c r="E1635" s="80"/>
      <c r="F1635" s="80"/>
      <c r="G1635" s="80"/>
      <c r="H1635" s="80"/>
      <c r="I1635" s="80"/>
      <c r="J1635" s="80"/>
      <c r="K1635" s="80"/>
      <c r="L1635" s="2"/>
      <c r="M1635" s="2"/>
      <c r="N1635" s="2"/>
      <c r="O1635" s="2"/>
      <c r="P1635" s="2"/>
      <c r="Q1635" s="2"/>
      <c r="R1635" s="80"/>
      <c r="S1635" s="80"/>
      <c r="T1635" s="80"/>
      <c r="U1635" s="80"/>
      <c r="V1635" s="80"/>
      <c r="W1635" s="80"/>
      <c r="X1635" s="80"/>
      <c r="Y1635" s="80"/>
      <c r="Z1635" s="80"/>
      <c r="AA1635" s="80"/>
      <c r="AB1635" s="80"/>
      <c r="AC1635" s="80"/>
      <c r="AD1635" s="80"/>
      <c r="AE1635" s="80"/>
      <c r="AF1635" s="80"/>
      <c r="AG1635" s="80"/>
      <c r="AH1635" s="80"/>
      <c r="AI1635" s="80"/>
    </row>
    <row r="1636" spans="1:35" x14ac:dyDescent="0.2">
      <c r="A1636" s="80"/>
      <c r="B1636" s="80"/>
      <c r="C1636" s="80"/>
      <c r="D1636" s="80"/>
      <c r="E1636" s="80"/>
      <c r="F1636" s="80"/>
      <c r="G1636" s="80"/>
      <c r="H1636" s="80"/>
      <c r="I1636" s="80"/>
      <c r="J1636" s="80"/>
      <c r="K1636" s="80"/>
      <c r="L1636" s="2"/>
      <c r="M1636" s="2"/>
      <c r="N1636" s="2"/>
      <c r="O1636" s="2"/>
      <c r="P1636" s="2"/>
      <c r="Q1636" s="2"/>
      <c r="R1636" s="80"/>
      <c r="S1636" s="80"/>
      <c r="T1636" s="80"/>
      <c r="U1636" s="80"/>
      <c r="V1636" s="80"/>
      <c r="W1636" s="80"/>
      <c r="X1636" s="80"/>
      <c r="Y1636" s="80"/>
      <c r="Z1636" s="80"/>
      <c r="AA1636" s="80"/>
      <c r="AB1636" s="80"/>
      <c r="AC1636" s="80"/>
      <c r="AD1636" s="80"/>
      <c r="AE1636" s="80"/>
      <c r="AF1636" s="80"/>
      <c r="AG1636" s="80"/>
      <c r="AH1636" s="80"/>
      <c r="AI1636" s="80"/>
    </row>
    <row r="1637" spans="1:35" x14ac:dyDescent="0.2">
      <c r="A1637" s="80"/>
      <c r="B1637" s="80"/>
      <c r="C1637" s="80"/>
      <c r="D1637" s="80"/>
      <c r="E1637" s="80"/>
      <c r="F1637" s="80"/>
      <c r="G1637" s="80"/>
      <c r="H1637" s="80"/>
      <c r="I1637" s="80"/>
      <c r="J1637" s="80"/>
      <c r="K1637" s="80"/>
      <c r="L1637" s="2"/>
      <c r="M1637" s="2"/>
      <c r="N1637" s="2"/>
      <c r="O1637" s="2"/>
      <c r="P1637" s="2"/>
      <c r="Q1637" s="2"/>
      <c r="R1637" s="80"/>
      <c r="S1637" s="80"/>
      <c r="T1637" s="80"/>
      <c r="U1637" s="80"/>
      <c r="V1637" s="80"/>
      <c r="W1637" s="80"/>
      <c r="X1637" s="80"/>
      <c r="Y1637" s="80"/>
      <c r="Z1637" s="80"/>
      <c r="AA1637" s="80"/>
      <c r="AB1637" s="80"/>
      <c r="AC1637" s="80"/>
      <c r="AD1637" s="80"/>
      <c r="AE1637" s="80"/>
      <c r="AF1637" s="80"/>
      <c r="AG1637" s="80"/>
      <c r="AH1637" s="80"/>
      <c r="AI1637" s="80"/>
    </row>
    <row r="1638" spans="1:35" x14ac:dyDescent="0.2">
      <c r="A1638" s="80"/>
      <c r="B1638" s="80"/>
      <c r="C1638" s="80"/>
      <c r="D1638" s="80"/>
      <c r="E1638" s="80"/>
      <c r="F1638" s="80"/>
      <c r="G1638" s="80"/>
      <c r="H1638" s="80"/>
      <c r="I1638" s="80"/>
      <c r="J1638" s="80"/>
      <c r="K1638" s="80"/>
      <c r="L1638" s="2"/>
      <c r="M1638" s="2"/>
      <c r="N1638" s="2"/>
      <c r="O1638" s="2"/>
      <c r="P1638" s="2"/>
      <c r="Q1638" s="2"/>
      <c r="R1638" s="80"/>
      <c r="S1638" s="80"/>
      <c r="T1638" s="80"/>
      <c r="U1638" s="80"/>
      <c r="V1638" s="80"/>
      <c r="W1638" s="80"/>
      <c r="X1638" s="80"/>
      <c r="Y1638" s="80"/>
      <c r="Z1638" s="80"/>
      <c r="AA1638" s="80"/>
      <c r="AB1638" s="80"/>
      <c r="AC1638" s="80"/>
      <c r="AD1638" s="80"/>
      <c r="AE1638" s="80"/>
      <c r="AF1638" s="80"/>
      <c r="AG1638" s="80"/>
      <c r="AH1638" s="80"/>
      <c r="AI1638" s="80"/>
    </row>
    <row r="1639" spans="1:35" x14ac:dyDescent="0.2">
      <c r="A1639" s="80"/>
      <c r="B1639" s="80"/>
      <c r="C1639" s="80"/>
      <c r="D1639" s="80"/>
      <c r="E1639" s="80"/>
      <c r="F1639" s="80"/>
      <c r="G1639" s="80"/>
      <c r="H1639" s="80"/>
      <c r="I1639" s="80"/>
      <c r="J1639" s="80"/>
      <c r="K1639" s="80"/>
      <c r="L1639" s="2"/>
      <c r="M1639" s="2"/>
      <c r="N1639" s="2"/>
      <c r="O1639" s="2"/>
      <c r="P1639" s="2"/>
      <c r="Q1639" s="2"/>
      <c r="R1639" s="80"/>
      <c r="S1639" s="80"/>
      <c r="T1639" s="80"/>
      <c r="U1639" s="80"/>
      <c r="V1639" s="80"/>
      <c r="W1639" s="80"/>
      <c r="X1639" s="80"/>
      <c r="Y1639" s="80"/>
      <c r="Z1639" s="80"/>
      <c r="AA1639" s="80"/>
      <c r="AB1639" s="80"/>
      <c r="AC1639" s="80"/>
      <c r="AD1639" s="80"/>
      <c r="AE1639" s="80"/>
      <c r="AF1639" s="80"/>
      <c r="AG1639" s="80"/>
      <c r="AH1639" s="80"/>
      <c r="AI1639" s="80"/>
    </row>
    <row r="1640" spans="1:35" x14ac:dyDescent="0.2">
      <c r="A1640" s="80"/>
      <c r="B1640" s="80"/>
      <c r="C1640" s="80"/>
      <c r="D1640" s="80"/>
      <c r="E1640" s="80"/>
      <c r="F1640" s="80"/>
      <c r="G1640" s="80"/>
      <c r="H1640" s="80"/>
      <c r="I1640" s="80"/>
      <c r="J1640" s="80"/>
      <c r="K1640" s="80"/>
      <c r="L1640" s="2"/>
      <c r="M1640" s="2"/>
      <c r="N1640" s="2"/>
      <c r="O1640" s="2"/>
      <c r="P1640" s="2"/>
      <c r="Q1640" s="2"/>
      <c r="R1640" s="80"/>
      <c r="S1640" s="80"/>
      <c r="T1640" s="80"/>
      <c r="U1640" s="80"/>
      <c r="V1640" s="80"/>
      <c r="W1640" s="80"/>
      <c r="X1640" s="80"/>
      <c r="Y1640" s="80"/>
      <c r="Z1640" s="80"/>
      <c r="AA1640" s="80"/>
      <c r="AB1640" s="80"/>
      <c r="AC1640" s="80"/>
      <c r="AD1640" s="80"/>
      <c r="AE1640" s="80"/>
      <c r="AF1640" s="80"/>
      <c r="AG1640" s="80"/>
      <c r="AH1640" s="80"/>
      <c r="AI1640" s="80"/>
    </row>
    <row r="1641" spans="1:35" x14ac:dyDescent="0.2">
      <c r="A1641" s="80"/>
      <c r="B1641" s="80"/>
      <c r="C1641" s="80"/>
      <c r="D1641" s="80"/>
      <c r="E1641" s="80"/>
      <c r="F1641" s="80"/>
      <c r="G1641" s="80"/>
      <c r="H1641" s="80"/>
      <c r="I1641" s="80"/>
      <c r="J1641" s="80"/>
      <c r="K1641" s="80"/>
      <c r="L1641" s="2"/>
      <c r="M1641" s="2"/>
      <c r="N1641" s="2"/>
      <c r="O1641" s="2"/>
      <c r="P1641" s="2"/>
      <c r="Q1641" s="2"/>
      <c r="R1641" s="80"/>
      <c r="S1641" s="80"/>
      <c r="T1641" s="80"/>
      <c r="U1641" s="80"/>
      <c r="V1641" s="80"/>
      <c r="W1641" s="80"/>
      <c r="X1641" s="80"/>
      <c r="Y1641" s="80"/>
      <c r="Z1641" s="80"/>
      <c r="AA1641" s="80"/>
      <c r="AB1641" s="80"/>
      <c r="AC1641" s="80"/>
      <c r="AD1641" s="80"/>
      <c r="AE1641" s="80"/>
      <c r="AF1641" s="80"/>
      <c r="AG1641" s="80"/>
      <c r="AH1641" s="80"/>
      <c r="AI1641" s="80"/>
    </row>
    <row r="1642" spans="1:35" x14ac:dyDescent="0.2">
      <c r="A1642" s="80"/>
      <c r="B1642" s="80"/>
      <c r="C1642" s="80"/>
      <c r="D1642" s="80"/>
      <c r="E1642" s="80"/>
      <c r="F1642" s="80"/>
      <c r="G1642" s="80"/>
      <c r="H1642" s="80"/>
      <c r="I1642" s="80"/>
      <c r="J1642" s="80"/>
      <c r="K1642" s="80"/>
      <c r="L1642" s="2"/>
      <c r="M1642" s="2"/>
      <c r="N1642" s="2"/>
      <c r="O1642" s="2"/>
      <c r="P1642" s="2"/>
      <c r="Q1642" s="2"/>
      <c r="R1642" s="80"/>
      <c r="S1642" s="80"/>
      <c r="T1642" s="80"/>
      <c r="U1642" s="80"/>
      <c r="V1642" s="80"/>
      <c r="W1642" s="80"/>
      <c r="X1642" s="80"/>
      <c r="Y1642" s="80"/>
      <c r="Z1642" s="80"/>
      <c r="AA1642" s="80"/>
      <c r="AB1642" s="80"/>
      <c r="AC1642" s="80"/>
      <c r="AD1642" s="80"/>
      <c r="AE1642" s="80"/>
      <c r="AF1642" s="80"/>
      <c r="AG1642" s="80"/>
      <c r="AH1642" s="80"/>
      <c r="AI1642" s="80"/>
    </row>
    <row r="1643" spans="1:35" x14ac:dyDescent="0.2">
      <c r="A1643" s="80"/>
      <c r="B1643" s="80"/>
      <c r="C1643" s="80"/>
      <c r="D1643" s="80"/>
      <c r="E1643" s="80"/>
      <c r="F1643" s="80"/>
      <c r="G1643" s="80"/>
      <c r="H1643" s="80"/>
      <c r="I1643" s="80"/>
      <c r="J1643" s="80"/>
      <c r="K1643" s="80"/>
      <c r="L1643" s="2"/>
      <c r="M1643" s="2"/>
      <c r="N1643" s="2"/>
      <c r="O1643" s="2"/>
      <c r="P1643" s="2"/>
      <c r="Q1643" s="2"/>
      <c r="R1643" s="80"/>
      <c r="S1643" s="80"/>
      <c r="T1643" s="80"/>
      <c r="U1643" s="80"/>
      <c r="V1643" s="80"/>
      <c r="W1643" s="80"/>
      <c r="X1643" s="80"/>
      <c r="Y1643" s="80"/>
      <c r="Z1643" s="80"/>
      <c r="AA1643" s="80"/>
      <c r="AB1643" s="80"/>
      <c r="AC1643" s="80"/>
      <c r="AD1643" s="80"/>
      <c r="AE1643" s="80"/>
      <c r="AF1643" s="80"/>
      <c r="AG1643" s="80"/>
      <c r="AH1643" s="80"/>
      <c r="AI1643" s="80"/>
    </row>
    <row r="1644" spans="1:35" x14ac:dyDescent="0.2">
      <c r="A1644" s="80"/>
      <c r="B1644" s="80"/>
      <c r="C1644" s="80"/>
      <c r="D1644" s="80"/>
      <c r="E1644" s="80"/>
      <c r="F1644" s="80"/>
      <c r="G1644" s="80"/>
      <c r="H1644" s="80"/>
      <c r="I1644" s="80"/>
      <c r="J1644" s="80"/>
      <c r="K1644" s="80"/>
      <c r="L1644" s="2"/>
      <c r="M1644" s="2"/>
      <c r="N1644" s="2"/>
      <c r="O1644" s="2"/>
      <c r="P1644" s="2"/>
      <c r="Q1644" s="2"/>
      <c r="R1644" s="80"/>
      <c r="S1644" s="80"/>
      <c r="T1644" s="80"/>
      <c r="U1644" s="80"/>
      <c r="V1644" s="80"/>
      <c r="W1644" s="80"/>
      <c r="X1644" s="80"/>
      <c r="Y1644" s="80"/>
      <c r="Z1644" s="80"/>
      <c r="AA1644" s="80"/>
      <c r="AB1644" s="80"/>
      <c r="AC1644" s="80"/>
      <c r="AD1644" s="80"/>
      <c r="AE1644" s="80"/>
      <c r="AF1644" s="80"/>
      <c r="AG1644" s="80"/>
      <c r="AH1644" s="80"/>
      <c r="AI1644" s="80"/>
    </row>
    <row r="1645" spans="1:35" x14ac:dyDescent="0.2">
      <c r="A1645" s="80"/>
      <c r="B1645" s="80"/>
      <c r="C1645" s="80"/>
      <c r="D1645" s="80"/>
      <c r="E1645" s="80"/>
      <c r="F1645" s="80"/>
      <c r="G1645" s="80"/>
      <c r="H1645" s="80"/>
      <c r="I1645" s="80"/>
      <c r="J1645" s="80"/>
      <c r="K1645" s="80"/>
      <c r="L1645" s="2"/>
      <c r="M1645" s="2"/>
      <c r="N1645" s="2"/>
      <c r="O1645" s="2"/>
      <c r="P1645" s="2"/>
      <c r="Q1645" s="2"/>
      <c r="R1645" s="80"/>
      <c r="S1645" s="80"/>
      <c r="T1645" s="80"/>
      <c r="U1645" s="80"/>
      <c r="V1645" s="80"/>
      <c r="W1645" s="80"/>
      <c r="X1645" s="80"/>
      <c r="Y1645" s="80"/>
      <c r="Z1645" s="80"/>
      <c r="AA1645" s="80"/>
      <c r="AB1645" s="80"/>
      <c r="AC1645" s="80"/>
      <c r="AD1645" s="80"/>
      <c r="AE1645" s="80"/>
      <c r="AF1645" s="80"/>
      <c r="AG1645" s="80"/>
      <c r="AH1645" s="80"/>
      <c r="AI1645" s="80"/>
    </row>
    <row r="1646" spans="1:35" x14ac:dyDescent="0.2">
      <c r="A1646" s="80"/>
      <c r="B1646" s="80"/>
      <c r="C1646" s="80"/>
      <c r="D1646" s="80"/>
      <c r="E1646" s="80"/>
      <c r="F1646" s="80"/>
      <c r="G1646" s="80"/>
      <c r="H1646" s="80"/>
      <c r="I1646" s="80"/>
      <c r="J1646" s="80"/>
      <c r="K1646" s="80"/>
      <c r="L1646" s="2"/>
      <c r="M1646" s="2"/>
      <c r="N1646" s="2"/>
      <c r="O1646" s="2"/>
      <c r="P1646" s="2"/>
      <c r="Q1646" s="2"/>
      <c r="R1646" s="80"/>
      <c r="S1646" s="80"/>
      <c r="T1646" s="80"/>
      <c r="U1646" s="80"/>
      <c r="V1646" s="80"/>
      <c r="W1646" s="80"/>
      <c r="X1646" s="80"/>
      <c r="Y1646" s="80"/>
      <c r="Z1646" s="80"/>
      <c r="AA1646" s="80"/>
      <c r="AB1646" s="80"/>
      <c r="AC1646" s="80"/>
      <c r="AD1646" s="80"/>
      <c r="AE1646" s="80"/>
      <c r="AF1646" s="80"/>
      <c r="AG1646" s="80"/>
      <c r="AH1646" s="80"/>
      <c r="AI1646" s="80"/>
    </row>
    <row r="1647" spans="1:35" x14ac:dyDescent="0.2">
      <c r="A1647" s="80"/>
      <c r="B1647" s="80"/>
      <c r="C1647" s="80"/>
      <c r="D1647" s="80"/>
      <c r="E1647" s="80"/>
      <c r="F1647" s="80"/>
      <c r="G1647" s="80"/>
      <c r="H1647" s="80"/>
      <c r="I1647" s="80"/>
      <c r="J1647" s="80"/>
      <c r="K1647" s="80"/>
      <c r="L1647" s="2"/>
      <c r="M1647" s="2"/>
      <c r="N1647" s="2"/>
      <c r="O1647" s="2"/>
      <c r="P1647" s="2"/>
      <c r="Q1647" s="2"/>
      <c r="R1647" s="80"/>
      <c r="S1647" s="80"/>
      <c r="T1647" s="80"/>
      <c r="U1647" s="80"/>
      <c r="V1647" s="80"/>
      <c r="W1647" s="80"/>
      <c r="X1647" s="80"/>
      <c r="Y1647" s="80"/>
      <c r="Z1647" s="80"/>
      <c r="AA1647" s="80"/>
      <c r="AB1647" s="80"/>
      <c r="AC1647" s="80"/>
      <c r="AD1647" s="80"/>
      <c r="AE1647" s="80"/>
      <c r="AF1647" s="80"/>
      <c r="AG1647" s="80"/>
      <c r="AH1647" s="80"/>
      <c r="AI1647" s="80"/>
    </row>
    <row r="1648" spans="1:35" x14ac:dyDescent="0.2">
      <c r="A1648" s="80"/>
      <c r="B1648" s="80"/>
      <c r="C1648" s="80"/>
      <c r="D1648" s="80"/>
      <c r="E1648" s="80"/>
      <c r="F1648" s="80"/>
      <c r="G1648" s="80"/>
      <c r="H1648" s="80"/>
      <c r="I1648" s="80"/>
      <c r="J1648" s="80"/>
      <c r="K1648" s="80"/>
      <c r="L1648" s="2"/>
      <c r="M1648" s="2"/>
      <c r="N1648" s="2"/>
      <c r="O1648" s="2"/>
      <c r="P1648" s="2"/>
      <c r="Q1648" s="2"/>
      <c r="R1648" s="80"/>
      <c r="S1648" s="80"/>
      <c r="T1648" s="80"/>
      <c r="U1648" s="80"/>
      <c r="V1648" s="80"/>
      <c r="W1648" s="80"/>
      <c r="X1648" s="80"/>
      <c r="Y1648" s="80"/>
      <c r="Z1648" s="80"/>
      <c r="AA1648" s="80"/>
      <c r="AB1648" s="80"/>
      <c r="AC1648" s="80"/>
      <c r="AD1648" s="80"/>
      <c r="AE1648" s="80"/>
      <c r="AF1648" s="80"/>
      <c r="AG1648" s="80"/>
      <c r="AH1648" s="80"/>
      <c r="AI1648" s="80"/>
    </row>
    <row r="1649" spans="1:35" x14ac:dyDescent="0.2">
      <c r="A1649" s="80"/>
      <c r="B1649" s="80"/>
      <c r="C1649" s="80"/>
      <c r="D1649" s="80"/>
      <c r="E1649" s="80"/>
      <c r="F1649" s="80"/>
      <c r="G1649" s="80"/>
      <c r="H1649" s="80"/>
      <c r="I1649" s="80"/>
      <c r="J1649" s="80"/>
      <c r="K1649" s="80"/>
      <c r="L1649" s="2"/>
      <c r="M1649" s="2"/>
      <c r="N1649" s="2"/>
      <c r="O1649" s="2"/>
      <c r="P1649" s="2"/>
      <c r="Q1649" s="2"/>
      <c r="R1649" s="80"/>
      <c r="S1649" s="80"/>
      <c r="T1649" s="80"/>
      <c r="U1649" s="80"/>
      <c r="V1649" s="80"/>
      <c r="W1649" s="80"/>
      <c r="X1649" s="80"/>
      <c r="Y1649" s="80"/>
      <c r="Z1649" s="80"/>
      <c r="AA1649" s="80"/>
      <c r="AB1649" s="80"/>
      <c r="AC1649" s="80"/>
      <c r="AD1649" s="80"/>
      <c r="AE1649" s="80"/>
      <c r="AF1649" s="80"/>
      <c r="AG1649" s="80"/>
      <c r="AH1649" s="80"/>
      <c r="AI1649" s="80"/>
    </row>
    <row r="1650" spans="1:35" x14ac:dyDescent="0.2">
      <c r="A1650" s="80"/>
      <c r="B1650" s="80"/>
      <c r="C1650" s="80"/>
      <c r="D1650" s="80"/>
      <c r="E1650" s="80"/>
      <c r="F1650" s="80"/>
      <c r="G1650" s="80"/>
      <c r="H1650" s="80"/>
      <c r="I1650" s="80"/>
      <c r="J1650" s="80"/>
      <c r="K1650" s="80"/>
      <c r="L1650" s="2"/>
      <c r="M1650" s="2"/>
      <c r="N1650" s="2"/>
      <c r="O1650" s="2"/>
      <c r="P1650" s="2"/>
      <c r="Q1650" s="2"/>
      <c r="R1650" s="80"/>
      <c r="S1650" s="80"/>
      <c r="T1650" s="80"/>
      <c r="U1650" s="80"/>
      <c r="V1650" s="80"/>
      <c r="W1650" s="80"/>
      <c r="X1650" s="80"/>
      <c r="Y1650" s="80"/>
      <c r="Z1650" s="80"/>
      <c r="AA1650" s="80"/>
      <c r="AB1650" s="80"/>
      <c r="AC1650" s="80"/>
      <c r="AD1650" s="80"/>
      <c r="AE1650" s="80"/>
      <c r="AF1650" s="80"/>
      <c r="AG1650" s="80"/>
      <c r="AH1650" s="80"/>
      <c r="AI1650" s="80"/>
    </row>
    <row r="1651" spans="1:35" x14ac:dyDescent="0.2">
      <c r="A1651" s="80"/>
      <c r="B1651" s="80"/>
      <c r="C1651" s="80"/>
      <c r="D1651" s="80"/>
      <c r="E1651" s="80"/>
      <c r="F1651" s="80"/>
      <c r="G1651" s="80"/>
      <c r="H1651" s="80"/>
      <c r="I1651" s="80"/>
      <c r="J1651" s="80"/>
      <c r="K1651" s="80"/>
      <c r="L1651" s="2"/>
      <c r="M1651" s="2"/>
      <c r="N1651" s="2"/>
      <c r="O1651" s="2"/>
      <c r="P1651" s="2"/>
      <c r="Q1651" s="2"/>
      <c r="R1651" s="80"/>
      <c r="S1651" s="80"/>
      <c r="T1651" s="80"/>
      <c r="U1651" s="80"/>
      <c r="V1651" s="80"/>
      <c r="W1651" s="80"/>
      <c r="X1651" s="80"/>
      <c r="Y1651" s="80"/>
      <c r="Z1651" s="80"/>
      <c r="AA1651" s="80"/>
      <c r="AB1651" s="80"/>
      <c r="AC1651" s="80"/>
      <c r="AD1651" s="80"/>
      <c r="AE1651" s="80"/>
      <c r="AF1651" s="80"/>
      <c r="AG1651" s="80"/>
      <c r="AH1651" s="80"/>
      <c r="AI1651" s="80"/>
    </row>
    <row r="1652" spans="1:35" x14ac:dyDescent="0.2">
      <c r="A1652" s="80"/>
      <c r="B1652" s="80"/>
      <c r="C1652" s="80"/>
      <c r="D1652" s="80"/>
      <c r="E1652" s="80"/>
      <c r="F1652" s="80"/>
      <c r="G1652" s="80"/>
      <c r="H1652" s="80"/>
      <c r="I1652" s="80"/>
      <c r="J1652" s="80"/>
      <c r="K1652" s="80"/>
      <c r="L1652" s="2"/>
      <c r="M1652" s="2"/>
      <c r="N1652" s="2"/>
      <c r="O1652" s="2"/>
      <c r="P1652" s="2"/>
      <c r="Q1652" s="2"/>
      <c r="R1652" s="80"/>
      <c r="S1652" s="80"/>
      <c r="T1652" s="80"/>
      <c r="U1652" s="80"/>
      <c r="V1652" s="80"/>
      <c r="W1652" s="80"/>
      <c r="X1652" s="80"/>
      <c r="Y1652" s="80"/>
      <c r="Z1652" s="80"/>
      <c r="AA1652" s="80"/>
      <c r="AB1652" s="80"/>
      <c r="AC1652" s="80"/>
      <c r="AD1652" s="80"/>
      <c r="AE1652" s="80"/>
      <c r="AF1652" s="80"/>
      <c r="AG1652" s="80"/>
      <c r="AH1652" s="80"/>
      <c r="AI1652" s="80"/>
    </row>
    <row r="1653" spans="1:35" x14ac:dyDescent="0.2">
      <c r="A1653" s="80"/>
      <c r="B1653" s="80"/>
      <c r="C1653" s="80"/>
      <c r="D1653" s="80"/>
      <c r="E1653" s="80"/>
      <c r="F1653" s="80"/>
      <c r="G1653" s="80"/>
      <c r="H1653" s="80"/>
      <c r="I1653" s="80"/>
      <c r="J1653" s="80"/>
      <c r="K1653" s="80"/>
      <c r="L1653" s="2"/>
      <c r="M1653" s="2"/>
      <c r="N1653" s="2"/>
      <c r="O1653" s="2"/>
      <c r="P1653" s="2"/>
      <c r="Q1653" s="2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E1653" s="80"/>
      <c r="AF1653" s="80"/>
      <c r="AG1653" s="80"/>
      <c r="AH1653" s="80"/>
      <c r="AI1653" s="80"/>
    </row>
    <row r="1654" spans="1:35" x14ac:dyDescent="0.2">
      <c r="A1654" s="80"/>
      <c r="B1654" s="80"/>
      <c r="C1654" s="80"/>
      <c r="D1654" s="80"/>
      <c r="E1654" s="80"/>
      <c r="F1654" s="80"/>
      <c r="G1654" s="80"/>
      <c r="H1654" s="80"/>
      <c r="I1654" s="80"/>
      <c r="J1654" s="80"/>
      <c r="K1654" s="80"/>
      <c r="L1654" s="2"/>
      <c r="M1654" s="2"/>
      <c r="N1654" s="2"/>
      <c r="O1654" s="2"/>
      <c r="P1654" s="2"/>
      <c r="Q1654" s="2"/>
      <c r="R1654" s="80"/>
      <c r="S1654" s="80"/>
      <c r="T1654" s="80"/>
      <c r="U1654" s="80"/>
      <c r="V1654" s="80"/>
      <c r="W1654" s="80"/>
      <c r="X1654" s="80"/>
      <c r="Y1654" s="80"/>
      <c r="Z1654" s="80"/>
      <c r="AA1654" s="80"/>
      <c r="AB1654" s="80"/>
      <c r="AC1654" s="80"/>
      <c r="AD1654" s="80"/>
      <c r="AE1654" s="80"/>
      <c r="AF1654" s="80"/>
      <c r="AG1654" s="80"/>
      <c r="AH1654" s="80"/>
      <c r="AI1654" s="80"/>
    </row>
    <row r="1655" spans="1:35" x14ac:dyDescent="0.2">
      <c r="A1655" s="80"/>
      <c r="B1655" s="80"/>
      <c r="C1655" s="80"/>
      <c r="D1655" s="80"/>
      <c r="E1655" s="80"/>
      <c r="F1655" s="80"/>
      <c r="G1655" s="80"/>
      <c r="H1655" s="80"/>
      <c r="I1655" s="80"/>
      <c r="J1655" s="80"/>
      <c r="K1655" s="80"/>
      <c r="L1655" s="2"/>
      <c r="M1655" s="2"/>
      <c r="N1655" s="2"/>
      <c r="O1655" s="2"/>
      <c r="P1655" s="2"/>
      <c r="Q1655" s="2"/>
      <c r="R1655" s="80"/>
      <c r="S1655" s="80"/>
      <c r="T1655" s="80"/>
      <c r="U1655" s="80"/>
      <c r="V1655" s="80"/>
      <c r="W1655" s="80"/>
      <c r="X1655" s="80"/>
      <c r="Y1655" s="80"/>
      <c r="Z1655" s="80"/>
      <c r="AA1655" s="80"/>
      <c r="AB1655" s="80"/>
      <c r="AC1655" s="80"/>
      <c r="AD1655" s="80"/>
      <c r="AE1655" s="80"/>
      <c r="AF1655" s="80"/>
      <c r="AG1655" s="80"/>
      <c r="AH1655" s="80"/>
      <c r="AI1655" s="80"/>
    </row>
    <row r="1656" spans="1:35" x14ac:dyDescent="0.2">
      <c r="A1656" s="80"/>
      <c r="B1656" s="80"/>
      <c r="C1656" s="80"/>
      <c r="D1656" s="80"/>
      <c r="E1656" s="80"/>
      <c r="F1656" s="80"/>
      <c r="G1656" s="80"/>
      <c r="H1656" s="80"/>
      <c r="I1656" s="80"/>
      <c r="J1656" s="80"/>
      <c r="K1656" s="80"/>
      <c r="L1656" s="2"/>
      <c r="M1656" s="2"/>
      <c r="N1656" s="2"/>
      <c r="O1656" s="2"/>
      <c r="P1656" s="2"/>
      <c r="Q1656" s="2"/>
      <c r="R1656" s="80"/>
      <c r="S1656" s="80"/>
      <c r="T1656" s="80"/>
      <c r="U1656" s="80"/>
      <c r="V1656" s="80"/>
      <c r="W1656" s="80"/>
      <c r="X1656" s="80"/>
      <c r="Y1656" s="80"/>
      <c r="Z1656" s="80"/>
      <c r="AA1656" s="80"/>
      <c r="AB1656" s="80"/>
      <c r="AC1656" s="80"/>
      <c r="AD1656" s="80"/>
      <c r="AE1656" s="80"/>
      <c r="AF1656" s="80"/>
      <c r="AG1656" s="80"/>
      <c r="AH1656" s="80"/>
      <c r="AI1656" s="80"/>
    </row>
    <row r="1657" spans="1:35" x14ac:dyDescent="0.2">
      <c r="A1657" s="80"/>
      <c r="B1657" s="80"/>
      <c r="C1657" s="80"/>
      <c r="D1657" s="80"/>
      <c r="E1657" s="80"/>
      <c r="F1657" s="80"/>
      <c r="G1657" s="80"/>
      <c r="H1657" s="80"/>
      <c r="I1657" s="80"/>
      <c r="J1657" s="80"/>
      <c r="K1657" s="80"/>
      <c r="L1657" s="2"/>
      <c r="M1657" s="2"/>
      <c r="N1657" s="2"/>
      <c r="O1657" s="2"/>
      <c r="P1657" s="2"/>
      <c r="Q1657" s="2"/>
      <c r="R1657" s="80"/>
      <c r="S1657" s="80"/>
      <c r="T1657" s="80"/>
      <c r="U1657" s="80"/>
      <c r="V1657" s="80"/>
      <c r="W1657" s="80"/>
      <c r="X1657" s="80"/>
      <c r="Y1657" s="80"/>
      <c r="Z1657" s="80"/>
      <c r="AA1657" s="80"/>
      <c r="AB1657" s="80"/>
      <c r="AC1657" s="80"/>
      <c r="AD1657" s="80"/>
      <c r="AE1657" s="80"/>
      <c r="AF1657" s="80"/>
      <c r="AG1657" s="80"/>
      <c r="AH1657" s="80"/>
      <c r="AI1657" s="80"/>
    </row>
    <row r="1658" spans="1:35" x14ac:dyDescent="0.2">
      <c r="A1658" s="80"/>
      <c r="B1658" s="80"/>
      <c r="C1658" s="80"/>
      <c r="D1658" s="80"/>
      <c r="E1658" s="80"/>
      <c r="F1658" s="80"/>
      <c r="G1658" s="80"/>
      <c r="H1658" s="80"/>
      <c r="I1658" s="80"/>
      <c r="J1658" s="80"/>
      <c r="K1658" s="80"/>
      <c r="L1658" s="2"/>
      <c r="M1658" s="2"/>
      <c r="N1658" s="2"/>
      <c r="O1658" s="2"/>
      <c r="P1658" s="2"/>
      <c r="Q1658" s="2"/>
      <c r="R1658" s="80"/>
      <c r="S1658" s="80"/>
      <c r="T1658" s="80"/>
      <c r="U1658" s="80"/>
      <c r="V1658" s="80"/>
      <c r="W1658" s="80"/>
      <c r="X1658" s="80"/>
      <c r="Y1658" s="80"/>
      <c r="Z1658" s="80"/>
      <c r="AA1658" s="80"/>
      <c r="AB1658" s="80"/>
      <c r="AC1658" s="80"/>
      <c r="AD1658" s="80"/>
      <c r="AE1658" s="80"/>
      <c r="AF1658" s="80"/>
      <c r="AG1658" s="80"/>
      <c r="AH1658" s="80"/>
      <c r="AI1658" s="80"/>
    </row>
    <row r="1659" spans="1:35" x14ac:dyDescent="0.2">
      <c r="A1659" s="80"/>
      <c r="B1659" s="80"/>
      <c r="C1659" s="80"/>
      <c r="D1659" s="80"/>
      <c r="E1659" s="80"/>
      <c r="F1659" s="80"/>
      <c r="G1659" s="80"/>
      <c r="H1659" s="80"/>
      <c r="I1659" s="80"/>
      <c r="J1659" s="80"/>
      <c r="K1659" s="80"/>
      <c r="L1659" s="2"/>
      <c r="M1659" s="2"/>
      <c r="N1659" s="2"/>
      <c r="O1659" s="2"/>
      <c r="P1659" s="2"/>
      <c r="Q1659" s="2"/>
      <c r="R1659" s="80"/>
      <c r="S1659" s="80"/>
      <c r="T1659" s="80"/>
      <c r="U1659" s="80"/>
      <c r="V1659" s="80"/>
      <c r="W1659" s="80"/>
      <c r="X1659" s="80"/>
      <c r="Y1659" s="80"/>
      <c r="Z1659" s="80"/>
      <c r="AA1659" s="80"/>
      <c r="AB1659" s="80"/>
      <c r="AC1659" s="80"/>
      <c r="AD1659" s="80"/>
      <c r="AE1659" s="80"/>
      <c r="AF1659" s="80"/>
      <c r="AG1659" s="80"/>
      <c r="AH1659" s="80"/>
      <c r="AI1659" s="80"/>
    </row>
    <row r="1660" spans="1:35" x14ac:dyDescent="0.2">
      <c r="A1660" s="80"/>
      <c r="B1660" s="80"/>
      <c r="C1660" s="80"/>
      <c r="D1660" s="80"/>
      <c r="E1660" s="80"/>
      <c r="F1660" s="80"/>
      <c r="G1660" s="80"/>
      <c r="H1660" s="80"/>
      <c r="I1660" s="80"/>
      <c r="J1660" s="80"/>
      <c r="K1660" s="80"/>
      <c r="L1660" s="2"/>
      <c r="M1660" s="2"/>
      <c r="N1660" s="2"/>
      <c r="O1660" s="2"/>
      <c r="P1660" s="2"/>
      <c r="Q1660" s="2"/>
      <c r="R1660" s="80"/>
      <c r="S1660" s="80"/>
      <c r="T1660" s="80"/>
      <c r="U1660" s="80"/>
      <c r="V1660" s="80"/>
      <c r="W1660" s="80"/>
      <c r="X1660" s="80"/>
      <c r="Y1660" s="80"/>
      <c r="Z1660" s="80"/>
      <c r="AA1660" s="80"/>
      <c r="AB1660" s="80"/>
      <c r="AC1660" s="80"/>
      <c r="AD1660" s="80"/>
      <c r="AE1660" s="80"/>
      <c r="AF1660" s="80"/>
      <c r="AG1660" s="80"/>
      <c r="AH1660" s="80"/>
      <c r="AI1660" s="80"/>
    </row>
    <row r="1661" spans="1:35" x14ac:dyDescent="0.2">
      <c r="A1661" s="80"/>
      <c r="B1661" s="80"/>
      <c r="C1661" s="80"/>
      <c r="D1661" s="80"/>
      <c r="E1661" s="80"/>
      <c r="F1661" s="80"/>
      <c r="G1661" s="80"/>
      <c r="H1661" s="80"/>
      <c r="I1661" s="80"/>
      <c r="J1661" s="80"/>
      <c r="K1661" s="80"/>
      <c r="L1661" s="2"/>
      <c r="M1661" s="2"/>
      <c r="N1661" s="2"/>
      <c r="O1661" s="2"/>
      <c r="P1661" s="2"/>
      <c r="Q1661" s="2"/>
      <c r="R1661" s="80"/>
      <c r="S1661" s="80"/>
      <c r="T1661" s="80"/>
      <c r="U1661" s="80"/>
      <c r="V1661" s="80"/>
      <c r="W1661" s="80"/>
      <c r="X1661" s="80"/>
      <c r="Y1661" s="80"/>
      <c r="Z1661" s="80"/>
      <c r="AA1661" s="80"/>
      <c r="AB1661" s="80"/>
      <c r="AC1661" s="80"/>
      <c r="AD1661" s="80"/>
      <c r="AE1661" s="80"/>
      <c r="AF1661" s="80"/>
      <c r="AG1661" s="80"/>
      <c r="AH1661" s="80"/>
      <c r="AI1661" s="80"/>
    </row>
    <row r="1662" spans="1:35" x14ac:dyDescent="0.2">
      <c r="A1662" s="80"/>
      <c r="B1662" s="80"/>
      <c r="C1662" s="80"/>
      <c r="D1662" s="80"/>
      <c r="E1662" s="80"/>
      <c r="F1662" s="80"/>
      <c r="G1662" s="80"/>
      <c r="H1662" s="80"/>
      <c r="I1662" s="80"/>
      <c r="J1662" s="80"/>
      <c r="K1662" s="80"/>
      <c r="L1662" s="2"/>
      <c r="M1662" s="2"/>
      <c r="N1662" s="2"/>
      <c r="O1662" s="2"/>
      <c r="P1662" s="2"/>
      <c r="Q1662" s="2"/>
      <c r="R1662" s="80"/>
      <c r="S1662" s="80"/>
      <c r="T1662" s="80"/>
      <c r="U1662" s="80"/>
      <c r="V1662" s="80"/>
      <c r="W1662" s="80"/>
      <c r="X1662" s="80"/>
      <c r="Y1662" s="80"/>
      <c r="Z1662" s="80"/>
      <c r="AA1662" s="80"/>
      <c r="AB1662" s="80"/>
      <c r="AC1662" s="80"/>
      <c r="AD1662" s="80"/>
      <c r="AE1662" s="80"/>
      <c r="AF1662" s="80"/>
      <c r="AG1662" s="80"/>
      <c r="AH1662" s="80"/>
      <c r="AI1662" s="80"/>
    </row>
    <row r="1663" spans="1:35" x14ac:dyDescent="0.2">
      <c r="A1663" s="80"/>
      <c r="B1663" s="80"/>
      <c r="C1663" s="80"/>
      <c r="D1663" s="80"/>
      <c r="E1663" s="80"/>
      <c r="F1663" s="80"/>
      <c r="G1663" s="80"/>
      <c r="H1663" s="80"/>
      <c r="I1663" s="80"/>
      <c r="J1663" s="80"/>
      <c r="K1663" s="80"/>
      <c r="L1663" s="2"/>
      <c r="M1663" s="2"/>
      <c r="N1663" s="2"/>
      <c r="O1663" s="2"/>
      <c r="P1663" s="2"/>
      <c r="Q1663" s="2"/>
      <c r="R1663" s="80"/>
      <c r="S1663" s="80"/>
      <c r="T1663" s="80"/>
      <c r="U1663" s="80"/>
      <c r="V1663" s="80"/>
      <c r="W1663" s="80"/>
      <c r="X1663" s="80"/>
      <c r="Y1663" s="80"/>
      <c r="Z1663" s="80"/>
      <c r="AA1663" s="80"/>
      <c r="AB1663" s="80"/>
      <c r="AC1663" s="80"/>
      <c r="AD1663" s="80"/>
      <c r="AE1663" s="80"/>
      <c r="AF1663" s="80"/>
      <c r="AG1663" s="80"/>
      <c r="AH1663" s="80"/>
      <c r="AI1663" s="80"/>
    </row>
    <row r="1664" spans="1:35" x14ac:dyDescent="0.2">
      <c r="A1664" s="80"/>
      <c r="B1664" s="80"/>
      <c r="C1664" s="80"/>
      <c r="D1664" s="80"/>
      <c r="E1664" s="80"/>
      <c r="F1664" s="80"/>
      <c r="G1664" s="80"/>
      <c r="H1664" s="80"/>
      <c r="I1664" s="80"/>
      <c r="J1664" s="80"/>
      <c r="K1664" s="80"/>
      <c r="L1664" s="2"/>
      <c r="M1664" s="2"/>
      <c r="N1664" s="2"/>
      <c r="O1664" s="2"/>
      <c r="P1664" s="2"/>
      <c r="Q1664" s="2"/>
      <c r="R1664" s="80"/>
      <c r="S1664" s="80"/>
      <c r="T1664" s="80"/>
      <c r="U1664" s="80"/>
      <c r="V1664" s="80"/>
      <c r="W1664" s="80"/>
      <c r="X1664" s="80"/>
      <c r="Y1664" s="80"/>
      <c r="Z1664" s="80"/>
      <c r="AA1664" s="80"/>
      <c r="AB1664" s="80"/>
      <c r="AC1664" s="80"/>
      <c r="AD1664" s="80"/>
      <c r="AE1664" s="80"/>
      <c r="AF1664" s="80"/>
      <c r="AG1664" s="80"/>
      <c r="AH1664" s="80"/>
      <c r="AI1664" s="80"/>
    </row>
    <row r="1665" spans="1:35" x14ac:dyDescent="0.2">
      <c r="A1665" s="80"/>
      <c r="B1665" s="80"/>
      <c r="C1665" s="80"/>
      <c r="D1665" s="80"/>
      <c r="E1665" s="80"/>
      <c r="F1665" s="80"/>
      <c r="G1665" s="80"/>
      <c r="H1665" s="80"/>
      <c r="I1665" s="80"/>
      <c r="J1665" s="80"/>
      <c r="K1665" s="80"/>
      <c r="L1665" s="2"/>
      <c r="M1665" s="2"/>
      <c r="N1665" s="2"/>
      <c r="O1665" s="2"/>
      <c r="P1665" s="2"/>
      <c r="Q1665" s="2"/>
      <c r="R1665" s="80"/>
      <c r="S1665" s="80"/>
      <c r="T1665" s="80"/>
      <c r="U1665" s="80"/>
      <c r="V1665" s="80"/>
      <c r="W1665" s="80"/>
      <c r="X1665" s="80"/>
      <c r="Y1665" s="80"/>
      <c r="Z1665" s="80"/>
      <c r="AA1665" s="80"/>
      <c r="AB1665" s="80"/>
      <c r="AC1665" s="80"/>
      <c r="AD1665" s="80"/>
      <c r="AE1665" s="80"/>
      <c r="AF1665" s="80"/>
      <c r="AG1665" s="80"/>
      <c r="AH1665" s="80"/>
      <c r="AI1665" s="80"/>
    </row>
    <row r="1666" spans="1:35" x14ac:dyDescent="0.2">
      <c r="A1666" s="80"/>
      <c r="B1666" s="80"/>
      <c r="C1666" s="80"/>
      <c r="D1666" s="80"/>
      <c r="E1666" s="80"/>
      <c r="F1666" s="80"/>
      <c r="G1666" s="80"/>
      <c r="H1666" s="80"/>
      <c r="I1666" s="80"/>
      <c r="J1666" s="80"/>
      <c r="K1666" s="80"/>
      <c r="L1666" s="2"/>
      <c r="M1666" s="2"/>
      <c r="N1666" s="2"/>
      <c r="O1666" s="2"/>
      <c r="P1666" s="2"/>
      <c r="Q1666" s="2"/>
      <c r="R1666" s="80"/>
      <c r="S1666" s="80"/>
      <c r="T1666" s="80"/>
      <c r="U1666" s="80"/>
      <c r="V1666" s="80"/>
      <c r="W1666" s="80"/>
      <c r="X1666" s="80"/>
      <c r="Y1666" s="80"/>
      <c r="Z1666" s="80"/>
      <c r="AA1666" s="80"/>
      <c r="AB1666" s="80"/>
      <c r="AC1666" s="80"/>
      <c r="AD1666" s="80"/>
      <c r="AE1666" s="80"/>
      <c r="AF1666" s="80"/>
      <c r="AG1666" s="80"/>
      <c r="AH1666" s="80"/>
      <c r="AI1666" s="80"/>
    </row>
    <row r="1667" spans="1:35" x14ac:dyDescent="0.2">
      <c r="A1667" s="80"/>
      <c r="B1667" s="80"/>
      <c r="C1667" s="80"/>
      <c r="D1667" s="80"/>
      <c r="E1667" s="80"/>
      <c r="F1667" s="80"/>
      <c r="G1667" s="80"/>
      <c r="H1667" s="80"/>
      <c r="I1667" s="80"/>
      <c r="J1667" s="80"/>
      <c r="K1667" s="80"/>
      <c r="L1667" s="2"/>
      <c r="M1667" s="2"/>
      <c r="N1667" s="2"/>
      <c r="O1667" s="2"/>
      <c r="P1667" s="2"/>
      <c r="Q1667" s="2"/>
      <c r="R1667" s="80"/>
      <c r="S1667" s="80"/>
      <c r="T1667" s="80"/>
      <c r="U1667" s="80"/>
      <c r="V1667" s="80"/>
      <c r="W1667" s="80"/>
      <c r="X1667" s="80"/>
      <c r="Y1667" s="80"/>
      <c r="Z1667" s="80"/>
      <c r="AA1667" s="80"/>
      <c r="AB1667" s="80"/>
      <c r="AC1667" s="80"/>
      <c r="AD1667" s="80"/>
      <c r="AE1667" s="80"/>
      <c r="AF1667" s="80"/>
      <c r="AG1667" s="80"/>
      <c r="AH1667" s="80"/>
      <c r="AI1667" s="80"/>
    </row>
    <row r="1668" spans="1:35" x14ac:dyDescent="0.2">
      <c r="A1668" s="80"/>
      <c r="B1668" s="80"/>
      <c r="C1668" s="80"/>
      <c r="D1668" s="80"/>
      <c r="E1668" s="80"/>
      <c r="F1668" s="80"/>
      <c r="G1668" s="80"/>
      <c r="H1668" s="80"/>
      <c r="I1668" s="80"/>
      <c r="J1668" s="80"/>
      <c r="K1668" s="80"/>
      <c r="L1668" s="2"/>
      <c r="M1668" s="2"/>
      <c r="N1668" s="2"/>
      <c r="O1668" s="2"/>
      <c r="P1668" s="2"/>
      <c r="Q1668" s="2"/>
      <c r="R1668" s="80"/>
      <c r="S1668" s="80"/>
      <c r="T1668" s="80"/>
      <c r="U1668" s="80"/>
      <c r="V1668" s="80"/>
      <c r="W1668" s="80"/>
      <c r="X1668" s="80"/>
      <c r="Y1668" s="80"/>
      <c r="Z1668" s="80"/>
      <c r="AA1668" s="80"/>
      <c r="AB1668" s="80"/>
      <c r="AC1668" s="80"/>
      <c r="AD1668" s="80"/>
      <c r="AE1668" s="80"/>
      <c r="AF1668" s="80"/>
      <c r="AG1668" s="80"/>
      <c r="AH1668" s="80"/>
      <c r="AI1668" s="80"/>
    </row>
    <row r="1669" spans="1:35" x14ac:dyDescent="0.2">
      <c r="A1669" s="80"/>
      <c r="B1669" s="80"/>
      <c r="C1669" s="80"/>
      <c r="D1669" s="80"/>
      <c r="E1669" s="80"/>
      <c r="F1669" s="80"/>
      <c r="G1669" s="80"/>
      <c r="H1669" s="80"/>
      <c r="I1669" s="80"/>
      <c r="J1669" s="80"/>
      <c r="K1669" s="80"/>
      <c r="L1669" s="2"/>
      <c r="M1669" s="2"/>
      <c r="N1669" s="2"/>
      <c r="O1669" s="2"/>
      <c r="P1669" s="2"/>
      <c r="Q1669" s="2"/>
      <c r="R1669" s="80"/>
      <c r="S1669" s="80"/>
      <c r="T1669" s="80"/>
      <c r="U1669" s="80"/>
      <c r="V1669" s="80"/>
      <c r="W1669" s="80"/>
      <c r="X1669" s="80"/>
      <c r="Y1669" s="80"/>
      <c r="Z1669" s="80"/>
      <c r="AA1669" s="80"/>
      <c r="AB1669" s="80"/>
      <c r="AC1669" s="80"/>
      <c r="AD1669" s="80"/>
      <c r="AE1669" s="80"/>
      <c r="AF1669" s="80"/>
      <c r="AG1669" s="80"/>
      <c r="AH1669" s="80"/>
      <c r="AI1669" s="80"/>
    </row>
    <row r="1670" spans="1:35" x14ac:dyDescent="0.2">
      <c r="A1670" s="80"/>
      <c r="B1670" s="80"/>
      <c r="C1670" s="80"/>
      <c r="D1670" s="80"/>
      <c r="E1670" s="80"/>
      <c r="F1670" s="80"/>
      <c r="G1670" s="80"/>
      <c r="H1670" s="80"/>
      <c r="I1670" s="80"/>
      <c r="J1670" s="80"/>
      <c r="K1670" s="80"/>
      <c r="L1670" s="2"/>
      <c r="M1670" s="2"/>
      <c r="N1670" s="2"/>
      <c r="O1670" s="2"/>
      <c r="P1670" s="2"/>
      <c r="Q1670" s="2"/>
      <c r="R1670" s="80"/>
      <c r="S1670" s="80"/>
      <c r="T1670" s="80"/>
      <c r="U1670" s="80"/>
      <c r="V1670" s="80"/>
      <c r="W1670" s="80"/>
      <c r="X1670" s="80"/>
      <c r="Y1670" s="80"/>
      <c r="Z1670" s="80"/>
      <c r="AA1670" s="80"/>
      <c r="AB1670" s="80"/>
      <c r="AC1670" s="80"/>
      <c r="AD1670" s="80"/>
      <c r="AE1670" s="80"/>
      <c r="AF1670" s="80"/>
      <c r="AG1670" s="80"/>
      <c r="AH1670" s="80"/>
      <c r="AI1670" s="80"/>
    </row>
    <row r="1671" spans="1:35" x14ac:dyDescent="0.2">
      <c r="A1671" s="80"/>
      <c r="B1671" s="80"/>
      <c r="C1671" s="80"/>
      <c r="D1671" s="80"/>
      <c r="E1671" s="80"/>
      <c r="F1671" s="80"/>
      <c r="G1671" s="80"/>
      <c r="H1671" s="80"/>
      <c r="I1671" s="80"/>
      <c r="J1671" s="80"/>
      <c r="K1671" s="80"/>
      <c r="L1671" s="2"/>
      <c r="M1671" s="2"/>
      <c r="N1671" s="2"/>
      <c r="O1671" s="2"/>
      <c r="P1671" s="2"/>
      <c r="Q1671" s="2"/>
      <c r="R1671" s="80"/>
      <c r="S1671" s="80"/>
      <c r="T1671" s="80"/>
      <c r="U1671" s="80"/>
      <c r="V1671" s="80"/>
      <c r="W1671" s="80"/>
      <c r="X1671" s="80"/>
      <c r="Y1671" s="80"/>
      <c r="Z1671" s="80"/>
      <c r="AA1671" s="80"/>
      <c r="AB1671" s="80"/>
      <c r="AC1671" s="80"/>
      <c r="AD1671" s="80"/>
      <c r="AE1671" s="80"/>
      <c r="AF1671" s="80"/>
      <c r="AG1671" s="80"/>
      <c r="AH1671" s="80"/>
      <c r="AI1671" s="80"/>
    </row>
    <row r="1672" spans="1:35" x14ac:dyDescent="0.2">
      <c r="A1672" s="80"/>
      <c r="B1672" s="80"/>
      <c r="C1672" s="80"/>
      <c r="D1672" s="80"/>
      <c r="E1672" s="80"/>
      <c r="F1672" s="80"/>
      <c r="G1672" s="80"/>
      <c r="H1672" s="80"/>
      <c r="I1672" s="80"/>
      <c r="J1672" s="80"/>
      <c r="K1672" s="80"/>
      <c r="L1672" s="2"/>
      <c r="M1672" s="2"/>
      <c r="N1672" s="2"/>
      <c r="O1672" s="2"/>
      <c r="P1672" s="2"/>
      <c r="Q1672" s="2"/>
      <c r="R1672" s="80"/>
      <c r="S1672" s="80"/>
      <c r="T1672" s="80"/>
      <c r="U1672" s="80"/>
      <c r="V1672" s="80"/>
      <c r="W1672" s="80"/>
      <c r="X1672" s="80"/>
      <c r="Y1672" s="80"/>
      <c r="Z1672" s="80"/>
      <c r="AA1672" s="80"/>
      <c r="AB1672" s="80"/>
      <c r="AC1672" s="80"/>
      <c r="AD1672" s="80"/>
      <c r="AE1672" s="80"/>
      <c r="AF1672" s="80"/>
      <c r="AG1672" s="80"/>
      <c r="AH1672" s="80"/>
      <c r="AI1672" s="80"/>
    </row>
    <row r="1673" spans="1:35" x14ac:dyDescent="0.2">
      <c r="A1673" s="80"/>
      <c r="B1673" s="80"/>
      <c r="C1673" s="80"/>
      <c r="D1673" s="80"/>
      <c r="E1673" s="80"/>
      <c r="F1673" s="80"/>
      <c r="G1673" s="80"/>
      <c r="H1673" s="80"/>
      <c r="I1673" s="80"/>
      <c r="J1673" s="80"/>
      <c r="K1673" s="80"/>
      <c r="L1673" s="2"/>
      <c r="M1673" s="2"/>
      <c r="N1673" s="2"/>
      <c r="O1673" s="2"/>
      <c r="P1673" s="2"/>
      <c r="Q1673" s="2"/>
      <c r="R1673" s="80"/>
      <c r="S1673" s="80"/>
      <c r="T1673" s="80"/>
      <c r="U1673" s="80"/>
      <c r="V1673" s="80"/>
      <c r="W1673" s="80"/>
      <c r="X1673" s="80"/>
      <c r="Y1673" s="80"/>
      <c r="Z1673" s="80"/>
      <c r="AA1673" s="80"/>
      <c r="AB1673" s="80"/>
      <c r="AC1673" s="80"/>
      <c r="AD1673" s="80"/>
      <c r="AE1673" s="80"/>
      <c r="AF1673" s="80"/>
      <c r="AG1673" s="80"/>
      <c r="AH1673" s="80"/>
      <c r="AI1673" s="80"/>
    </row>
    <row r="1674" spans="1:35" x14ac:dyDescent="0.2">
      <c r="A1674" s="80"/>
      <c r="B1674" s="80"/>
      <c r="C1674" s="80"/>
      <c r="D1674" s="80"/>
      <c r="E1674" s="80"/>
      <c r="F1674" s="80"/>
      <c r="G1674" s="80"/>
      <c r="H1674" s="80"/>
      <c r="I1674" s="80"/>
      <c r="J1674" s="80"/>
      <c r="K1674" s="80"/>
      <c r="L1674" s="2"/>
      <c r="M1674" s="2"/>
      <c r="N1674" s="2"/>
      <c r="O1674" s="2"/>
      <c r="P1674" s="2"/>
      <c r="Q1674" s="2"/>
      <c r="R1674" s="80"/>
      <c r="S1674" s="80"/>
      <c r="T1674" s="80"/>
      <c r="U1674" s="80"/>
      <c r="V1674" s="80"/>
      <c r="W1674" s="80"/>
      <c r="X1674" s="80"/>
      <c r="Y1674" s="80"/>
      <c r="Z1674" s="80"/>
      <c r="AA1674" s="80"/>
      <c r="AB1674" s="80"/>
      <c r="AC1674" s="80"/>
      <c r="AD1674" s="80"/>
      <c r="AE1674" s="80"/>
      <c r="AF1674" s="80"/>
      <c r="AG1674" s="80"/>
      <c r="AH1674" s="80"/>
      <c r="AI1674" s="80"/>
    </row>
    <row r="1675" spans="1:35" x14ac:dyDescent="0.2">
      <c r="A1675" s="80"/>
      <c r="B1675" s="80"/>
      <c r="C1675" s="80"/>
      <c r="D1675" s="80"/>
      <c r="E1675" s="80"/>
      <c r="F1675" s="80"/>
      <c r="G1675" s="80"/>
      <c r="H1675" s="80"/>
      <c r="I1675" s="80"/>
      <c r="J1675" s="80"/>
      <c r="K1675" s="80"/>
      <c r="L1675" s="2"/>
      <c r="M1675" s="2"/>
      <c r="N1675" s="2"/>
      <c r="O1675" s="2"/>
      <c r="P1675" s="2"/>
      <c r="Q1675" s="2"/>
      <c r="R1675" s="80"/>
      <c r="S1675" s="80"/>
      <c r="T1675" s="80"/>
      <c r="U1675" s="80"/>
      <c r="V1675" s="80"/>
      <c r="W1675" s="80"/>
      <c r="X1675" s="80"/>
      <c r="Y1675" s="80"/>
      <c r="Z1675" s="80"/>
      <c r="AA1675" s="80"/>
      <c r="AB1675" s="80"/>
      <c r="AC1675" s="80"/>
      <c r="AD1675" s="80"/>
      <c r="AE1675" s="80"/>
      <c r="AF1675" s="80"/>
      <c r="AG1675" s="80"/>
      <c r="AH1675" s="80"/>
      <c r="AI1675" s="80"/>
    </row>
    <row r="1676" spans="1:35" x14ac:dyDescent="0.2">
      <c r="A1676" s="80"/>
      <c r="B1676" s="80"/>
      <c r="C1676" s="80"/>
      <c r="D1676" s="80"/>
      <c r="E1676" s="80"/>
      <c r="F1676" s="80"/>
      <c r="G1676" s="80"/>
      <c r="H1676" s="80"/>
      <c r="I1676" s="80"/>
      <c r="J1676" s="80"/>
      <c r="K1676" s="80"/>
      <c r="L1676" s="2"/>
      <c r="M1676" s="2"/>
      <c r="N1676" s="2"/>
      <c r="O1676" s="2"/>
      <c r="P1676" s="2"/>
      <c r="Q1676" s="2"/>
      <c r="R1676" s="80"/>
      <c r="S1676" s="80"/>
      <c r="T1676" s="80"/>
      <c r="U1676" s="80"/>
      <c r="V1676" s="80"/>
      <c r="W1676" s="80"/>
      <c r="X1676" s="80"/>
      <c r="Y1676" s="80"/>
      <c r="Z1676" s="80"/>
      <c r="AA1676" s="80"/>
      <c r="AB1676" s="80"/>
      <c r="AC1676" s="80"/>
      <c r="AD1676" s="80"/>
      <c r="AE1676" s="80"/>
      <c r="AF1676" s="80"/>
      <c r="AG1676" s="80"/>
      <c r="AH1676" s="80"/>
      <c r="AI1676" s="80"/>
    </row>
    <row r="1677" spans="1:35" x14ac:dyDescent="0.2">
      <c r="A1677" s="80"/>
      <c r="B1677" s="80"/>
      <c r="C1677" s="80"/>
      <c r="D1677" s="80"/>
      <c r="E1677" s="80"/>
      <c r="F1677" s="80"/>
      <c r="G1677" s="80"/>
      <c r="H1677" s="80"/>
      <c r="I1677" s="80"/>
      <c r="J1677" s="80"/>
      <c r="K1677" s="80"/>
      <c r="L1677" s="2"/>
      <c r="M1677" s="2"/>
      <c r="N1677" s="2"/>
      <c r="O1677" s="2"/>
      <c r="P1677" s="2"/>
      <c r="Q1677" s="2"/>
      <c r="R1677" s="80"/>
      <c r="S1677" s="80"/>
      <c r="T1677" s="80"/>
      <c r="U1677" s="80"/>
      <c r="V1677" s="80"/>
      <c r="W1677" s="80"/>
      <c r="X1677" s="80"/>
      <c r="Y1677" s="80"/>
      <c r="Z1677" s="80"/>
      <c r="AA1677" s="80"/>
      <c r="AB1677" s="80"/>
      <c r="AC1677" s="80"/>
      <c r="AD1677" s="80"/>
      <c r="AE1677" s="80"/>
      <c r="AF1677" s="80"/>
      <c r="AG1677" s="80"/>
      <c r="AH1677" s="80"/>
      <c r="AI1677" s="80"/>
    </row>
    <row r="1678" spans="1:35" x14ac:dyDescent="0.2">
      <c r="A1678" s="80"/>
      <c r="B1678" s="80"/>
      <c r="C1678" s="80"/>
      <c r="D1678" s="80"/>
      <c r="E1678" s="80"/>
      <c r="F1678" s="80"/>
      <c r="G1678" s="80"/>
      <c r="H1678" s="80"/>
      <c r="I1678" s="80"/>
      <c r="J1678" s="80"/>
      <c r="K1678" s="80"/>
      <c r="L1678" s="2"/>
      <c r="M1678" s="2"/>
      <c r="N1678" s="2"/>
      <c r="O1678" s="2"/>
      <c r="P1678" s="2"/>
      <c r="Q1678" s="2"/>
      <c r="R1678" s="80"/>
      <c r="S1678" s="80"/>
      <c r="T1678" s="80"/>
      <c r="U1678" s="80"/>
      <c r="V1678" s="80"/>
      <c r="W1678" s="80"/>
      <c r="X1678" s="80"/>
      <c r="Y1678" s="80"/>
      <c r="Z1678" s="80"/>
      <c r="AA1678" s="80"/>
      <c r="AB1678" s="80"/>
      <c r="AC1678" s="80"/>
      <c r="AD1678" s="80"/>
      <c r="AE1678" s="80"/>
      <c r="AF1678" s="80"/>
      <c r="AG1678" s="80"/>
      <c r="AH1678" s="80"/>
      <c r="AI1678" s="80"/>
    </row>
    <row r="1679" spans="1:35" x14ac:dyDescent="0.2">
      <c r="A1679" s="80"/>
      <c r="B1679" s="80"/>
      <c r="C1679" s="80"/>
      <c r="D1679" s="80"/>
      <c r="E1679" s="80"/>
      <c r="F1679" s="80"/>
      <c r="G1679" s="80"/>
      <c r="H1679" s="80"/>
      <c r="I1679" s="80"/>
      <c r="J1679" s="80"/>
      <c r="K1679" s="80"/>
      <c r="L1679" s="2"/>
      <c r="M1679" s="2"/>
      <c r="N1679" s="2"/>
      <c r="O1679" s="2"/>
      <c r="P1679" s="2"/>
      <c r="Q1679" s="2"/>
      <c r="R1679" s="80"/>
      <c r="S1679" s="80"/>
      <c r="T1679" s="80"/>
      <c r="U1679" s="80"/>
      <c r="V1679" s="80"/>
      <c r="W1679" s="80"/>
      <c r="X1679" s="80"/>
      <c r="Y1679" s="80"/>
      <c r="Z1679" s="80"/>
      <c r="AA1679" s="80"/>
      <c r="AB1679" s="80"/>
      <c r="AC1679" s="80"/>
      <c r="AD1679" s="80"/>
      <c r="AE1679" s="80"/>
      <c r="AF1679" s="80"/>
      <c r="AG1679" s="80"/>
      <c r="AH1679" s="80"/>
      <c r="AI1679" s="80"/>
    </row>
    <row r="1680" spans="1:35" x14ac:dyDescent="0.2">
      <c r="A1680" s="80"/>
      <c r="B1680" s="80"/>
      <c r="C1680" s="80"/>
      <c r="D1680" s="80"/>
      <c r="E1680" s="80"/>
      <c r="F1680" s="80"/>
      <c r="G1680" s="80"/>
      <c r="H1680" s="80"/>
      <c r="I1680" s="80"/>
      <c r="J1680" s="80"/>
      <c r="K1680" s="80"/>
      <c r="L1680" s="2"/>
      <c r="M1680" s="2"/>
      <c r="N1680" s="2"/>
      <c r="O1680" s="2"/>
      <c r="P1680" s="2"/>
      <c r="Q1680" s="2"/>
      <c r="R1680" s="80"/>
      <c r="S1680" s="80"/>
      <c r="T1680" s="80"/>
      <c r="U1680" s="80"/>
      <c r="V1680" s="80"/>
      <c r="W1680" s="80"/>
      <c r="X1680" s="80"/>
      <c r="Y1680" s="80"/>
      <c r="Z1680" s="80"/>
      <c r="AA1680" s="80"/>
      <c r="AB1680" s="80"/>
      <c r="AC1680" s="80"/>
      <c r="AD1680" s="80"/>
      <c r="AE1680" s="80"/>
      <c r="AF1680" s="80"/>
      <c r="AG1680" s="80"/>
      <c r="AH1680" s="80"/>
      <c r="AI1680" s="80"/>
    </row>
    <row r="1681" spans="1:35" x14ac:dyDescent="0.2">
      <c r="A1681" s="80"/>
      <c r="B1681" s="80"/>
      <c r="C1681" s="80"/>
      <c r="D1681" s="80"/>
      <c r="E1681" s="80"/>
      <c r="F1681" s="80"/>
      <c r="G1681" s="80"/>
      <c r="H1681" s="80"/>
      <c r="I1681" s="80"/>
      <c r="J1681" s="80"/>
      <c r="K1681" s="80"/>
      <c r="L1681" s="2"/>
      <c r="M1681" s="2"/>
      <c r="N1681" s="2"/>
      <c r="O1681" s="2"/>
      <c r="P1681" s="2"/>
      <c r="Q1681" s="2"/>
      <c r="R1681" s="80"/>
      <c r="S1681" s="80"/>
      <c r="T1681" s="80"/>
      <c r="U1681" s="80"/>
      <c r="V1681" s="80"/>
      <c r="W1681" s="80"/>
      <c r="X1681" s="80"/>
      <c r="Y1681" s="80"/>
      <c r="Z1681" s="80"/>
      <c r="AA1681" s="80"/>
      <c r="AB1681" s="80"/>
      <c r="AC1681" s="80"/>
      <c r="AD1681" s="80"/>
      <c r="AE1681" s="80"/>
      <c r="AF1681" s="80"/>
      <c r="AG1681" s="80"/>
      <c r="AH1681" s="80"/>
      <c r="AI1681" s="80"/>
    </row>
    <row r="1682" spans="1:35" x14ac:dyDescent="0.2">
      <c r="A1682" s="80"/>
      <c r="B1682" s="80"/>
      <c r="C1682" s="80"/>
      <c r="D1682" s="80"/>
      <c r="E1682" s="80"/>
      <c r="F1682" s="80"/>
      <c r="G1682" s="80"/>
      <c r="H1682" s="80"/>
      <c r="I1682" s="80"/>
      <c r="J1682" s="80"/>
      <c r="K1682" s="80"/>
      <c r="L1682" s="2"/>
      <c r="M1682" s="2"/>
      <c r="N1682" s="2"/>
      <c r="O1682" s="2"/>
      <c r="P1682" s="2"/>
      <c r="Q1682" s="2"/>
      <c r="R1682" s="80"/>
      <c r="S1682" s="80"/>
      <c r="T1682" s="80"/>
      <c r="U1682" s="80"/>
      <c r="V1682" s="80"/>
      <c r="W1682" s="80"/>
      <c r="X1682" s="80"/>
      <c r="Y1682" s="80"/>
      <c r="Z1682" s="80"/>
      <c r="AA1682" s="80"/>
      <c r="AB1682" s="80"/>
      <c r="AC1682" s="80"/>
      <c r="AD1682" s="80"/>
      <c r="AE1682" s="80"/>
      <c r="AF1682" s="80"/>
      <c r="AG1682" s="80"/>
      <c r="AH1682" s="80"/>
      <c r="AI1682" s="80"/>
    </row>
    <row r="1683" spans="1:35" x14ac:dyDescent="0.2">
      <c r="A1683" s="80"/>
      <c r="B1683" s="80"/>
      <c r="C1683" s="80"/>
      <c r="D1683" s="80"/>
      <c r="E1683" s="80"/>
      <c r="F1683" s="80"/>
      <c r="G1683" s="80"/>
      <c r="H1683" s="80"/>
      <c r="I1683" s="80"/>
      <c r="J1683" s="80"/>
      <c r="K1683" s="80"/>
      <c r="L1683" s="2"/>
      <c r="M1683" s="2"/>
      <c r="N1683" s="2"/>
      <c r="O1683" s="2"/>
      <c r="P1683" s="2"/>
      <c r="Q1683" s="2"/>
      <c r="R1683" s="80"/>
      <c r="S1683" s="80"/>
      <c r="T1683" s="80"/>
      <c r="U1683" s="80"/>
      <c r="V1683" s="80"/>
      <c r="W1683" s="80"/>
      <c r="X1683" s="80"/>
      <c r="Y1683" s="80"/>
      <c r="Z1683" s="80"/>
      <c r="AA1683" s="80"/>
      <c r="AB1683" s="80"/>
      <c r="AC1683" s="80"/>
      <c r="AD1683" s="80"/>
      <c r="AE1683" s="80"/>
      <c r="AF1683" s="80"/>
      <c r="AG1683" s="80"/>
      <c r="AH1683" s="80"/>
      <c r="AI1683" s="80"/>
    </row>
    <row r="1684" spans="1:35" x14ac:dyDescent="0.2">
      <c r="A1684" s="80"/>
      <c r="B1684" s="80"/>
      <c r="C1684" s="80"/>
      <c r="D1684" s="80"/>
      <c r="E1684" s="80"/>
      <c r="F1684" s="80"/>
      <c r="G1684" s="80"/>
      <c r="H1684" s="80"/>
      <c r="I1684" s="80"/>
      <c r="J1684" s="80"/>
      <c r="K1684" s="80"/>
      <c r="L1684" s="2"/>
      <c r="M1684" s="2"/>
      <c r="N1684" s="2"/>
      <c r="O1684" s="2"/>
      <c r="P1684" s="2"/>
      <c r="Q1684" s="2"/>
      <c r="R1684" s="80"/>
      <c r="S1684" s="80"/>
      <c r="T1684" s="80"/>
      <c r="U1684" s="80"/>
      <c r="V1684" s="80"/>
      <c r="W1684" s="80"/>
      <c r="X1684" s="80"/>
      <c r="Y1684" s="80"/>
      <c r="Z1684" s="80"/>
      <c r="AA1684" s="80"/>
      <c r="AB1684" s="80"/>
      <c r="AC1684" s="80"/>
      <c r="AD1684" s="80"/>
      <c r="AE1684" s="80"/>
      <c r="AF1684" s="80"/>
      <c r="AG1684" s="80"/>
      <c r="AH1684" s="80"/>
      <c r="AI1684" s="80"/>
    </row>
    <row r="1685" spans="1:35" x14ac:dyDescent="0.2">
      <c r="A1685" s="80"/>
      <c r="B1685" s="80"/>
      <c r="C1685" s="80"/>
      <c r="D1685" s="80"/>
      <c r="E1685" s="80"/>
      <c r="F1685" s="80"/>
      <c r="G1685" s="80"/>
      <c r="H1685" s="80"/>
      <c r="I1685" s="80"/>
      <c r="J1685" s="80"/>
      <c r="K1685" s="80"/>
      <c r="L1685" s="2"/>
      <c r="M1685" s="2"/>
      <c r="N1685" s="2"/>
      <c r="O1685" s="2"/>
      <c r="P1685" s="2"/>
      <c r="Q1685" s="2"/>
      <c r="R1685" s="80"/>
      <c r="S1685" s="80"/>
      <c r="T1685" s="80"/>
      <c r="U1685" s="80"/>
      <c r="V1685" s="80"/>
      <c r="W1685" s="80"/>
      <c r="X1685" s="80"/>
      <c r="Y1685" s="80"/>
      <c r="Z1685" s="80"/>
      <c r="AA1685" s="80"/>
      <c r="AB1685" s="80"/>
      <c r="AC1685" s="80"/>
      <c r="AD1685" s="80"/>
      <c r="AE1685" s="80"/>
      <c r="AF1685" s="80"/>
      <c r="AG1685" s="80"/>
      <c r="AH1685" s="80"/>
      <c r="AI1685" s="80"/>
    </row>
    <row r="1686" spans="1:35" x14ac:dyDescent="0.2">
      <c r="A1686" s="80"/>
      <c r="B1686" s="80"/>
      <c r="C1686" s="80"/>
      <c r="D1686" s="80"/>
      <c r="E1686" s="80"/>
      <c r="F1686" s="80"/>
      <c r="G1686" s="80"/>
      <c r="H1686" s="80"/>
      <c r="I1686" s="80"/>
      <c r="J1686" s="80"/>
      <c r="K1686" s="80"/>
      <c r="L1686" s="2"/>
      <c r="M1686" s="2"/>
      <c r="N1686" s="2"/>
      <c r="O1686" s="2"/>
      <c r="P1686" s="2"/>
      <c r="Q1686" s="2"/>
      <c r="R1686" s="80"/>
      <c r="S1686" s="80"/>
      <c r="T1686" s="80"/>
      <c r="U1686" s="80"/>
      <c r="V1686" s="80"/>
      <c r="W1686" s="80"/>
      <c r="X1686" s="80"/>
      <c r="Y1686" s="80"/>
      <c r="Z1686" s="80"/>
      <c r="AA1686" s="80"/>
      <c r="AB1686" s="80"/>
      <c r="AC1686" s="80"/>
      <c r="AD1686" s="80"/>
      <c r="AE1686" s="80"/>
      <c r="AF1686" s="80"/>
      <c r="AG1686" s="80"/>
      <c r="AH1686" s="80"/>
      <c r="AI1686" s="80"/>
    </row>
    <row r="1687" spans="1:35" x14ac:dyDescent="0.2">
      <c r="A1687" s="80"/>
      <c r="B1687" s="80"/>
      <c r="C1687" s="80"/>
      <c r="D1687" s="80"/>
      <c r="E1687" s="80"/>
      <c r="F1687" s="80"/>
      <c r="G1687" s="80"/>
      <c r="H1687" s="80"/>
      <c r="I1687" s="80"/>
      <c r="J1687" s="80"/>
      <c r="K1687" s="80"/>
      <c r="L1687" s="2"/>
      <c r="M1687" s="2"/>
      <c r="N1687" s="2"/>
      <c r="O1687" s="2"/>
      <c r="P1687" s="2"/>
      <c r="Q1687" s="2"/>
      <c r="R1687" s="80"/>
      <c r="S1687" s="80"/>
      <c r="T1687" s="80"/>
      <c r="U1687" s="80"/>
      <c r="V1687" s="80"/>
      <c r="W1687" s="80"/>
      <c r="X1687" s="80"/>
      <c r="Y1687" s="80"/>
      <c r="Z1687" s="80"/>
      <c r="AA1687" s="80"/>
      <c r="AB1687" s="80"/>
      <c r="AC1687" s="80"/>
      <c r="AD1687" s="80"/>
      <c r="AE1687" s="80"/>
      <c r="AF1687" s="80"/>
      <c r="AG1687" s="80"/>
      <c r="AH1687" s="80"/>
      <c r="AI1687" s="80"/>
    </row>
    <row r="1688" spans="1:35" x14ac:dyDescent="0.2">
      <c r="A1688" s="80"/>
      <c r="B1688" s="80"/>
      <c r="C1688" s="80"/>
      <c r="D1688" s="80"/>
      <c r="E1688" s="80"/>
      <c r="F1688" s="80"/>
      <c r="G1688" s="80"/>
      <c r="H1688" s="80"/>
      <c r="I1688" s="80"/>
      <c r="J1688" s="80"/>
      <c r="K1688" s="80"/>
      <c r="L1688" s="2"/>
      <c r="M1688" s="2"/>
      <c r="N1688" s="2"/>
      <c r="O1688" s="2"/>
      <c r="P1688" s="2"/>
      <c r="Q1688" s="2"/>
      <c r="R1688" s="80"/>
      <c r="S1688" s="80"/>
      <c r="T1688" s="80"/>
      <c r="U1688" s="80"/>
      <c r="V1688" s="80"/>
      <c r="W1688" s="80"/>
      <c r="X1688" s="80"/>
      <c r="Y1688" s="80"/>
      <c r="Z1688" s="80"/>
      <c r="AA1688" s="80"/>
      <c r="AB1688" s="80"/>
      <c r="AC1688" s="80"/>
      <c r="AD1688" s="80"/>
      <c r="AE1688" s="80"/>
      <c r="AF1688" s="80"/>
      <c r="AG1688" s="80"/>
      <c r="AH1688" s="80"/>
      <c r="AI1688" s="80"/>
    </row>
    <row r="1689" spans="1:35" x14ac:dyDescent="0.2">
      <c r="A1689" s="80"/>
      <c r="B1689" s="80"/>
      <c r="C1689" s="80"/>
      <c r="D1689" s="80"/>
      <c r="E1689" s="80"/>
      <c r="F1689" s="80"/>
      <c r="G1689" s="80"/>
      <c r="H1689" s="80"/>
      <c r="I1689" s="80"/>
      <c r="J1689" s="80"/>
      <c r="K1689" s="80"/>
      <c r="L1689" s="2"/>
      <c r="M1689" s="2"/>
      <c r="N1689" s="2"/>
      <c r="O1689" s="2"/>
      <c r="P1689" s="2"/>
      <c r="Q1689" s="2"/>
      <c r="R1689" s="80"/>
      <c r="S1689" s="80"/>
      <c r="T1689" s="80"/>
      <c r="U1689" s="80"/>
      <c r="V1689" s="80"/>
      <c r="W1689" s="80"/>
      <c r="X1689" s="80"/>
      <c r="Y1689" s="80"/>
      <c r="Z1689" s="80"/>
      <c r="AA1689" s="80"/>
      <c r="AB1689" s="80"/>
      <c r="AC1689" s="80"/>
      <c r="AD1689" s="80"/>
      <c r="AE1689" s="80"/>
      <c r="AF1689" s="80"/>
      <c r="AG1689" s="80"/>
      <c r="AH1689" s="80"/>
      <c r="AI1689" s="80"/>
    </row>
    <row r="1690" spans="1:35" x14ac:dyDescent="0.2">
      <c r="A1690" s="80"/>
      <c r="B1690" s="80"/>
      <c r="C1690" s="80"/>
      <c r="D1690" s="80"/>
      <c r="E1690" s="80"/>
      <c r="F1690" s="80"/>
      <c r="G1690" s="80"/>
      <c r="H1690" s="80"/>
      <c r="I1690" s="80"/>
      <c r="J1690" s="80"/>
      <c r="K1690" s="80"/>
      <c r="L1690" s="2"/>
      <c r="M1690" s="2"/>
      <c r="N1690" s="2"/>
      <c r="O1690" s="2"/>
      <c r="P1690" s="2"/>
      <c r="Q1690" s="2"/>
      <c r="R1690" s="80"/>
      <c r="S1690" s="80"/>
      <c r="T1690" s="80"/>
      <c r="U1690" s="80"/>
      <c r="V1690" s="80"/>
      <c r="W1690" s="80"/>
      <c r="X1690" s="80"/>
      <c r="Y1690" s="80"/>
      <c r="Z1690" s="80"/>
      <c r="AA1690" s="80"/>
      <c r="AB1690" s="80"/>
      <c r="AC1690" s="80"/>
      <c r="AD1690" s="80"/>
      <c r="AE1690" s="80"/>
      <c r="AF1690" s="80"/>
      <c r="AG1690" s="80"/>
      <c r="AH1690" s="80"/>
      <c r="AI1690" s="80"/>
    </row>
    <row r="1691" spans="1:35" x14ac:dyDescent="0.2">
      <c r="A1691" s="80"/>
      <c r="B1691" s="80"/>
      <c r="C1691" s="80"/>
      <c r="D1691" s="80"/>
      <c r="E1691" s="80"/>
      <c r="F1691" s="80"/>
      <c r="G1691" s="80"/>
      <c r="H1691" s="80"/>
      <c r="I1691" s="80"/>
      <c r="J1691" s="80"/>
      <c r="K1691" s="80"/>
      <c r="L1691" s="2"/>
      <c r="M1691" s="2"/>
      <c r="N1691" s="2"/>
      <c r="O1691" s="2"/>
      <c r="P1691" s="2"/>
      <c r="Q1691" s="2"/>
      <c r="R1691" s="80"/>
      <c r="S1691" s="80"/>
      <c r="T1691" s="80"/>
      <c r="U1691" s="80"/>
      <c r="V1691" s="80"/>
      <c r="W1691" s="80"/>
      <c r="X1691" s="80"/>
      <c r="Y1691" s="80"/>
      <c r="Z1691" s="80"/>
      <c r="AA1691" s="80"/>
      <c r="AB1691" s="80"/>
      <c r="AC1691" s="80"/>
      <c r="AD1691" s="80"/>
      <c r="AE1691" s="80"/>
      <c r="AF1691" s="80"/>
      <c r="AG1691" s="80"/>
      <c r="AH1691" s="80"/>
      <c r="AI1691" s="80"/>
    </row>
    <row r="1692" spans="1:35" x14ac:dyDescent="0.2">
      <c r="A1692" s="80"/>
      <c r="B1692" s="80"/>
      <c r="C1692" s="80"/>
      <c r="D1692" s="80"/>
      <c r="E1692" s="80"/>
      <c r="F1692" s="80"/>
      <c r="G1692" s="80"/>
      <c r="H1692" s="80"/>
      <c r="I1692" s="80"/>
      <c r="J1692" s="80"/>
      <c r="K1692" s="80"/>
      <c r="L1692" s="2"/>
      <c r="M1692" s="2"/>
      <c r="N1692" s="2"/>
      <c r="O1692" s="2"/>
      <c r="P1692" s="2"/>
      <c r="Q1692" s="2"/>
      <c r="R1692" s="80"/>
      <c r="S1692" s="80"/>
      <c r="T1692" s="80"/>
      <c r="U1692" s="80"/>
      <c r="V1692" s="80"/>
      <c r="W1692" s="80"/>
      <c r="X1692" s="80"/>
      <c r="Y1692" s="80"/>
      <c r="Z1692" s="80"/>
      <c r="AA1692" s="80"/>
      <c r="AB1692" s="80"/>
      <c r="AC1692" s="80"/>
      <c r="AD1692" s="80"/>
      <c r="AE1692" s="80"/>
      <c r="AF1692" s="80"/>
      <c r="AG1692" s="80"/>
      <c r="AH1692" s="80"/>
      <c r="AI1692" s="80"/>
    </row>
    <row r="1693" spans="1:35" x14ac:dyDescent="0.2">
      <c r="A1693" s="80"/>
      <c r="B1693" s="80"/>
      <c r="C1693" s="80"/>
      <c r="D1693" s="80"/>
      <c r="E1693" s="80"/>
      <c r="F1693" s="80"/>
      <c r="G1693" s="80"/>
      <c r="H1693" s="80"/>
      <c r="I1693" s="80"/>
      <c r="J1693" s="80"/>
      <c r="K1693" s="80"/>
      <c r="L1693" s="2"/>
      <c r="M1693" s="2"/>
      <c r="N1693" s="2"/>
      <c r="O1693" s="2"/>
      <c r="P1693" s="2"/>
      <c r="Q1693" s="2"/>
      <c r="R1693" s="80"/>
      <c r="S1693" s="80"/>
      <c r="T1693" s="80"/>
      <c r="U1693" s="80"/>
      <c r="V1693" s="80"/>
      <c r="W1693" s="80"/>
      <c r="X1693" s="80"/>
      <c r="Y1693" s="80"/>
      <c r="Z1693" s="80"/>
      <c r="AA1693" s="80"/>
      <c r="AB1693" s="80"/>
      <c r="AC1693" s="80"/>
      <c r="AD1693" s="80"/>
      <c r="AE1693" s="80"/>
      <c r="AF1693" s="80"/>
      <c r="AG1693" s="80"/>
      <c r="AH1693" s="80"/>
      <c r="AI1693" s="80"/>
    </row>
    <row r="1694" spans="1:35" x14ac:dyDescent="0.2">
      <c r="A1694" s="80"/>
      <c r="B1694" s="80"/>
      <c r="C1694" s="80"/>
      <c r="D1694" s="80"/>
      <c r="E1694" s="80"/>
      <c r="F1694" s="80"/>
      <c r="G1694" s="80"/>
      <c r="H1694" s="80"/>
      <c r="I1694" s="80"/>
      <c r="J1694" s="80"/>
      <c r="K1694" s="80"/>
      <c r="L1694" s="2"/>
      <c r="M1694" s="2"/>
      <c r="N1694" s="2"/>
      <c r="O1694" s="2"/>
      <c r="P1694" s="2"/>
      <c r="Q1694" s="2"/>
      <c r="R1694" s="80"/>
      <c r="S1694" s="80"/>
      <c r="T1694" s="80"/>
      <c r="U1694" s="80"/>
      <c r="V1694" s="80"/>
      <c r="W1694" s="80"/>
      <c r="X1694" s="80"/>
      <c r="Y1694" s="80"/>
      <c r="Z1694" s="80"/>
      <c r="AA1694" s="80"/>
      <c r="AB1694" s="80"/>
      <c r="AC1694" s="80"/>
      <c r="AD1694" s="80"/>
      <c r="AE1694" s="80"/>
      <c r="AF1694" s="80"/>
      <c r="AG1694" s="80"/>
      <c r="AH1694" s="80"/>
      <c r="AI1694" s="80"/>
    </row>
    <row r="1695" spans="1:35" x14ac:dyDescent="0.2">
      <c r="A1695" s="80"/>
      <c r="B1695" s="80"/>
      <c r="C1695" s="80"/>
      <c r="D1695" s="80"/>
      <c r="E1695" s="80"/>
      <c r="F1695" s="80"/>
      <c r="G1695" s="80"/>
      <c r="H1695" s="80"/>
      <c r="I1695" s="80"/>
      <c r="J1695" s="80"/>
      <c r="K1695" s="80"/>
      <c r="L1695" s="2"/>
      <c r="M1695" s="2"/>
      <c r="N1695" s="2"/>
      <c r="O1695" s="2"/>
      <c r="P1695" s="2"/>
      <c r="Q1695" s="2"/>
      <c r="R1695" s="80"/>
      <c r="S1695" s="80"/>
      <c r="T1695" s="80"/>
      <c r="U1695" s="80"/>
      <c r="V1695" s="80"/>
      <c r="W1695" s="80"/>
      <c r="X1695" s="80"/>
      <c r="Y1695" s="80"/>
      <c r="Z1695" s="80"/>
      <c r="AA1695" s="80"/>
      <c r="AB1695" s="80"/>
      <c r="AC1695" s="80"/>
      <c r="AD1695" s="80"/>
      <c r="AE1695" s="80"/>
      <c r="AF1695" s="80"/>
      <c r="AG1695" s="80"/>
      <c r="AH1695" s="80"/>
      <c r="AI1695" s="80"/>
    </row>
    <row r="1696" spans="1:35" x14ac:dyDescent="0.2">
      <c r="A1696" s="80"/>
      <c r="B1696" s="80"/>
      <c r="C1696" s="80"/>
      <c r="D1696" s="80"/>
      <c r="E1696" s="80"/>
      <c r="F1696" s="80"/>
      <c r="G1696" s="80"/>
      <c r="H1696" s="80"/>
      <c r="I1696" s="80"/>
      <c r="J1696" s="80"/>
      <c r="K1696" s="80"/>
      <c r="L1696" s="2"/>
      <c r="M1696" s="2"/>
      <c r="N1696" s="2"/>
      <c r="O1696" s="2"/>
      <c r="P1696" s="2"/>
      <c r="Q1696" s="2"/>
      <c r="R1696" s="80"/>
      <c r="S1696" s="80"/>
      <c r="T1696" s="80"/>
      <c r="U1696" s="80"/>
      <c r="V1696" s="80"/>
      <c r="W1696" s="80"/>
      <c r="X1696" s="80"/>
      <c r="Y1696" s="80"/>
      <c r="Z1696" s="80"/>
      <c r="AA1696" s="80"/>
      <c r="AB1696" s="80"/>
      <c r="AC1696" s="80"/>
      <c r="AD1696" s="80"/>
      <c r="AE1696" s="80"/>
      <c r="AF1696" s="80"/>
      <c r="AG1696" s="80"/>
      <c r="AH1696" s="80"/>
      <c r="AI1696" s="80"/>
    </row>
    <row r="1697" spans="1:35" x14ac:dyDescent="0.2">
      <c r="A1697" s="80"/>
      <c r="B1697" s="80"/>
      <c r="C1697" s="80"/>
      <c r="D1697" s="80"/>
      <c r="E1697" s="80"/>
      <c r="F1697" s="80"/>
      <c r="G1697" s="80"/>
      <c r="H1697" s="80"/>
      <c r="I1697" s="80"/>
      <c r="J1697" s="80"/>
      <c r="K1697" s="80"/>
      <c r="L1697" s="2"/>
      <c r="M1697" s="2"/>
      <c r="N1697" s="2"/>
      <c r="O1697" s="2"/>
      <c r="P1697" s="2"/>
      <c r="Q1697" s="2"/>
      <c r="R1697" s="80"/>
      <c r="S1697" s="80"/>
      <c r="T1697" s="80"/>
      <c r="U1697" s="80"/>
      <c r="V1697" s="80"/>
      <c r="W1697" s="80"/>
      <c r="X1697" s="80"/>
      <c r="Y1697" s="80"/>
      <c r="Z1697" s="80"/>
      <c r="AA1697" s="80"/>
      <c r="AB1697" s="80"/>
      <c r="AC1697" s="80"/>
      <c r="AD1697" s="80"/>
      <c r="AE1697" s="80"/>
      <c r="AF1697" s="80"/>
      <c r="AG1697" s="80"/>
      <c r="AH1697" s="80"/>
      <c r="AI1697" s="80"/>
    </row>
    <row r="1698" spans="1:35" x14ac:dyDescent="0.2">
      <c r="A1698" s="80"/>
      <c r="B1698" s="80"/>
      <c r="C1698" s="80"/>
      <c r="D1698" s="80"/>
      <c r="E1698" s="80"/>
      <c r="F1698" s="80"/>
      <c r="G1698" s="80"/>
      <c r="H1698" s="80"/>
      <c r="I1698" s="80"/>
      <c r="J1698" s="80"/>
      <c r="K1698" s="80"/>
      <c r="L1698" s="2"/>
      <c r="M1698" s="2"/>
      <c r="N1698" s="2"/>
      <c r="O1698" s="2"/>
      <c r="P1698" s="2"/>
      <c r="Q1698" s="2"/>
      <c r="R1698" s="80"/>
      <c r="S1698" s="80"/>
      <c r="T1698" s="80"/>
      <c r="U1698" s="80"/>
      <c r="V1698" s="80"/>
      <c r="W1698" s="80"/>
      <c r="X1698" s="80"/>
      <c r="Y1698" s="80"/>
      <c r="Z1698" s="80"/>
      <c r="AA1698" s="80"/>
      <c r="AB1698" s="80"/>
      <c r="AC1698" s="80"/>
      <c r="AD1698" s="80"/>
      <c r="AE1698" s="80"/>
      <c r="AF1698" s="80"/>
      <c r="AG1698" s="80"/>
      <c r="AH1698" s="80"/>
      <c r="AI1698" s="80"/>
    </row>
    <row r="1699" spans="1:35" x14ac:dyDescent="0.2">
      <c r="A1699" s="80"/>
      <c r="B1699" s="80"/>
      <c r="C1699" s="80"/>
      <c r="D1699" s="80"/>
      <c r="E1699" s="80"/>
      <c r="F1699" s="80"/>
      <c r="G1699" s="80"/>
      <c r="H1699" s="80"/>
      <c r="I1699" s="80"/>
      <c r="J1699" s="80"/>
      <c r="K1699" s="80"/>
      <c r="L1699" s="2"/>
      <c r="M1699" s="2"/>
      <c r="N1699" s="2"/>
      <c r="O1699" s="2"/>
      <c r="P1699" s="2"/>
      <c r="Q1699" s="2"/>
      <c r="R1699" s="80"/>
      <c r="S1699" s="80"/>
      <c r="T1699" s="80"/>
      <c r="U1699" s="80"/>
      <c r="V1699" s="80"/>
      <c r="W1699" s="80"/>
      <c r="X1699" s="80"/>
      <c r="Y1699" s="80"/>
      <c r="Z1699" s="80"/>
      <c r="AA1699" s="80"/>
      <c r="AB1699" s="80"/>
      <c r="AC1699" s="80"/>
      <c r="AD1699" s="80"/>
      <c r="AE1699" s="80"/>
      <c r="AF1699" s="80"/>
      <c r="AG1699" s="80"/>
      <c r="AH1699" s="80"/>
      <c r="AI1699" s="80"/>
    </row>
    <row r="1700" spans="1:35" x14ac:dyDescent="0.2">
      <c r="A1700" s="80"/>
      <c r="B1700" s="80"/>
      <c r="C1700" s="80"/>
      <c r="D1700" s="80"/>
      <c r="E1700" s="80"/>
      <c r="F1700" s="80"/>
      <c r="G1700" s="80"/>
      <c r="H1700" s="80"/>
      <c r="I1700" s="80"/>
      <c r="J1700" s="80"/>
      <c r="K1700" s="80"/>
      <c r="L1700" s="2"/>
      <c r="M1700" s="2"/>
      <c r="N1700" s="2"/>
      <c r="O1700" s="2"/>
      <c r="P1700" s="2"/>
      <c r="Q1700" s="2"/>
      <c r="R1700" s="80"/>
      <c r="S1700" s="80"/>
      <c r="T1700" s="80"/>
      <c r="U1700" s="80"/>
      <c r="V1700" s="80"/>
      <c r="W1700" s="80"/>
      <c r="X1700" s="80"/>
      <c r="Y1700" s="80"/>
      <c r="Z1700" s="80"/>
      <c r="AA1700" s="80"/>
      <c r="AB1700" s="80"/>
      <c r="AC1700" s="80"/>
      <c r="AD1700" s="80"/>
      <c r="AE1700" s="80"/>
      <c r="AF1700" s="80"/>
      <c r="AG1700" s="80"/>
      <c r="AH1700" s="80"/>
      <c r="AI1700" s="80"/>
    </row>
    <row r="1701" spans="1:35" x14ac:dyDescent="0.2">
      <c r="A1701" s="80"/>
      <c r="B1701" s="80"/>
      <c r="C1701" s="80"/>
      <c r="D1701" s="80"/>
      <c r="E1701" s="80"/>
      <c r="F1701" s="80"/>
      <c r="G1701" s="80"/>
      <c r="H1701" s="80"/>
      <c r="I1701" s="80"/>
      <c r="J1701" s="80"/>
      <c r="K1701" s="80"/>
      <c r="L1701" s="2"/>
      <c r="M1701" s="2"/>
      <c r="N1701" s="2"/>
      <c r="O1701" s="2"/>
      <c r="P1701" s="2"/>
      <c r="Q1701" s="2"/>
      <c r="R1701" s="80"/>
      <c r="S1701" s="80"/>
      <c r="T1701" s="80"/>
      <c r="U1701" s="80"/>
      <c r="V1701" s="80"/>
      <c r="W1701" s="80"/>
      <c r="X1701" s="80"/>
      <c r="Y1701" s="80"/>
      <c r="Z1701" s="80"/>
      <c r="AA1701" s="80"/>
      <c r="AB1701" s="80"/>
      <c r="AC1701" s="80"/>
      <c r="AD1701" s="80"/>
      <c r="AE1701" s="80"/>
      <c r="AF1701" s="80"/>
      <c r="AG1701" s="80"/>
      <c r="AH1701" s="80"/>
      <c r="AI1701" s="80"/>
    </row>
    <row r="1702" spans="1:35" x14ac:dyDescent="0.2">
      <c r="A1702" s="80"/>
      <c r="B1702" s="80"/>
      <c r="C1702" s="80"/>
      <c r="D1702" s="80"/>
      <c r="E1702" s="80"/>
      <c r="F1702" s="80"/>
      <c r="G1702" s="80"/>
      <c r="H1702" s="80"/>
      <c r="I1702" s="80"/>
      <c r="J1702" s="80"/>
      <c r="K1702" s="80"/>
      <c r="L1702" s="2"/>
      <c r="M1702" s="2"/>
      <c r="N1702" s="2"/>
      <c r="O1702" s="2"/>
      <c r="P1702" s="2"/>
      <c r="Q1702" s="2"/>
      <c r="R1702" s="80"/>
      <c r="S1702" s="80"/>
      <c r="T1702" s="80"/>
      <c r="U1702" s="80"/>
      <c r="V1702" s="80"/>
      <c r="W1702" s="80"/>
      <c r="X1702" s="80"/>
      <c r="Y1702" s="80"/>
      <c r="Z1702" s="80"/>
      <c r="AA1702" s="80"/>
      <c r="AB1702" s="80"/>
      <c r="AC1702" s="80"/>
      <c r="AD1702" s="80"/>
      <c r="AE1702" s="80"/>
      <c r="AF1702" s="80"/>
      <c r="AG1702" s="80"/>
      <c r="AH1702" s="80"/>
      <c r="AI1702" s="80"/>
    </row>
    <row r="1703" spans="1:35" x14ac:dyDescent="0.2">
      <c r="A1703" s="80"/>
      <c r="B1703" s="80"/>
      <c r="C1703" s="80"/>
      <c r="D1703" s="80"/>
      <c r="E1703" s="80"/>
      <c r="F1703" s="80"/>
      <c r="G1703" s="80"/>
      <c r="H1703" s="80"/>
      <c r="I1703" s="80"/>
      <c r="J1703" s="80"/>
      <c r="K1703" s="80"/>
      <c r="L1703" s="2"/>
      <c r="M1703" s="2"/>
      <c r="N1703" s="2"/>
      <c r="O1703" s="2"/>
      <c r="P1703" s="2"/>
      <c r="Q1703" s="2"/>
      <c r="R1703" s="80"/>
      <c r="S1703" s="80"/>
      <c r="T1703" s="80"/>
      <c r="U1703" s="80"/>
      <c r="V1703" s="80"/>
      <c r="W1703" s="80"/>
      <c r="X1703" s="80"/>
      <c r="Y1703" s="80"/>
      <c r="Z1703" s="80"/>
      <c r="AA1703" s="80"/>
      <c r="AB1703" s="80"/>
      <c r="AC1703" s="80"/>
      <c r="AD1703" s="80"/>
      <c r="AE1703" s="80"/>
      <c r="AF1703" s="80"/>
      <c r="AG1703" s="80"/>
      <c r="AH1703" s="80"/>
      <c r="AI1703" s="80"/>
    </row>
    <row r="1704" spans="1:35" x14ac:dyDescent="0.2">
      <c r="A1704" s="80"/>
      <c r="B1704" s="80"/>
      <c r="C1704" s="80"/>
      <c r="D1704" s="80"/>
      <c r="E1704" s="80"/>
      <c r="F1704" s="80"/>
      <c r="G1704" s="80"/>
      <c r="H1704" s="80"/>
      <c r="I1704" s="80"/>
      <c r="J1704" s="80"/>
      <c r="K1704" s="80"/>
      <c r="L1704" s="2"/>
      <c r="M1704" s="2"/>
      <c r="N1704" s="2"/>
      <c r="O1704" s="2"/>
      <c r="P1704" s="2"/>
      <c r="Q1704" s="2"/>
      <c r="R1704" s="80"/>
      <c r="S1704" s="80"/>
      <c r="T1704" s="80"/>
      <c r="U1704" s="80"/>
      <c r="V1704" s="80"/>
      <c r="W1704" s="80"/>
      <c r="X1704" s="80"/>
      <c r="Y1704" s="80"/>
      <c r="Z1704" s="80"/>
      <c r="AA1704" s="80"/>
      <c r="AB1704" s="80"/>
      <c r="AC1704" s="80"/>
      <c r="AD1704" s="80"/>
      <c r="AE1704" s="80"/>
      <c r="AF1704" s="80"/>
      <c r="AG1704" s="80"/>
      <c r="AH1704" s="80"/>
      <c r="AI1704" s="80"/>
    </row>
    <row r="1705" spans="1:35" x14ac:dyDescent="0.2">
      <c r="A1705" s="80"/>
      <c r="B1705" s="80"/>
      <c r="C1705" s="80"/>
      <c r="D1705" s="80"/>
      <c r="E1705" s="80"/>
      <c r="F1705" s="80"/>
      <c r="G1705" s="80"/>
      <c r="H1705" s="80"/>
      <c r="I1705" s="80"/>
      <c r="J1705" s="80"/>
      <c r="K1705" s="80"/>
      <c r="L1705" s="2"/>
      <c r="M1705" s="2"/>
      <c r="N1705" s="2"/>
      <c r="O1705" s="2"/>
      <c r="P1705" s="2"/>
      <c r="Q1705" s="2"/>
      <c r="R1705" s="80"/>
      <c r="S1705" s="80"/>
      <c r="T1705" s="80"/>
      <c r="U1705" s="80"/>
      <c r="V1705" s="80"/>
      <c r="W1705" s="80"/>
      <c r="X1705" s="80"/>
      <c r="Y1705" s="80"/>
      <c r="Z1705" s="80"/>
      <c r="AA1705" s="80"/>
      <c r="AB1705" s="80"/>
      <c r="AC1705" s="80"/>
      <c r="AD1705" s="80"/>
      <c r="AE1705" s="80"/>
      <c r="AF1705" s="80"/>
      <c r="AG1705" s="80"/>
      <c r="AH1705" s="80"/>
      <c r="AI1705" s="80"/>
    </row>
    <row r="1706" spans="1:35" x14ac:dyDescent="0.2">
      <c r="A1706" s="80"/>
      <c r="B1706" s="80"/>
      <c r="C1706" s="80"/>
      <c r="D1706" s="80"/>
      <c r="E1706" s="80"/>
      <c r="F1706" s="80"/>
      <c r="G1706" s="80"/>
      <c r="H1706" s="80"/>
      <c r="I1706" s="80"/>
      <c r="J1706" s="80"/>
      <c r="K1706" s="80"/>
      <c r="L1706" s="2"/>
      <c r="M1706" s="2"/>
      <c r="N1706" s="2"/>
      <c r="O1706" s="2"/>
      <c r="P1706" s="2"/>
      <c r="Q1706" s="2"/>
      <c r="R1706" s="80"/>
      <c r="S1706" s="80"/>
      <c r="T1706" s="80"/>
      <c r="U1706" s="80"/>
      <c r="V1706" s="80"/>
      <c r="W1706" s="80"/>
      <c r="X1706" s="80"/>
      <c r="Y1706" s="80"/>
      <c r="Z1706" s="80"/>
      <c r="AA1706" s="80"/>
      <c r="AB1706" s="80"/>
      <c r="AC1706" s="80"/>
      <c r="AD1706" s="80"/>
      <c r="AE1706" s="80"/>
      <c r="AF1706" s="80"/>
      <c r="AG1706" s="80"/>
      <c r="AH1706" s="80"/>
      <c r="AI1706" s="80"/>
    </row>
    <row r="1707" spans="1:35" x14ac:dyDescent="0.2">
      <c r="A1707" s="80"/>
      <c r="B1707" s="80"/>
      <c r="C1707" s="80"/>
      <c r="D1707" s="80"/>
      <c r="E1707" s="80"/>
      <c r="F1707" s="80"/>
      <c r="G1707" s="80"/>
      <c r="H1707" s="80"/>
      <c r="I1707" s="80"/>
      <c r="J1707" s="80"/>
      <c r="K1707" s="80"/>
      <c r="L1707" s="2"/>
      <c r="M1707" s="2"/>
      <c r="N1707" s="2"/>
      <c r="O1707" s="2"/>
      <c r="P1707" s="2"/>
      <c r="Q1707" s="2"/>
      <c r="R1707" s="80"/>
      <c r="S1707" s="80"/>
      <c r="T1707" s="80"/>
      <c r="U1707" s="80"/>
      <c r="V1707" s="80"/>
      <c r="W1707" s="80"/>
      <c r="X1707" s="80"/>
      <c r="Y1707" s="80"/>
      <c r="Z1707" s="80"/>
      <c r="AA1707" s="80"/>
      <c r="AB1707" s="80"/>
      <c r="AC1707" s="80"/>
      <c r="AD1707" s="80"/>
      <c r="AE1707" s="80"/>
      <c r="AF1707" s="80"/>
      <c r="AG1707" s="80"/>
      <c r="AH1707" s="80"/>
      <c r="AI1707" s="80"/>
    </row>
    <row r="1708" spans="1:35" x14ac:dyDescent="0.2">
      <c r="A1708" s="80"/>
      <c r="B1708" s="80"/>
      <c r="C1708" s="80"/>
      <c r="D1708" s="80"/>
      <c r="E1708" s="80"/>
      <c r="F1708" s="80"/>
      <c r="G1708" s="80"/>
      <c r="H1708" s="80"/>
      <c r="I1708" s="80"/>
      <c r="J1708" s="80"/>
      <c r="K1708" s="80"/>
      <c r="L1708" s="2"/>
      <c r="M1708" s="2"/>
      <c r="N1708" s="2"/>
      <c r="O1708" s="2"/>
      <c r="P1708" s="2"/>
      <c r="Q1708" s="2"/>
      <c r="R1708" s="80"/>
      <c r="S1708" s="80"/>
      <c r="T1708" s="80"/>
      <c r="U1708" s="80"/>
      <c r="V1708" s="80"/>
      <c r="W1708" s="80"/>
      <c r="X1708" s="80"/>
      <c r="Y1708" s="80"/>
      <c r="Z1708" s="80"/>
      <c r="AA1708" s="80"/>
      <c r="AB1708" s="80"/>
      <c r="AC1708" s="80"/>
      <c r="AD1708" s="80"/>
      <c r="AE1708" s="80"/>
      <c r="AF1708" s="80"/>
      <c r="AG1708" s="80"/>
      <c r="AH1708" s="80"/>
      <c r="AI1708" s="80"/>
    </row>
    <row r="1709" spans="1:35" x14ac:dyDescent="0.2">
      <c r="A1709" s="80"/>
      <c r="B1709" s="80"/>
      <c r="C1709" s="80"/>
      <c r="D1709" s="80"/>
      <c r="E1709" s="80"/>
      <c r="F1709" s="80"/>
      <c r="G1709" s="80"/>
      <c r="H1709" s="80"/>
      <c r="I1709" s="80"/>
      <c r="J1709" s="80"/>
      <c r="K1709" s="80"/>
      <c r="L1709" s="2"/>
      <c r="M1709" s="2"/>
      <c r="N1709" s="2"/>
      <c r="O1709" s="2"/>
      <c r="P1709" s="2"/>
      <c r="Q1709" s="2"/>
      <c r="R1709" s="80"/>
      <c r="S1709" s="80"/>
      <c r="T1709" s="80"/>
      <c r="U1709" s="80"/>
      <c r="V1709" s="80"/>
      <c r="W1709" s="80"/>
      <c r="X1709" s="80"/>
      <c r="Y1709" s="80"/>
      <c r="Z1709" s="80"/>
      <c r="AA1709" s="80"/>
      <c r="AB1709" s="80"/>
      <c r="AC1709" s="80"/>
      <c r="AD1709" s="80"/>
      <c r="AE1709" s="80"/>
      <c r="AF1709" s="80"/>
      <c r="AG1709" s="80"/>
      <c r="AH1709" s="80"/>
      <c r="AI1709" s="80"/>
    </row>
    <row r="1710" spans="1:35" x14ac:dyDescent="0.2">
      <c r="A1710" s="80"/>
      <c r="B1710" s="80"/>
      <c r="C1710" s="80"/>
      <c r="D1710" s="80"/>
      <c r="E1710" s="80"/>
      <c r="F1710" s="80"/>
      <c r="G1710" s="80"/>
      <c r="H1710" s="80"/>
      <c r="I1710" s="80"/>
      <c r="J1710" s="80"/>
      <c r="K1710" s="80"/>
      <c r="L1710" s="2"/>
      <c r="M1710" s="2"/>
      <c r="N1710" s="2"/>
      <c r="O1710" s="2"/>
      <c r="P1710" s="2"/>
      <c r="Q1710" s="2"/>
      <c r="R1710" s="80"/>
      <c r="S1710" s="80"/>
      <c r="T1710" s="80"/>
      <c r="U1710" s="80"/>
      <c r="V1710" s="80"/>
      <c r="W1710" s="80"/>
      <c r="X1710" s="80"/>
      <c r="Y1710" s="80"/>
      <c r="Z1710" s="80"/>
      <c r="AA1710" s="80"/>
      <c r="AB1710" s="80"/>
      <c r="AC1710" s="80"/>
      <c r="AD1710" s="80"/>
      <c r="AE1710" s="80"/>
      <c r="AF1710" s="80"/>
      <c r="AG1710" s="80"/>
      <c r="AH1710" s="80"/>
      <c r="AI1710" s="80"/>
    </row>
    <row r="1711" spans="1:35" x14ac:dyDescent="0.2">
      <c r="A1711" s="80"/>
      <c r="B1711" s="80"/>
      <c r="C1711" s="80"/>
      <c r="D1711" s="80"/>
      <c r="E1711" s="80"/>
      <c r="F1711" s="80"/>
      <c r="G1711" s="80"/>
      <c r="H1711" s="80"/>
      <c r="I1711" s="80"/>
      <c r="J1711" s="80"/>
      <c r="K1711" s="80"/>
      <c r="L1711" s="2"/>
      <c r="M1711" s="2"/>
      <c r="N1711" s="2"/>
      <c r="O1711" s="2"/>
      <c r="P1711" s="2"/>
      <c r="Q1711" s="2"/>
      <c r="R1711" s="80"/>
      <c r="S1711" s="80"/>
      <c r="T1711" s="80"/>
      <c r="U1711" s="80"/>
      <c r="V1711" s="80"/>
      <c r="W1711" s="80"/>
      <c r="X1711" s="80"/>
      <c r="Y1711" s="80"/>
      <c r="Z1711" s="80"/>
      <c r="AA1711" s="80"/>
      <c r="AB1711" s="80"/>
      <c r="AC1711" s="80"/>
      <c r="AD1711" s="80"/>
      <c r="AE1711" s="80"/>
      <c r="AF1711" s="80"/>
      <c r="AG1711" s="80"/>
      <c r="AH1711" s="80"/>
      <c r="AI1711" s="80"/>
    </row>
    <row r="1712" spans="1:35" x14ac:dyDescent="0.2">
      <c r="A1712" s="80"/>
      <c r="B1712" s="80"/>
      <c r="C1712" s="80"/>
      <c r="D1712" s="80"/>
      <c r="E1712" s="80"/>
      <c r="F1712" s="80"/>
      <c r="G1712" s="80"/>
      <c r="H1712" s="80"/>
      <c r="I1712" s="80"/>
      <c r="J1712" s="80"/>
      <c r="K1712" s="80"/>
      <c r="L1712" s="2"/>
      <c r="M1712" s="2"/>
      <c r="N1712" s="2"/>
      <c r="O1712" s="2"/>
      <c r="P1712" s="2"/>
      <c r="Q1712" s="2"/>
      <c r="R1712" s="80"/>
      <c r="S1712" s="80"/>
      <c r="T1712" s="80"/>
      <c r="U1712" s="80"/>
      <c r="V1712" s="80"/>
      <c r="W1712" s="80"/>
      <c r="X1712" s="80"/>
      <c r="Y1712" s="80"/>
      <c r="Z1712" s="80"/>
      <c r="AA1712" s="80"/>
      <c r="AB1712" s="80"/>
      <c r="AC1712" s="80"/>
      <c r="AD1712" s="80"/>
      <c r="AE1712" s="80"/>
      <c r="AF1712" s="80"/>
      <c r="AG1712" s="80"/>
      <c r="AH1712" s="80"/>
      <c r="AI1712" s="80"/>
    </row>
    <row r="1713" spans="1:35" x14ac:dyDescent="0.2">
      <c r="A1713" s="80"/>
      <c r="B1713" s="80"/>
      <c r="C1713" s="80"/>
      <c r="D1713" s="80"/>
      <c r="E1713" s="80"/>
      <c r="F1713" s="80"/>
      <c r="G1713" s="80"/>
      <c r="H1713" s="80"/>
      <c r="I1713" s="80"/>
      <c r="J1713" s="80"/>
      <c r="K1713" s="80"/>
      <c r="L1713" s="2"/>
      <c r="M1713" s="2"/>
      <c r="N1713" s="2"/>
      <c r="O1713" s="2"/>
      <c r="P1713" s="2"/>
      <c r="Q1713" s="2"/>
      <c r="R1713" s="80"/>
      <c r="S1713" s="80"/>
      <c r="T1713" s="80"/>
      <c r="U1713" s="80"/>
      <c r="V1713" s="80"/>
      <c r="W1713" s="80"/>
      <c r="X1713" s="80"/>
      <c r="Y1713" s="80"/>
      <c r="Z1713" s="80"/>
      <c r="AA1713" s="80"/>
      <c r="AB1713" s="80"/>
      <c r="AC1713" s="80"/>
      <c r="AD1713" s="80"/>
      <c r="AE1713" s="80"/>
      <c r="AF1713" s="80"/>
      <c r="AG1713" s="80"/>
      <c r="AH1713" s="80"/>
      <c r="AI1713" s="80"/>
    </row>
    <row r="1714" spans="1:35" x14ac:dyDescent="0.2">
      <c r="A1714" s="80"/>
      <c r="B1714" s="80"/>
      <c r="C1714" s="80"/>
      <c r="D1714" s="80"/>
      <c r="E1714" s="80"/>
      <c r="F1714" s="80"/>
      <c r="G1714" s="80"/>
      <c r="H1714" s="80"/>
      <c r="I1714" s="80"/>
      <c r="J1714" s="80"/>
      <c r="K1714" s="80"/>
      <c r="L1714" s="2"/>
      <c r="M1714" s="2"/>
      <c r="N1714" s="2"/>
      <c r="O1714" s="2"/>
      <c r="P1714" s="2"/>
      <c r="Q1714" s="2"/>
      <c r="R1714" s="80"/>
      <c r="S1714" s="80"/>
      <c r="T1714" s="80"/>
      <c r="U1714" s="80"/>
      <c r="V1714" s="80"/>
      <c r="W1714" s="80"/>
      <c r="X1714" s="80"/>
      <c r="Y1714" s="80"/>
      <c r="Z1714" s="80"/>
      <c r="AA1714" s="80"/>
      <c r="AB1714" s="80"/>
      <c r="AC1714" s="80"/>
      <c r="AD1714" s="80"/>
      <c r="AE1714" s="80"/>
      <c r="AF1714" s="80"/>
      <c r="AG1714" s="80"/>
      <c r="AH1714" s="80"/>
      <c r="AI1714" s="80"/>
    </row>
    <row r="1715" spans="1:35" x14ac:dyDescent="0.2">
      <c r="A1715" s="80"/>
      <c r="B1715" s="80"/>
      <c r="C1715" s="80"/>
      <c r="D1715" s="80"/>
      <c r="E1715" s="80"/>
      <c r="F1715" s="80"/>
      <c r="G1715" s="80"/>
      <c r="H1715" s="80"/>
      <c r="I1715" s="80"/>
      <c r="J1715" s="80"/>
      <c r="K1715" s="80"/>
      <c r="L1715" s="2"/>
      <c r="M1715" s="2"/>
      <c r="N1715" s="2"/>
      <c r="O1715" s="2"/>
      <c r="P1715" s="2"/>
      <c r="Q1715" s="2"/>
      <c r="R1715" s="80"/>
      <c r="S1715" s="80"/>
      <c r="T1715" s="80"/>
      <c r="U1715" s="80"/>
      <c r="V1715" s="80"/>
      <c r="W1715" s="80"/>
      <c r="X1715" s="80"/>
      <c r="Y1715" s="80"/>
      <c r="Z1715" s="80"/>
      <c r="AA1715" s="80"/>
      <c r="AB1715" s="80"/>
      <c r="AC1715" s="80"/>
      <c r="AD1715" s="80"/>
      <c r="AE1715" s="80"/>
      <c r="AF1715" s="80"/>
      <c r="AG1715" s="80"/>
      <c r="AH1715" s="80"/>
      <c r="AI1715" s="80"/>
    </row>
    <row r="1716" spans="1:35" x14ac:dyDescent="0.2">
      <c r="A1716" s="80"/>
      <c r="B1716" s="80"/>
      <c r="C1716" s="80"/>
      <c r="D1716" s="80"/>
      <c r="E1716" s="80"/>
      <c r="F1716" s="80"/>
      <c r="G1716" s="80"/>
      <c r="H1716" s="80"/>
      <c r="I1716" s="80"/>
      <c r="J1716" s="80"/>
      <c r="K1716" s="80"/>
      <c r="L1716" s="2"/>
      <c r="M1716" s="2"/>
      <c r="N1716" s="2"/>
      <c r="O1716" s="2"/>
      <c r="P1716" s="2"/>
      <c r="Q1716" s="2"/>
      <c r="R1716" s="80"/>
      <c r="S1716" s="80"/>
      <c r="T1716" s="80"/>
      <c r="U1716" s="80"/>
      <c r="V1716" s="80"/>
      <c r="W1716" s="80"/>
      <c r="X1716" s="80"/>
      <c r="Y1716" s="80"/>
      <c r="Z1716" s="80"/>
      <c r="AA1716" s="80"/>
      <c r="AB1716" s="80"/>
      <c r="AC1716" s="80"/>
      <c r="AD1716" s="80"/>
      <c r="AE1716" s="80"/>
      <c r="AF1716" s="80"/>
      <c r="AG1716" s="80"/>
      <c r="AH1716" s="80"/>
      <c r="AI1716" s="80"/>
    </row>
    <row r="1717" spans="1:35" x14ac:dyDescent="0.2">
      <c r="A1717" s="80"/>
      <c r="B1717" s="80"/>
      <c r="C1717" s="80"/>
      <c r="D1717" s="80"/>
      <c r="E1717" s="80"/>
      <c r="F1717" s="80"/>
      <c r="G1717" s="80"/>
      <c r="H1717" s="80"/>
      <c r="I1717" s="80"/>
      <c r="J1717" s="80"/>
      <c r="K1717" s="80"/>
      <c r="L1717" s="2"/>
      <c r="M1717" s="2"/>
      <c r="N1717" s="2"/>
      <c r="O1717" s="2"/>
      <c r="P1717" s="2"/>
      <c r="Q1717" s="2"/>
      <c r="R1717" s="80"/>
      <c r="S1717" s="80"/>
      <c r="T1717" s="80"/>
      <c r="U1717" s="80"/>
      <c r="V1717" s="80"/>
      <c r="W1717" s="80"/>
      <c r="X1717" s="80"/>
      <c r="Y1717" s="80"/>
      <c r="Z1717" s="80"/>
      <c r="AA1717" s="80"/>
      <c r="AB1717" s="80"/>
      <c r="AC1717" s="80"/>
      <c r="AD1717" s="80"/>
      <c r="AE1717" s="80"/>
      <c r="AF1717" s="80"/>
      <c r="AG1717" s="80"/>
      <c r="AH1717" s="80"/>
      <c r="AI1717" s="80"/>
    </row>
    <row r="1718" spans="1:35" x14ac:dyDescent="0.2">
      <c r="A1718" s="80"/>
      <c r="B1718" s="80"/>
      <c r="C1718" s="80"/>
      <c r="D1718" s="80"/>
      <c r="E1718" s="80"/>
      <c r="F1718" s="80"/>
      <c r="G1718" s="80"/>
      <c r="H1718" s="80"/>
      <c r="I1718" s="80"/>
      <c r="J1718" s="80"/>
      <c r="K1718" s="80"/>
      <c r="L1718" s="2"/>
      <c r="M1718" s="2"/>
      <c r="N1718" s="2"/>
      <c r="O1718" s="2"/>
      <c r="P1718" s="2"/>
      <c r="Q1718" s="2"/>
      <c r="R1718" s="80"/>
      <c r="S1718" s="80"/>
      <c r="T1718" s="80"/>
      <c r="U1718" s="80"/>
      <c r="V1718" s="80"/>
      <c r="W1718" s="80"/>
      <c r="X1718" s="80"/>
      <c r="Y1718" s="80"/>
      <c r="Z1718" s="80"/>
      <c r="AA1718" s="80"/>
      <c r="AB1718" s="80"/>
      <c r="AC1718" s="80"/>
      <c r="AD1718" s="80"/>
      <c r="AE1718" s="80"/>
      <c r="AF1718" s="80"/>
      <c r="AG1718" s="80"/>
      <c r="AH1718" s="80"/>
      <c r="AI1718" s="80"/>
    </row>
    <row r="1719" spans="1:35" x14ac:dyDescent="0.2">
      <c r="A1719" s="80"/>
      <c r="B1719" s="80"/>
      <c r="C1719" s="80"/>
      <c r="D1719" s="80"/>
      <c r="E1719" s="80"/>
      <c r="F1719" s="80"/>
      <c r="G1719" s="80"/>
      <c r="H1719" s="80"/>
      <c r="I1719" s="80"/>
      <c r="J1719" s="80"/>
      <c r="K1719" s="80"/>
      <c r="L1719" s="2"/>
      <c r="M1719" s="2"/>
      <c r="N1719" s="2"/>
      <c r="O1719" s="2"/>
      <c r="P1719" s="2"/>
      <c r="Q1719" s="2"/>
      <c r="R1719" s="80"/>
      <c r="S1719" s="80"/>
      <c r="T1719" s="80"/>
      <c r="U1719" s="80"/>
      <c r="V1719" s="80"/>
      <c r="W1719" s="80"/>
      <c r="X1719" s="80"/>
      <c r="Y1719" s="80"/>
      <c r="Z1719" s="80"/>
      <c r="AA1719" s="80"/>
      <c r="AB1719" s="80"/>
      <c r="AC1719" s="80"/>
      <c r="AD1719" s="80"/>
      <c r="AE1719" s="80"/>
      <c r="AF1719" s="80"/>
      <c r="AG1719" s="80"/>
      <c r="AH1719" s="80"/>
      <c r="AI1719" s="80"/>
    </row>
    <row r="1720" spans="1:35" x14ac:dyDescent="0.2">
      <c r="A1720" s="80"/>
      <c r="B1720" s="80"/>
      <c r="C1720" s="80"/>
      <c r="D1720" s="80"/>
      <c r="E1720" s="80"/>
      <c r="F1720" s="80"/>
      <c r="G1720" s="80"/>
      <c r="H1720" s="80"/>
      <c r="I1720" s="80"/>
      <c r="J1720" s="80"/>
      <c r="K1720" s="80"/>
      <c r="L1720" s="2"/>
      <c r="M1720" s="2"/>
      <c r="N1720" s="2"/>
      <c r="O1720" s="2"/>
      <c r="P1720" s="2"/>
      <c r="Q1720" s="2"/>
      <c r="R1720" s="80"/>
      <c r="S1720" s="80"/>
      <c r="T1720" s="80"/>
      <c r="U1720" s="80"/>
      <c r="V1720" s="80"/>
      <c r="W1720" s="80"/>
      <c r="X1720" s="80"/>
      <c r="Y1720" s="80"/>
      <c r="Z1720" s="80"/>
      <c r="AA1720" s="80"/>
      <c r="AB1720" s="80"/>
      <c r="AC1720" s="80"/>
      <c r="AD1720" s="80"/>
      <c r="AE1720" s="80"/>
      <c r="AF1720" s="80"/>
      <c r="AG1720" s="80"/>
      <c r="AH1720" s="80"/>
      <c r="AI1720" s="80"/>
    </row>
    <row r="1721" spans="1:35" x14ac:dyDescent="0.2">
      <c r="A1721" s="80"/>
      <c r="B1721" s="80"/>
      <c r="C1721" s="80"/>
      <c r="D1721" s="80"/>
      <c r="E1721" s="80"/>
      <c r="F1721" s="80"/>
      <c r="G1721" s="80"/>
      <c r="H1721" s="80"/>
      <c r="I1721" s="80"/>
      <c r="J1721" s="80"/>
      <c r="K1721" s="80"/>
      <c r="L1721" s="2"/>
      <c r="M1721" s="2"/>
      <c r="N1721" s="2"/>
      <c r="O1721" s="2"/>
      <c r="P1721" s="2"/>
      <c r="Q1721" s="2"/>
      <c r="R1721" s="80"/>
      <c r="S1721" s="80"/>
      <c r="T1721" s="80"/>
      <c r="U1721" s="80"/>
      <c r="V1721" s="80"/>
      <c r="W1721" s="80"/>
      <c r="X1721" s="80"/>
      <c r="Y1721" s="80"/>
      <c r="Z1721" s="80"/>
      <c r="AA1721" s="80"/>
      <c r="AB1721" s="80"/>
      <c r="AC1721" s="80"/>
      <c r="AD1721" s="80"/>
      <c r="AE1721" s="80"/>
      <c r="AF1721" s="80"/>
      <c r="AG1721" s="80"/>
      <c r="AH1721" s="80"/>
      <c r="AI1721" s="80"/>
    </row>
    <row r="1722" spans="1:35" x14ac:dyDescent="0.2">
      <c r="A1722" s="80"/>
      <c r="B1722" s="80"/>
      <c r="C1722" s="80"/>
      <c r="D1722" s="80"/>
      <c r="E1722" s="80"/>
      <c r="F1722" s="80"/>
      <c r="G1722" s="80"/>
      <c r="H1722" s="80"/>
      <c r="I1722" s="80"/>
      <c r="J1722" s="80"/>
      <c r="K1722" s="80"/>
      <c r="L1722" s="2"/>
      <c r="M1722" s="2"/>
      <c r="N1722" s="2"/>
      <c r="O1722" s="2"/>
      <c r="P1722" s="2"/>
      <c r="Q1722" s="2"/>
      <c r="R1722" s="80"/>
      <c r="S1722" s="80"/>
      <c r="T1722" s="80"/>
      <c r="U1722" s="80"/>
      <c r="V1722" s="80"/>
      <c r="W1722" s="80"/>
      <c r="X1722" s="80"/>
      <c r="Y1722" s="80"/>
      <c r="Z1722" s="80"/>
      <c r="AA1722" s="80"/>
      <c r="AB1722" s="80"/>
      <c r="AC1722" s="80"/>
      <c r="AD1722" s="80"/>
      <c r="AE1722" s="80"/>
      <c r="AF1722" s="80"/>
      <c r="AG1722" s="80"/>
      <c r="AH1722" s="80"/>
      <c r="AI1722" s="80"/>
    </row>
    <row r="1723" spans="1:35" x14ac:dyDescent="0.2">
      <c r="A1723" s="80"/>
      <c r="B1723" s="80"/>
      <c r="C1723" s="80"/>
      <c r="D1723" s="80"/>
      <c r="E1723" s="80"/>
      <c r="F1723" s="80"/>
      <c r="G1723" s="80"/>
      <c r="H1723" s="80"/>
      <c r="I1723" s="80"/>
      <c r="J1723" s="80"/>
      <c r="K1723" s="80"/>
      <c r="L1723" s="2"/>
      <c r="M1723" s="2"/>
      <c r="N1723" s="2"/>
      <c r="O1723" s="2"/>
      <c r="P1723" s="2"/>
      <c r="Q1723" s="2"/>
      <c r="R1723" s="80"/>
      <c r="S1723" s="80"/>
      <c r="T1723" s="80"/>
      <c r="U1723" s="80"/>
      <c r="V1723" s="80"/>
      <c r="W1723" s="80"/>
      <c r="X1723" s="80"/>
      <c r="Y1723" s="80"/>
      <c r="Z1723" s="80"/>
      <c r="AA1723" s="80"/>
      <c r="AB1723" s="80"/>
      <c r="AC1723" s="80"/>
      <c r="AD1723" s="80"/>
      <c r="AE1723" s="80"/>
      <c r="AF1723" s="80"/>
      <c r="AG1723" s="80"/>
      <c r="AH1723" s="80"/>
      <c r="AI1723" s="80"/>
    </row>
    <row r="1724" spans="1:35" x14ac:dyDescent="0.2">
      <c r="A1724" s="80"/>
      <c r="B1724" s="80"/>
      <c r="C1724" s="80"/>
      <c r="D1724" s="80"/>
      <c r="E1724" s="80"/>
      <c r="F1724" s="80"/>
      <c r="G1724" s="80"/>
      <c r="H1724" s="80"/>
      <c r="I1724" s="80"/>
      <c r="J1724" s="80"/>
      <c r="K1724" s="80"/>
      <c r="L1724" s="2"/>
      <c r="M1724" s="2"/>
      <c r="N1724" s="2"/>
      <c r="O1724" s="2"/>
      <c r="P1724" s="2"/>
      <c r="Q1724" s="2"/>
      <c r="R1724" s="80"/>
      <c r="S1724" s="80"/>
      <c r="T1724" s="80"/>
      <c r="U1724" s="80"/>
      <c r="V1724" s="80"/>
      <c r="W1724" s="80"/>
      <c r="X1724" s="80"/>
      <c r="Y1724" s="80"/>
      <c r="Z1724" s="80"/>
      <c r="AA1724" s="80"/>
      <c r="AB1724" s="80"/>
      <c r="AC1724" s="80"/>
      <c r="AD1724" s="80"/>
      <c r="AE1724" s="80"/>
      <c r="AF1724" s="80"/>
      <c r="AG1724" s="80"/>
      <c r="AH1724" s="80"/>
      <c r="AI1724" s="80"/>
    </row>
    <row r="1725" spans="1:35" x14ac:dyDescent="0.2">
      <c r="A1725" s="80"/>
      <c r="B1725" s="80"/>
      <c r="C1725" s="80"/>
      <c r="D1725" s="80"/>
      <c r="E1725" s="80"/>
      <c r="F1725" s="80"/>
      <c r="G1725" s="80"/>
      <c r="H1725" s="80"/>
      <c r="I1725" s="80"/>
      <c r="J1725" s="80"/>
      <c r="K1725" s="80"/>
      <c r="L1725" s="2"/>
      <c r="M1725" s="2"/>
      <c r="N1725" s="2"/>
      <c r="O1725" s="2"/>
      <c r="P1725" s="2"/>
      <c r="Q1725" s="2"/>
      <c r="R1725" s="80"/>
      <c r="S1725" s="80"/>
      <c r="T1725" s="80"/>
      <c r="U1725" s="80"/>
      <c r="V1725" s="80"/>
      <c r="W1725" s="80"/>
      <c r="X1725" s="80"/>
      <c r="Y1725" s="80"/>
      <c r="Z1725" s="80"/>
      <c r="AA1725" s="80"/>
      <c r="AB1725" s="80"/>
      <c r="AC1725" s="80"/>
      <c r="AD1725" s="80"/>
      <c r="AE1725" s="80"/>
      <c r="AF1725" s="80"/>
      <c r="AG1725" s="80"/>
      <c r="AH1725" s="80"/>
      <c r="AI1725" s="80"/>
    </row>
    <row r="1726" spans="1:35" x14ac:dyDescent="0.2">
      <c r="A1726" s="80"/>
      <c r="B1726" s="80"/>
      <c r="C1726" s="80"/>
      <c r="D1726" s="80"/>
      <c r="E1726" s="80"/>
      <c r="F1726" s="80"/>
      <c r="G1726" s="80"/>
      <c r="H1726" s="80"/>
      <c r="I1726" s="80"/>
      <c r="J1726" s="80"/>
      <c r="K1726" s="80"/>
      <c r="L1726" s="2"/>
      <c r="M1726" s="2"/>
      <c r="N1726" s="2"/>
      <c r="O1726" s="2"/>
      <c r="P1726" s="2"/>
      <c r="Q1726" s="2"/>
      <c r="R1726" s="80"/>
      <c r="S1726" s="80"/>
      <c r="T1726" s="80"/>
      <c r="U1726" s="80"/>
      <c r="V1726" s="80"/>
      <c r="W1726" s="80"/>
      <c r="X1726" s="80"/>
      <c r="Y1726" s="80"/>
      <c r="Z1726" s="80"/>
      <c r="AA1726" s="80"/>
      <c r="AB1726" s="80"/>
      <c r="AC1726" s="80"/>
      <c r="AD1726" s="80"/>
      <c r="AE1726" s="80"/>
      <c r="AF1726" s="80"/>
      <c r="AG1726" s="80"/>
      <c r="AH1726" s="80"/>
      <c r="AI1726" s="80"/>
    </row>
    <row r="1727" spans="1:35" x14ac:dyDescent="0.2">
      <c r="A1727" s="80"/>
      <c r="B1727" s="80"/>
      <c r="C1727" s="80"/>
      <c r="D1727" s="80"/>
      <c r="E1727" s="80"/>
      <c r="F1727" s="80"/>
      <c r="G1727" s="80"/>
      <c r="H1727" s="80"/>
      <c r="I1727" s="80"/>
      <c r="J1727" s="80"/>
      <c r="K1727" s="80"/>
      <c r="L1727" s="2"/>
      <c r="M1727" s="2"/>
      <c r="N1727" s="2"/>
      <c r="O1727" s="2"/>
      <c r="P1727" s="2"/>
      <c r="Q1727" s="2"/>
      <c r="R1727" s="80"/>
      <c r="S1727" s="80"/>
      <c r="T1727" s="80"/>
      <c r="U1727" s="80"/>
      <c r="V1727" s="80"/>
      <c r="W1727" s="80"/>
      <c r="X1727" s="80"/>
      <c r="Y1727" s="80"/>
      <c r="Z1727" s="80"/>
      <c r="AA1727" s="80"/>
      <c r="AB1727" s="80"/>
      <c r="AC1727" s="80"/>
      <c r="AD1727" s="80"/>
      <c r="AE1727" s="80"/>
      <c r="AF1727" s="80"/>
      <c r="AG1727" s="80"/>
      <c r="AH1727" s="80"/>
      <c r="AI1727" s="80"/>
    </row>
    <row r="1728" spans="1:35" x14ac:dyDescent="0.2">
      <c r="A1728" s="80"/>
      <c r="B1728" s="80"/>
      <c r="C1728" s="80"/>
      <c r="D1728" s="80"/>
      <c r="E1728" s="80"/>
      <c r="F1728" s="80"/>
      <c r="G1728" s="80"/>
      <c r="H1728" s="80"/>
      <c r="I1728" s="80"/>
      <c r="J1728" s="80"/>
      <c r="K1728" s="80"/>
      <c r="L1728" s="2"/>
      <c r="M1728" s="2"/>
      <c r="N1728" s="2"/>
      <c r="O1728" s="2"/>
      <c r="P1728" s="2"/>
      <c r="Q1728" s="2"/>
      <c r="R1728" s="80"/>
      <c r="S1728" s="80"/>
      <c r="T1728" s="80"/>
      <c r="U1728" s="80"/>
      <c r="V1728" s="80"/>
      <c r="W1728" s="80"/>
      <c r="X1728" s="80"/>
      <c r="Y1728" s="80"/>
      <c r="Z1728" s="80"/>
      <c r="AA1728" s="80"/>
      <c r="AB1728" s="80"/>
      <c r="AC1728" s="80"/>
      <c r="AD1728" s="80"/>
      <c r="AE1728" s="80"/>
      <c r="AF1728" s="80"/>
      <c r="AG1728" s="80"/>
      <c r="AH1728" s="80"/>
      <c r="AI1728" s="80"/>
    </row>
    <row r="1729" spans="1:35" x14ac:dyDescent="0.2">
      <c r="A1729" s="80"/>
      <c r="B1729" s="80"/>
      <c r="C1729" s="80"/>
      <c r="D1729" s="80"/>
      <c r="E1729" s="80"/>
      <c r="F1729" s="80"/>
      <c r="G1729" s="80"/>
      <c r="H1729" s="80"/>
      <c r="I1729" s="80"/>
      <c r="J1729" s="80"/>
      <c r="K1729" s="80"/>
      <c r="L1729" s="2"/>
      <c r="M1729" s="2"/>
      <c r="N1729" s="2"/>
      <c r="O1729" s="2"/>
      <c r="P1729" s="2"/>
      <c r="Q1729" s="2"/>
      <c r="R1729" s="80"/>
      <c r="S1729" s="80"/>
      <c r="T1729" s="80"/>
      <c r="U1729" s="80"/>
      <c r="V1729" s="80"/>
      <c r="W1729" s="80"/>
      <c r="X1729" s="80"/>
      <c r="Y1729" s="80"/>
      <c r="Z1729" s="80"/>
      <c r="AA1729" s="80"/>
      <c r="AB1729" s="80"/>
      <c r="AC1729" s="80"/>
      <c r="AD1729" s="80"/>
      <c r="AE1729" s="80"/>
      <c r="AF1729" s="80"/>
      <c r="AG1729" s="80"/>
      <c r="AH1729" s="80"/>
      <c r="AI1729" s="80"/>
    </row>
    <row r="1730" spans="1:35" x14ac:dyDescent="0.2">
      <c r="A1730" s="80"/>
      <c r="B1730" s="80"/>
      <c r="C1730" s="80"/>
      <c r="D1730" s="80"/>
      <c r="E1730" s="80"/>
      <c r="F1730" s="80"/>
      <c r="G1730" s="80"/>
      <c r="H1730" s="80"/>
      <c r="I1730" s="80"/>
      <c r="J1730" s="80"/>
      <c r="K1730" s="80"/>
      <c r="L1730" s="2"/>
      <c r="M1730" s="2"/>
      <c r="N1730" s="2"/>
      <c r="O1730" s="2"/>
      <c r="P1730" s="2"/>
      <c r="Q1730" s="2"/>
      <c r="R1730" s="80"/>
      <c r="S1730" s="80"/>
      <c r="T1730" s="80"/>
      <c r="U1730" s="80"/>
      <c r="V1730" s="80"/>
      <c r="W1730" s="80"/>
      <c r="X1730" s="80"/>
      <c r="Y1730" s="80"/>
      <c r="Z1730" s="80"/>
      <c r="AA1730" s="80"/>
      <c r="AB1730" s="80"/>
      <c r="AC1730" s="80"/>
      <c r="AD1730" s="80"/>
      <c r="AE1730" s="80"/>
      <c r="AF1730" s="80"/>
      <c r="AG1730" s="80"/>
      <c r="AH1730" s="80"/>
      <c r="AI1730" s="80"/>
    </row>
    <row r="1731" spans="1:35" x14ac:dyDescent="0.2">
      <c r="A1731" s="80"/>
      <c r="B1731" s="80"/>
      <c r="C1731" s="80"/>
      <c r="D1731" s="80"/>
      <c r="E1731" s="80"/>
      <c r="F1731" s="80"/>
      <c r="G1731" s="80"/>
      <c r="H1731" s="80"/>
      <c r="I1731" s="80"/>
      <c r="J1731" s="80"/>
      <c r="K1731" s="80"/>
      <c r="L1731" s="2"/>
      <c r="M1731" s="2"/>
      <c r="N1731" s="2"/>
      <c r="O1731" s="2"/>
      <c r="P1731" s="2"/>
      <c r="Q1731" s="2"/>
      <c r="R1731" s="80"/>
      <c r="S1731" s="80"/>
      <c r="T1731" s="80"/>
      <c r="U1731" s="80"/>
      <c r="V1731" s="80"/>
      <c r="W1731" s="80"/>
      <c r="X1731" s="80"/>
      <c r="Y1731" s="80"/>
      <c r="Z1731" s="80"/>
      <c r="AA1731" s="80"/>
      <c r="AB1731" s="80"/>
      <c r="AC1731" s="80"/>
      <c r="AD1731" s="80"/>
      <c r="AE1731" s="80"/>
      <c r="AF1731" s="80"/>
      <c r="AG1731" s="80"/>
      <c r="AH1731" s="80"/>
      <c r="AI1731" s="80"/>
    </row>
    <row r="1732" spans="1:35" x14ac:dyDescent="0.2">
      <c r="A1732" s="80"/>
      <c r="B1732" s="80"/>
      <c r="C1732" s="80"/>
      <c r="D1732" s="80"/>
      <c r="E1732" s="80"/>
      <c r="F1732" s="80"/>
      <c r="G1732" s="80"/>
      <c r="H1732" s="80"/>
      <c r="I1732" s="80"/>
      <c r="J1732" s="80"/>
      <c r="K1732" s="80"/>
      <c r="L1732" s="2"/>
      <c r="M1732" s="2"/>
      <c r="N1732" s="2"/>
      <c r="O1732" s="2"/>
      <c r="P1732" s="2"/>
      <c r="Q1732" s="2"/>
      <c r="R1732" s="80"/>
      <c r="S1732" s="80"/>
      <c r="T1732" s="80"/>
      <c r="U1732" s="80"/>
      <c r="V1732" s="80"/>
      <c r="W1732" s="80"/>
      <c r="X1732" s="80"/>
      <c r="Y1732" s="80"/>
      <c r="Z1732" s="80"/>
      <c r="AA1732" s="80"/>
      <c r="AB1732" s="80"/>
      <c r="AC1732" s="80"/>
      <c r="AD1732" s="80"/>
      <c r="AE1732" s="80"/>
      <c r="AF1732" s="80"/>
      <c r="AG1732" s="80"/>
      <c r="AH1732" s="80"/>
      <c r="AI1732" s="80"/>
    </row>
    <row r="1733" spans="1:35" x14ac:dyDescent="0.2">
      <c r="A1733" s="80"/>
      <c r="B1733" s="80"/>
      <c r="C1733" s="80"/>
      <c r="D1733" s="80"/>
      <c r="E1733" s="80"/>
      <c r="F1733" s="80"/>
      <c r="G1733" s="80"/>
      <c r="H1733" s="80"/>
      <c r="I1733" s="80"/>
      <c r="J1733" s="80"/>
      <c r="K1733" s="80"/>
      <c r="L1733" s="2"/>
      <c r="M1733" s="2"/>
      <c r="N1733" s="2"/>
      <c r="O1733" s="2"/>
      <c r="P1733" s="2"/>
      <c r="Q1733" s="2"/>
      <c r="R1733" s="80"/>
      <c r="S1733" s="80"/>
      <c r="T1733" s="80"/>
      <c r="U1733" s="80"/>
      <c r="V1733" s="80"/>
      <c r="W1733" s="80"/>
      <c r="X1733" s="80"/>
      <c r="Y1733" s="80"/>
      <c r="Z1733" s="80"/>
      <c r="AA1733" s="80"/>
      <c r="AB1733" s="80"/>
      <c r="AC1733" s="80"/>
      <c r="AD1733" s="80"/>
      <c r="AE1733" s="80"/>
      <c r="AF1733" s="80"/>
      <c r="AG1733" s="80"/>
      <c r="AH1733" s="80"/>
      <c r="AI1733" s="80"/>
    </row>
    <row r="1734" spans="1:35" x14ac:dyDescent="0.2">
      <c r="A1734" s="80"/>
      <c r="B1734" s="80"/>
      <c r="C1734" s="80"/>
      <c r="D1734" s="80"/>
      <c r="E1734" s="80"/>
      <c r="F1734" s="80"/>
      <c r="G1734" s="80"/>
      <c r="H1734" s="80"/>
      <c r="I1734" s="80"/>
      <c r="J1734" s="80"/>
      <c r="K1734" s="80"/>
      <c r="L1734" s="2"/>
      <c r="M1734" s="2"/>
      <c r="N1734" s="2"/>
      <c r="O1734" s="2"/>
      <c r="P1734" s="2"/>
      <c r="Q1734" s="2"/>
      <c r="R1734" s="80"/>
      <c r="S1734" s="80"/>
      <c r="T1734" s="80"/>
      <c r="U1734" s="80"/>
      <c r="V1734" s="80"/>
      <c r="W1734" s="80"/>
      <c r="X1734" s="80"/>
      <c r="Y1734" s="80"/>
      <c r="Z1734" s="80"/>
      <c r="AA1734" s="80"/>
      <c r="AB1734" s="80"/>
      <c r="AC1734" s="80"/>
      <c r="AD1734" s="80"/>
      <c r="AE1734" s="80"/>
      <c r="AF1734" s="80"/>
      <c r="AG1734" s="80"/>
      <c r="AH1734" s="80"/>
      <c r="AI1734" s="80"/>
    </row>
    <row r="1735" spans="1:35" x14ac:dyDescent="0.2">
      <c r="A1735" s="80"/>
      <c r="B1735" s="80"/>
      <c r="C1735" s="80"/>
      <c r="D1735" s="80"/>
      <c r="E1735" s="80"/>
      <c r="F1735" s="80"/>
      <c r="G1735" s="80"/>
      <c r="H1735" s="80"/>
      <c r="I1735" s="80"/>
      <c r="J1735" s="80"/>
      <c r="K1735" s="80"/>
      <c r="L1735" s="2"/>
      <c r="M1735" s="2"/>
      <c r="N1735" s="2"/>
      <c r="O1735" s="2"/>
      <c r="P1735" s="2"/>
      <c r="Q1735" s="2"/>
      <c r="R1735" s="80"/>
      <c r="S1735" s="80"/>
      <c r="T1735" s="80"/>
      <c r="U1735" s="80"/>
      <c r="V1735" s="80"/>
      <c r="W1735" s="80"/>
      <c r="X1735" s="80"/>
      <c r="Y1735" s="80"/>
      <c r="Z1735" s="80"/>
      <c r="AA1735" s="80"/>
      <c r="AB1735" s="80"/>
      <c r="AC1735" s="80"/>
      <c r="AD1735" s="80"/>
      <c r="AE1735" s="80"/>
      <c r="AF1735" s="80"/>
      <c r="AG1735" s="80"/>
      <c r="AH1735" s="80"/>
      <c r="AI1735" s="80"/>
    </row>
    <row r="1736" spans="1:35" x14ac:dyDescent="0.2">
      <c r="A1736" s="80"/>
      <c r="B1736" s="80"/>
      <c r="C1736" s="80"/>
      <c r="D1736" s="80"/>
      <c r="E1736" s="80"/>
      <c r="F1736" s="80"/>
      <c r="G1736" s="80"/>
      <c r="H1736" s="80"/>
      <c r="I1736" s="80"/>
      <c r="J1736" s="80"/>
      <c r="K1736" s="80"/>
      <c r="L1736" s="2"/>
      <c r="M1736" s="2"/>
      <c r="N1736" s="2"/>
      <c r="O1736" s="2"/>
      <c r="P1736" s="2"/>
      <c r="Q1736" s="2"/>
      <c r="R1736" s="80"/>
      <c r="S1736" s="80"/>
      <c r="T1736" s="80"/>
      <c r="U1736" s="80"/>
      <c r="V1736" s="80"/>
      <c r="W1736" s="80"/>
      <c r="X1736" s="80"/>
      <c r="Y1736" s="80"/>
      <c r="Z1736" s="80"/>
      <c r="AA1736" s="80"/>
      <c r="AB1736" s="80"/>
      <c r="AC1736" s="80"/>
      <c r="AD1736" s="80"/>
      <c r="AE1736" s="80"/>
      <c r="AF1736" s="80"/>
      <c r="AG1736" s="80"/>
      <c r="AH1736" s="80"/>
      <c r="AI1736" s="80"/>
    </row>
    <row r="1737" spans="1:35" x14ac:dyDescent="0.2">
      <c r="A1737" s="80"/>
      <c r="B1737" s="80"/>
      <c r="C1737" s="80"/>
      <c r="D1737" s="80"/>
      <c r="E1737" s="80"/>
      <c r="F1737" s="80"/>
      <c r="G1737" s="80"/>
      <c r="H1737" s="80"/>
      <c r="I1737" s="80"/>
      <c r="J1737" s="80"/>
      <c r="K1737" s="80"/>
      <c r="L1737" s="2"/>
      <c r="M1737" s="2"/>
      <c r="N1737" s="2"/>
      <c r="O1737" s="2"/>
      <c r="P1737" s="2"/>
      <c r="Q1737" s="2"/>
      <c r="R1737" s="80"/>
      <c r="S1737" s="80"/>
      <c r="T1737" s="80"/>
      <c r="U1737" s="80"/>
      <c r="V1737" s="80"/>
      <c r="W1737" s="80"/>
      <c r="X1737" s="80"/>
      <c r="Y1737" s="80"/>
      <c r="Z1737" s="80"/>
      <c r="AA1737" s="80"/>
      <c r="AB1737" s="80"/>
      <c r="AC1737" s="80"/>
      <c r="AD1737" s="80"/>
      <c r="AE1737" s="80"/>
      <c r="AF1737" s="80"/>
      <c r="AG1737" s="80"/>
      <c r="AH1737" s="80"/>
      <c r="AI1737" s="80"/>
    </row>
    <row r="1738" spans="1:35" x14ac:dyDescent="0.2">
      <c r="A1738" s="80"/>
      <c r="B1738" s="80"/>
      <c r="C1738" s="80"/>
      <c r="D1738" s="80"/>
      <c r="E1738" s="80"/>
      <c r="F1738" s="80"/>
      <c r="G1738" s="80"/>
      <c r="H1738" s="80"/>
      <c r="I1738" s="80"/>
      <c r="J1738" s="80"/>
      <c r="K1738" s="80"/>
      <c r="L1738" s="2"/>
      <c r="M1738" s="2"/>
      <c r="N1738" s="2"/>
      <c r="O1738" s="2"/>
      <c r="P1738" s="2"/>
      <c r="Q1738" s="2"/>
      <c r="R1738" s="80"/>
      <c r="S1738" s="80"/>
      <c r="T1738" s="80"/>
      <c r="U1738" s="80"/>
      <c r="V1738" s="80"/>
      <c r="W1738" s="80"/>
      <c r="X1738" s="80"/>
      <c r="Y1738" s="80"/>
      <c r="Z1738" s="80"/>
      <c r="AA1738" s="80"/>
      <c r="AB1738" s="80"/>
      <c r="AC1738" s="80"/>
      <c r="AD1738" s="80"/>
      <c r="AE1738" s="80"/>
      <c r="AF1738" s="80"/>
      <c r="AG1738" s="80"/>
      <c r="AH1738" s="80"/>
      <c r="AI1738" s="80"/>
    </row>
    <row r="1739" spans="1:35" x14ac:dyDescent="0.2">
      <c r="A1739" s="80"/>
      <c r="B1739" s="80"/>
      <c r="C1739" s="80"/>
      <c r="D1739" s="80"/>
      <c r="E1739" s="80"/>
      <c r="F1739" s="80"/>
      <c r="G1739" s="80"/>
      <c r="H1739" s="80"/>
      <c r="I1739" s="80"/>
      <c r="J1739" s="80"/>
      <c r="K1739" s="80"/>
      <c r="L1739" s="2"/>
      <c r="M1739" s="2"/>
      <c r="N1739" s="2"/>
      <c r="O1739" s="2"/>
      <c r="P1739" s="2"/>
      <c r="Q1739" s="2"/>
      <c r="R1739" s="80"/>
      <c r="S1739" s="80"/>
      <c r="T1739" s="80"/>
      <c r="U1739" s="80"/>
      <c r="V1739" s="80"/>
      <c r="W1739" s="80"/>
      <c r="X1739" s="80"/>
      <c r="Y1739" s="80"/>
      <c r="Z1739" s="80"/>
      <c r="AA1739" s="80"/>
      <c r="AB1739" s="80"/>
      <c r="AC1739" s="80"/>
      <c r="AD1739" s="80"/>
      <c r="AE1739" s="80"/>
      <c r="AF1739" s="80"/>
      <c r="AG1739" s="80"/>
      <c r="AH1739" s="80"/>
      <c r="AI1739" s="80"/>
    </row>
    <row r="1740" spans="1:35" x14ac:dyDescent="0.2">
      <c r="A1740" s="80"/>
      <c r="B1740" s="80"/>
      <c r="C1740" s="80"/>
      <c r="D1740" s="80"/>
      <c r="E1740" s="80"/>
      <c r="F1740" s="80"/>
      <c r="G1740" s="80"/>
      <c r="H1740" s="80"/>
      <c r="I1740" s="80"/>
      <c r="J1740" s="80"/>
      <c r="K1740" s="80"/>
      <c r="L1740" s="2"/>
      <c r="M1740" s="2"/>
      <c r="N1740" s="2"/>
      <c r="O1740" s="2"/>
      <c r="P1740" s="2"/>
      <c r="Q1740" s="2"/>
      <c r="R1740" s="80"/>
      <c r="S1740" s="80"/>
      <c r="T1740" s="80"/>
      <c r="U1740" s="80"/>
      <c r="V1740" s="80"/>
      <c r="W1740" s="80"/>
      <c r="X1740" s="80"/>
      <c r="Y1740" s="80"/>
      <c r="Z1740" s="80"/>
      <c r="AA1740" s="80"/>
      <c r="AB1740" s="80"/>
      <c r="AC1740" s="80"/>
      <c r="AD1740" s="80"/>
      <c r="AE1740" s="80"/>
      <c r="AF1740" s="80"/>
      <c r="AG1740" s="80"/>
      <c r="AH1740" s="80"/>
      <c r="AI1740" s="80"/>
    </row>
    <row r="1741" spans="1:35" x14ac:dyDescent="0.2">
      <c r="A1741" s="80"/>
      <c r="B1741" s="80"/>
      <c r="C1741" s="80"/>
      <c r="D1741" s="80"/>
      <c r="E1741" s="80"/>
      <c r="F1741" s="80"/>
      <c r="G1741" s="80"/>
      <c r="H1741" s="80"/>
      <c r="I1741" s="80"/>
      <c r="J1741" s="80"/>
      <c r="K1741" s="80"/>
      <c r="L1741" s="2"/>
      <c r="M1741" s="2"/>
      <c r="N1741" s="2"/>
      <c r="O1741" s="2"/>
      <c r="P1741" s="2"/>
      <c r="Q1741" s="2"/>
      <c r="R1741" s="80"/>
      <c r="S1741" s="80"/>
      <c r="T1741" s="80"/>
      <c r="U1741" s="80"/>
      <c r="V1741" s="80"/>
      <c r="W1741" s="80"/>
      <c r="X1741" s="80"/>
      <c r="Y1741" s="80"/>
      <c r="Z1741" s="80"/>
      <c r="AA1741" s="80"/>
      <c r="AB1741" s="80"/>
      <c r="AC1741" s="80"/>
      <c r="AD1741" s="80"/>
      <c r="AE1741" s="80"/>
      <c r="AF1741" s="80"/>
      <c r="AG1741" s="80"/>
      <c r="AH1741" s="80"/>
      <c r="AI1741" s="80"/>
    </row>
    <row r="1742" spans="1:35" x14ac:dyDescent="0.2">
      <c r="A1742" s="80"/>
      <c r="B1742" s="80"/>
      <c r="C1742" s="80"/>
      <c r="D1742" s="80"/>
      <c r="E1742" s="80"/>
      <c r="F1742" s="80"/>
      <c r="G1742" s="80"/>
      <c r="H1742" s="80"/>
      <c r="I1742" s="80"/>
      <c r="J1742" s="80"/>
      <c r="K1742" s="80"/>
      <c r="L1742" s="2"/>
      <c r="M1742" s="2"/>
      <c r="N1742" s="2"/>
      <c r="O1742" s="2"/>
      <c r="P1742" s="2"/>
      <c r="Q1742" s="2"/>
      <c r="R1742" s="80"/>
      <c r="S1742" s="80"/>
      <c r="T1742" s="80"/>
      <c r="U1742" s="80"/>
      <c r="V1742" s="80"/>
      <c r="W1742" s="80"/>
      <c r="X1742" s="80"/>
      <c r="Y1742" s="80"/>
      <c r="Z1742" s="80"/>
      <c r="AA1742" s="80"/>
      <c r="AB1742" s="80"/>
      <c r="AC1742" s="80"/>
      <c r="AD1742" s="80"/>
      <c r="AE1742" s="80"/>
      <c r="AF1742" s="80"/>
      <c r="AG1742" s="80"/>
      <c r="AH1742" s="80"/>
      <c r="AI1742" s="80"/>
    </row>
    <row r="1743" spans="1:35" x14ac:dyDescent="0.2">
      <c r="A1743" s="80"/>
      <c r="B1743" s="80"/>
      <c r="C1743" s="80"/>
      <c r="D1743" s="80"/>
      <c r="E1743" s="80"/>
      <c r="F1743" s="80"/>
      <c r="G1743" s="80"/>
      <c r="H1743" s="80"/>
      <c r="I1743" s="80"/>
      <c r="J1743" s="80"/>
      <c r="K1743" s="80"/>
      <c r="L1743" s="2"/>
      <c r="M1743" s="2"/>
      <c r="N1743" s="2"/>
      <c r="O1743" s="2"/>
      <c r="P1743" s="2"/>
      <c r="Q1743" s="2"/>
      <c r="R1743" s="80"/>
      <c r="S1743" s="80"/>
      <c r="T1743" s="80"/>
      <c r="U1743" s="80"/>
      <c r="V1743" s="80"/>
      <c r="W1743" s="80"/>
      <c r="X1743" s="80"/>
      <c r="Y1743" s="80"/>
      <c r="Z1743" s="80"/>
      <c r="AA1743" s="80"/>
      <c r="AB1743" s="80"/>
      <c r="AC1743" s="80"/>
      <c r="AD1743" s="80"/>
      <c r="AE1743" s="80"/>
      <c r="AF1743" s="80"/>
      <c r="AG1743" s="80"/>
      <c r="AH1743" s="80"/>
      <c r="AI1743" s="80"/>
    </row>
    <row r="1744" spans="1:35" x14ac:dyDescent="0.2">
      <c r="A1744" s="80"/>
      <c r="B1744" s="80"/>
      <c r="C1744" s="80"/>
      <c r="D1744" s="80"/>
      <c r="E1744" s="80"/>
      <c r="F1744" s="80"/>
      <c r="G1744" s="80"/>
      <c r="H1744" s="80"/>
      <c r="I1744" s="80"/>
      <c r="J1744" s="80"/>
      <c r="K1744" s="80"/>
      <c r="L1744" s="2"/>
      <c r="M1744" s="2"/>
      <c r="N1744" s="2"/>
      <c r="O1744" s="2"/>
      <c r="P1744" s="2"/>
      <c r="Q1744" s="2"/>
      <c r="R1744" s="80"/>
      <c r="S1744" s="80"/>
      <c r="T1744" s="80"/>
      <c r="U1744" s="80"/>
      <c r="V1744" s="80"/>
      <c r="W1744" s="80"/>
      <c r="X1744" s="80"/>
      <c r="Y1744" s="80"/>
      <c r="Z1744" s="80"/>
      <c r="AA1744" s="80"/>
      <c r="AB1744" s="80"/>
      <c r="AC1744" s="80"/>
      <c r="AD1744" s="80"/>
      <c r="AE1744" s="80"/>
      <c r="AF1744" s="80"/>
      <c r="AG1744" s="80"/>
      <c r="AH1744" s="80"/>
      <c r="AI1744" s="80"/>
    </row>
    <row r="1745" spans="1:35" x14ac:dyDescent="0.2">
      <c r="A1745" s="80"/>
      <c r="B1745" s="80"/>
      <c r="C1745" s="80"/>
      <c r="D1745" s="80"/>
      <c r="E1745" s="80"/>
      <c r="F1745" s="80"/>
      <c r="G1745" s="80"/>
      <c r="H1745" s="80"/>
      <c r="I1745" s="80"/>
      <c r="J1745" s="80"/>
      <c r="K1745" s="80"/>
      <c r="L1745" s="2"/>
      <c r="M1745" s="2"/>
      <c r="N1745" s="2"/>
      <c r="O1745" s="2"/>
      <c r="P1745" s="2"/>
      <c r="Q1745" s="2"/>
      <c r="R1745" s="80"/>
      <c r="S1745" s="80"/>
      <c r="T1745" s="80"/>
      <c r="U1745" s="80"/>
      <c r="V1745" s="80"/>
      <c r="W1745" s="80"/>
      <c r="X1745" s="80"/>
      <c r="Y1745" s="80"/>
      <c r="Z1745" s="80"/>
      <c r="AA1745" s="80"/>
      <c r="AB1745" s="80"/>
      <c r="AC1745" s="80"/>
      <c r="AD1745" s="80"/>
      <c r="AE1745" s="80"/>
      <c r="AF1745" s="80"/>
      <c r="AG1745" s="80"/>
      <c r="AH1745" s="80"/>
      <c r="AI1745" s="80"/>
    </row>
    <row r="1746" spans="1:35" x14ac:dyDescent="0.2">
      <c r="A1746" s="80"/>
      <c r="B1746" s="80"/>
      <c r="C1746" s="80"/>
      <c r="D1746" s="80"/>
      <c r="E1746" s="80"/>
      <c r="F1746" s="80"/>
      <c r="G1746" s="80"/>
      <c r="H1746" s="80"/>
      <c r="I1746" s="80"/>
      <c r="J1746" s="80"/>
      <c r="K1746" s="80"/>
      <c r="L1746" s="2"/>
      <c r="M1746" s="2"/>
      <c r="N1746" s="2"/>
      <c r="O1746" s="2"/>
      <c r="P1746" s="2"/>
      <c r="Q1746" s="2"/>
      <c r="R1746" s="80"/>
      <c r="S1746" s="80"/>
      <c r="T1746" s="80"/>
      <c r="U1746" s="80"/>
      <c r="V1746" s="80"/>
      <c r="W1746" s="80"/>
      <c r="X1746" s="80"/>
      <c r="Y1746" s="80"/>
      <c r="Z1746" s="80"/>
      <c r="AA1746" s="80"/>
      <c r="AB1746" s="80"/>
      <c r="AC1746" s="80"/>
      <c r="AD1746" s="80"/>
      <c r="AE1746" s="80"/>
      <c r="AF1746" s="80"/>
      <c r="AG1746" s="80"/>
      <c r="AH1746" s="80"/>
      <c r="AI1746" s="80"/>
    </row>
    <row r="1747" spans="1:35" x14ac:dyDescent="0.2">
      <c r="A1747" s="80"/>
      <c r="B1747" s="80"/>
      <c r="C1747" s="80"/>
      <c r="D1747" s="80"/>
      <c r="E1747" s="80"/>
      <c r="F1747" s="80"/>
      <c r="G1747" s="80"/>
      <c r="H1747" s="80"/>
      <c r="I1747" s="80"/>
      <c r="J1747" s="80"/>
      <c r="K1747" s="80"/>
      <c r="L1747" s="2"/>
      <c r="M1747" s="2"/>
      <c r="N1747" s="2"/>
      <c r="O1747" s="2"/>
      <c r="P1747" s="2"/>
      <c r="Q1747" s="2"/>
      <c r="R1747" s="80"/>
      <c r="S1747" s="80"/>
      <c r="T1747" s="80"/>
      <c r="U1747" s="80"/>
      <c r="V1747" s="80"/>
      <c r="W1747" s="80"/>
      <c r="X1747" s="80"/>
      <c r="Y1747" s="80"/>
      <c r="Z1747" s="80"/>
      <c r="AA1747" s="80"/>
      <c r="AB1747" s="80"/>
      <c r="AC1747" s="80"/>
      <c r="AD1747" s="80"/>
      <c r="AE1747" s="80"/>
      <c r="AF1747" s="80"/>
      <c r="AG1747" s="80"/>
      <c r="AH1747" s="80"/>
      <c r="AI1747" s="80"/>
    </row>
    <row r="1748" spans="1:35" x14ac:dyDescent="0.2">
      <c r="A1748" s="80"/>
      <c r="B1748" s="80"/>
      <c r="C1748" s="80"/>
      <c r="D1748" s="80"/>
      <c r="E1748" s="80"/>
      <c r="F1748" s="80"/>
      <c r="G1748" s="80"/>
      <c r="H1748" s="80"/>
      <c r="I1748" s="80"/>
      <c r="J1748" s="80"/>
      <c r="K1748" s="80"/>
      <c r="L1748" s="2"/>
      <c r="M1748" s="2"/>
      <c r="N1748" s="2"/>
      <c r="O1748" s="2"/>
      <c r="P1748" s="2"/>
      <c r="Q1748" s="2"/>
      <c r="R1748" s="80"/>
      <c r="S1748" s="80"/>
      <c r="T1748" s="80"/>
      <c r="U1748" s="80"/>
      <c r="V1748" s="80"/>
      <c r="W1748" s="80"/>
      <c r="X1748" s="80"/>
      <c r="Y1748" s="80"/>
      <c r="Z1748" s="80"/>
      <c r="AA1748" s="80"/>
      <c r="AB1748" s="80"/>
      <c r="AC1748" s="80"/>
      <c r="AD1748" s="80"/>
      <c r="AE1748" s="80"/>
      <c r="AF1748" s="80"/>
      <c r="AG1748" s="80"/>
      <c r="AH1748" s="80"/>
      <c r="AI1748" s="80"/>
    </row>
    <row r="1749" spans="1:35" x14ac:dyDescent="0.2">
      <c r="A1749" s="80"/>
      <c r="B1749" s="80"/>
      <c r="C1749" s="80"/>
      <c r="D1749" s="80"/>
      <c r="E1749" s="80"/>
      <c r="F1749" s="80"/>
      <c r="G1749" s="80"/>
      <c r="H1749" s="80"/>
      <c r="I1749" s="80"/>
      <c r="J1749" s="80"/>
      <c r="K1749" s="80"/>
      <c r="L1749" s="2"/>
      <c r="M1749" s="2"/>
      <c r="N1749" s="2"/>
      <c r="O1749" s="2"/>
      <c r="P1749" s="2"/>
      <c r="Q1749" s="2"/>
      <c r="R1749" s="80"/>
      <c r="S1749" s="80"/>
      <c r="T1749" s="80"/>
      <c r="U1749" s="80"/>
      <c r="V1749" s="80"/>
      <c r="W1749" s="80"/>
      <c r="X1749" s="80"/>
      <c r="Y1749" s="80"/>
      <c r="Z1749" s="80"/>
      <c r="AA1749" s="80"/>
      <c r="AB1749" s="80"/>
      <c r="AC1749" s="80"/>
      <c r="AD1749" s="80"/>
      <c r="AE1749" s="80"/>
      <c r="AF1749" s="80"/>
      <c r="AG1749" s="80"/>
      <c r="AH1749" s="80"/>
      <c r="AI1749" s="80"/>
    </row>
    <row r="1750" spans="1:35" x14ac:dyDescent="0.2">
      <c r="A1750" s="80"/>
      <c r="B1750" s="80"/>
      <c r="C1750" s="80"/>
      <c r="D1750" s="80"/>
      <c r="E1750" s="80"/>
      <c r="F1750" s="80"/>
      <c r="G1750" s="80"/>
      <c r="H1750" s="80"/>
      <c r="I1750" s="80"/>
      <c r="J1750" s="80"/>
      <c r="K1750" s="80"/>
      <c r="L1750" s="2"/>
      <c r="M1750" s="2"/>
      <c r="N1750" s="2"/>
      <c r="O1750" s="2"/>
      <c r="P1750" s="2"/>
      <c r="Q1750" s="2"/>
      <c r="R1750" s="80"/>
      <c r="S1750" s="80"/>
      <c r="T1750" s="80"/>
      <c r="U1750" s="80"/>
      <c r="V1750" s="80"/>
      <c r="W1750" s="80"/>
      <c r="X1750" s="80"/>
      <c r="Y1750" s="80"/>
      <c r="Z1750" s="80"/>
      <c r="AA1750" s="80"/>
      <c r="AB1750" s="80"/>
      <c r="AC1750" s="80"/>
      <c r="AD1750" s="80"/>
      <c r="AE1750" s="80"/>
      <c r="AF1750" s="80"/>
      <c r="AG1750" s="80"/>
      <c r="AH1750" s="80"/>
      <c r="AI1750" s="80"/>
    </row>
    <row r="1751" spans="1:35" x14ac:dyDescent="0.2">
      <c r="A1751" s="80"/>
      <c r="B1751" s="80"/>
      <c r="C1751" s="80"/>
      <c r="D1751" s="80"/>
      <c r="E1751" s="80"/>
      <c r="F1751" s="80"/>
      <c r="G1751" s="80"/>
      <c r="H1751" s="80"/>
      <c r="I1751" s="80"/>
      <c r="J1751" s="80"/>
      <c r="K1751" s="80"/>
      <c r="L1751" s="2"/>
      <c r="M1751" s="2"/>
      <c r="N1751" s="2"/>
      <c r="O1751" s="2"/>
      <c r="P1751" s="2"/>
      <c r="Q1751" s="2"/>
      <c r="R1751" s="80"/>
      <c r="S1751" s="80"/>
      <c r="T1751" s="80"/>
      <c r="U1751" s="80"/>
      <c r="V1751" s="80"/>
      <c r="W1751" s="80"/>
      <c r="X1751" s="80"/>
      <c r="Y1751" s="80"/>
      <c r="Z1751" s="80"/>
      <c r="AA1751" s="80"/>
      <c r="AB1751" s="80"/>
      <c r="AC1751" s="80"/>
      <c r="AD1751" s="80"/>
      <c r="AE1751" s="80"/>
      <c r="AF1751" s="80"/>
      <c r="AG1751" s="80"/>
      <c r="AH1751" s="80"/>
      <c r="AI1751" s="80"/>
    </row>
    <row r="1752" spans="1:35" x14ac:dyDescent="0.2">
      <c r="A1752" s="80"/>
      <c r="B1752" s="80"/>
      <c r="C1752" s="80"/>
      <c r="D1752" s="80"/>
      <c r="E1752" s="80"/>
      <c r="F1752" s="80"/>
      <c r="G1752" s="80"/>
      <c r="H1752" s="80"/>
      <c r="I1752" s="80"/>
      <c r="J1752" s="80"/>
      <c r="K1752" s="80"/>
      <c r="L1752" s="2"/>
      <c r="M1752" s="2"/>
      <c r="N1752" s="2"/>
      <c r="O1752" s="2"/>
      <c r="P1752" s="2"/>
      <c r="Q1752" s="2"/>
      <c r="R1752" s="80"/>
      <c r="S1752" s="80"/>
      <c r="T1752" s="80"/>
      <c r="U1752" s="80"/>
      <c r="V1752" s="80"/>
      <c r="W1752" s="80"/>
      <c r="X1752" s="80"/>
      <c r="Y1752" s="80"/>
      <c r="Z1752" s="80"/>
      <c r="AA1752" s="80"/>
      <c r="AB1752" s="80"/>
      <c r="AC1752" s="80"/>
      <c r="AD1752" s="80"/>
      <c r="AE1752" s="80"/>
      <c r="AF1752" s="80"/>
      <c r="AG1752" s="80"/>
      <c r="AH1752" s="80"/>
      <c r="AI1752" s="80"/>
    </row>
    <row r="1753" spans="1:35" x14ac:dyDescent="0.2">
      <c r="A1753" s="80"/>
      <c r="B1753" s="80"/>
      <c r="C1753" s="80"/>
      <c r="D1753" s="80"/>
      <c r="E1753" s="80"/>
      <c r="F1753" s="80"/>
      <c r="G1753" s="80"/>
      <c r="H1753" s="80"/>
      <c r="I1753" s="80"/>
      <c r="J1753" s="80"/>
      <c r="K1753" s="80"/>
      <c r="L1753" s="2"/>
      <c r="M1753" s="2"/>
      <c r="N1753" s="2"/>
      <c r="O1753" s="2"/>
      <c r="P1753" s="2"/>
      <c r="Q1753" s="2"/>
      <c r="R1753" s="80"/>
      <c r="S1753" s="80"/>
      <c r="T1753" s="80"/>
      <c r="U1753" s="80"/>
      <c r="V1753" s="80"/>
      <c r="W1753" s="80"/>
      <c r="X1753" s="80"/>
      <c r="Y1753" s="80"/>
      <c r="Z1753" s="80"/>
      <c r="AA1753" s="80"/>
      <c r="AB1753" s="80"/>
      <c r="AC1753" s="80"/>
      <c r="AD1753" s="80"/>
      <c r="AE1753" s="80"/>
      <c r="AF1753" s="80"/>
      <c r="AG1753" s="80"/>
      <c r="AH1753" s="80"/>
      <c r="AI1753" s="80"/>
    </row>
    <row r="1754" spans="1:35" x14ac:dyDescent="0.2">
      <c r="A1754" s="80"/>
      <c r="B1754" s="80"/>
      <c r="C1754" s="80"/>
      <c r="D1754" s="80"/>
      <c r="E1754" s="80"/>
      <c r="F1754" s="80"/>
      <c r="G1754" s="80"/>
      <c r="H1754" s="80"/>
      <c r="I1754" s="80"/>
      <c r="J1754" s="80"/>
      <c r="K1754" s="80"/>
      <c r="L1754" s="2"/>
      <c r="M1754" s="2"/>
      <c r="N1754" s="2"/>
      <c r="O1754" s="2"/>
      <c r="P1754" s="2"/>
      <c r="Q1754" s="2"/>
      <c r="R1754" s="80"/>
      <c r="S1754" s="80"/>
      <c r="T1754" s="80"/>
      <c r="U1754" s="80"/>
      <c r="V1754" s="80"/>
      <c r="W1754" s="80"/>
      <c r="X1754" s="80"/>
      <c r="Y1754" s="80"/>
      <c r="Z1754" s="80"/>
      <c r="AA1754" s="80"/>
      <c r="AB1754" s="80"/>
      <c r="AC1754" s="80"/>
      <c r="AD1754" s="80"/>
      <c r="AE1754" s="80"/>
      <c r="AF1754" s="80"/>
      <c r="AG1754" s="80"/>
      <c r="AH1754" s="80"/>
      <c r="AI1754" s="80"/>
    </row>
    <row r="1755" spans="1:35" x14ac:dyDescent="0.2">
      <c r="A1755" s="80"/>
      <c r="B1755" s="80"/>
      <c r="C1755" s="80"/>
      <c r="D1755" s="80"/>
      <c r="E1755" s="80"/>
      <c r="F1755" s="80"/>
      <c r="G1755" s="80"/>
      <c r="H1755" s="80"/>
      <c r="I1755" s="80"/>
      <c r="J1755" s="80"/>
      <c r="K1755" s="80"/>
      <c r="L1755" s="2"/>
      <c r="M1755" s="2"/>
      <c r="N1755" s="2"/>
      <c r="O1755" s="2"/>
      <c r="P1755" s="2"/>
      <c r="Q1755" s="2"/>
      <c r="R1755" s="80"/>
      <c r="S1755" s="80"/>
      <c r="T1755" s="80"/>
      <c r="U1755" s="80"/>
      <c r="V1755" s="80"/>
      <c r="W1755" s="80"/>
      <c r="X1755" s="80"/>
      <c r="Y1755" s="80"/>
      <c r="Z1755" s="80"/>
      <c r="AA1755" s="80"/>
      <c r="AB1755" s="80"/>
      <c r="AC1755" s="80"/>
      <c r="AD1755" s="80"/>
      <c r="AE1755" s="80"/>
      <c r="AF1755" s="80"/>
      <c r="AG1755" s="80"/>
      <c r="AH1755" s="80"/>
      <c r="AI1755" s="80"/>
    </row>
    <row r="1756" spans="1:35" x14ac:dyDescent="0.2">
      <c r="A1756" s="80"/>
      <c r="B1756" s="80"/>
      <c r="C1756" s="80"/>
      <c r="D1756" s="80"/>
      <c r="E1756" s="80"/>
      <c r="F1756" s="80"/>
      <c r="G1756" s="80"/>
      <c r="H1756" s="80"/>
      <c r="I1756" s="80"/>
      <c r="J1756" s="80"/>
      <c r="K1756" s="80"/>
      <c r="L1756" s="2"/>
      <c r="M1756" s="2"/>
      <c r="N1756" s="2"/>
      <c r="O1756" s="2"/>
      <c r="P1756" s="2"/>
      <c r="Q1756" s="2"/>
      <c r="R1756" s="80"/>
      <c r="S1756" s="80"/>
      <c r="T1756" s="80"/>
      <c r="U1756" s="80"/>
      <c r="V1756" s="80"/>
      <c r="W1756" s="80"/>
      <c r="X1756" s="80"/>
      <c r="Y1756" s="80"/>
      <c r="Z1756" s="80"/>
      <c r="AA1756" s="80"/>
      <c r="AB1756" s="80"/>
      <c r="AC1756" s="80"/>
      <c r="AD1756" s="80"/>
      <c r="AE1756" s="80"/>
      <c r="AF1756" s="80"/>
      <c r="AG1756" s="80"/>
      <c r="AH1756" s="80"/>
      <c r="AI1756" s="80"/>
    </row>
    <row r="1757" spans="1:35" x14ac:dyDescent="0.2">
      <c r="A1757" s="80"/>
      <c r="B1757" s="80"/>
      <c r="C1757" s="80"/>
      <c r="D1757" s="80"/>
      <c r="E1757" s="80"/>
      <c r="F1757" s="80"/>
      <c r="G1757" s="80"/>
      <c r="H1757" s="80"/>
      <c r="I1757" s="80"/>
      <c r="J1757" s="80"/>
      <c r="K1757" s="80"/>
      <c r="L1757" s="2"/>
      <c r="M1757" s="2"/>
      <c r="N1757" s="2"/>
      <c r="O1757" s="2"/>
      <c r="P1757" s="2"/>
      <c r="Q1757" s="2"/>
      <c r="R1757" s="80"/>
      <c r="S1757" s="80"/>
      <c r="T1757" s="80"/>
      <c r="U1757" s="80"/>
      <c r="V1757" s="80"/>
      <c r="W1757" s="80"/>
      <c r="X1757" s="80"/>
      <c r="Y1757" s="80"/>
      <c r="Z1757" s="80"/>
      <c r="AA1757" s="80"/>
      <c r="AB1757" s="80"/>
      <c r="AC1757" s="80"/>
      <c r="AD1757" s="80"/>
      <c r="AE1757" s="80"/>
      <c r="AF1757" s="80"/>
      <c r="AG1757" s="80"/>
      <c r="AH1757" s="80"/>
      <c r="AI1757" s="80"/>
    </row>
    <row r="1758" spans="1:35" x14ac:dyDescent="0.2">
      <c r="A1758" s="80"/>
      <c r="B1758" s="80"/>
      <c r="C1758" s="80"/>
      <c r="D1758" s="80"/>
      <c r="E1758" s="80"/>
      <c r="F1758" s="80"/>
      <c r="G1758" s="80"/>
      <c r="H1758" s="80"/>
      <c r="I1758" s="80"/>
      <c r="J1758" s="80"/>
      <c r="K1758" s="80"/>
      <c r="L1758" s="2"/>
      <c r="M1758" s="2"/>
      <c r="N1758" s="2"/>
      <c r="O1758" s="2"/>
      <c r="P1758" s="2"/>
      <c r="Q1758" s="2"/>
      <c r="R1758" s="80"/>
      <c r="S1758" s="80"/>
      <c r="T1758" s="80"/>
      <c r="U1758" s="80"/>
      <c r="V1758" s="80"/>
      <c r="W1758" s="80"/>
      <c r="X1758" s="80"/>
      <c r="Y1758" s="80"/>
      <c r="Z1758" s="80"/>
      <c r="AA1758" s="80"/>
      <c r="AB1758" s="80"/>
      <c r="AC1758" s="80"/>
      <c r="AD1758" s="80"/>
      <c r="AE1758" s="80"/>
      <c r="AF1758" s="80"/>
      <c r="AG1758" s="80"/>
      <c r="AH1758" s="80"/>
      <c r="AI1758" s="80"/>
    </row>
    <row r="1759" spans="1:35" x14ac:dyDescent="0.2">
      <c r="A1759" s="80"/>
      <c r="B1759" s="80"/>
      <c r="C1759" s="80"/>
      <c r="D1759" s="80"/>
      <c r="E1759" s="80"/>
      <c r="F1759" s="80"/>
      <c r="G1759" s="80"/>
      <c r="H1759" s="80"/>
      <c r="I1759" s="80"/>
      <c r="J1759" s="80"/>
      <c r="K1759" s="80"/>
      <c r="L1759" s="2"/>
      <c r="M1759" s="2"/>
      <c r="N1759" s="2"/>
      <c r="O1759" s="2"/>
      <c r="P1759" s="2"/>
      <c r="Q1759" s="2"/>
      <c r="R1759" s="80"/>
      <c r="S1759" s="80"/>
      <c r="T1759" s="80"/>
      <c r="U1759" s="80"/>
      <c r="V1759" s="80"/>
      <c r="W1759" s="80"/>
      <c r="X1759" s="80"/>
      <c r="Y1759" s="80"/>
      <c r="Z1759" s="80"/>
      <c r="AA1759" s="80"/>
      <c r="AB1759" s="80"/>
      <c r="AC1759" s="80"/>
      <c r="AD1759" s="80"/>
      <c r="AE1759" s="80"/>
      <c r="AF1759" s="80"/>
      <c r="AG1759" s="80"/>
      <c r="AH1759" s="80"/>
      <c r="AI1759" s="80"/>
    </row>
    <row r="1760" spans="1:35" x14ac:dyDescent="0.2">
      <c r="A1760" s="80"/>
      <c r="B1760" s="80"/>
      <c r="C1760" s="80"/>
      <c r="D1760" s="80"/>
      <c r="E1760" s="80"/>
      <c r="F1760" s="80"/>
      <c r="G1760" s="80"/>
      <c r="H1760" s="80"/>
      <c r="I1760" s="80"/>
      <c r="J1760" s="80"/>
      <c r="K1760" s="80"/>
      <c r="L1760" s="2"/>
      <c r="M1760" s="2"/>
      <c r="N1760" s="2"/>
      <c r="O1760" s="2"/>
      <c r="P1760" s="2"/>
      <c r="Q1760" s="2"/>
      <c r="R1760" s="80"/>
      <c r="S1760" s="80"/>
      <c r="T1760" s="80"/>
      <c r="U1760" s="80"/>
      <c r="V1760" s="80"/>
      <c r="W1760" s="80"/>
      <c r="X1760" s="80"/>
      <c r="Y1760" s="80"/>
      <c r="Z1760" s="80"/>
      <c r="AA1760" s="80"/>
      <c r="AB1760" s="80"/>
      <c r="AC1760" s="80"/>
      <c r="AD1760" s="80"/>
      <c r="AE1760" s="80"/>
      <c r="AF1760" s="80"/>
      <c r="AG1760" s="80"/>
      <c r="AH1760" s="80"/>
      <c r="AI1760" s="80"/>
    </row>
    <row r="1761" spans="1:35" x14ac:dyDescent="0.2">
      <c r="A1761" s="80"/>
      <c r="B1761" s="80"/>
      <c r="C1761" s="80"/>
      <c r="D1761" s="80"/>
      <c r="E1761" s="80"/>
      <c r="F1761" s="80"/>
      <c r="G1761" s="80"/>
      <c r="H1761" s="80"/>
      <c r="I1761" s="80"/>
      <c r="J1761" s="80"/>
      <c r="K1761" s="80"/>
      <c r="L1761" s="2"/>
      <c r="M1761" s="2"/>
      <c r="N1761" s="2"/>
      <c r="O1761" s="2"/>
      <c r="P1761" s="2"/>
      <c r="Q1761" s="2"/>
      <c r="R1761" s="80"/>
      <c r="S1761" s="80"/>
      <c r="T1761" s="80"/>
      <c r="U1761" s="80"/>
      <c r="V1761" s="80"/>
      <c r="W1761" s="80"/>
      <c r="X1761" s="80"/>
      <c r="Y1761" s="80"/>
      <c r="Z1761" s="80"/>
      <c r="AA1761" s="80"/>
      <c r="AB1761" s="80"/>
      <c r="AC1761" s="80"/>
      <c r="AD1761" s="80"/>
      <c r="AE1761" s="80"/>
      <c r="AF1761" s="80"/>
      <c r="AG1761" s="80"/>
      <c r="AH1761" s="80"/>
      <c r="AI1761" s="80"/>
    </row>
    <row r="1762" spans="1:35" x14ac:dyDescent="0.2">
      <c r="A1762" s="80"/>
      <c r="B1762" s="80"/>
      <c r="C1762" s="80"/>
      <c r="D1762" s="80"/>
      <c r="E1762" s="80"/>
      <c r="F1762" s="80"/>
      <c r="G1762" s="80"/>
      <c r="H1762" s="80"/>
      <c r="I1762" s="80"/>
      <c r="J1762" s="80"/>
      <c r="K1762" s="80"/>
      <c r="L1762" s="2"/>
      <c r="M1762" s="2"/>
      <c r="N1762" s="2"/>
      <c r="O1762" s="2"/>
      <c r="P1762" s="2"/>
      <c r="Q1762" s="2"/>
      <c r="R1762" s="80"/>
      <c r="S1762" s="80"/>
      <c r="T1762" s="80"/>
      <c r="U1762" s="80"/>
      <c r="V1762" s="80"/>
      <c r="W1762" s="80"/>
      <c r="X1762" s="80"/>
      <c r="Y1762" s="80"/>
      <c r="Z1762" s="80"/>
      <c r="AA1762" s="80"/>
      <c r="AB1762" s="80"/>
      <c r="AC1762" s="80"/>
      <c r="AD1762" s="80"/>
      <c r="AE1762" s="80"/>
      <c r="AF1762" s="80"/>
      <c r="AG1762" s="80"/>
      <c r="AH1762" s="80"/>
      <c r="AI1762" s="80"/>
    </row>
    <row r="1763" spans="1:35" x14ac:dyDescent="0.2">
      <c r="A1763" s="80"/>
      <c r="B1763" s="80"/>
      <c r="C1763" s="80"/>
      <c r="D1763" s="80"/>
      <c r="E1763" s="80"/>
      <c r="F1763" s="80"/>
      <c r="G1763" s="80"/>
      <c r="H1763" s="80"/>
      <c r="I1763" s="80"/>
      <c r="J1763" s="80"/>
      <c r="K1763" s="80"/>
      <c r="L1763" s="2"/>
      <c r="M1763" s="2"/>
      <c r="N1763" s="2"/>
      <c r="O1763" s="2"/>
      <c r="P1763" s="2"/>
      <c r="Q1763" s="2"/>
      <c r="R1763" s="80"/>
      <c r="S1763" s="80"/>
      <c r="T1763" s="80"/>
      <c r="U1763" s="80"/>
      <c r="V1763" s="80"/>
      <c r="W1763" s="80"/>
      <c r="X1763" s="80"/>
      <c r="Y1763" s="80"/>
      <c r="Z1763" s="80"/>
      <c r="AA1763" s="80"/>
      <c r="AB1763" s="80"/>
      <c r="AC1763" s="80"/>
      <c r="AD1763" s="80"/>
      <c r="AE1763" s="80"/>
      <c r="AF1763" s="80"/>
      <c r="AG1763" s="80"/>
      <c r="AH1763" s="80"/>
      <c r="AI1763" s="80"/>
    </row>
    <row r="1764" spans="1:35" x14ac:dyDescent="0.2">
      <c r="A1764" s="80"/>
      <c r="B1764" s="80"/>
      <c r="C1764" s="80"/>
      <c r="D1764" s="80"/>
      <c r="E1764" s="80"/>
      <c r="F1764" s="80"/>
      <c r="G1764" s="80"/>
      <c r="H1764" s="80"/>
      <c r="I1764" s="80"/>
      <c r="J1764" s="80"/>
      <c r="K1764" s="80"/>
      <c r="L1764" s="2"/>
      <c r="M1764" s="2"/>
      <c r="N1764" s="2"/>
      <c r="O1764" s="2"/>
      <c r="P1764" s="2"/>
      <c r="Q1764" s="2"/>
      <c r="R1764" s="80"/>
      <c r="S1764" s="80"/>
      <c r="T1764" s="80"/>
      <c r="U1764" s="80"/>
      <c r="V1764" s="80"/>
      <c r="W1764" s="80"/>
      <c r="X1764" s="80"/>
      <c r="Y1764" s="80"/>
      <c r="Z1764" s="80"/>
      <c r="AA1764" s="80"/>
      <c r="AB1764" s="80"/>
      <c r="AC1764" s="80"/>
      <c r="AD1764" s="80"/>
      <c r="AE1764" s="80"/>
      <c r="AF1764" s="80"/>
      <c r="AG1764" s="80"/>
      <c r="AH1764" s="80"/>
      <c r="AI1764" s="80"/>
    </row>
    <row r="1765" spans="1:35" x14ac:dyDescent="0.2">
      <c r="A1765" s="80"/>
      <c r="B1765" s="80"/>
      <c r="C1765" s="80"/>
      <c r="D1765" s="80"/>
      <c r="E1765" s="80"/>
      <c r="F1765" s="80"/>
      <c r="G1765" s="80"/>
      <c r="H1765" s="80"/>
      <c r="I1765" s="80"/>
      <c r="J1765" s="80"/>
      <c r="K1765" s="80"/>
      <c r="L1765" s="2"/>
      <c r="M1765" s="2"/>
      <c r="N1765" s="2"/>
      <c r="O1765" s="2"/>
      <c r="P1765" s="2"/>
      <c r="Q1765" s="2"/>
      <c r="R1765" s="80"/>
      <c r="S1765" s="80"/>
      <c r="T1765" s="80"/>
      <c r="U1765" s="80"/>
      <c r="V1765" s="80"/>
      <c r="W1765" s="80"/>
      <c r="X1765" s="80"/>
      <c r="Y1765" s="80"/>
      <c r="Z1765" s="80"/>
      <c r="AA1765" s="80"/>
      <c r="AB1765" s="80"/>
      <c r="AC1765" s="80"/>
      <c r="AD1765" s="80"/>
      <c r="AE1765" s="80"/>
      <c r="AF1765" s="80"/>
      <c r="AG1765" s="80"/>
      <c r="AH1765" s="80"/>
      <c r="AI1765" s="80"/>
    </row>
    <row r="1766" spans="1:35" x14ac:dyDescent="0.2">
      <c r="A1766" s="80"/>
      <c r="B1766" s="80"/>
      <c r="C1766" s="80"/>
      <c r="D1766" s="80"/>
      <c r="E1766" s="80"/>
      <c r="F1766" s="80"/>
      <c r="G1766" s="80"/>
      <c r="H1766" s="80"/>
      <c r="I1766" s="80"/>
      <c r="J1766" s="80"/>
      <c r="K1766" s="80"/>
      <c r="L1766" s="2"/>
      <c r="M1766" s="2"/>
      <c r="N1766" s="2"/>
      <c r="O1766" s="2"/>
      <c r="P1766" s="2"/>
      <c r="Q1766" s="2"/>
      <c r="R1766" s="80"/>
      <c r="S1766" s="80"/>
      <c r="T1766" s="80"/>
      <c r="U1766" s="80"/>
      <c r="V1766" s="80"/>
      <c r="W1766" s="80"/>
      <c r="X1766" s="80"/>
      <c r="Y1766" s="80"/>
      <c r="Z1766" s="80"/>
      <c r="AA1766" s="80"/>
      <c r="AB1766" s="80"/>
      <c r="AC1766" s="80"/>
      <c r="AD1766" s="80"/>
      <c r="AE1766" s="80"/>
      <c r="AF1766" s="80"/>
      <c r="AG1766" s="80"/>
      <c r="AH1766" s="80"/>
      <c r="AI1766" s="80"/>
    </row>
    <row r="1767" spans="1:35" x14ac:dyDescent="0.2">
      <c r="A1767" s="80"/>
      <c r="B1767" s="80"/>
      <c r="C1767" s="80"/>
      <c r="D1767" s="80"/>
      <c r="E1767" s="80"/>
      <c r="F1767" s="80"/>
      <c r="G1767" s="80"/>
      <c r="H1767" s="80"/>
      <c r="I1767" s="80"/>
      <c r="J1767" s="80"/>
      <c r="K1767" s="80"/>
      <c r="L1767" s="2"/>
      <c r="M1767" s="2"/>
      <c r="N1767" s="2"/>
      <c r="O1767" s="2"/>
      <c r="P1767" s="2"/>
      <c r="Q1767" s="2"/>
      <c r="R1767" s="80"/>
      <c r="S1767" s="80"/>
      <c r="T1767" s="80"/>
      <c r="U1767" s="80"/>
      <c r="V1767" s="80"/>
      <c r="W1767" s="80"/>
      <c r="X1767" s="80"/>
      <c r="Y1767" s="80"/>
      <c r="Z1767" s="80"/>
      <c r="AA1767" s="80"/>
      <c r="AB1767" s="80"/>
      <c r="AC1767" s="80"/>
      <c r="AD1767" s="80"/>
      <c r="AE1767" s="80"/>
      <c r="AF1767" s="80"/>
      <c r="AG1767" s="80"/>
      <c r="AH1767" s="80"/>
      <c r="AI1767" s="80"/>
    </row>
    <row r="1768" spans="1:35" x14ac:dyDescent="0.2">
      <c r="A1768" s="80"/>
      <c r="B1768" s="80"/>
      <c r="C1768" s="80"/>
      <c r="D1768" s="80"/>
      <c r="E1768" s="80"/>
      <c r="F1768" s="80"/>
      <c r="G1768" s="80"/>
      <c r="H1768" s="80"/>
      <c r="I1768" s="80"/>
      <c r="J1768" s="80"/>
      <c r="K1768" s="80"/>
      <c r="L1768" s="2"/>
      <c r="M1768" s="2"/>
      <c r="N1768" s="2"/>
      <c r="O1768" s="2"/>
      <c r="P1768" s="2"/>
      <c r="Q1768" s="2"/>
      <c r="R1768" s="80"/>
      <c r="S1768" s="80"/>
      <c r="T1768" s="80"/>
      <c r="U1768" s="80"/>
      <c r="V1768" s="80"/>
      <c r="W1768" s="80"/>
      <c r="X1768" s="80"/>
      <c r="Y1768" s="80"/>
      <c r="Z1768" s="80"/>
      <c r="AA1768" s="80"/>
      <c r="AB1768" s="80"/>
      <c r="AC1768" s="80"/>
      <c r="AD1768" s="80"/>
      <c r="AE1768" s="80"/>
      <c r="AF1768" s="80"/>
      <c r="AG1768" s="80"/>
      <c r="AH1768" s="80"/>
      <c r="AI1768" s="80"/>
    </row>
    <row r="1769" spans="1:35" x14ac:dyDescent="0.2">
      <c r="A1769" s="80"/>
      <c r="B1769" s="80"/>
      <c r="C1769" s="80"/>
      <c r="D1769" s="80"/>
      <c r="E1769" s="80"/>
      <c r="F1769" s="80"/>
      <c r="G1769" s="80"/>
      <c r="H1769" s="80"/>
      <c r="I1769" s="80"/>
      <c r="J1769" s="80"/>
      <c r="K1769" s="80"/>
      <c r="L1769" s="2"/>
      <c r="M1769" s="2"/>
      <c r="N1769" s="2"/>
      <c r="O1769" s="2"/>
      <c r="P1769" s="2"/>
      <c r="Q1769" s="2"/>
      <c r="R1769" s="80"/>
      <c r="S1769" s="80"/>
      <c r="T1769" s="80"/>
      <c r="U1769" s="80"/>
      <c r="V1769" s="80"/>
      <c r="W1769" s="80"/>
      <c r="X1769" s="80"/>
      <c r="Y1769" s="80"/>
      <c r="Z1769" s="80"/>
      <c r="AA1769" s="80"/>
      <c r="AB1769" s="80"/>
      <c r="AC1769" s="80"/>
      <c r="AD1769" s="80"/>
      <c r="AE1769" s="80"/>
      <c r="AF1769" s="80"/>
      <c r="AG1769" s="80"/>
      <c r="AH1769" s="80"/>
      <c r="AI1769" s="80"/>
    </row>
    <row r="1770" spans="1:35" x14ac:dyDescent="0.2">
      <c r="A1770" s="80"/>
      <c r="B1770" s="80"/>
      <c r="C1770" s="80"/>
      <c r="D1770" s="80"/>
      <c r="E1770" s="80"/>
      <c r="F1770" s="80"/>
      <c r="G1770" s="80"/>
      <c r="H1770" s="80"/>
      <c r="I1770" s="80"/>
      <c r="J1770" s="80"/>
      <c r="K1770" s="80"/>
      <c r="L1770" s="2"/>
      <c r="M1770" s="2"/>
      <c r="N1770" s="2"/>
      <c r="O1770" s="2"/>
      <c r="P1770" s="2"/>
      <c r="Q1770" s="2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E1770" s="80"/>
      <c r="AF1770" s="80"/>
      <c r="AG1770" s="80"/>
      <c r="AH1770" s="80"/>
      <c r="AI1770" s="80"/>
    </row>
    <row r="1771" spans="1:35" x14ac:dyDescent="0.2">
      <c r="A1771" s="80"/>
      <c r="B1771" s="80"/>
      <c r="C1771" s="80"/>
      <c r="D1771" s="80"/>
      <c r="E1771" s="80"/>
      <c r="F1771" s="80"/>
      <c r="G1771" s="80"/>
      <c r="H1771" s="80"/>
      <c r="I1771" s="80"/>
      <c r="J1771" s="80"/>
      <c r="K1771" s="80"/>
      <c r="L1771" s="2"/>
      <c r="M1771" s="2"/>
      <c r="N1771" s="2"/>
      <c r="O1771" s="2"/>
      <c r="P1771" s="2"/>
      <c r="Q1771" s="2"/>
      <c r="R1771" s="80"/>
      <c r="S1771" s="80"/>
      <c r="T1771" s="80"/>
      <c r="U1771" s="80"/>
      <c r="V1771" s="80"/>
      <c r="W1771" s="80"/>
      <c r="X1771" s="80"/>
      <c r="Y1771" s="80"/>
      <c r="Z1771" s="80"/>
      <c r="AA1771" s="80"/>
      <c r="AB1771" s="80"/>
      <c r="AC1771" s="80"/>
      <c r="AD1771" s="80"/>
      <c r="AE1771" s="80"/>
      <c r="AF1771" s="80"/>
      <c r="AG1771" s="80"/>
      <c r="AH1771" s="80"/>
      <c r="AI1771" s="80"/>
    </row>
    <row r="1772" spans="1:35" x14ac:dyDescent="0.2">
      <c r="A1772" s="80"/>
      <c r="B1772" s="80"/>
      <c r="C1772" s="80"/>
      <c r="D1772" s="80"/>
      <c r="E1772" s="80"/>
      <c r="F1772" s="80"/>
      <c r="G1772" s="80"/>
      <c r="H1772" s="80"/>
      <c r="I1772" s="80"/>
      <c r="J1772" s="80"/>
      <c r="K1772" s="80"/>
      <c r="L1772" s="2"/>
      <c r="M1772" s="2"/>
      <c r="N1772" s="2"/>
      <c r="O1772" s="2"/>
      <c r="P1772" s="2"/>
      <c r="Q1772" s="2"/>
      <c r="R1772" s="80"/>
      <c r="S1772" s="80"/>
      <c r="T1772" s="80"/>
      <c r="U1772" s="80"/>
      <c r="V1772" s="80"/>
      <c r="W1772" s="80"/>
      <c r="X1772" s="80"/>
      <c r="Y1772" s="80"/>
      <c r="Z1772" s="80"/>
      <c r="AA1772" s="80"/>
      <c r="AB1772" s="80"/>
      <c r="AC1772" s="80"/>
      <c r="AD1772" s="80"/>
      <c r="AE1772" s="80"/>
      <c r="AF1772" s="80"/>
      <c r="AG1772" s="80"/>
      <c r="AH1772" s="80"/>
      <c r="AI1772" s="80"/>
    </row>
    <row r="1773" spans="1:35" x14ac:dyDescent="0.2">
      <c r="A1773" s="80"/>
      <c r="B1773" s="80"/>
      <c r="C1773" s="80"/>
      <c r="D1773" s="80"/>
      <c r="E1773" s="80"/>
      <c r="F1773" s="80"/>
      <c r="G1773" s="80"/>
      <c r="H1773" s="80"/>
      <c r="I1773" s="80"/>
      <c r="J1773" s="80"/>
      <c r="K1773" s="80"/>
      <c r="L1773" s="2"/>
      <c r="M1773" s="2"/>
      <c r="N1773" s="2"/>
      <c r="O1773" s="2"/>
      <c r="P1773" s="2"/>
      <c r="Q1773" s="2"/>
      <c r="R1773" s="80"/>
      <c r="S1773" s="80"/>
      <c r="T1773" s="80"/>
      <c r="U1773" s="80"/>
      <c r="V1773" s="80"/>
      <c r="W1773" s="80"/>
      <c r="X1773" s="80"/>
      <c r="Y1773" s="80"/>
      <c r="Z1773" s="80"/>
      <c r="AA1773" s="80"/>
      <c r="AB1773" s="80"/>
      <c r="AC1773" s="80"/>
      <c r="AD1773" s="80"/>
      <c r="AE1773" s="80"/>
      <c r="AF1773" s="80"/>
      <c r="AG1773" s="80"/>
      <c r="AH1773" s="80"/>
      <c r="AI1773" s="80"/>
    </row>
    <row r="1774" spans="1:35" x14ac:dyDescent="0.2">
      <c r="A1774" s="80"/>
      <c r="B1774" s="80"/>
      <c r="C1774" s="80"/>
      <c r="D1774" s="80"/>
      <c r="E1774" s="80"/>
      <c r="F1774" s="80"/>
      <c r="G1774" s="80"/>
      <c r="H1774" s="80"/>
      <c r="I1774" s="80"/>
      <c r="J1774" s="80"/>
      <c r="K1774" s="80"/>
      <c r="L1774" s="2"/>
      <c r="M1774" s="2"/>
      <c r="N1774" s="2"/>
      <c r="O1774" s="2"/>
      <c r="P1774" s="2"/>
      <c r="Q1774" s="2"/>
      <c r="R1774" s="80"/>
      <c r="S1774" s="80"/>
      <c r="T1774" s="80"/>
      <c r="U1774" s="80"/>
      <c r="V1774" s="80"/>
      <c r="W1774" s="80"/>
      <c r="X1774" s="80"/>
      <c r="Y1774" s="80"/>
      <c r="Z1774" s="80"/>
      <c r="AA1774" s="80"/>
      <c r="AB1774" s="80"/>
      <c r="AC1774" s="80"/>
      <c r="AD1774" s="80"/>
      <c r="AE1774" s="80"/>
      <c r="AF1774" s="80"/>
      <c r="AG1774" s="80"/>
      <c r="AH1774" s="80"/>
      <c r="AI1774" s="80"/>
    </row>
    <row r="1775" spans="1:35" x14ac:dyDescent="0.2">
      <c r="A1775" s="80"/>
      <c r="B1775" s="80"/>
      <c r="C1775" s="80"/>
      <c r="D1775" s="80"/>
      <c r="E1775" s="80"/>
      <c r="F1775" s="80"/>
      <c r="G1775" s="80"/>
      <c r="H1775" s="80"/>
      <c r="I1775" s="80"/>
      <c r="J1775" s="80"/>
      <c r="K1775" s="80"/>
      <c r="L1775" s="2"/>
      <c r="M1775" s="2"/>
      <c r="N1775" s="2"/>
      <c r="O1775" s="2"/>
      <c r="P1775" s="2"/>
      <c r="Q1775" s="2"/>
      <c r="R1775" s="80"/>
      <c r="S1775" s="80"/>
      <c r="T1775" s="80"/>
      <c r="U1775" s="80"/>
      <c r="V1775" s="80"/>
      <c r="W1775" s="80"/>
      <c r="X1775" s="80"/>
      <c r="Y1775" s="80"/>
      <c r="Z1775" s="80"/>
      <c r="AA1775" s="80"/>
      <c r="AB1775" s="80"/>
      <c r="AC1775" s="80"/>
      <c r="AD1775" s="80"/>
      <c r="AE1775" s="80"/>
      <c r="AF1775" s="80"/>
      <c r="AG1775" s="80"/>
      <c r="AH1775" s="80"/>
      <c r="AI1775" s="80"/>
    </row>
    <row r="1776" spans="1:35" x14ac:dyDescent="0.2">
      <c r="A1776" s="80"/>
      <c r="B1776" s="80"/>
      <c r="C1776" s="80"/>
      <c r="D1776" s="80"/>
      <c r="E1776" s="80"/>
      <c r="F1776" s="80"/>
      <c r="G1776" s="80"/>
      <c r="H1776" s="80"/>
      <c r="I1776" s="80"/>
      <c r="J1776" s="80"/>
      <c r="K1776" s="80"/>
      <c r="L1776" s="2"/>
      <c r="M1776" s="2"/>
      <c r="N1776" s="2"/>
      <c r="O1776" s="2"/>
      <c r="P1776" s="2"/>
      <c r="Q1776" s="2"/>
      <c r="R1776" s="80"/>
      <c r="S1776" s="80"/>
      <c r="T1776" s="80"/>
      <c r="U1776" s="80"/>
      <c r="V1776" s="80"/>
      <c r="W1776" s="80"/>
      <c r="X1776" s="80"/>
      <c r="Y1776" s="80"/>
      <c r="Z1776" s="80"/>
      <c r="AA1776" s="80"/>
      <c r="AB1776" s="80"/>
      <c r="AC1776" s="80"/>
      <c r="AD1776" s="80"/>
      <c r="AE1776" s="80"/>
      <c r="AF1776" s="80"/>
      <c r="AG1776" s="80"/>
      <c r="AH1776" s="80"/>
      <c r="AI1776" s="80"/>
    </row>
    <row r="1777" spans="1:35" x14ac:dyDescent="0.2">
      <c r="A1777" s="80"/>
      <c r="B1777" s="80"/>
      <c r="C1777" s="80"/>
      <c r="D1777" s="80"/>
      <c r="E1777" s="80"/>
      <c r="F1777" s="80"/>
      <c r="G1777" s="80"/>
      <c r="H1777" s="80"/>
      <c r="I1777" s="80"/>
      <c r="J1777" s="80"/>
      <c r="K1777" s="80"/>
      <c r="L1777" s="2"/>
      <c r="M1777" s="2"/>
      <c r="N1777" s="2"/>
      <c r="O1777" s="2"/>
      <c r="P1777" s="2"/>
      <c r="Q1777" s="2"/>
      <c r="R1777" s="80"/>
      <c r="S1777" s="80"/>
      <c r="T1777" s="80"/>
      <c r="U1777" s="80"/>
      <c r="V1777" s="80"/>
      <c r="W1777" s="80"/>
      <c r="X1777" s="80"/>
      <c r="Y1777" s="80"/>
      <c r="Z1777" s="80"/>
      <c r="AA1777" s="80"/>
      <c r="AB1777" s="80"/>
      <c r="AC1777" s="80"/>
      <c r="AD1777" s="80"/>
      <c r="AE1777" s="80"/>
      <c r="AF1777" s="80"/>
      <c r="AG1777" s="80"/>
      <c r="AH1777" s="80"/>
      <c r="AI1777" s="80"/>
    </row>
    <row r="1778" spans="1:35" x14ac:dyDescent="0.2">
      <c r="A1778" s="80"/>
      <c r="B1778" s="80"/>
      <c r="C1778" s="80"/>
      <c r="D1778" s="80"/>
      <c r="E1778" s="80"/>
      <c r="F1778" s="80"/>
      <c r="G1778" s="80"/>
      <c r="H1778" s="80"/>
      <c r="I1778" s="80"/>
      <c r="J1778" s="80"/>
      <c r="K1778" s="80"/>
      <c r="L1778" s="2"/>
      <c r="M1778" s="2"/>
      <c r="N1778" s="2"/>
      <c r="O1778" s="2"/>
      <c r="P1778" s="2"/>
      <c r="Q1778" s="2"/>
      <c r="R1778" s="80"/>
      <c r="S1778" s="80"/>
      <c r="T1778" s="80"/>
      <c r="U1778" s="80"/>
      <c r="V1778" s="80"/>
      <c r="W1778" s="80"/>
      <c r="X1778" s="80"/>
      <c r="Y1778" s="80"/>
      <c r="Z1778" s="80"/>
      <c r="AA1778" s="80"/>
      <c r="AB1778" s="80"/>
      <c r="AC1778" s="80"/>
      <c r="AD1778" s="80"/>
      <c r="AE1778" s="80"/>
      <c r="AF1778" s="80"/>
      <c r="AG1778" s="80"/>
      <c r="AH1778" s="80"/>
      <c r="AI1778" s="80"/>
    </row>
    <row r="1779" spans="1:35" x14ac:dyDescent="0.2">
      <c r="A1779" s="80"/>
      <c r="B1779" s="80"/>
      <c r="C1779" s="80"/>
      <c r="D1779" s="80"/>
      <c r="E1779" s="80"/>
      <c r="F1779" s="80"/>
      <c r="G1779" s="80"/>
      <c r="H1779" s="80"/>
      <c r="I1779" s="80"/>
      <c r="J1779" s="80"/>
      <c r="K1779" s="80"/>
      <c r="L1779" s="2"/>
      <c r="M1779" s="2"/>
      <c r="N1779" s="2"/>
      <c r="O1779" s="2"/>
      <c r="P1779" s="2"/>
      <c r="Q1779" s="2"/>
      <c r="R1779" s="80"/>
      <c r="S1779" s="80"/>
      <c r="T1779" s="80"/>
      <c r="U1779" s="80"/>
      <c r="V1779" s="80"/>
      <c r="W1779" s="80"/>
      <c r="X1779" s="80"/>
      <c r="Y1779" s="80"/>
      <c r="Z1779" s="80"/>
      <c r="AA1779" s="80"/>
      <c r="AB1779" s="80"/>
      <c r="AC1779" s="80"/>
      <c r="AD1779" s="80"/>
      <c r="AE1779" s="80"/>
      <c r="AF1779" s="80"/>
      <c r="AG1779" s="80"/>
      <c r="AH1779" s="80"/>
      <c r="AI1779" s="80"/>
    </row>
    <row r="1780" spans="1:35" x14ac:dyDescent="0.2">
      <c r="A1780" s="80"/>
      <c r="B1780" s="80"/>
      <c r="C1780" s="80"/>
      <c r="D1780" s="80"/>
      <c r="E1780" s="80"/>
      <c r="F1780" s="80"/>
      <c r="G1780" s="80"/>
      <c r="H1780" s="80"/>
      <c r="I1780" s="80"/>
      <c r="J1780" s="80"/>
      <c r="K1780" s="80"/>
      <c r="L1780" s="2"/>
      <c r="M1780" s="2"/>
      <c r="N1780" s="2"/>
      <c r="O1780" s="2"/>
      <c r="P1780" s="2"/>
      <c r="Q1780" s="2"/>
      <c r="R1780" s="80"/>
      <c r="S1780" s="80"/>
      <c r="T1780" s="80"/>
      <c r="U1780" s="80"/>
      <c r="V1780" s="80"/>
      <c r="W1780" s="80"/>
      <c r="X1780" s="80"/>
      <c r="Y1780" s="80"/>
      <c r="Z1780" s="80"/>
      <c r="AA1780" s="80"/>
      <c r="AB1780" s="80"/>
      <c r="AC1780" s="80"/>
      <c r="AD1780" s="80"/>
      <c r="AE1780" s="80"/>
      <c r="AF1780" s="80"/>
      <c r="AG1780" s="80"/>
      <c r="AH1780" s="80"/>
      <c r="AI1780" s="80"/>
    </row>
    <row r="1781" spans="1:35" x14ac:dyDescent="0.2">
      <c r="A1781" s="80"/>
      <c r="B1781" s="80"/>
      <c r="C1781" s="80"/>
      <c r="D1781" s="80"/>
      <c r="E1781" s="80"/>
      <c r="F1781" s="80"/>
      <c r="G1781" s="80"/>
      <c r="H1781" s="80"/>
      <c r="I1781" s="80"/>
      <c r="J1781" s="80"/>
      <c r="K1781" s="80"/>
      <c r="L1781" s="2"/>
      <c r="M1781" s="2"/>
      <c r="N1781" s="2"/>
      <c r="O1781" s="2"/>
      <c r="P1781" s="2"/>
      <c r="Q1781" s="2"/>
      <c r="R1781" s="80"/>
      <c r="S1781" s="80"/>
      <c r="T1781" s="80"/>
      <c r="U1781" s="80"/>
      <c r="V1781" s="80"/>
      <c r="W1781" s="80"/>
      <c r="X1781" s="80"/>
      <c r="Y1781" s="80"/>
      <c r="Z1781" s="80"/>
      <c r="AA1781" s="80"/>
      <c r="AB1781" s="80"/>
      <c r="AC1781" s="80"/>
      <c r="AD1781" s="80"/>
      <c r="AE1781" s="80"/>
      <c r="AF1781" s="80"/>
      <c r="AG1781" s="80"/>
      <c r="AH1781" s="80"/>
      <c r="AI1781" s="80"/>
    </row>
    <row r="1782" spans="1:35" x14ac:dyDescent="0.2">
      <c r="A1782" s="80"/>
      <c r="B1782" s="80"/>
      <c r="C1782" s="80"/>
      <c r="D1782" s="80"/>
      <c r="E1782" s="80"/>
      <c r="F1782" s="80"/>
      <c r="G1782" s="80"/>
      <c r="H1782" s="80"/>
      <c r="I1782" s="80"/>
      <c r="J1782" s="80"/>
      <c r="K1782" s="80"/>
      <c r="L1782" s="2"/>
      <c r="M1782" s="2"/>
      <c r="N1782" s="2"/>
      <c r="O1782" s="2"/>
      <c r="P1782" s="2"/>
      <c r="Q1782" s="2"/>
      <c r="R1782" s="80"/>
      <c r="S1782" s="80"/>
      <c r="T1782" s="80"/>
      <c r="U1782" s="80"/>
      <c r="V1782" s="80"/>
      <c r="W1782" s="80"/>
      <c r="X1782" s="80"/>
      <c r="Y1782" s="80"/>
      <c r="Z1782" s="80"/>
      <c r="AA1782" s="80"/>
      <c r="AB1782" s="80"/>
      <c r="AC1782" s="80"/>
      <c r="AD1782" s="80"/>
      <c r="AE1782" s="80"/>
      <c r="AF1782" s="80"/>
      <c r="AG1782" s="80"/>
      <c r="AH1782" s="80"/>
      <c r="AI1782" s="80"/>
    </row>
    <row r="1783" spans="1:35" x14ac:dyDescent="0.2">
      <c r="A1783" s="80"/>
      <c r="B1783" s="80"/>
      <c r="C1783" s="80"/>
      <c r="D1783" s="80"/>
      <c r="E1783" s="80"/>
      <c r="F1783" s="80"/>
      <c r="G1783" s="80"/>
      <c r="H1783" s="80"/>
      <c r="I1783" s="80"/>
      <c r="J1783" s="80"/>
      <c r="K1783" s="80"/>
      <c r="L1783" s="2"/>
      <c r="M1783" s="2"/>
      <c r="N1783" s="2"/>
      <c r="O1783" s="2"/>
      <c r="P1783" s="2"/>
      <c r="Q1783" s="2"/>
      <c r="R1783" s="80"/>
      <c r="S1783" s="80"/>
      <c r="T1783" s="80"/>
      <c r="U1783" s="80"/>
      <c r="V1783" s="80"/>
      <c r="W1783" s="80"/>
      <c r="X1783" s="80"/>
      <c r="Y1783" s="80"/>
      <c r="Z1783" s="80"/>
      <c r="AA1783" s="80"/>
      <c r="AB1783" s="80"/>
      <c r="AC1783" s="80"/>
      <c r="AD1783" s="80"/>
      <c r="AE1783" s="80"/>
      <c r="AF1783" s="80"/>
      <c r="AG1783" s="80"/>
      <c r="AH1783" s="80"/>
      <c r="AI1783" s="80"/>
    </row>
    <row r="1784" spans="1:35" x14ac:dyDescent="0.2">
      <c r="A1784" s="80"/>
      <c r="B1784" s="80"/>
      <c r="C1784" s="80"/>
      <c r="D1784" s="80"/>
      <c r="E1784" s="80"/>
      <c r="F1784" s="80"/>
      <c r="G1784" s="80"/>
      <c r="H1784" s="80"/>
      <c r="I1784" s="80"/>
      <c r="J1784" s="80"/>
      <c r="K1784" s="80"/>
      <c r="L1784" s="2"/>
      <c r="M1784" s="2"/>
      <c r="N1784" s="2"/>
      <c r="O1784" s="2"/>
      <c r="P1784" s="2"/>
      <c r="Q1784" s="2"/>
      <c r="R1784" s="80"/>
      <c r="S1784" s="80"/>
      <c r="T1784" s="80"/>
      <c r="U1784" s="80"/>
      <c r="V1784" s="80"/>
      <c r="W1784" s="80"/>
      <c r="X1784" s="80"/>
      <c r="Y1784" s="80"/>
      <c r="Z1784" s="80"/>
      <c r="AA1784" s="80"/>
      <c r="AB1784" s="80"/>
      <c r="AC1784" s="80"/>
      <c r="AD1784" s="80"/>
      <c r="AE1784" s="80"/>
      <c r="AF1784" s="80"/>
      <c r="AG1784" s="80"/>
      <c r="AH1784" s="80"/>
      <c r="AI1784" s="80"/>
    </row>
    <row r="1785" spans="1:35" x14ac:dyDescent="0.2">
      <c r="A1785" s="80"/>
      <c r="B1785" s="80"/>
      <c r="C1785" s="80"/>
      <c r="D1785" s="80"/>
      <c r="E1785" s="80"/>
      <c r="F1785" s="80"/>
      <c r="G1785" s="80"/>
      <c r="H1785" s="80"/>
      <c r="I1785" s="80"/>
      <c r="J1785" s="80"/>
      <c r="K1785" s="80"/>
      <c r="L1785" s="2"/>
      <c r="M1785" s="2"/>
      <c r="N1785" s="2"/>
      <c r="O1785" s="2"/>
      <c r="P1785" s="2"/>
      <c r="Q1785" s="2"/>
      <c r="R1785" s="80"/>
      <c r="S1785" s="80"/>
      <c r="T1785" s="80"/>
      <c r="U1785" s="80"/>
      <c r="V1785" s="80"/>
      <c r="W1785" s="80"/>
      <c r="X1785" s="80"/>
      <c r="Y1785" s="80"/>
      <c r="Z1785" s="80"/>
      <c r="AA1785" s="80"/>
      <c r="AB1785" s="80"/>
      <c r="AC1785" s="80"/>
      <c r="AD1785" s="80"/>
      <c r="AE1785" s="80"/>
      <c r="AF1785" s="80"/>
      <c r="AG1785" s="80"/>
      <c r="AH1785" s="80"/>
      <c r="AI1785" s="80"/>
    </row>
    <row r="1786" spans="1:35" x14ac:dyDescent="0.2">
      <c r="A1786" s="80"/>
      <c r="B1786" s="80"/>
      <c r="C1786" s="80"/>
      <c r="D1786" s="80"/>
      <c r="E1786" s="80"/>
      <c r="F1786" s="80"/>
      <c r="G1786" s="80"/>
      <c r="H1786" s="80"/>
      <c r="I1786" s="80"/>
      <c r="J1786" s="80"/>
      <c r="K1786" s="80"/>
      <c r="L1786" s="2"/>
      <c r="M1786" s="2"/>
      <c r="N1786" s="2"/>
      <c r="O1786" s="2"/>
      <c r="P1786" s="2"/>
      <c r="Q1786" s="2"/>
      <c r="R1786" s="80"/>
      <c r="S1786" s="80"/>
      <c r="T1786" s="80"/>
      <c r="U1786" s="80"/>
      <c r="V1786" s="80"/>
      <c r="W1786" s="80"/>
      <c r="X1786" s="80"/>
      <c r="Y1786" s="80"/>
      <c r="Z1786" s="80"/>
      <c r="AA1786" s="80"/>
      <c r="AB1786" s="80"/>
      <c r="AC1786" s="80"/>
      <c r="AD1786" s="80"/>
      <c r="AE1786" s="80"/>
      <c r="AF1786" s="80"/>
      <c r="AG1786" s="80"/>
      <c r="AH1786" s="80"/>
      <c r="AI1786" s="80"/>
    </row>
    <row r="1787" spans="1:35" x14ac:dyDescent="0.2">
      <c r="A1787" s="80"/>
      <c r="B1787" s="80"/>
      <c r="C1787" s="80"/>
      <c r="D1787" s="80"/>
      <c r="E1787" s="80"/>
      <c r="F1787" s="80"/>
      <c r="G1787" s="80"/>
      <c r="H1787" s="80"/>
      <c r="I1787" s="80"/>
      <c r="J1787" s="80"/>
      <c r="K1787" s="80"/>
      <c r="L1787" s="2"/>
      <c r="M1787" s="2"/>
      <c r="N1787" s="2"/>
      <c r="O1787" s="2"/>
      <c r="P1787" s="2"/>
      <c r="Q1787" s="2"/>
      <c r="R1787" s="80"/>
      <c r="S1787" s="80"/>
      <c r="T1787" s="80"/>
      <c r="U1787" s="80"/>
      <c r="V1787" s="80"/>
      <c r="W1787" s="80"/>
      <c r="X1787" s="80"/>
      <c r="Y1787" s="80"/>
      <c r="Z1787" s="80"/>
      <c r="AA1787" s="80"/>
      <c r="AB1787" s="80"/>
      <c r="AC1787" s="80"/>
      <c r="AD1787" s="80"/>
      <c r="AE1787" s="80"/>
      <c r="AF1787" s="80"/>
      <c r="AG1787" s="80"/>
      <c r="AH1787" s="80"/>
      <c r="AI1787" s="80"/>
    </row>
    <row r="1788" spans="1:35" x14ac:dyDescent="0.2">
      <c r="A1788" s="80"/>
      <c r="B1788" s="80"/>
      <c r="C1788" s="80"/>
      <c r="D1788" s="80"/>
      <c r="E1788" s="80"/>
      <c r="F1788" s="80"/>
      <c r="G1788" s="80"/>
      <c r="H1788" s="80"/>
      <c r="I1788" s="80"/>
      <c r="J1788" s="80"/>
      <c r="K1788" s="80"/>
      <c r="L1788" s="2"/>
      <c r="M1788" s="2"/>
      <c r="N1788" s="2"/>
      <c r="O1788" s="2"/>
      <c r="P1788" s="2"/>
      <c r="Q1788" s="2"/>
      <c r="R1788" s="80"/>
      <c r="S1788" s="80"/>
      <c r="T1788" s="80"/>
      <c r="U1788" s="80"/>
      <c r="V1788" s="80"/>
      <c r="W1788" s="80"/>
      <c r="X1788" s="80"/>
      <c r="Y1788" s="80"/>
      <c r="Z1788" s="80"/>
      <c r="AA1788" s="80"/>
      <c r="AB1788" s="80"/>
      <c r="AC1788" s="80"/>
      <c r="AD1788" s="80"/>
      <c r="AE1788" s="80"/>
      <c r="AF1788" s="80"/>
      <c r="AG1788" s="80"/>
      <c r="AH1788" s="80"/>
      <c r="AI1788" s="80"/>
    </row>
    <row r="1789" spans="1:35" x14ac:dyDescent="0.2">
      <c r="A1789" s="80"/>
      <c r="B1789" s="80"/>
      <c r="C1789" s="80"/>
      <c r="D1789" s="80"/>
      <c r="E1789" s="80"/>
      <c r="F1789" s="80"/>
      <c r="G1789" s="80"/>
      <c r="H1789" s="80"/>
      <c r="I1789" s="80"/>
      <c r="J1789" s="80"/>
      <c r="K1789" s="80"/>
      <c r="L1789" s="2"/>
      <c r="M1789" s="2"/>
      <c r="N1789" s="2"/>
      <c r="O1789" s="2"/>
      <c r="P1789" s="2"/>
      <c r="Q1789" s="2"/>
      <c r="R1789" s="80"/>
      <c r="S1789" s="80"/>
      <c r="T1789" s="80"/>
      <c r="U1789" s="80"/>
      <c r="V1789" s="80"/>
      <c r="W1789" s="80"/>
      <c r="X1789" s="80"/>
      <c r="Y1789" s="80"/>
      <c r="Z1789" s="80"/>
      <c r="AA1789" s="80"/>
      <c r="AB1789" s="80"/>
      <c r="AC1789" s="80"/>
      <c r="AD1789" s="80"/>
      <c r="AE1789" s="80"/>
      <c r="AF1789" s="80"/>
      <c r="AG1789" s="80"/>
      <c r="AH1789" s="80"/>
      <c r="AI1789" s="80"/>
    </row>
    <row r="1790" spans="1:35" x14ac:dyDescent="0.2">
      <c r="A1790" s="80"/>
      <c r="B1790" s="80"/>
      <c r="C1790" s="80"/>
      <c r="D1790" s="80"/>
      <c r="E1790" s="80"/>
      <c r="F1790" s="80"/>
      <c r="G1790" s="80"/>
      <c r="H1790" s="80"/>
      <c r="I1790" s="80"/>
      <c r="J1790" s="80"/>
      <c r="K1790" s="80"/>
      <c r="L1790" s="2"/>
      <c r="M1790" s="2"/>
      <c r="N1790" s="2"/>
      <c r="O1790" s="2"/>
      <c r="P1790" s="2"/>
      <c r="Q1790" s="2"/>
      <c r="R1790" s="80"/>
      <c r="S1790" s="80"/>
      <c r="T1790" s="80"/>
      <c r="U1790" s="80"/>
      <c r="V1790" s="80"/>
      <c r="W1790" s="80"/>
      <c r="X1790" s="80"/>
      <c r="Y1790" s="80"/>
      <c r="Z1790" s="80"/>
      <c r="AA1790" s="80"/>
      <c r="AB1790" s="80"/>
      <c r="AC1790" s="80"/>
      <c r="AD1790" s="80"/>
      <c r="AE1790" s="80"/>
      <c r="AF1790" s="80"/>
      <c r="AG1790" s="80"/>
      <c r="AH1790" s="80"/>
      <c r="AI1790" s="80"/>
    </row>
    <row r="1791" spans="1:35" x14ac:dyDescent="0.2">
      <c r="A1791" s="80"/>
      <c r="B1791" s="80"/>
      <c r="C1791" s="80"/>
      <c r="D1791" s="80"/>
      <c r="E1791" s="80"/>
      <c r="F1791" s="80"/>
      <c r="G1791" s="80"/>
      <c r="H1791" s="80"/>
      <c r="I1791" s="80"/>
      <c r="J1791" s="80"/>
      <c r="K1791" s="80"/>
      <c r="L1791" s="2"/>
      <c r="M1791" s="2"/>
      <c r="N1791" s="2"/>
      <c r="O1791" s="2"/>
      <c r="P1791" s="2"/>
      <c r="Q1791" s="2"/>
      <c r="R1791" s="80"/>
      <c r="S1791" s="80"/>
      <c r="T1791" s="80"/>
      <c r="U1791" s="80"/>
      <c r="V1791" s="80"/>
      <c r="W1791" s="80"/>
      <c r="X1791" s="80"/>
      <c r="Y1791" s="80"/>
      <c r="Z1791" s="80"/>
      <c r="AA1791" s="80"/>
      <c r="AB1791" s="80"/>
      <c r="AC1791" s="80"/>
      <c r="AD1791" s="80"/>
      <c r="AE1791" s="80"/>
      <c r="AF1791" s="80"/>
      <c r="AG1791" s="80"/>
      <c r="AH1791" s="80"/>
      <c r="AI1791" s="80"/>
    </row>
    <row r="1792" spans="1:35" x14ac:dyDescent="0.2">
      <c r="A1792" s="80"/>
      <c r="B1792" s="80"/>
      <c r="C1792" s="80"/>
      <c r="D1792" s="80"/>
      <c r="E1792" s="80"/>
      <c r="F1792" s="80"/>
      <c r="G1792" s="80"/>
      <c r="H1792" s="80"/>
      <c r="I1792" s="80"/>
      <c r="J1792" s="80"/>
      <c r="K1792" s="80"/>
      <c r="L1792" s="2"/>
      <c r="M1792" s="2"/>
      <c r="N1792" s="2"/>
      <c r="O1792" s="2"/>
      <c r="P1792" s="2"/>
      <c r="Q1792" s="2"/>
      <c r="R1792" s="80"/>
      <c r="S1792" s="80"/>
      <c r="T1792" s="80"/>
      <c r="U1792" s="80"/>
      <c r="V1792" s="80"/>
      <c r="W1792" s="80"/>
      <c r="X1792" s="80"/>
      <c r="Y1792" s="80"/>
      <c r="Z1792" s="80"/>
      <c r="AA1792" s="80"/>
      <c r="AB1792" s="80"/>
      <c r="AC1792" s="80"/>
      <c r="AD1792" s="80"/>
      <c r="AE1792" s="80"/>
      <c r="AF1792" s="80"/>
      <c r="AG1792" s="80"/>
      <c r="AH1792" s="80"/>
      <c r="AI1792" s="80"/>
    </row>
    <row r="1793" spans="1:35" x14ac:dyDescent="0.2">
      <c r="A1793" s="80"/>
      <c r="B1793" s="80"/>
      <c r="C1793" s="80"/>
      <c r="D1793" s="80"/>
      <c r="E1793" s="80"/>
      <c r="F1793" s="80"/>
      <c r="G1793" s="80"/>
      <c r="H1793" s="80"/>
      <c r="I1793" s="80"/>
      <c r="J1793" s="80"/>
      <c r="K1793" s="80"/>
      <c r="L1793" s="2"/>
      <c r="M1793" s="2"/>
      <c r="N1793" s="2"/>
      <c r="O1793" s="2"/>
      <c r="P1793" s="2"/>
      <c r="Q1793" s="2"/>
      <c r="R1793" s="80"/>
      <c r="S1793" s="80"/>
      <c r="T1793" s="80"/>
      <c r="U1793" s="80"/>
      <c r="V1793" s="80"/>
      <c r="W1793" s="80"/>
      <c r="X1793" s="80"/>
      <c r="Y1793" s="80"/>
      <c r="Z1793" s="80"/>
      <c r="AA1793" s="80"/>
      <c r="AB1793" s="80"/>
      <c r="AC1793" s="80"/>
      <c r="AD1793" s="80"/>
      <c r="AE1793" s="80"/>
      <c r="AF1793" s="80"/>
      <c r="AG1793" s="80"/>
      <c r="AH1793" s="80"/>
      <c r="AI1793" s="80"/>
    </row>
    <row r="1794" spans="1:35" x14ac:dyDescent="0.2">
      <c r="A1794" s="80"/>
      <c r="B1794" s="80"/>
      <c r="C1794" s="80"/>
      <c r="D1794" s="80"/>
      <c r="E1794" s="80"/>
      <c r="F1794" s="80"/>
      <c r="G1794" s="80"/>
      <c r="H1794" s="80"/>
      <c r="I1794" s="80"/>
      <c r="J1794" s="80"/>
      <c r="K1794" s="80"/>
      <c r="L1794" s="2"/>
      <c r="M1794" s="2"/>
      <c r="N1794" s="2"/>
      <c r="O1794" s="2"/>
      <c r="P1794" s="2"/>
      <c r="Q1794" s="2"/>
      <c r="R1794" s="80"/>
      <c r="S1794" s="80"/>
      <c r="T1794" s="80"/>
      <c r="U1794" s="80"/>
      <c r="V1794" s="80"/>
      <c r="W1794" s="80"/>
      <c r="X1794" s="80"/>
      <c r="Y1794" s="80"/>
      <c r="Z1794" s="80"/>
      <c r="AA1794" s="80"/>
      <c r="AB1794" s="80"/>
      <c r="AC1794" s="80"/>
      <c r="AD1794" s="80"/>
      <c r="AE1794" s="80"/>
      <c r="AF1794" s="80"/>
      <c r="AG1794" s="80"/>
      <c r="AH1794" s="80"/>
      <c r="AI1794" s="80"/>
    </row>
    <row r="1795" spans="1:35" x14ac:dyDescent="0.2">
      <c r="A1795" s="80"/>
      <c r="B1795" s="80"/>
      <c r="C1795" s="80"/>
      <c r="D1795" s="80"/>
      <c r="E1795" s="80"/>
      <c r="F1795" s="80"/>
      <c r="G1795" s="80"/>
      <c r="H1795" s="80"/>
      <c r="I1795" s="80"/>
      <c r="J1795" s="80"/>
      <c r="K1795" s="80"/>
      <c r="L1795" s="2"/>
      <c r="M1795" s="2"/>
      <c r="N1795" s="2"/>
      <c r="O1795" s="2"/>
      <c r="P1795" s="2"/>
      <c r="Q1795" s="2"/>
      <c r="R1795" s="80"/>
      <c r="S1795" s="80"/>
      <c r="T1795" s="80"/>
      <c r="U1795" s="80"/>
      <c r="V1795" s="80"/>
      <c r="W1795" s="80"/>
      <c r="X1795" s="80"/>
      <c r="Y1795" s="80"/>
      <c r="Z1795" s="80"/>
      <c r="AA1795" s="80"/>
      <c r="AB1795" s="80"/>
      <c r="AC1795" s="80"/>
      <c r="AD1795" s="80"/>
      <c r="AE1795" s="80"/>
      <c r="AF1795" s="80"/>
      <c r="AG1795" s="80"/>
      <c r="AH1795" s="80"/>
      <c r="AI1795" s="80"/>
    </row>
    <row r="1796" spans="1:35" x14ac:dyDescent="0.2">
      <c r="A1796" s="80"/>
      <c r="B1796" s="80"/>
      <c r="C1796" s="80"/>
      <c r="D1796" s="80"/>
      <c r="E1796" s="80"/>
      <c r="F1796" s="80"/>
      <c r="G1796" s="80"/>
      <c r="H1796" s="80"/>
      <c r="I1796" s="80"/>
      <c r="J1796" s="80"/>
      <c r="K1796" s="80"/>
      <c r="L1796" s="2"/>
      <c r="M1796" s="2"/>
      <c r="N1796" s="2"/>
      <c r="O1796" s="2"/>
      <c r="P1796" s="2"/>
      <c r="Q1796" s="2"/>
      <c r="R1796" s="80"/>
      <c r="S1796" s="80"/>
      <c r="T1796" s="80"/>
      <c r="U1796" s="80"/>
      <c r="V1796" s="80"/>
      <c r="W1796" s="80"/>
      <c r="X1796" s="80"/>
      <c r="Y1796" s="80"/>
      <c r="Z1796" s="80"/>
      <c r="AA1796" s="80"/>
      <c r="AB1796" s="80"/>
      <c r="AC1796" s="80"/>
      <c r="AD1796" s="80"/>
      <c r="AE1796" s="80"/>
      <c r="AF1796" s="80"/>
      <c r="AG1796" s="80"/>
      <c r="AH1796" s="80"/>
      <c r="AI1796" s="80"/>
    </row>
    <row r="1797" spans="1:35" x14ac:dyDescent="0.2">
      <c r="A1797" s="80"/>
      <c r="B1797" s="80"/>
      <c r="C1797" s="80"/>
      <c r="D1797" s="80"/>
      <c r="E1797" s="80"/>
      <c r="F1797" s="80"/>
      <c r="G1797" s="80"/>
      <c r="H1797" s="80"/>
      <c r="I1797" s="80"/>
      <c r="J1797" s="80"/>
      <c r="K1797" s="80"/>
      <c r="L1797" s="2"/>
      <c r="M1797" s="2"/>
      <c r="N1797" s="2"/>
      <c r="O1797" s="2"/>
      <c r="P1797" s="2"/>
      <c r="Q1797" s="2"/>
      <c r="R1797" s="80"/>
      <c r="S1797" s="80"/>
      <c r="T1797" s="80"/>
      <c r="U1797" s="80"/>
      <c r="V1797" s="80"/>
      <c r="W1797" s="80"/>
      <c r="X1797" s="80"/>
      <c r="Y1797" s="80"/>
      <c r="Z1797" s="80"/>
      <c r="AA1797" s="80"/>
      <c r="AB1797" s="80"/>
      <c r="AC1797" s="80"/>
      <c r="AD1797" s="80"/>
      <c r="AE1797" s="80"/>
      <c r="AF1797" s="80"/>
      <c r="AG1797" s="80"/>
      <c r="AH1797" s="80"/>
      <c r="AI1797" s="80"/>
    </row>
    <row r="1798" spans="1:35" x14ac:dyDescent="0.2">
      <c r="A1798" s="80"/>
      <c r="B1798" s="80"/>
      <c r="C1798" s="80"/>
      <c r="D1798" s="80"/>
      <c r="E1798" s="80"/>
      <c r="F1798" s="80"/>
      <c r="G1798" s="80"/>
      <c r="H1798" s="80"/>
      <c r="I1798" s="80"/>
      <c r="J1798" s="80"/>
      <c r="K1798" s="80"/>
      <c r="L1798" s="2"/>
      <c r="M1798" s="2"/>
      <c r="N1798" s="2"/>
      <c r="O1798" s="2"/>
      <c r="P1798" s="2"/>
      <c r="Q1798" s="2"/>
      <c r="R1798" s="80"/>
      <c r="S1798" s="80"/>
      <c r="T1798" s="80"/>
      <c r="U1798" s="80"/>
      <c r="V1798" s="80"/>
      <c r="W1798" s="80"/>
      <c r="X1798" s="80"/>
      <c r="Y1798" s="80"/>
      <c r="Z1798" s="80"/>
      <c r="AA1798" s="80"/>
      <c r="AB1798" s="80"/>
      <c r="AC1798" s="80"/>
      <c r="AD1798" s="80"/>
      <c r="AE1798" s="80"/>
      <c r="AF1798" s="80"/>
      <c r="AG1798" s="80"/>
      <c r="AH1798" s="80"/>
      <c r="AI1798" s="80"/>
    </row>
    <row r="1799" spans="1:35" x14ac:dyDescent="0.2">
      <c r="A1799" s="80"/>
      <c r="B1799" s="80"/>
      <c r="C1799" s="80"/>
      <c r="D1799" s="80"/>
      <c r="E1799" s="80"/>
      <c r="F1799" s="80"/>
      <c r="G1799" s="80"/>
      <c r="H1799" s="80"/>
      <c r="I1799" s="80"/>
      <c r="J1799" s="80"/>
      <c r="K1799" s="80"/>
      <c r="L1799" s="2"/>
      <c r="M1799" s="2"/>
      <c r="N1799" s="2"/>
      <c r="O1799" s="2"/>
      <c r="P1799" s="2"/>
      <c r="Q1799" s="2"/>
      <c r="R1799" s="80"/>
      <c r="S1799" s="80"/>
      <c r="T1799" s="80"/>
      <c r="U1799" s="80"/>
      <c r="V1799" s="80"/>
      <c r="W1799" s="80"/>
      <c r="X1799" s="80"/>
      <c r="Y1799" s="80"/>
      <c r="Z1799" s="80"/>
      <c r="AA1799" s="80"/>
      <c r="AB1799" s="80"/>
      <c r="AC1799" s="80"/>
      <c r="AD1799" s="80"/>
      <c r="AE1799" s="80"/>
      <c r="AF1799" s="80"/>
      <c r="AG1799" s="80"/>
      <c r="AH1799" s="80"/>
      <c r="AI1799" s="80"/>
    </row>
    <row r="1800" spans="1:35" x14ac:dyDescent="0.2">
      <c r="A1800" s="80"/>
      <c r="B1800" s="80"/>
      <c r="C1800" s="80"/>
      <c r="D1800" s="80"/>
      <c r="E1800" s="80"/>
      <c r="F1800" s="80"/>
      <c r="G1800" s="80"/>
      <c r="H1800" s="80"/>
      <c r="I1800" s="80"/>
      <c r="J1800" s="80"/>
      <c r="K1800" s="80"/>
      <c r="L1800" s="2"/>
      <c r="M1800" s="2"/>
      <c r="N1800" s="2"/>
      <c r="O1800" s="2"/>
      <c r="P1800" s="2"/>
      <c r="Q1800" s="2"/>
      <c r="R1800" s="80"/>
      <c r="S1800" s="80"/>
      <c r="T1800" s="80"/>
      <c r="U1800" s="80"/>
      <c r="V1800" s="80"/>
      <c r="W1800" s="80"/>
      <c r="X1800" s="80"/>
      <c r="Y1800" s="80"/>
      <c r="Z1800" s="80"/>
      <c r="AA1800" s="80"/>
      <c r="AB1800" s="80"/>
      <c r="AC1800" s="80"/>
      <c r="AD1800" s="80"/>
      <c r="AE1800" s="80"/>
      <c r="AF1800" s="80"/>
      <c r="AG1800" s="80"/>
      <c r="AH1800" s="80"/>
      <c r="AI1800" s="80"/>
    </row>
    <row r="1801" spans="1:35" x14ac:dyDescent="0.2">
      <c r="A1801" s="80"/>
      <c r="B1801" s="80"/>
      <c r="C1801" s="80"/>
      <c r="D1801" s="80"/>
      <c r="E1801" s="80"/>
      <c r="F1801" s="80"/>
      <c r="G1801" s="80"/>
      <c r="H1801" s="80"/>
      <c r="I1801" s="80"/>
      <c r="J1801" s="80"/>
      <c r="K1801" s="80"/>
      <c r="L1801" s="2"/>
      <c r="M1801" s="2"/>
      <c r="N1801" s="2"/>
      <c r="O1801" s="2"/>
      <c r="P1801" s="2"/>
      <c r="Q1801" s="2"/>
      <c r="R1801" s="80"/>
      <c r="S1801" s="80"/>
      <c r="T1801" s="80"/>
      <c r="U1801" s="80"/>
      <c r="V1801" s="80"/>
      <c r="W1801" s="80"/>
      <c r="X1801" s="80"/>
      <c r="Y1801" s="80"/>
      <c r="Z1801" s="80"/>
      <c r="AA1801" s="80"/>
      <c r="AB1801" s="80"/>
      <c r="AC1801" s="80"/>
      <c r="AD1801" s="80"/>
      <c r="AE1801" s="80"/>
      <c r="AF1801" s="80"/>
      <c r="AG1801" s="80"/>
      <c r="AH1801" s="80"/>
      <c r="AI1801" s="80"/>
    </row>
    <row r="1802" spans="1:35" x14ac:dyDescent="0.2">
      <c r="A1802" s="80"/>
      <c r="B1802" s="80"/>
      <c r="C1802" s="80"/>
      <c r="D1802" s="80"/>
      <c r="E1802" s="80"/>
      <c r="F1802" s="80"/>
      <c r="G1802" s="80"/>
      <c r="H1802" s="80"/>
      <c r="I1802" s="80"/>
      <c r="J1802" s="80"/>
      <c r="K1802" s="80"/>
      <c r="L1802" s="2"/>
      <c r="M1802" s="2"/>
      <c r="N1802" s="2"/>
      <c r="O1802" s="2"/>
      <c r="P1802" s="2"/>
      <c r="Q1802" s="2"/>
      <c r="R1802" s="80"/>
      <c r="S1802" s="80"/>
      <c r="T1802" s="80"/>
      <c r="U1802" s="80"/>
      <c r="V1802" s="80"/>
      <c r="W1802" s="80"/>
      <c r="X1802" s="80"/>
      <c r="Y1802" s="80"/>
      <c r="Z1802" s="80"/>
      <c r="AA1802" s="80"/>
      <c r="AB1802" s="80"/>
      <c r="AC1802" s="80"/>
      <c r="AD1802" s="80"/>
      <c r="AE1802" s="80"/>
      <c r="AF1802" s="80"/>
      <c r="AG1802" s="80"/>
      <c r="AH1802" s="80"/>
      <c r="AI1802" s="80"/>
    </row>
    <row r="1803" spans="1:35" x14ac:dyDescent="0.2">
      <c r="A1803" s="80"/>
      <c r="B1803" s="80"/>
      <c r="C1803" s="80"/>
      <c r="D1803" s="80"/>
      <c r="E1803" s="80"/>
      <c r="F1803" s="80"/>
      <c r="G1803" s="80"/>
      <c r="H1803" s="80"/>
      <c r="I1803" s="80"/>
      <c r="J1803" s="80"/>
      <c r="K1803" s="80"/>
      <c r="L1803" s="2"/>
      <c r="M1803" s="2"/>
      <c r="N1803" s="2"/>
      <c r="O1803" s="2"/>
      <c r="P1803" s="2"/>
      <c r="Q1803" s="2"/>
      <c r="R1803" s="80"/>
      <c r="S1803" s="80"/>
      <c r="T1803" s="80"/>
      <c r="U1803" s="80"/>
      <c r="V1803" s="80"/>
      <c r="W1803" s="80"/>
      <c r="X1803" s="80"/>
      <c r="Y1803" s="80"/>
      <c r="Z1803" s="80"/>
      <c r="AA1803" s="80"/>
      <c r="AB1803" s="80"/>
      <c r="AC1803" s="80"/>
      <c r="AD1803" s="80"/>
      <c r="AE1803" s="80"/>
      <c r="AF1803" s="80"/>
      <c r="AG1803" s="80"/>
      <c r="AH1803" s="80"/>
      <c r="AI1803" s="80"/>
    </row>
    <row r="1804" spans="1:35" x14ac:dyDescent="0.2">
      <c r="A1804" s="80"/>
      <c r="B1804" s="80"/>
      <c r="C1804" s="80"/>
      <c r="D1804" s="80"/>
      <c r="E1804" s="80"/>
      <c r="F1804" s="80"/>
      <c r="G1804" s="80"/>
      <c r="H1804" s="80"/>
      <c r="I1804" s="80"/>
      <c r="J1804" s="80"/>
      <c r="K1804" s="80"/>
      <c r="L1804" s="2"/>
      <c r="M1804" s="2"/>
      <c r="N1804" s="2"/>
      <c r="O1804" s="2"/>
      <c r="P1804" s="2"/>
      <c r="Q1804" s="2"/>
      <c r="R1804" s="80"/>
      <c r="S1804" s="80"/>
      <c r="T1804" s="80"/>
      <c r="U1804" s="80"/>
      <c r="V1804" s="80"/>
      <c r="W1804" s="80"/>
      <c r="X1804" s="80"/>
      <c r="Y1804" s="80"/>
      <c r="Z1804" s="80"/>
      <c r="AA1804" s="80"/>
      <c r="AB1804" s="80"/>
      <c r="AC1804" s="80"/>
      <c r="AD1804" s="80"/>
      <c r="AE1804" s="80"/>
      <c r="AF1804" s="80"/>
      <c r="AG1804" s="80"/>
      <c r="AH1804" s="80"/>
      <c r="AI1804" s="80"/>
    </row>
    <row r="1805" spans="1:35" x14ac:dyDescent="0.2">
      <c r="A1805" s="80"/>
      <c r="B1805" s="80"/>
      <c r="C1805" s="80"/>
      <c r="D1805" s="80"/>
      <c r="E1805" s="80"/>
      <c r="F1805" s="80"/>
      <c r="G1805" s="80"/>
      <c r="H1805" s="80"/>
      <c r="I1805" s="80"/>
      <c r="J1805" s="80"/>
      <c r="K1805" s="80"/>
      <c r="L1805" s="2"/>
      <c r="M1805" s="2"/>
      <c r="N1805" s="2"/>
      <c r="O1805" s="2"/>
      <c r="P1805" s="2"/>
      <c r="Q1805" s="2"/>
      <c r="R1805" s="80"/>
      <c r="S1805" s="80"/>
      <c r="T1805" s="80"/>
      <c r="U1805" s="80"/>
      <c r="V1805" s="80"/>
      <c r="W1805" s="80"/>
      <c r="X1805" s="80"/>
      <c r="Y1805" s="80"/>
      <c r="Z1805" s="80"/>
      <c r="AA1805" s="80"/>
      <c r="AB1805" s="80"/>
      <c r="AC1805" s="80"/>
      <c r="AD1805" s="80"/>
      <c r="AE1805" s="80"/>
      <c r="AF1805" s="80"/>
      <c r="AG1805" s="80"/>
      <c r="AH1805" s="80"/>
      <c r="AI1805" s="80"/>
    </row>
    <row r="1806" spans="1:35" x14ac:dyDescent="0.2">
      <c r="A1806" s="80"/>
      <c r="B1806" s="80"/>
      <c r="C1806" s="80"/>
      <c r="D1806" s="80"/>
      <c r="E1806" s="80"/>
      <c r="F1806" s="80"/>
      <c r="G1806" s="80"/>
      <c r="H1806" s="80"/>
      <c r="I1806" s="80"/>
      <c r="J1806" s="80"/>
      <c r="K1806" s="80"/>
      <c r="L1806" s="2"/>
      <c r="M1806" s="2"/>
      <c r="N1806" s="2"/>
      <c r="O1806" s="2"/>
      <c r="P1806" s="2"/>
      <c r="Q1806" s="2"/>
      <c r="R1806" s="80"/>
      <c r="S1806" s="80"/>
      <c r="T1806" s="80"/>
      <c r="U1806" s="80"/>
      <c r="V1806" s="80"/>
      <c r="W1806" s="80"/>
      <c r="X1806" s="80"/>
      <c r="Y1806" s="80"/>
      <c r="Z1806" s="80"/>
      <c r="AA1806" s="80"/>
      <c r="AB1806" s="80"/>
      <c r="AC1806" s="80"/>
      <c r="AD1806" s="80"/>
      <c r="AE1806" s="80"/>
      <c r="AF1806" s="80"/>
      <c r="AG1806" s="80"/>
      <c r="AH1806" s="80"/>
      <c r="AI1806" s="80"/>
    </row>
    <row r="1807" spans="1:35" x14ac:dyDescent="0.2">
      <c r="A1807" s="80"/>
      <c r="B1807" s="80"/>
      <c r="C1807" s="80"/>
      <c r="D1807" s="80"/>
      <c r="E1807" s="80"/>
      <c r="F1807" s="80"/>
      <c r="G1807" s="80"/>
      <c r="H1807" s="80"/>
      <c r="I1807" s="80"/>
      <c r="J1807" s="80"/>
      <c r="K1807" s="80"/>
      <c r="L1807" s="2"/>
      <c r="M1807" s="2"/>
      <c r="N1807" s="2"/>
      <c r="O1807" s="2"/>
      <c r="P1807" s="2"/>
      <c r="Q1807" s="2"/>
      <c r="R1807" s="80"/>
      <c r="S1807" s="80"/>
      <c r="T1807" s="80"/>
      <c r="U1807" s="80"/>
      <c r="V1807" s="80"/>
      <c r="W1807" s="80"/>
      <c r="X1807" s="80"/>
      <c r="Y1807" s="80"/>
      <c r="Z1807" s="80"/>
      <c r="AA1807" s="80"/>
      <c r="AB1807" s="80"/>
      <c r="AC1807" s="80"/>
      <c r="AD1807" s="80"/>
      <c r="AE1807" s="80"/>
      <c r="AF1807" s="80"/>
      <c r="AG1807" s="80"/>
      <c r="AH1807" s="80"/>
      <c r="AI1807" s="80"/>
    </row>
    <row r="1808" spans="1:35" x14ac:dyDescent="0.2">
      <c r="A1808" s="80"/>
      <c r="B1808" s="80"/>
      <c r="C1808" s="80"/>
      <c r="D1808" s="80"/>
      <c r="E1808" s="80"/>
      <c r="F1808" s="80"/>
      <c r="G1808" s="80"/>
      <c r="H1808" s="80"/>
      <c r="I1808" s="80"/>
      <c r="J1808" s="80"/>
      <c r="K1808" s="80"/>
      <c r="L1808" s="2"/>
      <c r="M1808" s="2"/>
      <c r="N1808" s="2"/>
      <c r="O1808" s="2"/>
      <c r="P1808" s="2"/>
      <c r="Q1808" s="2"/>
      <c r="R1808" s="80"/>
      <c r="S1808" s="80"/>
      <c r="T1808" s="80"/>
      <c r="U1808" s="80"/>
      <c r="V1808" s="80"/>
      <c r="W1808" s="80"/>
      <c r="X1808" s="80"/>
      <c r="Y1808" s="80"/>
      <c r="Z1808" s="80"/>
      <c r="AA1808" s="80"/>
      <c r="AB1808" s="80"/>
      <c r="AC1808" s="80"/>
      <c r="AD1808" s="80"/>
      <c r="AE1808" s="80"/>
      <c r="AF1808" s="80"/>
      <c r="AG1808" s="80"/>
      <c r="AH1808" s="80"/>
      <c r="AI1808" s="80"/>
    </row>
    <row r="1809" spans="1:35" x14ac:dyDescent="0.2">
      <c r="A1809" s="80"/>
      <c r="B1809" s="80"/>
      <c r="C1809" s="80"/>
      <c r="D1809" s="80"/>
      <c r="E1809" s="80"/>
      <c r="F1809" s="80"/>
      <c r="G1809" s="80"/>
      <c r="H1809" s="80"/>
      <c r="I1809" s="80"/>
      <c r="J1809" s="80"/>
      <c r="K1809" s="80"/>
      <c r="L1809" s="2"/>
      <c r="M1809" s="2"/>
      <c r="N1809" s="2"/>
      <c r="O1809" s="2"/>
      <c r="P1809" s="2"/>
      <c r="Q1809" s="2"/>
      <c r="R1809" s="80"/>
      <c r="S1809" s="80"/>
      <c r="T1809" s="80"/>
      <c r="U1809" s="80"/>
      <c r="V1809" s="80"/>
      <c r="W1809" s="80"/>
      <c r="X1809" s="80"/>
      <c r="Y1809" s="80"/>
      <c r="Z1809" s="80"/>
      <c r="AA1809" s="80"/>
      <c r="AB1809" s="80"/>
      <c r="AC1809" s="80"/>
      <c r="AD1809" s="80"/>
      <c r="AE1809" s="80"/>
      <c r="AF1809" s="80"/>
      <c r="AG1809" s="80"/>
      <c r="AH1809" s="80"/>
      <c r="AI1809" s="80"/>
    </row>
    <row r="1810" spans="1:35" x14ac:dyDescent="0.2">
      <c r="A1810" s="80"/>
      <c r="B1810" s="80"/>
      <c r="C1810" s="80"/>
      <c r="D1810" s="80"/>
      <c r="E1810" s="80"/>
      <c r="F1810" s="80"/>
      <c r="G1810" s="80"/>
      <c r="H1810" s="80"/>
      <c r="I1810" s="80"/>
      <c r="J1810" s="80"/>
      <c r="K1810" s="80"/>
      <c r="L1810" s="2"/>
      <c r="M1810" s="2"/>
      <c r="N1810" s="2"/>
      <c r="O1810" s="2"/>
      <c r="P1810" s="2"/>
      <c r="Q1810" s="2"/>
      <c r="R1810" s="80"/>
      <c r="S1810" s="80"/>
      <c r="T1810" s="80"/>
      <c r="U1810" s="80"/>
      <c r="V1810" s="80"/>
      <c r="W1810" s="80"/>
      <c r="X1810" s="80"/>
      <c r="Y1810" s="80"/>
      <c r="Z1810" s="80"/>
      <c r="AA1810" s="80"/>
      <c r="AB1810" s="80"/>
      <c r="AC1810" s="80"/>
      <c r="AD1810" s="80"/>
      <c r="AE1810" s="80"/>
      <c r="AF1810" s="80"/>
      <c r="AG1810" s="80"/>
      <c r="AH1810" s="80"/>
      <c r="AI1810" s="80"/>
    </row>
    <row r="1811" spans="1:35" x14ac:dyDescent="0.2">
      <c r="A1811" s="80"/>
      <c r="B1811" s="80"/>
      <c r="C1811" s="80"/>
      <c r="D1811" s="80"/>
      <c r="E1811" s="80"/>
      <c r="F1811" s="80"/>
      <c r="G1811" s="80"/>
      <c r="H1811" s="80"/>
      <c r="I1811" s="80"/>
      <c r="J1811" s="80"/>
      <c r="K1811" s="80"/>
      <c r="L1811" s="2"/>
      <c r="M1811" s="2"/>
      <c r="N1811" s="2"/>
      <c r="O1811" s="2"/>
      <c r="P1811" s="2"/>
      <c r="Q1811" s="2"/>
      <c r="R1811" s="80"/>
      <c r="S1811" s="80"/>
      <c r="T1811" s="80"/>
      <c r="U1811" s="80"/>
      <c r="V1811" s="80"/>
      <c r="W1811" s="80"/>
      <c r="X1811" s="80"/>
      <c r="Y1811" s="80"/>
      <c r="Z1811" s="80"/>
      <c r="AA1811" s="80"/>
      <c r="AB1811" s="80"/>
      <c r="AC1811" s="80"/>
      <c r="AD1811" s="80"/>
      <c r="AE1811" s="80"/>
      <c r="AF1811" s="80"/>
      <c r="AG1811" s="80"/>
      <c r="AH1811" s="80"/>
      <c r="AI1811" s="80"/>
    </row>
    <row r="1812" spans="1:35" x14ac:dyDescent="0.2">
      <c r="A1812" s="80"/>
      <c r="B1812" s="80"/>
      <c r="C1812" s="80"/>
      <c r="D1812" s="80"/>
      <c r="E1812" s="80"/>
      <c r="F1812" s="80"/>
      <c r="G1812" s="80"/>
      <c r="H1812" s="80"/>
      <c r="I1812" s="80"/>
      <c r="J1812" s="80"/>
      <c r="K1812" s="80"/>
      <c r="L1812" s="2"/>
      <c r="M1812" s="2"/>
      <c r="N1812" s="2"/>
      <c r="O1812" s="2"/>
      <c r="P1812" s="2"/>
      <c r="Q1812" s="2"/>
      <c r="R1812" s="80"/>
      <c r="S1812" s="80"/>
      <c r="T1812" s="80"/>
      <c r="U1812" s="80"/>
      <c r="V1812" s="80"/>
      <c r="W1812" s="80"/>
      <c r="X1812" s="80"/>
      <c r="Y1812" s="80"/>
      <c r="Z1812" s="80"/>
      <c r="AA1812" s="80"/>
      <c r="AB1812" s="80"/>
      <c r="AC1812" s="80"/>
      <c r="AD1812" s="80"/>
      <c r="AE1812" s="80"/>
      <c r="AF1812" s="80"/>
      <c r="AG1812" s="80"/>
      <c r="AH1812" s="80"/>
      <c r="AI1812" s="80"/>
    </row>
    <row r="1813" spans="1:35" x14ac:dyDescent="0.2">
      <c r="A1813" s="80"/>
      <c r="B1813" s="80"/>
      <c r="C1813" s="80"/>
      <c r="D1813" s="80"/>
      <c r="E1813" s="80"/>
      <c r="F1813" s="80"/>
      <c r="G1813" s="80"/>
      <c r="H1813" s="80"/>
      <c r="I1813" s="80"/>
      <c r="J1813" s="80"/>
      <c r="K1813" s="80"/>
      <c r="L1813" s="2"/>
      <c r="M1813" s="2"/>
      <c r="N1813" s="2"/>
      <c r="O1813" s="2"/>
      <c r="P1813" s="2"/>
      <c r="Q1813" s="2"/>
      <c r="R1813" s="80"/>
      <c r="S1813" s="80"/>
      <c r="T1813" s="80"/>
      <c r="U1813" s="80"/>
      <c r="V1813" s="80"/>
      <c r="W1813" s="80"/>
      <c r="X1813" s="80"/>
      <c r="Y1813" s="80"/>
      <c r="Z1813" s="80"/>
      <c r="AA1813" s="80"/>
      <c r="AB1813" s="80"/>
      <c r="AC1813" s="80"/>
      <c r="AD1813" s="80"/>
      <c r="AE1813" s="80"/>
      <c r="AF1813" s="80"/>
      <c r="AG1813" s="80"/>
      <c r="AH1813" s="80"/>
      <c r="AI1813" s="80"/>
    </row>
    <row r="1814" spans="1:35" x14ac:dyDescent="0.2">
      <c r="A1814" s="80"/>
      <c r="B1814" s="80"/>
      <c r="C1814" s="80"/>
      <c r="D1814" s="80"/>
      <c r="E1814" s="80"/>
      <c r="F1814" s="80"/>
      <c r="G1814" s="80"/>
      <c r="H1814" s="80"/>
      <c r="I1814" s="80"/>
      <c r="J1814" s="80"/>
      <c r="K1814" s="80"/>
      <c r="L1814" s="2"/>
      <c r="M1814" s="2"/>
      <c r="N1814" s="2"/>
      <c r="O1814" s="2"/>
      <c r="P1814" s="2"/>
      <c r="Q1814" s="2"/>
      <c r="R1814" s="80"/>
      <c r="S1814" s="80"/>
      <c r="T1814" s="80"/>
      <c r="U1814" s="80"/>
      <c r="V1814" s="80"/>
      <c r="W1814" s="80"/>
      <c r="X1814" s="80"/>
      <c r="Y1814" s="80"/>
      <c r="Z1814" s="80"/>
      <c r="AA1814" s="80"/>
      <c r="AB1814" s="80"/>
      <c r="AC1814" s="80"/>
      <c r="AD1814" s="80"/>
      <c r="AE1814" s="80"/>
      <c r="AF1814" s="80"/>
      <c r="AG1814" s="80"/>
      <c r="AH1814" s="80"/>
      <c r="AI1814" s="80"/>
    </row>
    <row r="1815" spans="1:35" x14ac:dyDescent="0.2">
      <c r="A1815" s="80"/>
      <c r="B1815" s="80"/>
      <c r="C1815" s="80"/>
      <c r="D1815" s="80"/>
      <c r="E1815" s="80"/>
      <c r="F1815" s="80"/>
      <c r="G1815" s="80"/>
      <c r="H1815" s="80"/>
      <c r="I1815" s="80"/>
      <c r="J1815" s="80"/>
      <c r="K1815" s="80"/>
      <c r="L1815" s="2"/>
      <c r="M1815" s="2"/>
      <c r="N1815" s="2"/>
      <c r="O1815" s="2"/>
      <c r="P1815" s="2"/>
      <c r="Q1815" s="2"/>
      <c r="R1815" s="80"/>
      <c r="S1815" s="80"/>
      <c r="T1815" s="80"/>
      <c r="U1815" s="80"/>
      <c r="V1815" s="80"/>
      <c r="W1815" s="80"/>
      <c r="X1815" s="80"/>
      <c r="Y1815" s="80"/>
      <c r="Z1815" s="80"/>
      <c r="AA1815" s="80"/>
      <c r="AB1815" s="80"/>
      <c r="AC1815" s="80"/>
      <c r="AD1815" s="80"/>
      <c r="AE1815" s="80"/>
      <c r="AF1815" s="80"/>
      <c r="AG1815" s="80"/>
      <c r="AH1815" s="80"/>
      <c r="AI1815" s="80"/>
    </row>
    <row r="1816" spans="1:35" x14ac:dyDescent="0.2">
      <c r="A1816" s="80"/>
      <c r="B1816" s="80"/>
      <c r="C1816" s="80"/>
      <c r="D1816" s="80"/>
      <c r="E1816" s="80"/>
      <c r="F1816" s="80"/>
      <c r="G1816" s="80"/>
      <c r="H1816" s="80"/>
      <c r="I1816" s="80"/>
      <c r="J1816" s="80"/>
      <c r="K1816" s="80"/>
      <c r="L1816" s="2"/>
      <c r="M1816" s="2"/>
      <c r="N1816" s="2"/>
      <c r="O1816" s="2"/>
      <c r="P1816" s="2"/>
      <c r="Q1816" s="2"/>
      <c r="R1816" s="80"/>
      <c r="S1816" s="80"/>
      <c r="T1816" s="80"/>
      <c r="U1816" s="80"/>
      <c r="V1816" s="80"/>
      <c r="W1816" s="80"/>
      <c r="X1816" s="80"/>
      <c r="Y1816" s="80"/>
      <c r="Z1816" s="80"/>
      <c r="AA1816" s="80"/>
      <c r="AB1816" s="80"/>
      <c r="AC1816" s="80"/>
      <c r="AD1816" s="80"/>
      <c r="AE1816" s="80"/>
      <c r="AF1816" s="80"/>
      <c r="AG1816" s="80"/>
      <c r="AH1816" s="80"/>
      <c r="AI1816" s="80"/>
    </row>
    <row r="1817" spans="1:35" x14ac:dyDescent="0.2">
      <c r="A1817" s="80"/>
      <c r="B1817" s="80"/>
      <c r="C1817" s="80"/>
      <c r="D1817" s="80"/>
      <c r="E1817" s="80"/>
      <c r="F1817" s="80"/>
      <c r="G1817" s="80"/>
      <c r="H1817" s="80"/>
      <c r="I1817" s="80"/>
      <c r="J1817" s="80"/>
      <c r="K1817" s="80"/>
      <c r="L1817" s="2"/>
      <c r="M1817" s="2"/>
      <c r="N1817" s="2"/>
      <c r="O1817" s="2"/>
      <c r="P1817" s="2"/>
      <c r="Q1817" s="2"/>
      <c r="R1817" s="80"/>
      <c r="S1817" s="80"/>
      <c r="T1817" s="80"/>
      <c r="U1817" s="80"/>
      <c r="V1817" s="80"/>
      <c r="W1817" s="80"/>
      <c r="X1817" s="80"/>
      <c r="Y1817" s="80"/>
      <c r="Z1817" s="80"/>
      <c r="AA1817" s="80"/>
      <c r="AB1817" s="80"/>
      <c r="AC1817" s="80"/>
      <c r="AD1817" s="80"/>
      <c r="AE1817" s="80"/>
      <c r="AF1817" s="80"/>
      <c r="AG1817" s="80"/>
      <c r="AH1817" s="80"/>
      <c r="AI1817" s="80"/>
    </row>
    <row r="1818" spans="1:35" x14ac:dyDescent="0.2">
      <c r="A1818" s="80"/>
      <c r="B1818" s="80"/>
      <c r="C1818" s="80"/>
      <c r="D1818" s="80"/>
      <c r="E1818" s="80"/>
      <c r="F1818" s="80"/>
      <c r="G1818" s="80"/>
      <c r="H1818" s="80"/>
      <c r="I1818" s="80"/>
      <c r="J1818" s="80"/>
      <c r="K1818" s="80"/>
      <c r="L1818" s="2"/>
      <c r="M1818" s="2"/>
      <c r="N1818" s="2"/>
      <c r="O1818" s="2"/>
      <c r="P1818" s="2"/>
      <c r="Q1818" s="2"/>
      <c r="R1818" s="80"/>
      <c r="S1818" s="80"/>
      <c r="T1818" s="80"/>
      <c r="U1818" s="80"/>
      <c r="V1818" s="80"/>
      <c r="W1818" s="80"/>
      <c r="X1818" s="80"/>
      <c r="Y1818" s="80"/>
      <c r="Z1818" s="80"/>
      <c r="AA1818" s="80"/>
      <c r="AB1818" s="80"/>
      <c r="AC1818" s="80"/>
      <c r="AD1818" s="80"/>
      <c r="AE1818" s="80"/>
      <c r="AF1818" s="80"/>
      <c r="AG1818" s="80"/>
      <c r="AH1818" s="80"/>
      <c r="AI1818" s="80"/>
    </row>
    <row r="1819" spans="1:35" x14ac:dyDescent="0.2">
      <c r="A1819" s="80"/>
      <c r="B1819" s="80"/>
      <c r="C1819" s="80"/>
      <c r="D1819" s="80"/>
      <c r="E1819" s="80"/>
      <c r="F1819" s="80"/>
      <c r="G1819" s="80"/>
      <c r="H1819" s="80"/>
      <c r="I1819" s="80"/>
      <c r="J1819" s="80"/>
      <c r="K1819" s="80"/>
      <c r="L1819" s="2"/>
      <c r="M1819" s="2"/>
      <c r="N1819" s="2"/>
      <c r="O1819" s="2"/>
      <c r="P1819" s="2"/>
      <c r="Q1819" s="2"/>
      <c r="R1819" s="80"/>
      <c r="S1819" s="80"/>
      <c r="T1819" s="80"/>
      <c r="U1819" s="80"/>
      <c r="V1819" s="80"/>
      <c r="W1819" s="80"/>
      <c r="X1819" s="80"/>
      <c r="Y1819" s="80"/>
      <c r="Z1819" s="80"/>
      <c r="AA1819" s="80"/>
      <c r="AB1819" s="80"/>
      <c r="AC1819" s="80"/>
      <c r="AD1819" s="80"/>
      <c r="AE1819" s="80"/>
      <c r="AF1819" s="80"/>
      <c r="AG1819" s="80"/>
      <c r="AH1819" s="80"/>
      <c r="AI1819" s="80"/>
    </row>
    <row r="1820" spans="1:35" x14ac:dyDescent="0.2">
      <c r="A1820" s="80"/>
      <c r="B1820" s="80"/>
      <c r="C1820" s="80"/>
      <c r="D1820" s="80"/>
      <c r="E1820" s="80"/>
      <c r="F1820" s="80"/>
      <c r="G1820" s="80"/>
      <c r="H1820" s="80"/>
      <c r="I1820" s="80"/>
      <c r="J1820" s="80"/>
      <c r="K1820" s="80"/>
      <c r="L1820" s="2"/>
      <c r="M1820" s="2"/>
      <c r="N1820" s="2"/>
      <c r="O1820" s="2"/>
      <c r="P1820" s="2"/>
      <c r="Q1820" s="2"/>
      <c r="R1820" s="80"/>
      <c r="S1820" s="80"/>
      <c r="T1820" s="80"/>
      <c r="U1820" s="80"/>
      <c r="V1820" s="80"/>
      <c r="W1820" s="80"/>
      <c r="X1820" s="80"/>
      <c r="Y1820" s="80"/>
      <c r="Z1820" s="80"/>
      <c r="AA1820" s="80"/>
      <c r="AB1820" s="80"/>
      <c r="AC1820" s="80"/>
      <c r="AD1820" s="80"/>
      <c r="AE1820" s="80"/>
      <c r="AF1820" s="80"/>
      <c r="AG1820" s="80"/>
      <c r="AH1820" s="80"/>
      <c r="AI1820" s="80"/>
    </row>
    <row r="1821" spans="1:35" x14ac:dyDescent="0.2">
      <c r="A1821" s="80"/>
      <c r="B1821" s="80"/>
      <c r="C1821" s="80"/>
      <c r="D1821" s="80"/>
      <c r="E1821" s="80"/>
      <c r="F1821" s="80"/>
      <c r="G1821" s="80"/>
      <c r="H1821" s="80"/>
      <c r="I1821" s="80"/>
      <c r="J1821" s="80"/>
      <c r="K1821" s="80"/>
      <c r="L1821" s="2"/>
      <c r="M1821" s="2"/>
      <c r="N1821" s="2"/>
      <c r="O1821" s="2"/>
      <c r="P1821" s="2"/>
      <c r="Q1821" s="2"/>
      <c r="R1821" s="80"/>
      <c r="S1821" s="80"/>
      <c r="T1821" s="80"/>
      <c r="U1821" s="80"/>
      <c r="V1821" s="80"/>
      <c r="W1821" s="80"/>
      <c r="X1821" s="80"/>
      <c r="Y1821" s="80"/>
      <c r="Z1821" s="80"/>
      <c r="AA1821" s="80"/>
      <c r="AB1821" s="80"/>
      <c r="AC1821" s="80"/>
      <c r="AD1821" s="80"/>
      <c r="AE1821" s="80"/>
      <c r="AF1821" s="80"/>
      <c r="AG1821" s="80"/>
      <c r="AH1821" s="80"/>
      <c r="AI1821" s="80"/>
    </row>
    <row r="1822" spans="1:35" x14ac:dyDescent="0.2">
      <c r="A1822" s="80"/>
      <c r="B1822" s="80"/>
      <c r="C1822" s="80"/>
      <c r="D1822" s="80"/>
      <c r="E1822" s="80"/>
      <c r="F1822" s="80"/>
      <c r="G1822" s="80"/>
      <c r="H1822" s="80"/>
      <c r="I1822" s="80"/>
      <c r="J1822" s="80"/>
      <c r="K1822" s="80"/>
      <c r="L1822" s="2"/>
      <c r="M1822" s="2"/>
      <c r="N1822" s="2"/>
      <c r="O1822" s="2"/>
      <c r="P1822" s="2"/>
      <c r="Q1822" s="2"/>
      <c r="R1822" s="80"/>
      <c r="S1822" s="80"/>
      <c r="T1822" s="80"/>
      <c r="U1822" s="80"/>
      <c r="V1822" s="80"/>
      <c r="W1822" s="80"/>
      <c r="X1822" s="80"/>
      <c r="Y1822" s="80"/>
      <c r="Z1822" s="80"/>
      <c r="AA1822" s="80"/>
      <c r="AB1822" s="80"/>
      <c r="AC1822" s="80"/>
      <c r="AD1822" s="80"/>
      <c r="AE1822" s="80"/>
      <c r="AF1822" s="80"/>
      <c r="AG1822" s="80"/>
      <c r="AH1822" s="80"/>
      <c r="AI1822" s="80"/>
    </row>
    <row r="1823" spans="1:35" x14ac:dyDescent="0.2">
      <c r="A1823" s="80"/>
      <c r="B1823" s="80"/>
      <c r="C1823" s="80"/>
      <c r="D1823" s="80"/>
      <c r="E1823" s="80"/>
      <c r="F1823" s="80"/>
      <c r="G1823" s="80"/>
      <c r="H1823" s="80"/>
      <c r="I1823" s="80"/>
      <c r="J1823" s="80"/>
      <c r="K1823" s="80"/>
      <c r="L1823" s="2"/>
      <c r="M1823" s="2"/>
      <c r="N1823" s="2"/>
      <c r="O1823" s="2"/>
      <c r="P1823" s="2"/>
      <c r="Q1823" s="2"/>
      <c r="R1823" s="80"/>
      <c r="S1823" s="80"/>
      <c r="T1823" s="80"/>
      <c r="U1823" s="80"/>
      <c r="V1823" s="80"/>
      <c r="W1823" s="80"/>
      <c r="X1823" s="80"/>
      <c r="Y1823" s="80"/>
      <c r="Z1823" s="80"/>
      <c r="AA1823" s="80"/>
      <c r="AB1823" s="80"/>
      <c r="AC1823" s="80"/>
      <c r="AD1823" s="80"/>
      <c r="AE1823" s="80"/>
      <c r="AF1823" s="80"/>
      <c r="AG1823" s="80"/>
      <c r="AH1823" s="80"/>
      <c r="AI1823" s="80"/>
    </row>
    <row r="1824" spans="1:35" x14ac:dyDescent="0.2">
      <c r="A1824" s="80"/>
      <c r="B1824" s="80"/>
      <c r="C1824" s="80"/>
      <c r="D1824" s="80"/>
      <c r="E1824" s="80"/>
      <c r="F1824" s="80"/>
      <c r="G1824" s="80"/>
      <c r="H1824" s="80"/>
      <c r="I1824" s="80"/>
      <c r="J1824" s="80"/>
      <c r="K1824" s="80"/>
      <c r="L1824" s="2"/>
      <c r="M1824" s="2"/>
      <c r="N1824" s="2"/>
      <c r="O1824" s="2"/>
      <c r="P1824" s="2"/>
      <c r="Q1824" s="2"/>
      <c r="R1824" s="80"/>
      <c r="S1824" s="80"/>
      <c r="T1824" s="80"/>
      <c r="U1824" s="80"/>
      <c r="V1824" s="80"/>
      <c r="W1824" s="80"/>
      <c r="X1824" s="80"/>
      <c r="Y1824" s="80"/>
      <c r="Z1824" s="80"/>
      <c r="AA1824" s="80"/>
      <c r="AB1824" s="80"/>
      <c r="AC1824" s="80"/>
      <c r="AD1824" s="80"/>
      <c r="AE1824" s="80"/>
      <c r="AF1824" s="80"/>
      <c r="AG1824" s="80"/>
      <c r="AH1824" s="80"/>
      <c r="AI1824" s="80"/>
    </row>
    <row r="1825" spans="1:35" x14ac:dyDescent="0.2">
      <c r="A1825" s="80"/>
      <c r="B1825" s="80"/>
      <c r="C1825" s="80"/>
      <c r="D1825" s="80"/>
      <c r="E1825" s="80"/>
      <c r="F1825" s="80"/>
      <c r="G1825" s="80"/>
      <c r="H1825" s="80"/>
      <c r="I1825" s="80"/>
      <c r="J1825" s="80"/>
      <c r="K1825" s="80"/>
      <c r="L1825" s="2"/>
      <c r="M1825" s="2"/>
      <c r="N1825" s="2"/>
      <c r="O1825" s="2"/>
      <c r="P1825" s="2"/>
      <c r="Q1825" s="2"/>
      <c r="R1825" s="80"/>
      <c r="S1825" s="80"/>
      <c r="T1825" s="80"/>
      <c r="U1825" s="80"/>
      <c r="V1825" s="80"/>
      <c r="W1825" s="80"/>
      <c r="X1825" s="80"/>
      <c r="Y1825" s="80"/>
      <c r="Z1825" s="80"/>
      <c r="AA1825" s="80"/>
      <c r="AB1825" s="80"/>
      <c r="AC1825" s="80"/>
      <c r="AD1825" s="80"/>
      <c r="AE1825" s="80"/>
      <c r="AF1825" s="80"/>
      <c r="AG1825" s="80"/>
      <c r="AH1825" s="80"/>
      <c r="AI1825" s="80"/>
    </row>
    <row r="1826" spans="1:35" x14ac:dyDescent="0.2">
      <c r="A1826" s="80"/>
      <c r="B1826" s="80"/>
      <c r="C1826" s="80"/>
      <c r="D1826" s="80"/>
      <c r="E1826" s="80"/>
      <c r="F1826" s="80"/>
      <c r="G1826" s="80"/>
      <c r="H1826" s="80"/>
      <c r="I1826" s="80"/>
      <c r="J1826" s="80"/>
      <c r="K1826" s="80"/>
      <c r="L1826" s="2"/>
      <c r="M1826" s="2"/>
      <c r="N1826" s="2"/>
      <c r="O1826" s="2"/>
      <c r="P1826" s="2"/>
      <c r="Q1826" s="2"/>
      <c r="R1826" s="80"/>
      <c r="S1826" s="80"/>
      <c r="T1826" s="80"/>
      <c r="U1826" s="80"/>
      <c r="V1826" s="80"/>
      <c r="W1826" s="80"/>
      <c r="X1826" s="80"/>
      <c r="Y1826" s="80"/>
      <c r="Z1826" s="80"/>
      <c r="AA1826" s="80"/>
      <c r="AB1826" s="80"/>
      <c r="AC1826" s="80"/>
      <c r="AD1826" s="80"/>
      <c r="AE1826" s="80"/>
      <c r="AF1826" s="80"/>
      <c r="AG1826" s="80"/>
      <c r="AH1826" s="80"/>
      <c r="AI1826" s="80"/>
    </row>
    <row r="1827" spans="1:35" x14ac:dyDescent="0.2">
      <c r="A1827" s="80"/>
      <c r="B1827" s="80"/>
      <c r="C1827" s="80"/>
      <c r="D1827" s="80"/>
      <c r="E1827" s="80"/>
      <c r="F1827" s="80"/>
      <c r="G1827" s="80"/>
      <c r="H1827" s="80"/>
      <c r="I1827" s="80"/>
      <c r="J1827" s="80"/>
      <c r="K1827" s="80"/>
      <c r="L1827" s="2"/>
      <c r="M1827" s="2"/>
      <c r="N1827" s="2"/>
      <c r="O1827" s="2"/>
      <c r="P1827" s="2"/>
      <c r="Q1827" s="2"/>
      <c r="R1827" s="80"/>
      <c r="S1827" s="80"/>
      <c r="T1827" s="80"/>
      <c r="U1827" s="80"/>
      <c r="V1827" s="80"/>
      <c r="W1827" s="80"/>
      <c r="X1827" s="80"/>
      <c r="Y1827" s="80"/>
      <c r="Z1827" s="80"/>
      <c r="AA1827" s="80"/>
      <c r="AB1827" s="80"/>
      <c r="AC1827" s="80"/>
      <c r="AD1827" s="80"/>
      <c r="AE1827" s="80"/>
      <c r="AF1827" s="80"/>
      <c r="AG1827" s="80"/>
      <c r="AH1827" s="80"/>
      <c r="AI1827" s="80"/>
    </row>
    <row r="1828" spans="1:35" x14ac:dyDescent="0.2">
      <c r="A1828" s="80"/>
      <c r="B1828" s="80"/>
      <c r="C1828" s="80"/>
      <c r="D1828" s="80"/>
      <c r="E1828" s="80"/>
      <c r="F1828" s="80"/>
      <c r="G1828" s="80"/>
      <c r="H1828" s="80"/>
      <c r="I1828" s="80"/>
      <c r="J1828" s="80"/>
      <c r="K1828" s="80"/>
      <c r="L1828" s="2"/>
      <c r="M1828" s="2"/>
      <c r="N1828" s="2"/>
      <c r="O1828" s="2"/>
      <c r="P1828" s="2"/>
      <c r="Q1828" s="2"/>
      <c r="R1828" s="80"/>
      <c r="S1828" s="80"/>
      <c r="T1828" s="80"/>
      <c r="U1828" s="80"/>
      <c r="V1828" s="80"/>
      <c r="W1828" s="80"/>
      <c r="X1828" s="80"/>
      <c r="Y1828" s="80"/>
      <c r="Z1828" s="80"/>
      <c r="AA1828" s="80"/>
      <c r="AB1828" s="80"/>
      <c r="AC1828" s="80"/>
      <c r="AD1828" s="80"/>
      <c r="AE1828" s="80"/>
      <c r="AF1828" s="80"/>
      <c r="AG1828" s="80"/>
      <c r="AH1828" s="80"/>
      <c r="AI1828" s="80"/>
    </row>
    <row r="1829" spans="1:35" x14ac:dyDescent="0.2">
      <c r="A1829" s="80"/>
      <c r="B1829" s="80"/>
      <c r="C1829" s="80"/>
      <c r="D1829" s="80"/>
      <c r="E1829" s="80"/>
      <c r="F1829" s="80"/>
      <c r="G1829" s="80"/>
      <c r="H1829" s="80"/>
      <c r="I1829" s="80"/>
      <c r="J1829" s="80"/>
      <c r="K1829" s="80"/>
      <c r="L1829" s="2"/>
      <c r="M1829" s="2"/>
      <c r="N1829" s="2"/>
      <c r="O1829" s="2"/>
      <c r="P1829" s="2"/>
      <c r="Q1829" s="2"/>
      <c r="R1829" s="80"/>
      <c r="S1829" s="80"/>
      <c r="T1829" s="80"/>
      <c r="U1829" s="80"/>
      <c r="V1829" s="80"/>
      <c r="W1829" s="80"/>
      <c r="X1829" s="80"/>
      <c r="Y1829" s="80"/>
      <c r="Z1829" s="80"/>
      <c r="AA1829" s="80"/>
      <c r="AB1829" s="80"/>
      <c r="AC1829" s="80"/>
      <c r="AD1829" s="80"/>
      <c r="AE1829" s="80"/>
      <c r="AF1829" s="80"/>
      <c r="AG1829" s="80"/>
      <c r="AH1829" s="80"/>
      <c r="AI1829" s="80"/>
    </row>
    <row r="1830" spans="1:35" x14ac:dyDescent="0.2">
      <c r="A1830" s="80"/>
      <c r="B1830" s="80"/>
      <c r="C1830" s="80"/>
      <c r="D1830" s="80"/>
      <c r="E1830" s="80"/>
      <c r="F1830" s="80"/>
      <c r="G1830" s="80"/>
      <c r="H1830" s="80"/>
      <c r="I1830" s="80"/>
      <c r="J1830" s="80"/>
      <c r="K1830" s="80"/>
      <c r="L1830" s="2"/>
      <c r="M1830" s="2"/>
      <c r="N1830" s="2"/>
      <c r="O1830" s="2"/>
      <c r="P1830" s="2"/>
      <c r="Q1830" s="2"/>
      <c r="R1830" s="80"/>
      <c r="S1830" s="80"/>
      <c r="T1830" s="80"/>
      <c r="U1830" s="80"/>
      <c r="V1830" s="80"/>
      <c r="W1830" s="80"/>
      <c r="X1830" s="80"/>
      <c r="Y1830" s="80"/>
      <c r="Z1830" s="80"/>
      <c r="AA1830" s="80"/>
      <c r="AB1830" s="80"/>
      <c r="AC1830" s="80"/>
      <c r="AD1830" s="80"/>
      <c r="AE1830" s="80"/>
      <c r="AF1830" s="80"/>
      <c r="AG1830" s="80"/>
      <c r="AH1830" s="80"/>
      <c r="AI1830" s="80"/>
    </row>
    <row r="1831" spans="1:35" x14ac:dyDescent="0.2">
      <c r="A1831" s="80"/>
      <c r="B1831" s="80"/>
      <c r="C1831" s="80"/>
      <c r="D1831" s="80"/>
      <c r="E1831" s="80"/>
      <c r="F1831" s="80"/>
      <c r="G1831" s="80"/>
      <c r="H1831" s="80"/>
      <c r="I1831" s="80"/>
      <c r="J1831" s="80"/>
      <c r="K1831" s="80"/>
      <c r="L1831" s="2"/>
      <c r="M1831" s="2"/>
      <c r="N1831" s="2"/>
      <c r="O1831" s="2"/>
      <c r="P1831" s="2"/>
      <c r="Q1831" s="2"/>
      <c r="R1831" s="80"/>
      <c r="S1831" s="80"/>
      <c r="T1831" s="80"/>
      <c r="U1831" s="80"/>
      <c r="V1831" s="80"/>
      <c r="W1831" s="80"/>
      <c r="X1831" s="80"/>
      <c r="Y1831" s="80"/>
      <c r="Z1831" s="80"/>
      <c r="AA1831" s="80"/>
      <c r="AB1831" s="80"/>
      <c r="AC1831" s="80"/>
      <c r="AD1831" s="80"/>
      <c r="AE1831" s="80"/>
      <c r="AF1831" s="80"/>
      <c r="AG1831" s="80"/>
      <c r="AH1831" s="80"/>
      <c r="AI1831" s="80"/>
    </row>
    <row r="1832" spans="1:35" x14ac:dyDescent="0.2">
      <c r="A1832" s="80"/>
      <c r="B1832" s="80"/>
      <c r="C1832" s="80"/>
      <c r="D1832" s="80"/>
      <c r="E1832" s="80"/>
      <c r="F1832" s="80"/>
      <c r="G1832" s="80"/>
      <c r="H1832" s="80"/>
      <c r="I1832" s="80"/>
      <c r="J1832" s="80"/>
      <c r="K1832" s="80"/>
      <c r="L1832" s="2"/>
      <c r="M1832" s="2"/>
      <c r="N1832" s="2"/>
      <c r="O1832" s="2"/>
      <c r="P1832" s="2"/>
      <c r="Q1832" s="2"/>
      <c r="R1832" s="80"/>
      <c r="S1832" s="80"/>
      <c r="T1832" s="80"/>
      <c r="U1832" s="80"/>
      <c r="V1832" s="80"/>
      <c r="W1832" s="80"/>
      <c r="X1832" s="80"/>
      <c r="Y1832" s="80"/>
      <c r="Z1832" s="80"/>
      <c r="AA1832" s="80"/>
      <c r="AB1832" s="80"/>
      <c r="AC1832" s="80"/>
      <c r="AD1832" s="80"/>
      <c r="AE1832" s="80"/>
      <c r="AF1832" s="80"/>
      <c r="AG1832" s="80"/>
      <c r="AH1832" s="80"/>
      <c r="AI1832" s="80"/>
    </row>
    <row r="1833" spans="1:35" x14ac:dyDescent="0.2">
      <c r="A1833" s="80"/>
      <c r="B1833" s="80"/>
      <c r="C1833" s="80"/>
      <c r="D1833" s="80"/>
      <c r="E1833" s="80"/>
      <c r="F1833" s="80"/>
      <c r="G1833" s="80"/>
      <c r="H1833" s="80"/>
      <c r="I1833" s="80"/>
      <c r="J1833" s="80"/>
      <c r="K1833" s="80"/>
      <c r="L1833" s="2"/>
      <c r="M1833" s="2"/>
      <c r="N1833" s="2"/>
      <c r="O1833" s="2"/>
      <c r="P1833" s="2"/>
      <c r="Q1833" s="2"/>
      <c r="R1833" s="80"/>
      <c r="S1833" s="80"/>
      <c r="T1833" s="80"/>
      <c r="U1833" s="80"/>
      <c r="V1833" s="80"/>
      <c r="W1833" s="80"/>
      <c r="X1833" s="80"/>
      <c r="Y1833" s="80"/>
      <c r="Z1833" s="80"/>
      <c r="AA1833" s="80"/>
      <c r="AB1833" s="80"/>
      <c r="AC1833" s="80"/>
      <c r="AD1833" s="80"/>
      <c r="AE1833" s="80"/>
      <c r="AF1833" s="80"/>
      <c r="AG1833" s="80"/>
      <c r="AH1833" s="80"/>
      <c r="AI1833" s="80"/>
    </row>
    <row r="1834" spans="1:35" x14ac:dyDescent="0.2">
      <c r="A1834" s="80"/>
      <c r="B1834" s="80"/>
      <c r="C1834" s="80"/>
      <c r="D1834" s="80"/>
      <c r="E1834" s="80"/>
      <c r="F1834" s="80"/>
      <c r="G1834" s="80"/>
      <c r="H1834" s="80"/>
      <c r="I1834" s="80"/>
      <c r="J1834" s="80"/>
      <c r="K1834" s="80"/>
      <c r="L1834" s="2"/>
      <c r="M1834" s="2"/>
      <c r="N1834" s="2"/>
      <c r="O1834" s="2"/>
      <c r="P1834" s="2"/>
      <c r="Q1834" s="2"/>
      <c r="R1834" s="80"/>
      <c r="S1834" s="80"/>
      <c r="T1834" s="80"/>
      <c r="U1834" s="80"/>
      <c r="V1834" s="80"/>
      <c r="W1834" s="80"/>
      <c r="X1834" s="80"/>
      <c r="Y1834" s="80"/>
      <c r="Z1834" s="80"/>
      <c r="AA1834" s="80"/>
      <c r="AB1834" s="80"/>
      <c r="AC1834" s="80"/>
      <c r="AD1834" s="80"/>
      <c r="AE1834" s="80"/>
      <c r="AF1834" s="80"/>
      <c r="AG1834" s="80"/>
      <c r="AH1834" s="80"/>
      <c r="AI1834" s="80"/>
    </row>
    <row r="1835" spans="1:35" x14ac:dyDescent="0.2">
      <c r="A1835" s="80"/>
      <c r="B1835" s="80"/>
      <c r="C1835" s="80"/>
      <c r="D1835" s="80"/>
      <c r="E1835" s="80"/>
      <c r="F1835" s="80"/>
      <c r="G1835" s="80"/>
      <c r="H1835" s="80"/>
      <c r="I1835" s="80"/>
      <c r="J1835" s="80"/>
      <c r="K1835" s="80"/>
      <c r="L1835" s="2"/>
      <c r="M1835" s="2"/>
      <c r="N1835" s="2"/>
      <c r="O1835" s="2"/>
      <c r="P1835" s="2"/>
      <c r="Q1835" s="2"/>
      <c r="R1835" s="80"/>
      <c r="S1835" s="80"/>
      <c r="T1835" s="80"/>
      <c r="U1835" s="80"/>
      <c r="V1835" s="80"/>
      <c r="W1835" s="80"/>
      <c r="X1835" s="80"/>
      <c r="Y1835" s="80"/>
      <c r="Z1835" s="80"/>
      <c r="AA1835" s="80"/>
      <c r="AB1835" s="80"/>
      <c r="AC1835" s="80"/>
      <c r="AD1835" s="80"/>
      <c r="AE1835" s="80"/>
      <c r="AF1835" s="80"/>
      <c r="AG1835" s="80"/>
      <c r="AH1835" s="80"/>
      <c r="AI1835" s="80"/>
    </row>
    <row r="1836" spans="1:35" x14ac:dyDescent="0.2">
      <c r="A1836" s="80"/>
      <c r="B1836" s="80"/>
      <c r="C1836" s="80"/>
      <c r="D1836" s="80"/>
      <c r="E1836" s="80"/>
      <c r="F1836" s="80"/>
      <c r="G1836" s="80"/>
      <c r="H1836" s="80"/>
      <c r="I1836" s="80"/>
      <c r="J1836" s="80"/>
      <c r="K1836" s="80"/>
      <c r="L1836" s="2"/>
      <c r="M1836" s="2"/>
      <c r="N1836" s="2"/>
      <c r="O1836" s="2"/>
      <c r="P1836" s="2"/>
      <c r="Q1836" s="2"/>
      <c r="R1836" s="80"/>
      <c r="S1836" s="80"/>
      <c r="T1836" s="80"/>
      <c r="U1836" s="80"/>
      <c r="V1836" s="80"/>
      <c r="W1836" s="80"/>
      <c r="X1836" s="80"/>
      <c r="Y1836" s="80"/>
      <c r="Z1836" s="80"/>
      <c r="AA1836" s="80"/>
      <c r="AB1836" s="80"/>
      <c r="AC1836" s="80"/>
      <c r="AD1836" s="80"/>
      <c r="AE1836" s="80"/>
      <c r="AF1836" s="80"/>
      <c r="AG1836" s="80"/>
      <c r="AH1836" s="80"/>
      <c r="AI1836" s="80"/>
    </row>
    <row r="1837" spans="1:35" x14ac:dyDescent="0.2">
      <c r="A1837" s="80"/>
      <c r="B1837" s="80"/>
      <c r="C1837" s="80"/>
      <c r="D1837" s="80"/>
      <c r="E1837" s="80"/>
      <c r="F1837" s="80"/>
      <c r="G1837" s="80"/>
      <c r="H1837" s="80"/>
      <c r="I1837" s="80"/>
      <c r="J1837" s="80"/>
      <c r="K1837" s="80"/>
      <c r="L1837" s="2"/>
      <c r="M1837" s="2"/>
      <c r="N1837" s="2"/>
      <c r="O1837" s="2"/>
      <c r="P1837" s="2"/>
      <c r="Q1837" s="2"/>
      <c r="R1837" s="80"/>
      <c r="S1837" s="80"/>
      <c r="T1837" s="80"/>
      <c r="U1837" s="80"/>
      <c r="V1837" s="80"/>
      <c r="W1837" s="80"/>
      <c r="X1837" s="80"/>
      <c r="Y1837" s="80"/>
      <c r="Z1837" s="80"/>
      <c r="AA1837" s="80"/>
      <c r="AB1837" s="80"/>
      <c r="AC1837" s="80"/>
      <c r="AD1837" s="80"/>
      <c r="AE1837" s="80"/>
      <c r="AF1837" s="80"/>
      <c r="AG1837" s="80"/>
      <c r="AH1837" s="80"/>
      <c r="AI1837" s="80"/>
    </row>
    <row r="1838" spans="1:35" x14ac:dyDescent="0.2">
      <c r="A1838" s="80"/>
      <c r="B1838" s="80"/>
      <c r="C1838" s="80"/>
      <c r="D1838" s="80"/>
      <c r="E1838" s="80"/>
      <c r="F1838" s="80"/>
      <c r="G1838" s="80"/>
      <c r="H1838" s="80"/>
      <c r="I1838" s="80"/>
      <c r="J1838" s="80"/>
      <c r="K1838" s="80"/>
      <c r="L1838" s="2"/>
      <c r="M1838" s="2"/>
      <c r="N1838" s="2"/>
      <c r="O1838" s="2"/>
      <c r="P1838" s="2"/>
      <c r="Q1838" s="2"/>
      <c r="R1838" s="80"/>
      <c r="S1838" s="80"/>
      <c r="T1838" s="80"/>
      <c r="U1838" s="80"/>
      <c r="V1838" s="80"/>
      <c r="W1838" s="80"/>
      <c r="X1838" s="80"/>
      <c r="Y1838" s="80"/>
      <c r="Z1838" s="80"/>
      <c r="AA1838" s="80"/>
      <c r="AB1838" s="80"/>
      <c r="AC1838" s="80"/>
      <c r="AD1838" s="80"/>
      <c r="AE1838" s="80"/>
      <c r="AF1838" s="80"/>
      <c r="AG1838" s="80"/>
      <c r="AH1838" s="80"/>
      <c r="AI1838" s="80"/>
    </row>
    <row r="1839" spans="1:35" x14ac:dyDescent="0.2">
      <c r="A1839" s="80"/>
      <c r="B1839" s="80"/>
      <c r="C1839" s="80"/>
      <c r="D1839" s="80"/>
      <c r="E1839" s="80"/>
      <c r="F1839" s="80"/>
      <c r="G1839" s="80"/>
      <c r="H1839" s="80"/>
      <c r="I1839" s="80"/>
      <c r="J1839" s="80"/>
      <c r="K1839" s="80"/>
      <c r="L1839" s="2"/>
      <c r="M1839" s="2"/>
      <c r="N1839" s="2"/>
      <c r="O1839" s="2"/>
      <c r="P1839" s="2"/>
      <c r="Q1839" s="2"/>
      <c r="R1839" s="80"/>
      <c r="S1839" s="80"/>
      <c r="T1839" s="80"/>
      <c r="U1839" s="80"/>
      <c r="V1839" s="80"/>
      <c r="W1839" s="80"/>
      <c r="X1839" s="80"/>
      <c r="Y1839" s="80"/>
      <c r="Z1839" s="80"/>
      <c r="AA1839" s="80"/>
      <c r="AB1839" s="80"/>
      <c r="AC1839" s="80"/>
      <c r="AD1839" s="80"/>
      <c r="AE1839" s="80"/>
      <c r="AF1839" s="80"/>
      <c r="AG1839" s="80"/>
      <c r="AH1839" s="80"/>
      <c r="AI1839" s="80"/>
    </row>
    <row r="1840" spans="1:35" x14ac:dyDescent="0.2">
      <c r="A1840" s="80"/>
      <c r="B1840" s="80"/>
      <c r="C1840" s="80"/>
      <c r="D1840" s="80"/>
      <c r="E1840" s="80"/>
      <c r="F1840" s="80"/>
      <c r="G1840" s="80"/>
      <c r="H1840" s="80"/>
      <c r="I1840" s="80"/>
      <c r="J1840" s="80"/>
      <c r="K1840" s="80"/>
      <c r="L1840" s="2"/>
      <c r="M1840" s="2"/>
      <c r="N1840" s="2"/>
      <c r="O1840" s="2"/>
      <c r="P1840" s="2"/>
      <c r="Q1840" s="2"/>
      <c r="R1840" s="80"/>
      <c r="S1840" s="80"/>
      <c r="T1840" s="80"/>
      <c r="U1840" s="80"/>
      <c r="V1840" s="80"/>
      <c r="W1840" s="80"/>
      <c r="X1840" s="80"/>
      <c r="Y1840" s="80"/>
      <c r="Z1840" s="80"/>
      <c r="AA1840" s="80"/>
      <c r="AB1840" s="80"/>
      <c r="AC1840" s="80"/>
      <c r="AD1840" s="80"/>
      <c r="AE1840" s="80"/>
      <c r="AF1840" s="80"/>
      <c r="AG1840" s="80"/>
      <c r="AH1840" s="80"/>
      <c r="AI1840" s="80"/>
    </row>
    <row r="1841" spans="1:35" x14ac:dyDescent="0.2">
      <c r="A1841" s="80"/>
      <c r="B1841" s="80"/>
      <c r="C1841" s="80"/>
      <c r="D1841" s="80"/>
      <c r="E1841" s="80"/>
      <c r="F1841" s="80"/>
      <c r="G1841" s="80"/>
      <c r="H1841" s="80"/>
      <c r="I1841" s="80"/>
      <c r="J1841" s="80"/>
      <c r="K1841" s="80"/>
      <c r="L1841" s="2"/>
      <c r="M1841" s="2"/>
      <c r="N1841" s="2"/>
      <c r="O1841" s="2"/>
      <c r="P1841" s="2"/>
      <c r="Q1841" s="2"/>
      <c r="R1841" s="80"/>
      <c r="S1841" s="80"/>
      <c r="T1841" s="80"/>
      <c r="U1841" s="80"/>
      <c r="V1841" s="80"/>
      <c r="W1841" s="80"/>
      <c r="X1841" s="80"/>
      <c r="Y1841" s="80"/>
      <c r="Z1841" s="80"/>
      <c r="AA1841" s="80"/>
      <c r="AB1841" s="80"/>
      <c r="AC1841" s="80"/>
      <c r="AD1841" s="80"/>
      <c r="AE1841" s="80"/>
      <c r="AF1841" s="80"/>
      <c r="AG1841" s="80"/>
      <c r="AH1841" s="80"/>
      <c r="AI1841" s="80"/>
    </row>
    <row r="1842" spans="1:35" x14ac:dyDescent="0.2">
      <c r="A1842" s="80"/>
      <c r="B1842" s="80"/>
      <c r="C1842" s="80"/>
      <c r="D1842" s="80"/>
      <c r="E1842" s="80"/>
      <c r="F1842" s="80"/>
      <c r="G1842" s="80"/>
      <c r="H1842" s="80"/>
      <c r="I1842" s="80"/>
      <c r="J1842" s="80"/>
      <c r="K1842" s="80"/>
      <c r="L1842" s="2"/>
      <c r="M1842" s="2"/>
      <c r="N1842" s="2"/>
      <c r="O1842" s="2"/>
      <c r="P1842" s="2"/>
      <c r="Q1842" s="2"/>
      <c r="R1842" s="80"/>
      <c r="S1842" s="80"/>
      <c r="T1842" s="80"/>
      <c r="U1842" s="80"/>
      <c r="V1842" s="80"/>
      <c r="W1842" s="80"/>
      <c r="X1842" s="80"/>
      <c r="Y1842" s="80"/>
      <c r="Z1842" s="80"/>
      <c r="AA1842" s="80"/>
      <c r="AB1842" s="80"/>
      <c r="AC1842" s="80"/>
      <c r="AD1842" s="80"/>
      <c r="AE1842" s="80"/>
      <c r="AF1842" s="80"/>
      <c r="AG1842" s="80"/>
      <c r="AH1842" s="80"/>
      <c r="AI1842" s="80"/>
    </row>
    <row r="1843" spans="1:35" x14ac:dyDescent="0.2">
      <c r="A1843" s="80"/>
      <c r="B1843" s="80"/>
      <c r="C1843" s="80"/>
      <c r="D1843" s="80"/>
      <c r="E1843" s="80"/>
      <c r="F1843" s="80"/>
      <c r="G1843" s="80"/>
      <c r="H1843" s="80"/>
      <c r="I1843" s="80"/>
      <c r="J1843" s="80"/>
      <c r="K1843" s="80"/>
      <c r="L1843" s="2"/>
      <c r="M1843" s="2"/>
      <c r="N1843" s="2"/>
      <c r="O1843" s="2"/>
      <c r="P1843" s="2"/>
      <c r="Q1843" s="2"/>
      <c r="R1843" s="80"/>
      <c r="S1843" s="80"/>
      <c r="T1843" s="80"/>
      <c r="U1843" s="80"/>
      <c r="V1843" s="80"/>
      <c r="W1843" s="80"/>
      <c r="X1843" s="80"/>
      <c r="Y1843" s="80"/>
      <c r="Z1843" s="80"/>
      <c r="AA1843" s="80"/>
      <c r="AB1843" s="80"/>
      <c r="AC1843" s="80"/>
      <c r="AD1843" s="80"/>
      <c r="AE1843" s="80"/>
      <c r="AF1843" s="80"/>
      <c r="AG1843" s="80"/>
      <c r="AH1843" s="80"/>
      <c r="AI1843" s="80"/>
    </row>
    <row r="1844" spans="1:35" x14ac:dyDescent="0.2">
      <c r="A1844" s="80"/>
      <c r="B1844" s="80"/>
      <c r="C1844" s="80"/>
      <c r="D1844" s="80"/>
      <c r="E1844" s="80"/>
      <c r="F1844" s="80"/>
      <c r="G1844" s="80"/>
      <c r="H1844" s="80"/>
      <c r="I1844" s="80"/>
      <c r="J1844" s="80"/>
      <c r="K1844" s="80"/>
      <c r="L1844" s="2"/>
      <c r="M1844" s="2"/>
      <c r="N1844" s="2"/>
      <c r="O1844" s="2"/>
      <c r="P1844" s="2"/>
      <c r="Q1844" s="2"/>
      <c r="R1844" s="80"/>
      <c r="S1844" s="80"/>
      <c r="T1844" s="80"/>
      <c r="U1844" s="80"/>
      <c r="V1844" s="80"/>
      <c r="W1844" s="80"/>
      <c r="X1844" s="80"/>
      <c r="Y1844" s="80"/>
      <c r="Z1844" s="80"/>
      <c r="AA1844" s="80"/>
      <c r="AB1844" s="80"/>
      <c r="AC1844" s="80"/>
      <c r="AD1844" s="80"/>
      <c r="AE1844" s="80"/>
      <c r="AF1844" s="80"/>
      <c r="AG1844" s="80"/>
      <c r="AH1844" s="80"/>
      <c r="AI1844" s="80"/>
    </row>
    <row r="1845" spans="1:35" x14ac:dyDescent="0.2">
      <c r="A1845" s="80"/>
      <c r="B1845" s="80"/>
      <c r="C1845" s="80"/>
      <c r="D1845" s="80"/>
      <c r="E1845" s="80"/>
      <c r="F1845" s="80"/>
      <c r="G1845" s="80"/>
      <c r="H1845" s="80"/>
      <c r="I1845" s="80"/>
      <c r="J1845" s="80"/>
      <c r="K1845" s="80"/>
      <c r="L1845" s="2"/>
      <c r="M1845" s="2"/>
      <c r="N1845" s="2"/>
      <c r="O1845" s="2"/>
      <c r="P1845" s="2"/>
      <c r="Q1845" s="2"/>
      <c r="R1845" s="80"/>
      <c r="S1845" s="80"/>
      <c r="T1845" s="80"/>
      <c r="U1845" s="80"/>
      <c r="V1845" s="80"/>
      <c r="W1845" s="80"/>
      <c r="X1845" s="80"/>
      <c r="Y1845" s="80"/>
      <c r="Z1845" s="80"/>
      <c r="AA1845" s="80"/>
      <c r="AB1845" s="80"/>
      <c r="AC1845" s="80"/>
      <c r="AD1845" s="80"/>
      <c r="AE1845" s="80"/>
      <c r="AF1845" s="80"/>
      <c r="AG1845" s="80"/>
      <c r="AH1845" s="80"/>
      <c r="AI1845" s="80"/>
    </row>
    <row r="1846" spans="1:35" x14ac:dyDescent="0.2">
      <c r="A1846" s="80"/>
      <c r="B1846" s="80"/>
      <c r="C1846" s="80"/>
      <c r="D1846" s="80"/>
      <c r="E1846" s="80"/>
      <c r="F1846" s="80"/>
      <c r="G1846" s="80"/>
      <c r="H1846" s="80"/>
      <c r="I1846" s="80"/>
      <c r="J1846" s="80"/>
      <c r="K1846" s="80"/>
      <c r="L1846" s="2"/>
      <c r="M1846" s="2"/>
      <c r="N1846" s="2"/>
      <c r="O1846" s="2"/>
      <c r="P1846" s="2"/>
      <c r="Q1846" s="2"/>
      <c r="R1846" s="80"/>
      <c r="S1846" s="80"/>
      <c r="T1846" s="80"/>
      <c r="U1846" s="80"/>
      <c r="V1846" s="80"/>
      <c r="W1846" s="80"/>
      <c r="X1846" s="80"/>
      <c r="Y1846" s="80"/>
      <c r="Z1846" s="80"/>
      <c r="AA1846" s="80"/>
      <c r="AB1846" s="80"/>
      <c r="AC1846" s="80"/>
      <c r="AD1846" s="80"/>
      <c r="AE1846" s="80"/>
      <c r="AF1846" s="80"/>
      <c r="AG1846" s="80"/>
      <c r="AH1846" s="80"/>
      <c r="AI1846" s="80"/>
    </row>
    <row r="1847" spans="1:35" x14ac:dyDescent="0.2">
      <c r="A1847" s="80"/>
      <c r="B1847" s="80"/>
      <c r="C1847" s="80"/>
      <c r="D1847" s="80"/>
      <c r="E1847" s="80"/>
      <c r="F1847" s="80"/>
      <c r="G1847" s="80"/>
      <c r="H1847" s="80"/>
      <c r="I1847" s="80"/>
      <c r="J1847" s="80"/>
      <c r="K1847" s="80"/>
      <c r="L1847" s="2"/>
      <c r="M1847" s="2"/>
      <c r="N1847" s="2"/>
      <c r="O1847" s="2"/>
      <c r="P1847" s="2"/>
      <c r="Q1847" s="2"/>
      <c r="R1847" s="80"/>
      <c r="S1847" s="80"/>
      <c r="T1847" s="80"/>
      <c r="U1847" s="80"/>
      <c r="V1847" s="80"/>
      <c r="W1847" s="80"/>
      <c r="X1847" s="80"/>
      <c r="Y1847" s="80"/>
      <c r="Z1847" s="80"/>
      <c r="AA1847" s="80"/>
      <c r="AB1847" s="80"/>
      <c r="AC1847" s="80"/>
      <c r="AD1847" s="80"/>
      <c r="AE1847" s="80"/>
      <c r="AF1847" s="80"/>
      <c r="AG1847" s="80"/>
      <c r="AH1847" s="80"/>
      <c r="AI1847" s="80"/>
    </row>
    <row r="1848" spans="1:35" x14ac:dyDescent="0.2">
      <c r="A1848" s="80"/>
      <c r="B1848" s="80"/>
      <c r="C1848" s="80"/>
      <c r="D1848" s="80"/>
      <c r="E1848" s="80"/>
      <c r="F1848" s="80"/>
      <c r="G1848" s="80"/>
      <c r="H1848" s="80"/>
      <c r="I1848" s="80"/>
      <c r="J1848" s="80"/>
      <c r="K1848" s="80"/>
      <c r="L1848" s="2"/>
      <c r="M1848" s="2"/>
      <c r="N1848" s="2"/>
      <c r="O1848" s="2"/>
      <c r="P1848" s="2"/>
      <c r="Q1848" s="2"/>
      <c r="R1848" s="80"/>
      <c r="S1848" s="80"/>
      <c r="T1848" s="80"/>
      <c r="U1848" s="80"/>
      <c r="V1848" s="80"/>
      <c r="W1848" s="80"/>
      <c r="X1848" s="80"/>
      <c r="Y1848" s="80"/>
      <c r="Z1848" s="80"/>
      <c r="AA1848" s="80"/>
      <c r="AB1848" s="80"/>
      <c r="AC1848" s="80"/>
      <c r="AD1848" s="80"/>
      <c r="AE1848" s="80"/>
      <c r="AF1848" s="80"/>
      <c r="AG1848" s="80"/>
      <c r="AH1848" s="80"/>
      <c r="AI1848" s="80"/>
    </row>
    <row r="1849" spans="1:35" x14ac:dyDescent="0.2">
      <c r="A1849" s="80"/>
      <c r="B1849" s="80"/>
      <c r="C1849" s="80"/>
      <c r="D1849" s="80"/>
      <c r="E1849" s="80"/>
      <c r="F1849" s="80"/>
      <c r="G1849" s="80"/>
      <c r="H1849" s="80"/>
      <c r="I1849" s="80"/>
      <c r="J1849" s="80"/>
      <c r="K1849" s="80"/>
      <c r="L1849" s="2"/>
      <c r="M1849" s="2"/>
      <c r="N1849" s="2"/>
      <c r="O1849" s="2"/>
      <c r="P1849" s="2"/>
      <c r="Q1849" s="2"/>
      <c r="R1849" s="80"/>
      <c r="S1849" s="80"/>
      <c r="T1849" s="80"/>
      <c r="U1849" s="80"/>
      <c r="V1849" s="80"/>
      <c r="W1849" s="80"/>
      <c r="X1849" s="80"/>
      <c r="Y1849" s="80"/>
      <c r="Z1849" s="80"/>
      <c r="AA1849" s="80"/>
      <c r="AB1849" s="80"/>
      <c r="AC1849" s="80"/>
      <c r="AD1849" s="80"/>
      <c r="AE1849" s="80"/>
      <c r="AF1849" s="80"/>
      <c r="AG1849" s="80"/>
      <c r="AH1849" s="80"/>
      <c r="AI1849" s="80"/>
    </row>
    <row r="1850" spans="1:35" x14ac:dyDescent="0.2">
      <c r="A1850" s="80"/>
      <c r="B1850" s="80"/>
      <c r="C1850" s="80"/>
      <c r="D1850" s="80"/>
      <c r="E1850" s="80"/>
      <c r="F1850" s="80"/>
      <c r="G1850" s="80"/>
      <c r="H1850" s="80"/>
      <c r="I1850" s="80"/>
      <c r="J1850" s="80"/>
      <c r="K1850" s="80"/>
      <c r="L1850" s="2"/>
      <c r="M1850" s="2"/>
      <c r="N1850" s="2"/>
      <c r="O1850" s="2"/>
      <c r="P1850" s="2"/>
      <c r="Q1850" s="2"/>
      <c r="R1850" s="80"/>
      <c r="S1850" s="80"/>
      <c r="T1850" s="80"/>
      <c r="U1850" s="80"/>
      <c r="V1850" s="80"/>
      <c r="W1850" s="80"/>
      <c r="X1850" s="80"/>
      <c r="Y1850" s="80"/>
      <c r="Z1850" s="80"/>
      <c r="AA1850" s="80"/>
      <c r="AB1850" s="80"/>
      <c r="AC1850" s="80"/>
      <c r="AD1850" s="80"/>
      <c r="AE1850" s="80"/>
      <c r="AF1850" s="80"/>
      <c r="AG1850" s="80"/>
      <c r="AH1850" s="80"/>
      <c r="AI1850" s="80"/>
    </row>
    <row r="1851" spans="1:35" x14ac:dyDescent="0.2">
      <c r="A1851" s="80"/>
      <c r="B1851" s="80"/>
      <c r="C1851" s="80"/>
      <c r="D1851" s="80"/>
      <c r="E1851" s="80"/>
      <c r="F1851" s="80"/>
      <c r="G1851" s="80"/>
      <c r="H1851" s="80"/>
      <c r="I1851" s="80"/>
      <c r="J1851" s="80"/>
      <c r="K1851" s="80"/>
      <c r="L1851" s="2"/>
      <c r="M1851" s="2"/>
      <c r="N1851" s="2"/>
      <c r="O1851" s="2"/>
      <c r="P1851" s="2"/>
      <c r="Q1851" s="2"/>
      <c r="R1851" s="80"/>
      <c r="S1851" s="80"/>
      <c r="T1851" s="80"/>
      <c r="U1851" s="80"/>
      <c r="V1851" s="80"/>
      <c r="W1851" s="80"/>
      <c r="X1851" s="80"/>
      <c r="Y1851" s="80"/>
      <c r="Z1851" s="80"/>
      <c r="AA1851" s="80"/>
      <c r="AB1851" s="80"/>
      <c r="AC1851" s="80"/>
      <c r="AD1851" s="80"/>
      <c r="AE1851" s="80"/>
      <c r="AF1851" s="80"/>
      <c r="AG1851" s="80"/>
      <c r="AH1851" s="80"/>
      <c r="AI1851" s="80"/>
    </row>
    <row r="1852" spans="1:35" x14ac:dyDescent="0.2">
      <c r="A1852" s="80"/>
      <c r="B1852" s="80"/>
      <c r="C1852" s="80"/>
      <c r="D1852" s="80"/>
      <c r="E1852" s="80"/>
      <c r="F1852" s="80"/>
      <c r="G1852" s="80"/>
      <c r="H1852" s="80"/>
      <c r="I1852" s="80"/>
      <c r="J1852" s="80"/>
      <c r="K1852" s="80"/>
      <c r="L1852" s="2"/>
      <c r="M1852" s="2"/>
      <c r="N1852" s="2"/>
      <c r="O1852" s="2"/>
      <c r="P1852" s="2"/>
      <c r="Q1852" s="2"/>
      <c r="R1852" s="80"/>
      <c r="S1852" s="80"/>
      <c r="T1852" s="80"/>
      <c r="U1852" s="80"/>
      <c r="V1852" s="80"/>
      <c r="W1852" s="80"/>
      <c r="X1852" s="80"/>
      <c r="Y1852" s="80"/>
      <c r="Z1852" s="80"/>
      <c r="AA1852" s="80"/>
      <c r="AB1852" s="80"/>
      <c r="AC1852" s="80"/>
      <c r="AD1852" s="80"/>
      <c r="AE1852" s="80"/>
      <c r="AF1852" s="80"/>
      <c r="AG1852" s="80"/>
      <c r="AH1852" s="80"/>
      <c r="AI1852" s="80"/>
    </row>
    <row r="1853" spans="1:35" x14ac:dyDescent="0.2">
      <c r="A1853" s="80"/>
      <c r="B1853" s="80"/>
      <c r="C1853" s="80"/>
      <c r="D1853" s="80"/>
      <c r="E1853" s="80"/>
      <c r="F1853" s="80"/>
      <c r="G1853" s="80"/>
      <c r="H1853" s="80"/>
      <c r="I1853" s="80"/>
      <c r="J1853" s="80"/>
      <c r="K1853" s="80"/>
      <c r="L1853" s="2"/>
      <c r="M1853" s="2"/>
      <c r="N1853" s="2"/>
      <c r="O1853" s="2"/>
      <c r="P1853" s="2"/>
      <c r="Q1853" s="2"/>
      <c r="R1853" s="80"/>
      <c r="S1853" s="80"/>
      <c r="T1853" s="80"/>
      <c r="U1853" s="80"/>
      <c r="V1853" s="80"/>
      <c r="W1853" s="80"/>
      <c r="X1853" s="80"/>
      <c r="Y1853" s="80"/>
      <c r="Z1853" s="80"/>
      <c r="AA1853" s="80"/>
      <c r="AB1853" s="80"/>
      <c r="AC1853" s="80"/>
      <c r="AD1853" s="80"/>
      <c r="AE1853" s="80"/>
      <c r="AF1853" s="80"/>
      <c r="AG1853" s="80"/>
      <c r="AH1853" s="80"/>
      <c r="AI1853" s="80"/>
    </row>
    <row r="1854" spans="1:35" x14ac:dyDescent="0.2">
      <c r="A1854" s="80"/>
      <c r="B1854" s="80"/>
      <c r="C1854" s="80"/>
      <c r="D1854" s="80"/>
      <c r="E1854" s="80"/>
      <c r="F1854" s="80"/>
      <c r="G1854" s="80"/>
      <c r="H1854" s="80"/>
      <c r="I1854" s="80"/>
      <c r="J1854" s="80"/>
      <c r="K1854" s="80"/>
      <c r="L1854" s="2"/>
      <c r="M1854" s="2"/>
      <c r="N1854" s="2"/>
      <c r="O1854" s="2"/>
      <c r="P1854" s="2"/>
      <c r="Q1854" s="2"/>
      <c r="R1854" s="80"/>
      <c r="S1854" s="80"/>
      <c r="T1854" s="80"/>
      <c r="U1854" s="80"/>
      <c r="V1854" s="80"/>
      <c r="W1854" s="80"/>
      <c r="X1854" s="80"/>
      <c r="Y1854" s="80"/>
      <c r="Z1854" s="80"/>
      <c r="AA1854" s="80"/>
      <c r="AB1854" s="80"/>
      <c r="AC1854" s="80"/>
      <c r="AD1854" s="80"/>
      <c r="AE1854" s="80"/>
      <c r="AF1854" s="80"/>
      <c r="AG1854" s="80"/>
      <c r="AH1854" s="80"/>
      <c r="AI1854" s="80"/>
    </row>
    <row r="1855" spans="1:35" x14ac:dyDescent="0.2">
      <c r="A1855" s="80"/>
      <c r="B1855" s="80"/>
      <c r="C1855" s="80"/>
      <c r="D1855" s="80"/>
      <c r="E1855" s="80"/>
      <c r="F1855" s="80"/>
      <c r="G1855" s="80"/>
      <c r="H1855" s="80"/>
      <c r="I1855" s="80"/>
      <c r="J1855" s="80"/>
      <c r="K1855" s="80"/>
      <c r="L1855" s="2"/>
      <c r="M1855" s="2"/>
      <c r="N1855" s="2"/>
      <c r="O1855" s="2"/>
      <c r="P1855" s="2"/>
      <c r="Q1855" s="2"/>
      <c r="R1855" s="80"/>
      <c r="S1855" s="80"/>
      <c r="T1855" s="80"/>
      <c r="U1855" s="80"/>
      <c r="V1855" s="80"/>
      <c r="W1855" s="80"/>
      <c r="X1855" s="80"/>
      <c r="Y1855" s="80"/>
      <c r="Z1855" s="80"/>
      <c r="AA1855" s="80"/>
      <c r="AB1855" s="80"/>
      <c r="AC1855" s="80"/>
      <c r="AD1855" s="80"/>
      <c r="AE1855" s="80"/>
      <c r="AF1855" s="80"/>
      <c r="AG1855" s="80"/>
      <c r="AH1855" s="80"/>
      <c r="AI1855" s="80"/>
    </row>
    <row r="1856" spans="1:35" x14ac:dyDescent="0.2">
      <c r="A1856" s="80"/>
      <c r="B1856" s="80"/>
      <c r="C1856" s="80"/>
      <c r="D1856" s="80"/>
      <c r="E1856" s="80"/>
      <c r="F1856" s="80"/>
      <c r="G1856" s="80"/>
      <c r="H1856" s="80"/>
      <c r="I1856" s="80"/>
      <c r="J1856" s="80"/>
      <c r="K1856" s="80"/>
      <c r="L1856" s="2"/>
      <c r="M1856" s="2"/>
      <c r="N1856" s="2"/>
      <c r="O1856" s="2"/>
      <c r="P1856" s="2"/>
      <c r="Q1856" s="2"/>
      <c r="R1856" s="80"/>
      <c r="S1856" s="80"/>
      <c r="T1856" s="80"/>
      <c r="U1856" s="80"/>
      <c r="V1856" s="80"/>
      <c r="W1856" s="80"/>
      <c r="X1856" s="80"/>
      <c r="Y1856" s="80"/>
      <c r="Z1856" s="80"/>
      <c r="AA1856" s="80"/>
      <c r="AB1856" s="80"/>
      <c r="AC1856" s="80"/>
      <c r="AD1856" s="80"/>
      <c r="AE1856" s="80"/>
      <c r="AF1856" s="80"/>
      <c r="AG1856" s="80"/>
      <c r="AH1856" s="80"/>
      <c r="AI1856" s="80"/>
    </row>
    <row r="1857" spans="1:35" x14ac:dyDescent="0.2">
      <c r="A1857" s="80"/>
      <c r="B1857" s="80"/>
      <c r="C1857" s="80"/>
      <c r="D1857" s="80"/>
      <c r="E1857" s="80"/>
      <c r="F1857" s="80"/>
      <c r="G1857" s="80"/>
      <c r="H1857" s="80"/>
      <c r="I1857" s="80"/>
      <c r="J1857" s="80"/>
      <c r="K1857" s="80"/>
      <c r="L1857" s="2"/>
      <c r="M1857" s="2"/>
      <c r="N1857" s="2"/>
      <c r="O1857" s="2"/>
      <c r="P1857" s="2"/>
      <c r="Q1857" s="2"/>
      <c r="R1857" s="80"/>
      <c r="S1857" s="80"/>
      <c r="T1857" s="80"/>
      <c r="U1857" s="80"/>
      <c r="V1857" s="80"/>
      <c r="W1857" s="80"/>
      <c r="X1857" s="80"/>
      <c r="Y1857" s="80"/>
      <c r="Z1857" s="80"/>
      <c r="AA1857" s="80"/>
      <c r="AB1857" s="80"/>
      <c r="AC1857" s="80"/>
      <c r="AD1857" s="80"/>
      <c r="AE1857" s="80"/>
      <c r="AF1857" s="80"/>
      <c r="AG1857" s="80"/>
      <c r="AH1857" s="80"/>
      <c r="AI1857" s="80"/>
    </row>
    <row r="1858" spans="1:35" x14ac:dyDescent="0.2">
      <c r="A1858" s="80"/>
      <c r="B1858" s="80"/>
      <c r="C1858" s="80"/>
      <c r="D1858" s="80"/>
      <c r="E1858" s="80"/>
      <c r="F1858" s="80"/>
      <c r="G1858" s="80"/>
      <c r="H1858" s="80"/>
      <c r="I1858" s="80"/>
      <c r="J1858" s="80"/>
      <c r="K1858" s="80"/>
      <c r="L1858" s="2"/>
      <c r="M1858" s="2"/>
      <c r="N1858" s="2"/>
      <c r="O1858" s="2"/>
      <c r="P1858" s="2"/>
      <c r="Q1858" s="2"/>
      <c r="R1858" s="80"/>
      <c r="S1858" s="80"/>
      <c r="T1858" s="80"/>
      <c r="U1858" s="80"/>
      <c r="V1858" s="80"/>
      <c r="W1858" s="80"/>
      <c r="X1858" s="80"/>
      <c r="Y1858" s="80"/>
      <c r="Z1858" s="80"/>
      <c r="AA1858" s="80"/>
      <c r="AB1858" s="80"/>
      <c r="AC1858" s="80"/>
      <c r="AD1858" s="80"/>
      <c r="AE1858" s="80"/>
      <c r="AF1858" s="80"/>
      <c r="AG1858" s="80"/>
      <c r="AH1858" s="80"/>
      <c r="AI1858" s="80"/>
    </row>
    <row r="1859" spans="1:35" x14ac:dyDescent="0.2">
      <c r="A1859" s="80"/>
      <c r="B1859" s="80"/>
      <c r="C1859" s="80"/>
      <c r="D1859" s="80"/>
      <c r="E1859" s="80"/>
      <c r="F1859" s="80"/>
      <c r="G1859" s="80"/>
      <c r="H1859" s="80"/>
      <c r="I1859" s="80"/>
      <c r="J1859" s="80"/>
      <c r="K1859" s="80"/>
      <c r="L1859" s="2"/>
      <c r="M1859" s="2"/>
      <c r="N1859" s="2"/>
      <c r="O1859" s="2"/>
      <c r="P1859" s="2"/>
      <c r="Q1859" s="2"/>
      <c r="R1859" s="80"/>
      <c r="S1859" s="80"/>
      <c r="T1859" s="80"/>
      <c r="U1859" s="80"/>
      <c r="V1859" s="80"/>
      <c r="W1859" s="80"/>
      <c r="X1859" s="80"/>
      <c r="Y1859" s="80"/>
      <c r="Z1859" s="80"/>
      <c r="AA1859" s="80"/>
      <c r="AB1859" s="80"/>
      <c r="AC1859" s="80"/>
      <c r="AD1859" s="80"/>
      <c r="AE1859" s="80"/>
      <c r="AF1859" s="80"/>
      <c r="AG1859" s="80"/>
      <c r="AH1859" s="80"/>
      <c r="AI1859" s="80"/>
    </row>
    <row r="1860" spans="1:35" x14ac:dyDescent="0.2">
      <c r="A1860" s="80"/>
      <c r="B1860" s="80"/>
      <c r="C1860" s="80"/>
      <c r="D1860" s="80"/>
      <c r="E1860" s="80"/>
      <c r="F1860" s="80"/>
      <c r="G1860" s="80"/>
      <c r="H1860" s="80"/>
      <c r="I1860" s="80"/>
      <c r="J1860" s="80"/>
      <c r="K1860" s="80"/>
      <c r="L1860" s="2"/>
      <c r="M1860" s="2"/>
      <c r="N1860" s="2"/>
      <c r="O1860" s="2"/>
      <c r="P1860" s="2"/>
      <c r="Q1860" s="2"/>
      <c r="R1860" s="80"/>
      <c r="S1860" s="80"/>
      <c r="T1860" s="80"/>
      <c r="U1860" s="80"/>
      <c r="V1860" s="80"/>
      <c r="W1860" s="80"/>
      <c r="X1860" s="80"/>
      <c r="Y1860" s="80"/>
      <c r="Z1860" s="80"/>
      <c r="AA1860" s="80"/>
      <c r="AB1860" s="80"/>
      <c r="AC1860" s="80"/>
      <c r="AD1860" s="80"/>
      <c r="AE1860" s="80"/>
      <c r="AF1860" s="80"/>
      <c r="AG1860" s="80"/>
      <c r="AH1860" s="80"/>
      <c r="AI1860" s="80"/>
    </row>
    <row r="1861" spans="1:35" x14ac:dyDescent="0.2">
      <c r="A1861" s="80"/>
      <c r="B1861" s="80"/>
      <c r="C1861" s="80"/>
      <c r="D1861" s="80"/>
      <c r="E1861" s="80"/>
      <c r="F1861" s="80"/>
      <c r="G1861" s="80"/>
      <c r="H1861" s="80"/>
      <c r="I1861" s="80"/>
      <c r="J1861" s="80"/>
      <c r="K1861" s="80"/>
      <c r="L1861" s="2"/>
      <c r="M1861" s="2"/>
      <c r="N1861" s="2"/>
      <c r="O1861" s="2"/>
      <c r="P1861" s="2"/>
      <c r="Q1861" s="2"/>
      <c r="R1861" s="80"/>
      <c r="S1861" s="80"/>
      <c r="T1861" s="80"/>
      <c r="U1861" s="80"/>
      <c r="V1861" s="80"/>
      <c r="W1861" s="80"/>
      <c r="X1861" s="80"/>
      <c r="Y1861" s="80"/>
      <c r="Z1861" s="80"/>
      <c r="AA1861" s="80"/>
      <c r="AB1861" s="80"/>
      <c r="AC1861" s="80"/>
      <c r="AD1861" s="80"/>
      <c r="AE1861" s="80"/>
      <c r="AF1861" s="80"/>
      <c r="AG1861" s="80"/>
      <c r="AH1861" s="80"/>
      <c r="AI1861" s="80"/>
    </row>
    <row r="1862" spans="1:35" x14ac:dyDescent="0.2">
      <c r="A1862" s="80"/>
      <c r="B1862" s="80"/>
      <c r="C1862" s="80"/>
      <c r="D1862" s="80"/>
      <c r="E1862" s="80"/>
      <c r="F1862" s="80"/>
      <c r="G1862" s="80"/>
      <c r="H1862" s="80"/>
      <c r="I1862" s="80"/>
      <c r="J1862" s="80"/>
      <c r="K1862" s="80"/>
      <c r="L1862" s="2"/>
      <c r="M1862" s="2"/>
      <c r="N1862" s="2"/>
      <c r="O1862" s="2"/>
      <c r="P1862" s="2"/>
      <c r="Q1862" s="2"/>
      <c r="R1862" s="80"/>
      <c r="S1862" s="80"/>
      <c r="T1862" s="80"/>
      <c r="U1862" s="80"/>
      <c r="V1862" s="80"/>
      <c r="W1862" s="80"/>
      <c r="X1862" s="80"/>
      <c r="Y1862" s="80"/>
      <c r="Z1862" s="80"/>
      <c r="AA1862" s="80"/>
      <c r="AB1862" s="80"/>
      <c r="AC1862" s="80"/>
      <c r="AD1862" s="80"/>
      <c r="AE1862" s="80"/>
      <c r="AF1862" s="80"/>
      <c r="AG1862" s="80"/>
      <c r="AH1862" s="80"/>
      <c r="AI1862" s="80"/>
    </row>
    <row r="1863" spans="1:35" x14ac:dyDescent="0.2">
      <c r="A1863" s="80"/>
      <c r="B1863" s="80"/>
      <c r="C1863" s="80"/>
      <c r="D1863" s="80"/>
      <c r="E1863" s="80"/>
      <c r="F1863" s="80"/>
      <c r="G1863" s="80"/>
      <c r="H1863" s="80"/>
      <c r="I1863" s="80"/>
      <c r="J1863" s="80"/>
      <c r="K1863" s="80"/>
      <c r="L1863" s="2"/>
      <c r="M1863" s="2"/>
      <c r="N1863" s="2"/>
      <c r="O1863" s="2"/>
      <c r="P1863" s="2"/>
      <c r="Q1863" s="2"/>
      <c r="R1863" s="80"/>
      <c r="S1863" s="80"/>
      <c r="T1863" s="80"/>
      <c r="U1863" s="80"/>
      <c r="V1863" s="80"/>
      <c r="W1863" s="80"/>
      <c r="X1863" s="80"/>
      <c r="Y1863" s="80"/>
      <c r="Z1863" s="80"/>
      <c r="AA1863" s="80"/>
      <c r="AB1863" s="80"/>
      <c r="AC1863" s="80"/>
      <c r="AD1863" s="80"/>
      <c r="AE1863" s="80"/>
      <c r="AF1863" s="80"/>
      <c r="AG1863" s="80"/>
      <c r="AH1863" s="80"/>
      <c r="AI1863" s="80"/>
    </row>
    <row r="1864" spans="1:35" x14ac:dyDescent="0.2">
      <c r="A1864" s="80"/>
      <c r="B1864" s="80"/>
      <c r="C1864" s="80"/>
      <c r="D1864" s="80"/>
      <c r="E1864" s="80"/>
      <c r="F1864" s="80"/>
      <c r="G1864" s="80"/>
      <c r="H1864" s="80"/>
      <c r="I1864" s="80"/>
      <c r="J1864" s="80"/>
      <c r="K1864" s="80"/>
      <c r="L1864" s="2"/>
      <c r="M1864" s="2"/>
      <c r="N1864" s="2"/>
      <c r="O1864" s="2"/>
      <c r="P1864" s="2"/>
      <c r="Q1864" s="2"/>
      <c r="R1864" s="80"/>
      <c r="S1864" s="80"/>
      <c r="T1864" s="80"/>
      <c r="U1864" s="80"/>
      <c r="V1864" s="80"/>
      <c r="W1864" s="80"/>
      <c r="X1864" s="80"/>
      <c r="Y1864" s="80"/>
      <c r="Z1864" s="80"/>
      <c r="AA1864" s="80"/>
      <c r="AB1864" s="80"/>
      <c r="AC1864" s="80"/>
      <c r="AD1864" s="80"/>
      <c r="AE1864" s="80"/>
      <c r="AF1864" s="80"/>
      <c r="AG1864" s="80"/>
      <c r="AH1864" s="80"/>
      <c r="AI1864" s="80"/>
    </row>
    <row r="1865" spans="1:35" x14ac:dyDescent="0.2">
      <c r="A1865" s="80"/>
      <c r="B1865" s="80"/>
      <c r="C1865" s="80"/>
      <c r="D1865" s="80"/>
      <c r="E1865" s="80"/>
      <c r="F1865" s="80"/>
      <c r="G1865" s="80"/>
      <c r="H1865" s="80"/>
      <c r="I1865" s="80"/>
      <c r="J1865" s="80"/>
      <c r="K1865" s="80"/>
      <c r="L1865" s="2"/>
      <c r="M1865" s="2"/>
      <c r="N1865" s="2"/>
      <c r="O1865" s="2"/>
      <c r="P1865" s="2"/>
      <c r="Q1865" s="2"/>
      <c r="R1865" s="80"/>
      <c r="S1865" s="80"/>
      <c r="T1865" s="80"/>
      <c r="U1865" s="80"/>
      <c r="V1865" s="80"/>
      <c r="W1865" s="80"/>
      <c r="X1865" s="80"/>
      <c r="Y1865" s="80"/>
      <c r="Z1865" s="80"/>
      <c r="AA1865" s="80"/>
      <c r="AB1865" s="80"/>
      <c r="AC1865" s="80"/>
      <c r="AD1865" s="80"/>
      <c r="AE1865" s="80"/>
      <c r="AF1865" s="80"/>
      <c r="AG1865" s="80"/>
      <c r="AH1865" s="80"/>
      <c r="AI1865" s="80"/>
    </row>
    <row r="1866" spans="1:35" x14ac:dyDescent="0.2">
      <c r="A1866" s="80"/>
      <c r="B1866" s="80"/>
      <c r="C1866" s="80"/>
      <c r="D1866" s="80"/>
      <c r="E1866" s="80"/>
      <c r="F1866" s="80"/>
      <c r="G1866" s="80"/>
      <c r="H1866" s="80"/>
      <c r="I1866" s="80"/>
      <c r="J1866" s="80"/>
      <c r="K1866" s="80"/>
      <c r="L1866" s="2"/>
      <c r="M1866" s="2"/>
      <c r="N1866" s="2"/>
      <c r="O1866" s="2"/>
      <c r="P1866" s="2"/>
      <c r="Q1866" s="2"/>
      <c r="R1866" s="80"/>
      <c r="S1866" s="80"/>
      <c r="T1866" s="80"/>
      <c r="U1866" s="80"/>
      <c r="V1866" s="80"/>
      <c r="W1866" s="80"/>
      <c r="X1866" s="80"/>
      <c r="Y1866" s="80"/>
      <c r="Z1866" s="80"/>
      <c r="AA1866" s="80"/>
      <c r="AB1866" s="80"/>
      <c r="AC1866" s="80"/>
      <c r="AD1866" s="80"/>
      <c r="AE1866" s="80"/>
      <c r="AF1866" s="80"/>
      <c r="AG1866" s="80"/>
      <c r="AH1866" s="80"/>
      <c r="AI1866" s="80"/>
    </row>
    <row r="1867" spans="1:35" x14ac:dyDescent="0.2">
      <c r="A1867" s="80"/>
      <c r="B1867" s="80"/>
      <c r="C1867" s="80"/>
      <c r="D1867" s="80"/>
      <c r="E1867" s="80"/>
      <c r="F1867" s="80"/>
      <c r="G1867" s="80"/>
      <c r="H1867" s="80"/>
      <c r="I1867" s="80"/>
      <c r="J1867" s="80"/>
      <c r="K1867" s="80"/>
      <c r="L1867" s="2"/>
      <c r="M1867" s="2"/>
      <c r="N1867" s="2"/>
      <c r="O1867" s="2"/>
      <c r="P1867" s="2"/>
      <c r="Q1867" s="2"/>
      <c r="R1867" s="80"/>
      <c r="S1867" s="80"/>
      <c r="T1867" s="80"/>
      <c r="U1867" s="80"/>
      <c r="V1867" s="80"/>
      <c r="W1867" s="80"/>
      <c r="X1867" s="80"/>
      <c r="Y1867" s="80"/>
      <c r="Z1867" s="80"/>
      <c r="AA1867" s="80"/>
      <c r="AB1867" s="80"/>
      <c r="AC1867" s="80"/>
      <c r="AD1867" s="80"/>
      <c r="AE1867" s="80"/>
      <c r="AF1867" s="80"/>
      <c r="AG1867" s="80"/>
      <c r="AH1867" s="80"/>
      <c r="AI1867" s="80"/>
    </row>
    <row r="1868" spans="1:35" x14ac:dyDescent="0.2">
      <c r="A1868" s="80"/>
      <c r="B1868" s="80"/>
      <c r="C1868" s="80"/>
      <c r="D1868" s="80"/>
      <c r="E1868" s="80"/>
      <c r="F1868" s="80"/>
      <c r="G1868" s="80"/>
      <c r="H1868" s="80"/>
      <c r="I1868" s="80"/>
      <c r="J1868" s="80"/>
      <c r="K1868" s="80"/>
      <c r="L1868" s="2"/>
      <c r="M1868" s="2"/>
      <c r="N1868" s="2"/>
      <c r="O1868" s="2"/>
      <c r="P1868" s="2"/>
      <c r="Q1868" s="2"/>
      <c r="R1868" s="80"/>
      <c r="S1868" s="80"/>
      <c r="T1868" s="80"/>
      <c r="U1868" s="80"/>
      <c r="V1868" s="80"/>
      <c r="W1868" s="80"/>
      <c r="X1868" s="80"/>
      <c r="Y1868" s="80"/>
      <c r="Z1868" s="80"/>
      <c r="AA1868" s="80"/>
      <c r="AB1868" s="80"/>
      <c r="AC1868" s="80"/>
      <c r="AD1868" s="80"/>
      <c r="AE1868" s="80"/>
      <c r="AF1868" s="80"/>
      <c r="AG1868" s="80"/>
      <c r="AH1868" s="80"/>
      <c r="AI1868" s="80"/>
    </row>
    <row r="1869" spans="1:35" x14ac:dyDescent="0.2">
      <c r="A1869" s="80"/>
      <c r="B1869" s="80"/>
      <c r="C1869" s="80"/>
      <c r="D1869" s="80"/>
      <c r="E1869" s="80"/>
      <c r="F1869" s="80"/>
      <c r="G1869" s="80"/>
      <c r="H1869" s="80"/>
      <c r="I1869" s="80"/>
      <c r="J1869" s="80"/>
      <c r="K1869" s="80"/>
      <c r="L1869" s="2"/>
      <c r="M1869" s="2"/>
      <c r="N1869" s="2"/>
      <c r="O1869" s="2"/>
      <c r="P1869" s="2"/>
      <c r="Q1869" s="2"/>
      <c r="R1869" s="80"/>
      <c r="S1869" s="80"/>
      <c r="T1869" s="80"/>
      <c r="U1869" s="80"/>
      <c r="V1869" s="80"/>
      <c r="W1869" s="80"/>
      <c r="X1869" s="80"/>
      <c r="Y1869" s="80"/>
      <c r="Z1869" s="80"/>
      <c r="AA1869" s="80"/>
      <c r="AB1869" s="80"/>
      <c r="AC1869" s="80"/>
      <c r="AD1869" s="80"/>
      <c r="AE1869" s="80"/>
      <c r="AF1869" s="80"/>
      <c r="AG1869" s="80"/>
      <c r="AH1869" s="80"/>
      <c r="AI1869" s="80"/>
    </row>
    <row r="1870" spans="1:35" x14ac:dyDescent="0.2">
      <c r="A1870" s="80"/>
      <c r="B1870" s="80"/>
      <c r="C1870" s="80"/>
      <c r="D1870" s="80"/>
      <c r="E1870" s="80"/>
      <c r="F1870" s="80"/>
      <c r="G1870" s="80"/>
      <c r="H1870" s="80"/>
      <c r="I1870" s="80"/>
      <c r="J1870" s="80"/>
      <c r="K1870" s="80"/>
      <c r="L1870" s="2"/>
      <c r="M1870" s="2"/>
      <c r="N1870" s="2"/>
      <c r="O1870" s="2"/>
      <c r="P1870" s="2"/>
      <c r="Q1870" s="2"/>
      <c r="R1870" s="80"/>
      <c r="S1870" s="80"/>
      <c r="T1870" s="80"/>
      <c r="U1870" s="80"/>
      <c r="V1870" s="80"/>
      <c r="W1870" s="80"/>
      <c r="X1870" s="80"/>
      <c r="Y1870" s="80"/>
      <c r="Z1870" s="80"/>
      <c r="AA1870" s="80"/>
      <c r="AB1870" s="80"/>
      <c r="AC1870" s="80"/>
      <c r="AD1870" s="80"/>
      <c r="AE1870" s="80"/>
      <c r="AF1870" s="80"/>
      <c r="AG1870" s="80"/>
      <c r="AH1870" s="80"/>
      <c r="AI1870" s="80"/>
    </row>
    <row r="1871" spans="1:35" x14ac:dyDescent="0.2">
      <c r="A1871" s="80"/>
      <c r="B1871" s="80"/>
      <c r="C1871" s="80"/>
      <c r="D1871" s="80"/>
      <c r="E1871" s="80"/>
      <c r="F1871" s="80"/>
      <c r="G1871" s="80"/>
      <c r="H1871" s="80"/>
      <c r="I1871" s="80"/>
      <c r="J1871" s="80"/>
      <c r="K1871" s="80"/>
      <c r="L1871" s="2"/>
      <c r="M1871" s="2"/>
      <c r="N1871" s="2"/>
      <c r="O1871" s="2"/>
      <c r="P1871" s="2"/>
      <c r="Q1871" s="2"/>
      <c r="R1871" s="80"/>
      <c r="S1871" s="80"/>
      <c r="T1871" s="80"/>
      <c r="U1871" s="80"/>
      <c r="V1871" s="80"/>
      <c r="W1871" s="80"/>
      <c r="X1871" s="80"/>
      <c r="Y1871" s="80"/>
      <c r="Z1871" s="80"/>
      <c r="AA1871" s="80"/>
      <c r="AB1871" s="80"/>
      <c r="AC1871" s="80"/>
      <c r="AD1871" s="80"/>
      <c r="AE1871" s="80"/>
      <c r="AF1871" s="80"/>
      <c r="AG1871" s="80"/>
      <c r="AH1871" s="80"/>
      <c r="AI1871" s="80"/>
    </row>
    <row r="1872" spans="1:35" x14ac:dyDescent="0.2">
      <c r="A1872" s="80"/>
      <c r="B1872" s="80"/>
      <c r="C1872" s="80"/>
      <c r="D1872" s="80"/>
      <c r="E1872" s="80"/>
      <c r="F1872" s="80"/>
      <c r="G1872" s="80"/>
      <c r="H1872" s="80"/>
      <c r="I1872" s="80"/>
      <c r="J1872" s="80"/>
      <c r="K1872" s="80"/>
      <c r="L1872" s="2"/>
      <c r="M1872" s="2"/>
      <c r="N1872" s="2"/>
      <c r="O1872" s="2"/>
      <c r="P1872" s="2"/>
      <c r="Q1872" s="2"/>
      <c r="R1872" s="80"/>
      <c r="S1872" s="80"/>
      <c r="T1872" s="80"/>
      <c r="U1872" s="80"/>
      <c r="V1872" s="80"/>
      <c r="W1872" s="80"/>
      <c r="X1872" s="80"/>
      <c r="Y1872" s="80"/>
      <c r="Z1872" s="80"/>
      <c r="AA1872" s="80"/>
      <c r="AB1872" s="80"/>
      <c r="AC1872" s="80"/>
      <c r="AD1872" s="80"/>
      <c r="AE1872" s="80"/>
      <c r="AF1872" s="80"/>
      <c r="AG1872" s="80"/>
      <c r="AH1872" s="80"/>
      <c r="AI1872" s="80"/>
    </row>
    <row r="1873" spans="1:35" x14ac:dyDescent="0.2">
      <c r="A1873" s="80"/>
      <c r="B1873" s="80"/>
      <c r="C1873" s="80"/>
      <c r="D1873" s="80"/>
      <c r="E1873" s="80"/>
      <c r="F1873" s="80"/>
      <c r="G1873" s="80"/>
      <c r="H1873" s="80"/>
      <c r="I1873" s="80"/>
      <c r="J1873" s="80"/>
      <c r="K1873" s="80"/>
      <c r="L1873" s="2"/>
      <c r="M1873" s="2"/>
      <c r="N1873" s="2"/>
      <c r="O1873" s="2"/>
      <c r="P1873" s="2"/>
      <c r="Q1873" s="2"/>
      <c r="R1873" s="80"/>
      <c r="S1873" s="80"/>
      <c r="T1873" s="80"/>
      <c r="U1873" s="80"/>
      <c r="V1873" s="80"/>
      <c r="W1873" s="80"/>
      <c r="X1873" s="80"/>
      <c r="Y1873" s="80"/>
      <c r="Z1873" s="80"/>
      <c r="AA1873" s="80"/>
      <c r="AB1873" s="80"/>
      <c r="AC1873" s="80"/>
      <c r="AD1873" s="80"/>
      <c r="AE1873" s="80"/>
      <c r="AF1873" s="80"/>
      <c r="AG1873" s="80"/>
      <c r="AH1873" s="80"/>
      <c r="AI1873" s="80"/>
    </row>
    <row r="1874" spans="1:35" x14ac:dyDescent="0.2">
      <c r="A1874" s="80"/>
      <c r="B1874" s="80"/>
      <c r="C1874" s="80"/>
      <c r="D1874" s="80"/>
      <c r="E1874" s="80"/>
      <c r="F1874" s="80"/>
      <c r="G1874" s="80"/>
      <c r="H1874" s="80"/>
      <c r="I1874" s="80"/>
      <c r="J1874" s="80"/>
      <c r="K1874" s="80"/>
      <c r="L1874" s="2"/>
      <c r="M1874" s="2"/>
      <c r="N1874" s="2"/>
      <c r="O1874" s="2"/>
      <c r="P1874" s="2"/>
      <c r="Q1874" s="2"/>
      <c r="R1874" s="80"/>
      <c r="S1874" s="80"/>
      <c r="T1874" s="80"/>
      <c r="U1874" s="80"/>
      <c r="V1874" s="80"/>
      <c r="W1874" s="80"/>
      <c r="X1874" s="80"/>
      <c r="Y1874" s="80"/>
      <c r="Z1874" s="80"/>
      <c r="AA1874" s="80"/>
      <c r="AB1874" s="80"/>
      <c r="AC1874" s="80"/>
      <c r="AD1874" s="80"/>
      <c r="AE1874" s="80"/>
      <c r="AF1874" s="80"/>
      <c r="AG1874" s="80"/>
      <c r="AH1874" s="80"/>
      <c r="AI1874" s="80"/>
    </row>
    <row r="1875" spans="1:35" x14ac:dyDescent="0.2">
      <c r="A1875" s="80"/>
      <c r="B1875" s="80"/>
      <c r="C1875" s="80"/>
      <c r="D1875" s="80"/>
      <c r="E1875" s="80"/>
      <c r="F1875" s="80"/>
      <c r="G1875" s="80"/>
      <c r="H1875" s="80"/>
      <c r="I1875" s="80"/>
      <c r="J1875" s="80"/>
      <c r="K1875" s="80"/>
      <c r="L1875" s="2"/>
      <c r="M1875" s="2"/>
      <c r="N1875" s="2"/>
      <c r="O1875" s="2"/>
      <c r="P1875" s="2"/>
      <c r="Q1875" s="2"/>
      <c r="R1875" s="80"/>
      <c r="S1875" s="80"/>
      <c r="T1875" s="80"/>
      <c r="U1875" s="80"/>
      <c r="V1875" s="80"/>
      <c r="W1875" s="80"/>
      <c r="X1875" s="80"/>
      <c r="Y1875" s="80"/>
      <c r="Z1875" s="80"/>
      <c r="AA1875" s="80"/>
      <c r="AB1875" s="80"/>
      <c r="AC1875" s="80"/>
      <c r="AD1875" s="80"/>
      <c r="AE1875" s="80"/>
      <c r="AF1875" s="80"/>
      <c r="AG1875" s="80"/>
      <c r="AH1875" s="80"/>
      <c r="AI1875" s="80"/>
    </row>
    <row r="1876" spans="1:35" x14ac:dyDescent="0.2">
      <c r="A1876" s="80"/>
      <c r="B1876" s="80"/>
      <c r="C1876" s="80"/>
      <c r="D1876" s="80"/>
      <c r="E1876" s="80"/>
      <c r="F1876" s="80"/>
      <c r="G1876" s="80"/>
      <c r="H1876" s="80"/>
      <c r="I1876" s="80"/>
      <c r="J1876" s="80"/>
      <c r="K1876" s="80"/>
      <c r="L1876" s="2"/>
      <c r="M1876" s="2"/>
      <c r="N1876" s="2"/>
      <c r="O1876" s="2"/>
      <c r="P1876" s="2"/>
      <c r="Q1876" s="2"/>
      <c r="R1876" s="80"/>
      <c r="S1876" s="80"/>
      <c r="T1876" s="80"/>
      <c r="U1876" s="80"/>
      <c r="V1876" s="80"/>
      <c r="W1876" s="80"/>
      <c r="X1876" s="80"/>
      <c r="Y1876" s="80"/>
      <c r="Z1876" s="80"/>
      <c r="AA1876" s="80"/>
      <c r="AB1876" s="80"/>
      <c r="AC1876" s="80"/>
      <c r="AD1876" s="80"/>
      <c r="AE1876" s="80"/>
      <c r="AF1876" s="80"/>
      <c r="AG1876" s="80"/>
      <c r="AH1876" s="80"/>
      <c r="AI1876" s="80"/>
    </row>
    <row r="1877" spans="1:35" x14ac:dyDescent="0.2">
      <c r="A1877" s="80"/>
      <c r="B1877" s="80"/>
      <c r="C1877" s="80"/>
      <c r="D1877" s="80"/>
      <c r="E1877" s="80"/>
      <c r="F1877" s="80"/>
      <c r="G1877" s="80"/>
      <c r="H1877" s="80"/>
      <c r="I1877" s="80"/>
      <c r="J1877" s="80"/>
      <c r="K1877" s="80"/>
      <c r="L1877" s="2"/>
      <c r="M1877" s="2"/>
      <c r="N1877" s="2"/>
      <c r="O1877" s="2"/>
      <c r="P1877" s="2"/>
      <c r="Q1877" s="2"/>
      <c r="R1877" s="80"/>
      <c r="S1877" s="80"/>
      <c r="T1877" s="80"/>
      <c r="U1877" s="80"/>
      <c r="V1877" s="80"/>
      <c r="W1877" s="80"/>
      <c r="X1877" s="80"/>
      <c r="Y1877" s="80"/>
      <c r="Z1877" s="80"/>
      <c r="AA1877" s="80"/>
      <c r="AB1877" s="80"/>
      <c r="AC1877" s="80"/>
      <c r="AD1877" s="80"/>
      <c r="AE1877" s="80"/>
      <c r="AF1877" s="80"/>
      <c r="AG1877" s="80"/>
      <c r="AH1877" s="80"/>
      <c r="AI1877" s="80"/>
    </row>
    <row r="1878" spans="1:35" x14ac:dyDescent="0.2">
      <c r="A1878" s="80"/>
      <c r="B1878" s="80"/>
      <c r="C1878" s="80"/>
      <c r="D1878" s="80"/>
      <c r="E1878" s="80"/>
      <c r="F1878" s="80"/>
      <c r="G1878" s="80"/>
      <c r="H1878" s="80"/>
      <c r="I1878" s="80"/>
      <c r="J1878" s="80"/>
      <c r="K1878" s="80"/>
      <c r="L1878" s="2"/>
      <c r="M1878" s="2"/>
      <c r="N1878" s="2"/>
      <c r="O1878" s="2"/>
      <c r="P1878" s="2"/>
      <c r="Q1878" s="2"/>
      <c r="R1878" s="80"/>
      <c r="S1878" s="80"/>
      <c r="T1878" s="80"/>
      <c r="U1878" s="80"/>
      <c r="V1878" s="80"/>
      <c r="W1878" s="80"/>
      <c r="X1878" s="80"/>
      <c r="Y1878" s="80"/>
      <c r="Z1878" s="80"/>
      <c r="AA1878" s="80"/>
      <c r="AB1878" s="80"/>
      <c r="AC1878" s="80"/>
      <c r="AD1878" s="80"/>
      <c r="AE1878" s="80"/>
      <c r="AF1878" s="80"/>
      <c r="AG1878" s="80"/>
      <c r="AH1878" s="80"/>
      <c r="AI1878" s="80"/>
    </row>
    <row r="1879" spans="1:35" x14ac:dyDescent="0.2">
      <c r="A1879" s="80"/>
      <c r="B1879" s="80"/>
      <c r="C1879" s="80"/>
      <c r="D1879" s="80"/>
      <c r="E1879" s="80"/>
      <c r="F1879" s="80"/>
      <c r="G1879" s="80"/>
      <c r="H1879" s="80"/>
      <c r="I1879" s="80"/>
      <c r="J1879" s="80"/>
      <c r="K1879" s="80"/>
      <c r="L1879" s="2"/>
      <c r="M1879" s="2"/>
      <c r="N1879" s="2"/>
      <c r="O1879" s="2"/>
      <c r="P1879" s="2"/>
      <c r="Q1879" s="2"/>
      <c r="R1879" s="80"/>
      <c r="S1879" s="80"/>
      <c r="T1879" s="80"/>
      <c r="U1879" s="80"/>
      <c r="V1879" s="80"/>
      <c r="W1879" s="80"/>
      <c r="X1879" s="80"/>
      <c r="Y1879" s="80"/>
      <c r="Z1879" s="80"/>
      <c r="AA1879" s="80"/>
      <c r="AB1879" s="80"/>
      <c r="AC1879" s="80"/>
      <c r="AD1879" s="80"/>
      <c r="AE1879" s="80"/>
      <c r="AF1879" s="80"/>
      <c r="AG1879" s="80"/>
      <c r="AH1879" s="80"/>
      <c r="AI1879" s="80"/>
    </row>
    <row r="1880" spans="1:35" x14ac:dyDescent="0.2">
      <c r="A1880" s="80"/>
      <c r="B1880" s="80"/>
      <c r="C1880" s="80"/>
      <c r="D1880" s="80"/>
      <c r="E1880" s="80"/>
      <c r="F1880" s="80"/>
      <c r="G1880" s="80"/>
      <c r="H1880" s="80"/>
      <c r="I1880" s="80"/>
      <c r="J1880" s="80"/>
      <c r="K1880" s="80"/>
      <c r="L1880" s="2"/>
      <c r="M1880" s="2"/>
      <c r="N1880" s="2"/>
      <c r="O1880" s="2"/>
      <c r="P1880" s="2"/>
      <c r="Q1880" s="2"/>
      <c r="R1880" s="80"/>
      <c r="S1880" s="80"/>
      <c r="T1880" s="80"/>
      <c r="U1880" s="80"/>
      <c r="V1880" s="80"/>
      <c r="W1880" s="80"/>
      <c r="X1880" s="80"/>
      <c r="Y1880" s="80"/>
      <c r="Z1880" s="80"/>
      <c r="AA1880" s="80"/>
      <c r="AB1880" s="80"/>
      <c r="AC1880" s="80"/>
      <c r="AD1880" s="80"/>
      <c r="AE1880" s="80"/>
      <c r="AF1880" s="80"/>
      <c r="AG1880" s="80"/>
      <c r="AH1880" s="80"/>
      <c r="AI1880" s="80"/>
    </row>
    <row r="1881" spans="1:35" x14ac:dyDescent="0.2">
      <c r="A1881" s="80"/>
      <c r="B1881" s="80"/>
      <c r="C1881" s="80"/>
      <c r="D1881" s="80"/>
      <c r="E1881" s="80"/>
      <c r="F1881" s="80"/>
      <c r="G1881" s="80"/>
      <c r="H1881" s="80"/>
      <c r="I1881" s="80"/>
      <c r="J1881" s="80"/>
      <c r="K1881" s="80"/>
      <c r="L1881" s="2"/>
      <c r="M1881" s="2"/>
      <c r="N1881" s="2"/>
      <c r="O1881" s="2"/>
      <c r="P1881" s="2"/>
      <c r="Q1881" s="2"/>
      <c r="R1881" s="80"/>
      <c r="S1881" s="80"/>
      <c r="T1881" s="80"/>
      <c r="U1881" s="80"/>
      <c r="V1881" s="80"/>
      <c r="W1881" s="80"/>
      <c r="X1881" s="80"/>
      <c r="Y1881" s="80"/>
      <c r="Z1881" s="80"/>
      <c r="AA1881" s="80"/>
      <c r="AB1881" s="80"/>
      <c r="AC1881" s="80"/>
      <c r="AD1881" s="80"/>
      <c r="AE1881" s="80"/>
      <c r="AF1881" s="80"/>
      <c r="AG1881" s="80"/>
      <c r="AH1881" s="80"/>
      <c r="AI1881" s="80"/>
    </row>
    <row r="1882" spans="1:35" x14ac:dyDescent="0.2">
      <c r="A1882" s="80"/>
      <c r="B1882" s="80"/>
      <c r="C1882" s="80"/>
      <c r="D1882" s="80"/>
      <c r="E1882" s="80"/>
      <c r="F1882" s="80"/>
      <c r="G1882" s="80"/>
      <c r="H1882" s="80"/>
      <c r="I1882" s="80"/>
      <c r="J1882" s="80"/>
      <c r="K1882" s="80"/>
      <c r="L1882" s="2"/>
      <c r="M1882" s="2"/>
      <c r="N1882" s="2"/>
      <c r="O1882" s="2"/>
      <c r="P1882" s="2"/>
      <c r="Q1882" s="2"/>
      <c r="R1882" s="80"/>
      <c r="S1882" s="80"/>
      <c r="T1882" s="80"/>
      <c r="U1882" s="80"/>
      <c r="V1882" s="80"/>
      <c r="W1882" s="80"/>
      <c r="X1882" s="80"/>
      <c r="Y1882" s="80"/>
      <c r="Z1882" s="80"/>
      <c r="AA1882" s="80"/>
      <c r="AB1882" s="80"/>
      <c r="AC1882" s="80"/>
      <c r="AD1882" s="80"/>
      <c r="AE1882" s="80"/>
      <c r="AF1882" s="80"/>
      <c r="AG1882" s="80"/>
      <c r="AH1882" s="80"/>
      <c r="AI1882" s="80"/>
    </row>
    <row r="1883" spans="1:35" x14ac:dyDescent="0.2">
      <c r="A1883" s="80"/>
      <c r="B1883" s="80"/>
      <c r="C1883" s="80"/>
      <c r="D1883" s="80"/>
      <c r="E1883" s="80"/>
      <c r="F1883" s="80"/>
      <c r="G1883" s="80"/>
      <c r="H1883" s="80"/>
      <c r="I1883" s="80"/>
      <c r="J1883" s="80"/>
      <c r="K1883" s="80"/>
      <c r="L1883" s="2"/>
      <c r="M1883" s="2"/>
      <c r="N1883" s="2"/>
      <c r="O1883" s="2"/>
      <c r="P1883" s="2"/>
      <c r="Q1883" s="2"/>
      <c r="R1883" s="80"/>
      <c r="S1883" s="80"/>
      <c r="T1883" s="80"/>
      <c r="U1883" s="80"/>
      <c r="V1883" s="80"/>
      <c r="W1883" s="80"/>
      <c r="X1883" s="80"/>
      <c r="Y1883" s="80"/>
      <c r="Z1883" s="80"/>
      <c r="AA1883" s="80"/>
      <c r="AB1883" s="80"/>
      <c r="AC1883" s="80"/>
      <c r="AD1883" s="80"/>
      <c r="AE1883" s="80"/>
      <c r="AF1883" s="80"/>
      <c r="AG1883" s="80"/>
      <c r="AH1883" s="80"/>
      <c r="AI1883" s="80"/>
    </row>
    <row r="1884" spans="1:35" x14ac:dyDescent="0.2">
      <c r="A1884" s="80"/>
      <c r="B1884" s="80"/>
      <c r="C1884" s="80"/>
      <c r="D1884" s="80"/>
      <c r="E1884" s="80"/>
      <c r="F1884" s="80"/>
      <c r="G1884" s="80"/>
      <c r="H1884" s="80"/>
      <c r="I1884" s="80"/>
      <c r="J1884" s="80"/>
      <c r="K1884" s="80"/>
      <c r="L1884" s="2"/>
      <c r="M1884" s="2"/>
      <c r="N1884" s="2"/>
      <c r="O1884" s="2"/>
      <c r="P1884" s="2"/>
      <c r="Q1884" s="2"/>
      <c r="R1884" s="80"/>
      <c r="S1884" s="80"/>
      <c r="T1884" s="80"/>
      <c r="U1884" s="80"/>
      <c r="V1884" s="80"/>
      <c r="W1884" s="80"/>
      <c r="X1884" s="80"/>
      <c r="Y1884" s="80"/>
      <c r="Z1884" s="80"/>
      <c r="AA1884" s="80"/>
      <c r="AB1884" s="80"/>
      <c r="AC1884" s="80"/>
      <c r="AD1884" s="80"/>
      <c r="AE1884" s="80"/>
      <c r="AF1884" s="80"/>
      <c r="AG1884" s="80"/>
      <c r="AH1884" s="80"/>
      <c r="AI1884" s="80"/>
    </row>
    <row r="1885" spans="1:35" x14ac:dyDescent="0.2">
      <c r="A1885" s="80"/>
      <c r="B1885" s="80"/>
      <c r="C1885" s="80"/>
      <c r="D1885" s="80"/>
      <c r="E1885" s="80"/>
      <c r="F1885" s="80"/>
      <c r="G1885" s="80"/>
      <c r="H1885" s="80"/>
      <c r="I1885" s="80"/>
      <c r="J1885" s="80"/>
      <c r="K1885" s="80"/>
      <c r="L1885" s="2"/>
      <c r="M1885" s="2"/>
      <c r="N1885" s="2"/>
      <c r="O1885" s="2"/>
      <c r="P1885" s="2"/>
      <c r="Q1885" s="2"/>
      <c r="R1885" s="80"/>
      <c r="S1885" s="80"/>
      <c r="T1885" s="80"/>
      <c r="U1885" s="80"/>
      <c r="V1885" s="80"/>
      <c r="W1885" s="80"/>
      <c r="X1885" s="80"/>
      <c r="Y1885" s="80"/>
      <c r="Z1885" s="80"/>
      <c r="AA1885" s="80"/>
      <c r="AB1885" s="80"/>
      <c r="AC1885" s="80"/>
      <c r="AD1885" s="80"/>
      <c r="AE1885" s="80"/>
      <c r="AF1885" s="80"/>
      <c r="AG1885" s="80"/>
      <c r="AH1885" s="80"/>
      <c r="AI1885" s="80"/>
    </row>
    <row r="1886" spans="1:35" x14ac:dyDescent="0.2">
      <c r="A1886" s="80"/>
      <c r="B1886" s="80"/>
      <c r="C1886" s="80"/>
      <c r="D1886" s="80"/>
      <c r="E1886" s="80"/>
      <c r="F1886" s="80"/>
      <c r="G1886" s="80"/>
      <c r="H1886" s="80"/>
      <c r="I1886" s="80"/>
      <c r="J1886" s="80"/>
      <c r="K1886" s="80"/>
      <c r="L1886" s="2"/>
      <c r="M1886" s="2"/>
      <c r="N1886" s="2"/>
      <c r="O1886" s="2"/>
      <c r="P1886" s="2"/>
      <c r="Q1886" s="2"/>
      <c r="R1886" s="80"/>
      <c r="S1886" s="80"/>
      <c r="T1886" s="80"/>
      <c r="U1886" s="80"/>
      <c r="V1886" s="80"/>
      <c r="W1886" s="80"/>
      <c r="X1886" s="80"/>
      <c r="Y1886" s="80"/>
      <c r="Z1886" s="80"/>
      <c r="AA1886" s="80"/>
      <c r="AB1886" s="80"/>
      <c r="AC1886" s="80"/>
      <c r="AD1886" s="80"/>
      <c r="AE1886" s="80"/>
      <c r="AF1886" s="80"/>
      <c r="AG1886" s="80"/>
      <c r="AH1886" s="80"/>
      <c r="AI1886" s="80"/>
    </row>
    <row r="1887" spans="1:35" x14ac:dyDescent="0.2">
      <c r="A1887" s="80"/>
      <c r="B1887" s="80"/>
      <c r="C1887" s="80"/>
      <c r="D1887" s="80"/>
      <c r="E1887" s="80"/>
      <c r="F1887" s="80"/>
      <c r="G1887" s="80"/>
      <c r="H1887" s="80"/>
      <c r="I1887" s="80"/>
      <c r="J1887" s="80"/>
      <c r="K1887" s="80"/>
      <c r="L1887" s="2"/>
      <c r="M1887" s="2"/>
      <c r="N1887" s="2"/>
      <c r="O1887" s="2"/>
      <c r="P1887" s="2"/>
      <c r="Q1887" s="2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E1887" s="80"/>
      <c r="AF1887" s="80"/>
      <c r="AG1887" s="80"/>
      <c r="AH1887" s="80"/>
      <c r="AI1887" s="80"/>
    </row>
    <row r="1888" spans="1:35" x14ac:dyDescent="0.2">
      <c r="A1888" s="80"/>
      <c r="B1888" s="80"/>
      <c r="C1888" s="80"/>
      <c r="D1888" s="80"/>
      <c r="E1888" s="80"/>
      <c r="F1888" s="80"/>
      <c r="G1888" s="80"/>
      <c r="H1888" s="80"/>
      <c r="I1888" s="80"/>
      <c r="J1888" s="80"/>
      <c r="K1888" s="80"/>
      <c r="L1888" s="2"/>
      <c r="M1888" s="2"/>
      <c r="N1888" s="2"/>
      <c r="O1888" s="2"/>
      <c r="P1888" s="2"/>
      <c r="Q1888" s="2"/>
      <c r="R1888" s="80"/>
      <c r="S1888" s="80"/>
      <c r="T1888" s="80"/>
      <c r="U1888" s="80"/>
      <c r="V1888" s="80"/>
      <c r="W1888" s="80"/>
      <c r="X1888" s="80"/>
      <c r="Y1888" s="80"/>
      <c r="Z1888" s="80"/>
      <c r="AA1888" s="80"/>
      <c r="AB1888" s="80"/>
      <c r="AC1888" s="80"/>
      <c r="AD1888" s="80"/>
      <c r="AE1888" s="80"/>
      <c r="AF1888" s="80"/>
      <c r="AG1888" s="80"/>
      <c r="AH1888" s="80"/>
      <c r="AI1888" s="80"/>
    </row>
    <row r="1889" spans="1:35" x14ac:dyDescent="0.2">
      <c r="A1889" s="80"/>
      <c r="B1889" s="80"/>
      <c r="C1889" s="80"/>
      <c r="D1889" s="80"/>
      <c r="E1889" s="80"/>
      <c r="F1889" s="80"/>
      <c r="G1889" s="80"/>
      <c r="H1889" s="80"/>
      <c r="I1889" s="80"/>
      <c r="J1889" s="80"/>
      <c r="K1889" s="80"/>
      <c r="L1889" s="2"/>
      <c r="M1889" s="2"/>
      <c r="N1889" s="2"/>
      <c r="O1889" s="2"/>
      <c r="P1889" s="2"/>
      <c r="Q1889" s="2"/>
      <c r="R1889" s="80"/>
      <c r="S1889" s="80"/>
      <c r="T1889" s="80"/>
      <c r="U1889" s="80"/>
      <c r="V1889" s="80"/>
      <c r="W1889" s="80"/>
      <c r="X1889" s="80"/>
      <c r="Y1889" s="80"/>
      <c r="Z1889" s="80"/>
      <c r="AA1889" s="80"/>
      <c r="AB1889" s="80"/>
      <c r="AC1889" s="80"/>
      <c r="AD1889" s="80"/>
      <c r="AE1889" s="80"/>
      <c r="AF1889" s="80"/>
      <c r="AG1889" s="80"/>
      <c r="AH1889" s="80"/>
      <c r="AI1889" s="80"/>
    </row>
    <row r="1890" spans="1:35" x14ac:dyDescent="0.2">
      <c r="A1890" s="80"/>
      <c r="B1890" s="80"/>
      <c r="C1890" s="80"/>
      <c r="D1890" s="80"/>
      <c r="E1890" s="80"/>
      <c r="F1890" s="80"/>
      <c r="G1890" s="80"/>
      <c r="H1890" s="80"/>
      <c r="I1890" s="80"/>
      <c r="J1890" s="80"/>
      <c r="K1890" s="80"/>
      <c r="L1890" s="2"/>
      <c r="M1890" s="2"/>
      <c r="N1890" s="2"/>
      <c r="O1890" s="2"/>
      <c r="P1890" s="2"/>
      <c r="Q1890" s="2"/>
      <c r="R1890" s="80"/>
      <c r="S1890" s="80"/>
      <c r="T1890" s="80"/>
      <c r="U1890" s="80"/>
      <c r="V1890" s="80"/>
      <c r="W1890" s="80"/>
      <c r="X1890" s="80"/>
      <c r="Y1890" s="80"/>
      <c r="Z1890" s="80"/>
      <c r="AA1890" s="80"/>
      <c r="AB1890" s="80"/>
      <c r="AC1890" s="80"/>
      <c r="AD1890" s="80"/>
      <c r="AE1890" s="80"/>
      <c r="AF1890" s="80"/>
      <c r="AG1890" s="80"/>
      <c r="AH1890" s="80"/>
      <c r="AI1890" s="80"/>
    </row>
    <row r="1891" spans="1:35" x14ac:dyDescent="0.2">
      <c r="A1891" s="80"/>
      <c r="B1891" s="80"/>
      <c r="C1891" s="80"/>
      <c r="D1891" s="80"/>
      <c r="E1891" s="80"/>
      <c r="F1891" s="80"/>
      <c r="G1891" s="80"/>
      <c r="H1891" s="80"/>
      <c r="I1891" s="80"/>
      <c r="J1891" s="80"/>
      <c r="K1891" s="80"/>
      <c r="L1891" s="2"/>
      <c r="M1891" s="2"/>
      <c r="N1891" s="2"/>
      <c r="O1891" s="2"/>
      <c r="P1891" s="2"/>
      <c r="Q1891" s="2"/>
      <c r="R1891" s="80"/>
      <c r="S1891" s="80"/>
      <c r="T1891" s="80"/>
      <c r="U1891" s="80"/>
      <c r="V1891" s="80"/>
      <c r="W1891" s="80"/>
      <c r="X1891" s="80"/>
      <c r="Y1891" s="80"/>
      <c r="Z1891" s="80"/>
      <c r="AA1891" s="80"/>
      <c r="AB1891" s="80"/>
      <c r="AC1891" s="80"/>
      <c r="AD1891" s="80"/>
      <c r="AE1891" s="80"/>
      <c r="AF1891" s="80"/>
      <c r="AG1891" s="80"/>
      <c r="AH1891" s="80"/>
      <c r="AI1891" s="80"/>
    </row>
    <row r="1892" spans="1:35" x14ac:dyDescent="0.2">
      <c r="A1892" s="80"/>
      <c r="B1892" s="80"/>
      <c r="C1892" s="80"/>
      <c r="D1892" s="80"/>
      <c r="E1892" s="80"/>
      <c r="F1892" s="80"/>
      <c r="G1892" s="80"/>
      <c r="H1892" s="80"/>
      <c r="I1892" s="80"/>
      <c r="J1892" s="80"/>
      <c r="K1892" s="80"/>
      <c r="L1892" s="2"/>
      <c r="M1892" s="2"/>
      <c r="N1892" s="2"/>
      <c r="O1892" s="2"/>
      <c r="P1892" s="2"/>
      <c r="Q1892" s="2"/>
      <c r="R1892" s="80"/>
      <c r="S1892" s="80"/>
      <c r="T1892" s="80"/>
      <c r="U1892" s="80"/>
      <c r="V1892" s="80"/>
      <c r="W1892" s="80"/>
      <c r="X1892" s="80"/>
      <c r="Y1892" s="80"/>
      <c r="Z1892" s="80"/>
      <c r="AA1892" s="80"/>
      <c r="AB1892" s="80"/>
      <c r="AC1892" s="80"/>
      <c r="AD1892" s="80"/>
      <c r="AE1892" s="80"/>
      <c r="AF1892" s="80"/>
      <c r="AG1892" s="80"/>
      <c r="AH1892" s="80"/>
      <c r="AI1892" s="80"/>
    </row>
    <row r="1893" spans="1:35" x14ac:dyDescent="0.2">
      <c r="A1893" s="80"/>
      <c r="B1893" s="80"/>
      <c r="C1893" s="80"/>
      <c r="D1893" s="80"/>
      <c r="E1893" s="80"/>
      <c r="F1893" s="80"/>
      <c r="G1893" s="80"/>
      <c r="H1893" s="80"/>
      <c r="I1893" s="80"/>
      <c r="J1893" s="80"/>
      <c r="K1893" s="80"/>
      <c r="L1893" s="2"/>
      <c r="M1893" s="2"/>
      <c r="N1893" s="2"/>
      <c r="O1893" s="2"/>
      <c r="P1893" s="2"/>
      <c r="Q1893" s="2"/>
      <c r="R1893" s="80"/>
      <c r="S1893" s="80"/>
      <c r="T1893" s="80"/>
      <c r="U1893" s="80"/>
      <c r="V1893" s="80"/>
      <c r="W1893" s="80"/>
      <c r="X1893" s="80"/>
      <c r="Y1893" s="80"/>
      <c r="Z1893" s="80"/>
      <c r="AA1893" s="80"/>
      <c r="AB1893" s="80"/>
      <c r="AC1893" s="80"/>
      <c r="AD1893" s="80"/>
      <c r="AE1893" s="80"/>
      <c r="AF1893" s="80"/>
      <c r="AG1893" s="80"/>
      <c r="AH1893" s="80"/>
      <c r="AI1893" s="80"/>
    </row>
    <row r="1894" spans="1:35" x14ac:dyDescent="0.2">
      <c r="A1894" s="80"/>
      <c r="B1894" s="80"/>
      <c r="C1894" s="80"/>
      <c r="D1894" s="80"/>
      <c r="E1894" s="80"/>
      <c r="F1894" s="80"/>
      <c r="G1894" s="80"/>
      <c r="H1894" s="80"/>
      <c r="I1894" s="80"/>
      <c r="J1894" s="80"/>
      <c r="K1894" s="80"/>
      <c r="L1894" s="2"/>
      <c r="M1894" s="2"/>
      <c r="N1894" s="2"/>
      <c r="O1894" s="2"/>
      <c r="P1894" s="2"/>
      <c r="Q1894" s="2"/>
      <c r="R1894" s="80"/>
      <c r="S1894" s="80"/>
      <c r="T1894" s="80"/>
      <c r="U1894" s="80"/>
      <c r="V1894" s="80"/>
      <c r="W1894" s="80"/>
      <c r="X1894" s="80"/>
      <c r="Y1894" s="80"/>
      <c r="Z1894" s="80"/>
      <c r="AA1894" s="80"/>
      <c r="AB1894" s="80"/>
      <c r="AC1894" s="80"/>
      <c r="AD1894" s="80"/>
      <c r="AE1894" s="80"/>
      <c r="AF1894" s="80"/>
      <c r="AG1894" s="80"/>
      <c r="AH1894" s="80"/>
      <c r="AI1894" s="80"/>
    </row>
    <row r="1895" spans="1:35" x14ac:dyDescent="0.2">
      <c r="A1895" s="80"/>
      <c r="B1895" s="80"/>
      <c r="C1895" s="80"/>
      <c r="D1895" s="80"/>
      <c r="E1895" s="80"/>
      <c r="F1895" s="80"/>
      <c r="G1895" s="80"/>
      <c r="H1895" s="80"/>
      <c r="I1895" s="80"/>
      <c r="J1895" s="80"/>
      <c r="K1895" s="80"/>
      <c r="L1895" s="2"/>
      <c r="M1895" s="2"/>
      <c r="N1895" s="2"/>
      <c r="O1895" s="2"/>
      <c r="P1895" s="2"/>
      <c r="Q1895" s="2"/>
      <c r="R1895" s="80"/>
      <c r="S1895" s="80"/>
      <c r="T1895" s="80"/>
      <c r="U1895" s="80"/>
      <c r="V1895" s="80"/>
      <c r="W1895" s="80"/>
      <c r="X1895" s="80"/>
      <c r="Y1895" s="80"/>
      <c r="Z1895" s="80"/>
      <c r="AA1895" s="80"/>
      <c r="AB1895" s="80"/>
      <c r="AC1895" s="80"/>
      <c r="AD1895" s="80"/>
      <c r="AE1895" s="80"/>
      <c r="AF1895" s="80"/>
      <c r="AG1895" s="80"/>
      <c r="AH1895" s="80"/>
      <c r="AI1895" s="80"/>
    </row>
    <row r="1896" spans="1:35" x14ac:dyDescent="0.2">
      <c r="A1896" s="80"/>
      <c r="B1896" s="80"/>
      <c r="C1896" s="80"/>
      <c r="D1896" s="80"/>
      <c r="E1896" s="80"/>
      <c r="F1896" s="80"/>
      <c r="G1896" s="80"/>
      <c r="H1896" s="80"/>
      <c r="I1896" s="80"/>
      <c r="J1896" s="80"/>
      <c r="K1896" s="80"/>
      <c r="L1896" s="2"/>
      <c r="M1896" s="2"/>
      <c r="N1896" s="2"/>
      <c r="O1896" s="2"/>
      <c r="P1896" s="2"/>
      <c r="Q1896" s="2"/>
      <c r="R1896" s="80"/>
      <c r="S1896" s="80"/>
      <c r="T1896" s="80"/>
      <c r="U1896" s="80"/>
      <c r="V1896" s="80"/>
      <c r="W1896" s="80"/>
      <c r="X1896" s="80"/>
      <c r="Y1896" s="80"/>
      <c r="Z1896" s="80"/>
      <c r="AA1896" s="80"/>
      <c r="AB1896" s="80"/>
      <c r="AC1896" s="80"/>
      <c r="AD1896" s="80"/>
      <c r="AE1896" s="80"/>
      <c r="AF1896" s="80"/>
      <c r="AG1896" s="80"/>
      <c r="AH1896" s="80"/>
      <c r="AI1896" s="80"/>
    </row>
    <row r="1897" spans="1:35" x14ac:dyDescent="0.2">
      <c r="A1897" s="80"/>
      <c r="B1897" s="80"/>
      <c r="C1897" s="80"/>
      <c r="D1897" s="80"/>
      <c r="E1897" s="80"/>
      <c r="F1897" s="80"/>
      <c r="G1897" s="80"/>
      <c r="H1897" s="80"/>
      <c r="I1897" s="80"/>
      <c r="J1897" s="80"/>
      <c r="K1897" s="80"/>
      <c r="L1897" s="2"/>
      <c r="M1897" s="2"/>
      <c r="N1897" s="2"/>
      <c r="O1897" s="2"/>
      <c r="P1897" s="2"/>
      <c r="Q1897" s="2"/>
      <c r="R1897" s="80"/>
      <c r="S1897" s="80"/>
      <c r="T1897" s="80"/>
      <c r="U1897" s="80"/>
      <c r="V1897" s="80"/>
      <c r="W1897" s="80"/>
      <c r="X1897" s="80"/>
      <c r="Y1897" s="80"/>
      <c r="Z1897" s="80"/>
      <c r="AA1897" s="80"/>
      <c r="AB1897" s="80"/>
      <c r="AC1897" s="80"/>
      <c r="AD1897" s="80"/>
      <c r="AE1897" s="80"/>
      <c r="AF1897" s="80"/>
      <c r="AG1897" s="80"/>
      <c r="AH1897" s="80"/>
      <c r="AI1897" s="80"/>
    </row>
    <row r="1898" spans="1:35" x14ac:dyDescent="0.2">
      <c r="A1898" s="80"/>
      <c r="B1898" s="80"/>
      <c r="C1898" s="80"/>
      <c r="D1898" s="80"/>
      <c r="E1898" s="80"/>
      <c r="F1898" s="80"/>
      <c r="G1898" s="80"/>
      <c r="H1898" s="80"/>
      <c r="I1898" s="80"/>
      <c r="J1898" s="80"/>
      <c r="K1898" s="80"/>
      <c r="L1898" s="2"/>
      <c r="M1898" s="2"/>
      <c r="N1898" s="2"/>
      <c r="O1898" s="2"/>
      <c r="P1898" s="2"/>
      <c r="Q1898" s="2"/>
      <c r="R1898" s="80"/>
      <c r="S1898" s="80"/>
      <c r="T1898" s="80"/>
      <c r="U1898" s="80"/>
      <c r="V1898" s="80"/>
      <c r="W1898" s="80"/>
      <c r="X1898" s="80"/>
      <c r="Y1898" s="80"/>
      <c r="Z1898" s="80"/>
      <c r="AA1898" s="80"/>
      <c r="AB1898" s="80"/>
      <c r="AC1898" s="80"/>
      <c r="AD1898" s="80"/>
      <c r="AE1898" s="80"/>
      <c r="AF1898" s="80"/>
      <c r="AG1898" s="80"/>
      <c r="AH1898" s="80"/>
      <c r="AI1898" s="80"/>
    </row>
    <row r="1899" spans="1:35" x14ac:dyDescent="0.2">
      <c r="A1899" s="80"/>
      <c r="B1899" s="80"/>
      <c r="C1899" s="80"/>
      <c r="D1899" s="80"/>
      <c r="E1899" s="80"/>
      <c r="F1899" s="80"/>
      <c r="G1899" s="80"/>
      <c r="H1899" s="80"/>
      <c r="I1899" s="80"/>
      <c r="J1899" s="80"/>
      <c r="K1899" s="80"/>
      <c r="L1899" s="2"/>
      <c r="M1899" s="2"/>
      <c r="N1899" s="2"/>
      <c r="O1899" s="2"/>
      <c r="P1899" s="2"/>
      <c r="Q1899" s="2"/>
      <c r="R1899" s="80"/>
      <c r="S1899" s="80"/>
      <c r="T1899" s="80"/>
      <c r="U1899" s="80"/>
      <c r="V1899" s="80"/>
      <c r="W1899" s="80"/>
      <c r="X1899" s="80"/>
      <c r="Y1899" s="80"/>
      <c r="Z1899" s="80"/>
      <c r="AA1899" s="80"/>
      <c r="AB1899" s="80"/>
      <c r="AC1899" s="80"/>
      <c r="AD1899" s="80"/>
      <c r="AE1899" s="80"/>
      <c r="AF1899" s="80"/>
      <c r="AG1899" s="80"/>
      <c r="AH1899" s="80"/>
      <c r="AI1899" s="80"/>
    </row>
    <row r="1900" spans="1:35" x14ac:dyDescent="0.2">
      <c r="A1900" s="80"/>
      <c r="B1900" s="80"/>
      <c r="C1900" s="80"/>
      <c r="D1900" s="80"/>
      <c r="E1900" s="80"/>
      <c r="F1900" s="80"/>
      <c r="G1900" s="80"/>
      <c r="H1900" s="80"/>
      <c r="I1900" s="80"/>
      <c r="J1900" s="80"/>
      <c r="K1900" s="80"/>
      <c r="L1900" s="2"/>
      <c r="M1900" s="2"/>
      <c r="N1900" s="2"/>
      <c r="O1900" s="2"/>
      <c r="P1900" s="2"/>
      <c r="Q1900" s="2"/>
      <c r="R1900" s="80"/>
      <c r="S1900" s="80"/>
      <c r="T1900" s="80"/>
      <c r="U1900" s="80"/>
      <c r="V1900" s="80"/>
      <c r="W1900" s="80"/>
      <c r="X1900" s="80"/>
      <c r="Y1900" s="80"/>
      <c r="Z1900" s="80"/>
      <c r="AA1900" s="80"/>
      <c r="AB1900" s="80"/>
      <c r="AC1900" s="80"/>
      <c r="AD1900" s="80"/>
      <c r="AE1900" s="80"/>
      <c r="AF1900" s="80"/>
      <c r="AG1900" s="80"/>
      <c r="AH1900" s="80"/>
      <c r="AI1900" s="80"/>
    </row>
    <row r="1901" spans="1:35" x14ac:dyDescent="0.2">
      <c r="A1901" s="80"/>
      <c r="B1901" s="80"/>
      <c r="C1901" s="80"/>
      <c r="D1901" s="80"/>
      <c r="E1901" s="80"/>
      <c r="F1901" s="80"/>
      <c r="G1901" s="80"/>
      <c r="H1901" s="80"/>
      <c r="I1901" s="80"/>
      <c r="J1901" s="80"/>
      <c r="K1901" s="80"/>
      <c r="L1901" s="2"/>
      <c r="M1901" s="2"/>
      <c r="N1901" s="2"/>
      <c r="O1901" s="2"/>
      <c r="P1901" s="2"/>
      <c r="Q1901" s="2"/>
      <c r="R1901" s="80"/>
      <c r="S1901" s="80"/>
      <c r="T1901" s="80"/>
      <c r="U1901" s="80"/>
      <c r="V1901" s="80"/>
      <c r="W1901" s="80"/>
      <c r="X1901" s="80"/>
      <c r="Y1901" s="80"/>
      <c r="Z1901" s="80"/>
      <c r="AA1901" s="80"/>
      <c r="AB1901" s="80"/>
      <c r="AC1901" s="80"/>
      <c r="AD1901" s="80"/>
      <c r="AE1901" s="80"/>
      <c r="AF1901" s="80"/>
      <c r="AG1901" s="80"/>
      <c r="AH1901" s="80"/>
      <c r="AI1901" s="80"/>
    </row>
    <row r="1902" spans="1:35" x14ac:dyDescent="0.2">
      <c r="A1902" s="80"/>
      <c r="B1902" s="80"/>
      <c r="C1902" s="80"/>
      <c r="D1902" s="80"/>
      <c r="E1902" s="80"/>
      <c r="F1902" s="80"/>
      <c r="G1902" s="80"/>
      <c r="H1902" s="80"/>
      <c r="I1902" s="80"/>
      <c r="J1902" s="80"/>
      <c r="K1902" s="80"/>
      <c r="L1902" s="2"/>
      <c r="M1902" s="2"/>
      <c r="N1902" s="2"/>
      <c r="O1902" s="2"/>
      <c r="P1902" s="2"/>
      <c r="Q1902" s="2"/>
      <c r="R1902" s="80"/>
      <c r="S1902" s="80"/>
      <c r="T1902" s="80"/>
      <c r="U1902" s="80"/>
      <c r="V1902" s="80"/>
      <c r="W1902" s="80"/>
      <c r="X1902" s="80"/>
      <c r="Y1902" s="80"/>
      <c r="Z1902" s="80"/>
      <c r="AA1902" s="80"/>
      <c r="AB1902" s="80"/>
      <c r="AC1902" s="80"/>
      <c r="AD1902" s="80"/>
      <c r="AE1902" s="80"/>
      <c r="AF1902" s="80"/>
      <c r="AG1902" s="80"/>
      <c r="AH1902" s="80"/>
      <c r="AI1902" s="80"/>
    </row>
    <row r="1903" spans="1:35" x14ac:dyDescent="0.2">
      <c r="A1903" s="80"/>
      <c r="B1903" s="80"/>
      <c r="C1903" s="80"/>
      <c r="D1903" s="80"/>
      <c r="E1903" s="80"/>
      <c r="F1903" s="80"/>
      <c r="G1903" s="80"/>
      <c r="H1903" s="80"/>
      <c r="I1903" s="80"/>
      <c r="J1903" s="80"/>
      <c r="K1903" s="80"/>
      <c r="L1903" s="2"/>
      <c r="M1903" s="2"/>
      <c r="N1903" s="2"/>
      <c r="O1903" s="2"/>
      <c r="P1903" s="2"/>
      <c r="Q1903" s="2"/>
      <c r="R1903" s="80"/>
      <c r="S1903" s="80"/>
      <c r="T1903" s="80"/>
      <c r="U1903" s="80"/>
      <c r="V1903" s="80"/>
      <c r="W1903" s="80"/>
      <c r="X1903" s="80"/>
      <c r="Y1903" s="80"/>
      <c r="Z1903" s="80"/>
      <c r="AA1903" s="80"/>
      <c r="AB1903" s="80"/>
      <c r="AC1903" s="80"/>
      <c r="AD1903" s="80"/>
      <c r="AE1903" s="80"/>
      <c r="AF1903" s="80"/>
      <c r="AG1903" s="80"/>
      <c r="AH1903" s="80"/>
      <c r="AI1903" s="80"/>
    </row>
    <row r="1904" spans="1:35" x14ac:dyDescent="0.2">
      <c r="A1904" s="80"/>
      <c r="B1904" s="80"/>
      <c r="C1904" s="80"/>
      <c r="D1904" s="80"/>
      <c r="E1904" s="80"/>
      <c r="F1904" s="80"/>
      <c r="G1904" s="80"/>
      <c r="H1904" s="80"/>
      <c r="I1904" s="80"/>
      <c r="J1904" s="80"/>
      <c r="K1904" s="80"/>
      <c r="L1904" s="2"/>
      <c r="M1904" s="2"/>
      <c r="N1904" s="2"/>
      <c r="O1904" s="2"/>
      <c r="P1904" s="2"/>
      <c r="Q1904" s="2"/>
      <c r="R1904" s="80"/>
      <c r="S1904" s="80"/>
      <c r="T1904" s="80"/>
      <c r="U1904" s="80"/>
      <c r="V1904" s="80"/>
      <c r="W1904" s="80"/>
      <c r="X1904" s="80"/>
      <c r="Y1904" s="80"/>
      <c r="Z1904" s="80"/>
      <c r="AA1904" s="80"/>
      <c r="AB1904" s="80"/>
      <c r="AC1904" s="80"/>
      <c r="AD1904" s="80"/>
      <c r="AE1904" s="80"/>
      <c r="AF1904" s="80"/>
      <c r="AG1904" s="80"/>
      <c r="AH1904" s="80"/>
      <c r="AI1904" s="80"/>
    </row>
    <row r="1905" spans="1:35" x14ac:dyDescent="0.2">
      <c r="A1905" s="80"/>
      <c r="B1905" s="80"/>
      <c r="C1905" s="80"/>
      <c r="D1905" s="80"/>
      <c r="E1905" s="80"/>
      <c r="F1905" s="80"/>
      <c r="G1905" s="80"/>
      <c r="H1905" s="80"/>
      <c r="I1905" s="80"/>
      <c r="J1905" s="80"/>
      <c r="K1905" s="80"/>
      <c r="L1905" s="2"/>
      <c r="M1905" s="2"/>
      <c r="N1905" s="2"/>
      <c r="O1905" s="2"/>
      <c r="P1905" s="2"/>
      <c r="Q1905" s="2"/>
      <c r="R1905" s="80"/>
      <c r="S1905" s="80"/>
      <c r="T1905" s="80"/>
      <c r="U1905" s="80"/>
      <c r="V1905" s="80"/>
      <c r="W1905" s="80"/>
      <c r="X1905" s="80"/>
      <c r="Y1905" s="80"/>
      <c r="Z1905" s="80"/>
      <c r="AA1905" s="80"/>
      <c r="AB1905" s="80"/>
      <c r="AC1905" s="80"/>
      <c r="AD1905" s="80"/>
      <c r="AE1905" s="80"/>
      <c r="AF1905" s="80"/>
      <c r="AG1905" s="80"/>
      <c r="AH1905" s="80"/>
      <c r="AI1905" s="80"/>
    </row>
    <row r="1906" spans="1:35" x14ac:dyDescent="0.2">
      <c r="A1906" s="80"/>
      <c r="B1906" s="80"/>
      <c r="C1906" s="80"/>
      <c r="D1906" s="80"/>
      <c r="E1906" s="80"/>
      <c r="F1906" s="80"/>
      <c r="G1906" s="80"/>
      <c r="H1906" s="80"/>
      <c r="I1906" s="80"/>
      <c r="J1906" s="80"/>
      <c r="K1906" s="80"/>
      <c r="L1906" s="2"/>
      <c r="M1906" s="2"/>
      <c r="N1906" s="2"/>
      <c r="O1906" s="2"/>
      <c r="P1906" s="2"/>
      <c r="Q1906" s="2"/>
      <c r="R1906" s="80"/>
      <c r="S1906" s="80"/>
      <c r="T1906" s="80"/>
      <c r="U1906" s="80"/>
      <c r="V1906" s="80"/>
      <c r="W1906" s="80"/>
      <c r="X1906" s="80"/>
      <c r="Y1906" s="80"/>
      <c r="Z1906" s="80"/>
      <c r="AA1906" s="80"/>
      <c r="AB1906" s="80"/>
      <c r="AC1906" s="80"/>
      <c r="AD1906" s="80"/>
      <c r="AE1906" s="80"/>
      <c r="AF1906" s="80"/>
      <c r="AG1906" s="80"/>
      <c r="AH1906" s="80"/>
      <c r="AI1906" s="80"/>
    </row>
    <row r="1907" spans="1:35" x14ac:dyDescent="0.2">
      <c r="A1907" s="80"/>
      <c r="B1907" s="80"/>
      <c r="C1907" s="80"/>
      <c r="D1907" s="80"/>
      <c r="E1907" s="80"/>
      <c r="F1907" s="80"/>
      <c r="G1907" s="80"/>
      <c r="H1907" s="80"/>
      <c r="I1907" s="80"/>
      <c r="J1907" s="80"/>
      <c r="K1907" s="80"/>
      <c r="L1907" s="2"/>
      <c r="M1907" s="2"/>
      <c r="N1907" s="2"/>
      <c r="O1907" s="2"/>
      <c r="P1907" s="2"/>
      <c r="Q1907" s="2"/>
      <c r="R1907" s="80"/>
      <c r="S1907" s="80"/>
      <c r="T1907" s="80"/>
      <c r="U1907" s="80"/>
      <c r="V1907" s="80"/>
      <c r="W1907" s="80"/>
      <c r="X1907" s="80"/>
      <c r="Y1907" s="80"/>
      <c r="Z1907" s="80"/>
      <c r="AA1907" s="80"/>
      <c r="AB1907" s="80"/>
      <c r="AC1907" s="80"/>
      <c r="AD1907" s="80"/>
      <c r="AE1907" s="80"/>
      <c r="AF1907" s="80"/>
      <c r="AG1907" s="80"/>
      <c r="AH1907" s="80"/>
      <c r="AI1907" s="80"/>
    </row>
    <row r="1908" spans="1:35" x14ac:dyDescent="0.2">
      <c r="A1908" s="80"/>
      <c r="B1908" s="80"/>
      <c r="C1908" s="80"/>
      <c r="D1908" s="80"/>
      <c r="E1908" s="80"/>
      <c r="F1908" s="80"/>
      <c r="G1908" s="80"/>
      <c r="H1908" s="80"/>
      <c r="I1908" s="80"/>
      <c r="J1908" s="80"/>
      <c r="K1908" s="80"/>
      <c r="L1908" s="2"/>
      <c r="M1908" s="2"/>
      <c r="N1908" s="2"/>
      <c r="O1908" s="2"/>
      <c r="P1908" s="2"/>
      <c r="Q1908" s="2"/>
      <c r="R1908" s="80"/>
      <c r="S1908" s="80"/>
      <c r="T1908" s="80"/>
      <c r="U1908" s="80"/>
      <c r="V1908" s="80"/>
      <c r="W1908" s="80"/>
      <c r="X1908" s="80"/>
      <c r="Y1908" s="80"/>
      <c r="Z1908" s="80"/>
      <c r="AA1908" s="80"/>
      <c r="AB1908" s="80"/>
      <c r="AC1908" s="80"/>
      <c r="AD1908" s="80"/>
      <c r="AE1908" s="80"/>
      <c r="AF1908" s="80"/>
      <c r="AG1908" s="80"/>
      <c r="AH1908" s="80"/>
      <c r="AI1908" s="80"/>
    </row>
    <row r="1909" spans="1:35" x14ac:dyDescent="0.2">
      <c r="A1909" s="80"/>
      <c r="B1909" s="80"/>
      <c r="C1909" s="80"/>
      <c r="D1909" s="80"/>
      <c r="E1909" s="80"/>
      <c r="F1909" s="80"/>
      <c r="G1909" s="80"/>
      <c r="H1909" s="80"/>
      <c r="I1909" s="80"/>
      <c r="J1909" s="80"/>
      <c r="K1909" s="80"/>
      <c r="L1909" s="2"/>
      <c r="M1909" s="2"/>
      <c r="N1909" s="2"/>
      <c r="O1909" s="2"/>
      <c r="P1909" s="2"/>
      <c r="Q1909" s="2"/>
      <c r="R1909" s="80"/>
      <c r="S1909" s="80"/>
      <c r="T1909" s="80"/>
      <c r="U1909" s="80"/>
      <c r="V1909" s="80"/>
      <c r="W1909" s="80"/>
      <c r="X1909" s="80"/>
      <c r="Y1909" s="80"/>
      <c r="Z1909" s="80"/>
      <c r="AA1909" s="80"/>
      <c r="AB1909" s="80"/>
      <c r="AC1909" s="80"/>
      <c r="AD1909" s="80"/>
      <c r="AE1909" s="80"/>
      <c r="AF1909" s="80"/>
      <c r="AG1909" s="80"/>
      <c r="AH1909" s="80"/>
      <c r="AI1909" s="80"/>
    </row>
    <row r="1910" spans="1:35" x14ac:dyDescent="0.2">
      <c r="A1910" s="80"/>
      <c r="B1910" s="80"/>
      <c r="C1910" s="80"/>
      <c r="D1910" s="80"/>
      <c r="E1910" s="80"/>
      <c r="F1910" s="80"/>
      <c r="G1910" s="80"/>
      <c r="H1910" s="80"/>
      <c r="I1910" s="80"/>
      <c r="J1910" s="80"/>
      <c r="K1910" s="80"/>
      <c r="L1910" s="2"/>
      <c r="M1910" s="2"/>
      <c r="N1910" s="2"/>
      <c r="O1910" s="2"/>
      <c r="P1910" s="2"/>
      <c r="Q1910" s="2"/>
      <c r="R1910" s="80"/>
      <c r="S1910" s="80"/>
      <c r="T1910" s="80"/>
      <c r="U1910" s="80"/>
      <c r="V1910" s="80"/>
      <c r="W1910" s="80"/>
      <c r="X1910" s="80"/>
      <c r="Y1910" s="80"/>
      <c r="Z1910" s="80"/>
      <c r="AA1910" s="80"/>
      <c r="AB1910" s="80"/>
      <c r="AC1910" s="80"/>
      <c r="AD1910" s="80"/>
      <c r="AE1910" s="80"/>
      <c r="AF1910" s="80"/>
      <c r="AG1910" s="80"/>
      <c r="AH1910" s="80"/>
      <c r="AI1910" s="80"/>
    </row>
    <row r="1911" spans="1:35" x14ac:dyDescent="0.2">
      <c r="A1911" s="80"/>
      <c r="B1911" s="80"/>
      <c r="C1911" s="80"/>
      <c r="D1911" s="80"/>
      <c r="E1911" s="80"/>
      <c r="F1911" s="80"/>
      <c r="G1911" s="80"/>
      <c r="H1911" s="80"/>
      <c r="I1911" s="80"/>
      <c r="J1911" s="80"/>
      <c r="K1911" s="80"/>
      <c r="L1911" s="2"/>
      <c r="M1911" s="2"/>
      <c r="N1911" s="2"/>
      <c r="O1911" s="2"/>
      <c r="P1911" s="2"/>
      <c r="Q1911" s="2"/>
      <c r="R1911" s="80"/>
      <c r="S1911" s="80"/>
      <c r="T1911" s="80"/>
      <c r="U1911" s="80"/>
      <c r="V1911" s="80"/>
      <c r="W1911" s="80"/>
      <c r="X1911" s="80"/>
      <c r="Y1911" s="80"/>
      <c r="Z1911" s="80"/>
      <c r="AA1911" s="80"/>
      <c r="AB1911" s="80"/>
      <c r="AC1911" s="80"/>
      <c r="AD1911" s="80"/>
      <c r="AE1911" s="80"/>
      <c r="AF1911" s="80"/>
      <c r="AG1911" s="80"/>
      <c r="AH1911" s="80"/>
      <c r="AI1911" s="80"/>
    </row>
    <row r="1912" spans="1:35" x14ac:dyDescent="0.2">
      <c r="A1912" s="80"/>
      <c r="B1912" s="80"/>
      <c r="C1912" s="80"/>
      <c r="D1912" s="80"/>
      <c r="E1912" s="80"/>
      <c r="F1912" s="80"/>
      <c r="G1912" s="80"/>
      <c r="H1912" s="80"/>
      <c r="I1912" s="80"/>
      <c r="J1912" s="80"/>
      <c r="K1912" s="80"/>
      <c r="L1912" s="2"/>
      <c r="M1912" s="2"/>
      <c r="N1912" s="2"/>
      <c r="O1912" s="2"/>
      <c r="P1912" s="2"/>
      <c r="Q1912" s="2"/>
      <c r="R1912" s="80"/>
      <c r="S1912" s="80"/>
      <c r="T1912" s="80"/>
      <c r="U1912" s="80"/>
      <c r="V1912" s="80"/>
      <c r="W1912" s="80"/>
      <c r="X1912" s="80"/>
      <c r="Y1912" s="80"/>
      <c r="Z1912" s="80"/>
      <c r="AA1912" s="80"/>
      <c r="AB1912" s="80"/>
      <c r="AC1912" s="80"/>
      <c r="AD1912" s="80"/>
      <c r="AE1912" s="80"/>
      <c r="AF1912" s="80"/>
      <c r="AG1912" s="80"/>
      <c r="AH1912" s="80"/>
      <c r="AI1912" s="80"/>
    </row>
    <row r="1913" spans="1:35" x14ac:dyDescent="0.2">
      <c r="A1913" s="80"/>
      <c r="B1913" s="80"/>
      <c r="C1913" s="80"/>
      <c r="D1913" s="80"/>
      <c r="E1913" s="80"/>
      <c r="F1913" s="80"/>
      <c r="G1913" s="80"/>
      <c r="H1913" s="80"/>
      <c r="I1913" s="80"/>
      <c r="J1913" s="80"/>
      <c r="K1913" s="80"/>
      <c r="L1913" s="2"/>
      <c r="M1913" s="2"/>
      <c r="N1913" s="2"/>
      <c r="O1913" s="2"/>
      <c r="P1913" s="2"/>
      <c r="Q1913" s="2"/>
      <c r="R1913" s="80"/>
      <c r="S1913" s="80"/>
      <c r="T1913" s="80"/>
      <c r="U1913" s="80"/>
      <c r="V1913" s="80"/>
      <c r="W1913" s="80"/>
      <c r="X1913" s="80"/>
      <c r="Y1913" s="80"/>
      <c r="Z1913" s="80"/>
      <c r="AA1913" s="80"/>
      <c r="AB1913" s="80"/>
      <c r="AC1913" s="80"/>
      <c r="AD1913" s="80"/>
      <c r="AE1913" s="80"/>
      <c r="AF1913" s="80"/>
      <c r="AG1913" s="80"/>
      <c r="AH1913" s="80"/>
      <c r="AI1913" s="80"/>
    </row>
    <row r="1914" spans="1:35" x14ac:dyDescent="0.2">
      <c r="A1914" s="80"/>
      <c r="B1914" s="80"/>
      <c r="C1914" s="80"/>
      <c r="D1914" s="80"/>
      <c r="E1914" s="80"/>
      <c r="F1914" s="80"/>
      <c r="G1914" s="80"/>
      <c r="H1914" s="80"/>
      <c r="I1914" s="80"/>
      <c r="J1914" s="80"/>
      <c r="K1914" s="80"/>
      <c r="L1914" s="2"/>
      <c r="M1914" s="2"/>
      <c r="N1914" s="2"/>
      <c r="O1914" s="2"/>
      <c r="P1914" s="2"/>
      <c r="Q1914" s="2"/>
      <c r="R1914" s="80"/>
      <c r="S1914" s="80"/>
      <c r="T1914" s="80"/>
      <c r="U1914" s="80"/>
      <c r="V1914" s="80"/>
      <c r="W1914" s="80"/>
      <c r="X1914" s="80"/>
      <c r="Y1914" s="80"/>
      <c r="Z1914" s="80"/>
      <c r="AA1914" s="80"/>
      <c r="AB1914" s="80"/>
      <c r="AC1914" s="80"/>
      <c r="AD1914" s="80"/>
      <c r="AE1914" s="80"/>
      <c r="AF1914" s="80"/>
      <c r="AG1914" s="80"/>
      <c r="AH1914" s="80"/>
      <c r="AI1914" s="80"/>
    </row>
    <row r="1915" spans="1:35" x14ac:dyDescent="0.2">
      <c r="A1915" s="80"/>
      <c r="B1915" s="80"/>
      <c r="C1915" s="80"/>
      <c r="D1915" s="80"/>
      <c r="E1915" s="80"/>
      <c r="F1915" s="80"/>
      <c r="G1915" s="80"/>
      <c r="H1915" s="80"/>
      <c r="I1915" s="80"/>
      <c r="J1915" s="80"/>
      <c r="K1915" s="80"/>
      <c r="L1915" s="2"/>
      <c r="M1915" s="2"/>
      <c r="N1915" s="2"/>
      <c r="O1915" s="2"/>
      <c r="P1915" s="2"/>
      <c r="Q1915" s="2"/>
      <c r="R1915" s="80"/>
      <c r="S1915" s="80"/>
      <c r="T1915" s="80"/>
      <c r="U1915" s="80"/>
      <c r="V1915" s="80"/>
      <c r="W1915" s="80"/>
      <c r="X1915" s="80"/>
      <c r="Y1915" s="80"/>
      <c r="Z1915" s="80"/>
      <c r="AA1915" s="80"/>
      <c r="AB1915" s="80"/>
      <c r="AC1915" s="80"/>
      <c r="AD1915" s="80"/>
      <c r="AE1915" s="80"/>
      <c r="AF1915" s="80"/>
      <c r="AG1915" s="80"/>
      <c r="AH1915" s="80"/>
      <c r="AI1915" s="80"/>
    </row>
    <row r="1916" spans="1:35" x14ac:dyDescent="0.2">
      <c r="A1916" s="80"/>
      <c r="B1916" s="80"/>
      <c r="C1916" s="80"/>
      <c r="D1916" s="80"/>
      <c r="E1916" s="80"/>
      <c r="F1916" s="80"/>
      <c r="G1916" s="80"/>
      <c r="H1916" s="80"/>
      <c r="I1916" s="80"/>
      <c r="J1916" s="80"/>
      <c r="K1916" s="80"/>
      <c r="L1916" s="2"/>
      <c r="M1916" s="2"/>
      <c r="N1916" s="2"/>
      <c r="O1916" s="2"/>
      <c r="P1916" s="2"/>
      <c r="Q1916" s="2"/>
      <c r="R1916" s="80"/>
      <c r="S1916" s="80"/>
      <c r="T1916" s="80"/>
      <c r="U1916" s="80"/>
      <c r="V1916" s="80"/>
      <c r="W1916" s="80"/>
      <c r="X1916" s="80"/>
      <c r="Y1916" s="80"/>
      <c r="Z1916" s="80"/>
      <c r="AA1916" s="80"/>
      <c r="AB1916" s="80"/>
      <c r="AC1916" s="80"/>
      <c r="AD1916" s="80"/>
      <c r="AE1916" s="80"/>
      <c r="AF1916" s="80"/>
      <c r="AG1916" s="80"/>
      <c r="AH1916" s="80"/>
      <c r="AI1916" s="80"/>
    </row>
    <row r="1917" spans="1:35" x14ac:dyDescent="0.2">
      <c r="A1917" s="80"/>
      <c r="B1917" s="80"/>
      <c r="C1917" s="80"/>
      <c r="D1917" s="80"/>
      <c r="E1917" s="80"/>
      <c r="F1917" s="80"/>
      <c r="G1917" s="80"/>
      <c r="H1917" s="80"/>
      <c r="I1917" s="80"/>
      <c r="J1917" s="80"/>
      <c r="K1917" s="80"/>
      <c r="L1917" s="2"/>
      <c r="M1917" s="2"/>
      <c r="N1917" s="2"/>
      <c r="O1917" s="2"/>
      <c r="P1917" s="2"/>
      <c r="Q1917" s="2"/>
      <c r="R1917" s="80"/>
      <c r="S1917" s="80"/>
      <c r="T1917" s="80"/>
      <c r="U1917" s="80"/>
      <c r="V1917" s="80"/>
      <c r="W1917" s="80"/>
      <c r="X1917" s="80"/>
      <c r="Y1917" s="80"/>
      <c r="Z1917" s="80"/>
      <c r="AA1917" s="80"/>
      <c r="AB1917" s="80"/>
      <c r="AC1917" s="80"/>
      <c r="AD1917" s="80"/>
      <c r="AE1917" s="80"/>
      <c r="AF1917" s="80"/>
      <c r="AG1917" s="80"/>
      <c r="AH1917" s="80"/>
      <c r="AI1917" s="80"/>
    </row>
    <row r="1918" spans="1:35" x14ac:dyDescent="0.2">
      <c r="A1918" s="80"/>
      <c r="B1918" s="80"/>
      <c r="C1918" s="80"/>
      <c r="D1918" s="80"/>
      <c r="E1918" s="80"/>
      <c r="F1918" s="80"/>
      <c r="G1918" s="80"/>
      <c r="H1918" s="80"/>
      <c r="I1918" s="80"/>
      <c r="J1918" s="80"/>
      <c r="K1918" s="80"/>
      <c r="L1918" s="2"/>
      <c r="M1918" s="2"/>
      <c r="N1918" s="2"/>
      <c r="O1918" s="2"/>
      <c r="P1918" s="2"/>
      <c r="Q1918" s="2"/>
      <c r="R1918" s="80"/>
      <c r="S1918" s="80"/>
      <c r="T1918" s="80"/>
      <c r="U1918" s="80"/>
      <c r="V1918" s="80"/>
      <c r="W1918" s="80"/>
      <c r="X1918" s="80"/>
      <c r="Y1918" s="80"/>
      <c r="Z1918" s="80"/>
      <c r="AA1918" s="80"/>
      <c r="AB1918" s="80"/>
      <c r="AC1918" s="80"/>
      <c r="AD1918" s="80"/>
      <c r="AE1918" s="80"/>
      <c r="AF1918" s="80"/>
      <c r="AG1918" s="80"/>
      <c r="AH1918" s="80"/>
      <c r="AI1918" s="80"/>
    </row>
    <row r="1919" spans="1:35" x14ac:dyDescent="0.2">
      <c r="A1919" s="80"/>
      <c r="B1919" s="80"/>
      <c r="C1919" s="80"/>
      <c r="D1919" s="80"/>
      <c r="E1919" s="80"/>
      <c r="F1919" s="80"/>
      <c r="G1919" s="80"/>
      <c r="H1919" s="80"/>
      <c r="I1919" s="80"/>
      <c r="J1919" s="80"/>
      <c r="K1919" s="80"/>
      <c r="L1919" s="2"/>
      <c r="M1919" s="2"/>
      <c r="N1919" s="2"/>
      <c r="O1919" s="2"/>
      <c r="P1919" s="2"/>
      <c r="Q1919" s="2"/>
      <c r="R1919" s="80"/>
      <c r="S1919" s="80"/>
      <c r="T1919" s="80"/>
      <c r="U1919" s="80"/>
      <c r="V1919" s="80"/>
      <c r="W1919" s="80"/>
      <c r="X1919" s="80"/>
      <c r="Y1919" s="80"/>
      <c r="Z1919" s="80"/>
      <c r="AA1919" s="80"/>
      <c r="AB1919" s="80"/>
      <c r="AC1919" s="80"/>
      <c r="AD1919" s="80"/>
      <c r="AE1919" s="80"/>
      <c r="AF1919" s="80"/>
      <c r="AG1919" s="80"/>
      <c r="AH1919" s="80"/>
      <c r="AI1919" s="80"/>
    </row>
    <row r="1920" spans="1:35" x14ac:dyDescent="0.2">
      <c r="A1920" s="80"/>
      <c r="B1920" s="80"/>
      <c r="C1920" s="80"/>
      <c r="D1920" s="80"/>
      <c r="E1920" s="80"/>
      <c r="F1920" s="80"/>
      <c r="G1920" s="80"/>
      <c r="H1920" s="80"/>
      <c r="I1920" s="80"/>
      <c r="J1920" s="80"/>
      <c r="K1920" s="80"/>
      <c r="L1920" s="2"/>
      <c r="M1920" s="2"/>
      <c r="N1920" s="2"/>
      <c r="O1920" s="2"/>
      <c r="P1920" s="2"/>
      <c r="Q1920" s="2"/>
      <c r="R1920" s="80"/>
      <c r="S1920" s="80"/>
      <c r="T1920" s="80"/>
      <c r="U1920" s="80"/>
      <c r="V1920" s="80"/>
      <c r="W1920" s="80"/>
      <c r="X1920" s="80"/>
      <c r="Y1920" s="80"/>
      <c r="Z1920" s="80"/>
      <c r="AA1920" s="80"/>
      <c r="AB1920" s="80"/>
      <c r="AC1920" s="80"/>
      <c r="AD1920" s="80"/>
      <c r="AE1920" s="80"/>
      <c r="AF1920" s="80"/>
      <c r="AG1920" s="80"/>
      <c r="AH1920" s="80"/>
      <c r="AI1920" s="80"/>
    </row>
    <row r="1921" spans="1:35" x14ac:dyDescent="0.2">
      <c r="A1921" s="80"/>
      <c r="B1921" s="80"/>
      <c r="C1921" s="80"/>
      <c r="D1921" s="80"/>
      <c r="E1921" s="80"/>
      <c r="F1921" s="80"/>
      <c r="G1921" s="80"/>
      <c r="H1921" s="80"/>
      <c r="I1921" s="80"/>
      <c r="J1921" s="80"/>
      <c r="K1921" s="80"/>
      <c r="L1921" s="2"/>
      <c r="M1921" s="2"/>
      <c r="N1921" s="2"/>
      <c r="O1921" s="2"/>
      <c r="P1921" s="2"/>
      <c r="Q1921" s="2"/>
      <c r="R1921" s="80"/>
      <c r="S1921" s="80"/>
      <c r="T1921" s="80"/>
      <c r="U1921" s="80"/>
      <c r="V1921" s="80"/>
      <c r="W1921" s="80"/>
      <c r="X1921" s="80"/>
      <c r="Y1921" s="80"/>
      <c r="Z1921" s="80"/>
      <c r="AA1921" s="80"/>
      <c r="AB1921" s="80"/>
      <c r="AC1921" s="80"/>
      <c r="AD1921" s="80"/>
      <c r="AE1921" s="80"/>
      <c r="AF1921" s="80"/>
      <c r="AG1921" s="80"/>
      <c r="AH1921" s="80"/>
      <c r="AI1921" s="80"/>
    </row>
    <row r="1922" spans="1:35" x14ac:dyDescent="0.2">
      <c r="A1922" s="80"/>
      <c r="B1922" s="80"/>
      <c r="C1922" s="80"/>
      <c r="D1922" s="80"/>
      <c r="E1922" s="80"/>
      <c r="F1922" s="80"/>
      <c r="G1922" s="80"/>
      <c r="H1922" s="80"/>
      <c r="I1922" s="80"/>
      <c r="J1922" s="80"/>
      <c r="K1922" s="80"/>
      <c r="L1922" s="2"/>
      <c r="M1922" s="2"/>
      <c r="N1922" s="2"/>
      <c r="O1922" s="2"/>
      <c r="P1922" s="2"/>
      <c r="Q1922" s="2"/>
      <c r="R1922" s="80"/>
      <c r="S1922" s="80"/>
      <c r="T1922" s="80"/>
      <c r="U1922" s="80"/>
      <c r="V1922" s="80"/>
      <c r="W1922" s="80"/>
      <c r="X1922" s="80"/>
      <c r="Y1922" s="80"/>
      <c r="Z1922" s="80"/>
      <c r="AA1922" s="80"/>
      <c r="AB1922" s="80"/>
      <c r="AC1922" s="80"/>
      <c r="AD1922" s="80"/>
      <c r="AE1922" s="80"/>
      <c r="AF1922" s="80"/>
      <c r="AG1922" s="80"/>
      <c r="AH1922" s="80"/>
      <c r="AI1922" s="80"/>
    </row>
    <row r="1923" spans="1:35" x14ac:dyDescent="0.2">
      <c r="A1923" s="80"/>
      <c r="B1923" s="80"/>
      <c r="C1923" s="80"/>
      <c r="D1923" s="80"/>
      <c r="E1923" s="80"/>
      <c r="F1923" s="80"/>
      <c r="G1923" s="80"/>
      <c r="H1923" s="80"/>
      <c r="I1923" s="80"/>
      <c r="J1923" s="80"/>
      <c r="K1923" s="80"/>
      <c r="L1923" s="2"/>
      <c r="M1923" s="2"/>
      <c r="N1923" s="2"/>
      <c r="O1923" s="2"/>
      <c r="P1923" s="2"/>
      <c r="Q1923" s="2"/>
      <c r="R1923" s="80"/>
      <c r="S1923" s="80"/>
      <c r="T1923" s="80"/>
      <c r="U1923" s="80"/>
      <c r="V1923" s="80"/>
      <c r="W1923" s="80"/>
      <c r="X1923" s="80"/>
      <c r="Y1923" s="80"/>
      <c r="Z1923" s="80"/>
      <c r="AA1923" s="80"/>
      <c r="AB1923" s="80"/>
      <c r="AC1923" s="80"/>
      <c r="AD1923" s="80"/>
      <c r="AE1923" s="80"/>
      <c r="AF1923" s="80"/>
      <c r="AG1923" s="80"/>
      <c r="AH1923" s="80"/>
      <c r="AI1923" s="80"/>
    </row>
    <row r="1924" spans="1:35" x14ac:dyDescent="0.2">
      <c r="A1924" s="80"/>
      <c r="B1924" s="80"/>
      <c r="C1924" s="80"/>
      <c r="D1924" s="80"/>
      <c r="E1924" s="80"/>
      <c r="F1924" s="80"/>
      <c r="G1924" s="80"/>
      <c r="H1924" s="80"/>
      <c r="I1924" s="80"/>
      <c r="J1924" s="80"/>
      <c r="K1924" s="80"/>
      <c r="L1924" s="2"/>
      <c r="M1924" s="2"/>
      <c r="N1924" s="2"/>
      <c r="O1924" s="2"/>
      <c r="P1924" s="2"/>
      <c r="Q1924" s="2"/>
      <c r="R1924" s="80"/>
      <c r="S1924" s="80"/>
      <c r="T1924" s="80"/>
      <c r="U1924" s="80"/>
      <c r="V1924" s="80"/>
      <c r="W1924" s="80"/>
      <c r="X1924" s="80"/>
      <c r="Y1924" s="80"/>
      <c r="Z1924" s="80"/>
      <c r="AA1924" s="80"/>
      <c r="AB1924" s="80"/>
      <c r="AC1924" s="80"/>
      <c r="AD1924" s="80"/>
      <c r="AE1924" s="80"/>
      <c r="AF1924" s="80"/>
      <c r="AG1924" s="80"/>
      <c r="AH1924" s="80"/>
      <c r="AI1924" s="80"/>
    </row>
    <row r="1925" spans="1:35" x14ac:dyDescent="0.2">
      <c r="A1925" s="80"/>
      <c r="B1925" s="80"/>
      <c r="C1925" s="80"/>
      <c r="D1925" s="80"/>
      <c r="E1925" s="80"/>
      <c r="F1925" s="80"/>
      <c r="G1925" s="80"/>
      <c r="H1925" s="80"/>
      <c r="I1925" s="80"/>
      <c r="J1925" s="80"/>
      <c r="K1925" s="80"/>
      <c r="L1925" s="2"/>
      <c r="M1925" s="2"/>
      <c r="N1925" s="2"/>
      <c r="O1925" s="2"/>
      <c r="P1925" s="2"/>
      <c r="Q1925" s="2"/>
      <c r="R1925" s="80"/>
      <c r="S1925" s="80"/>
      <c r="T1925" s="80"/>
      <c r="U1925" s="80"/>
      <c r="V1925" s="80"/>
      <c r="W1925" s="80"/>
      <c r="X1925" s="80"/>
      <c r="Y1925" s="80"/>
      <c r="Z1925" s="80"/>
      <c r="AA1925" s="80"/>
      <c r="AB1925" s="80"/>
      <c r="AC1925" s="80"/>
      <c r="AD1925" s="80"/>
      <c r="AE1925" s="80"/>
      <c r="AF1925" s="80"/>
      <c r="AG1925" s="80"/>
      <c r="AH1925" s="80"/>
      <c r="AI1925" s="80"/>
    </row>
    <row r="1926" spans="1:35" x14ac:dyDescent="0.2">
      <c r="A1926" s="80"/>
      <c r="B1926" s="80"/>
      <c r="C1926" s="80"/>
      <c r="D1926" s="80"/>
      <c r="E1926" s="80"/>
      <c r="F1926" s="80"/>
      <c r="G1926" s="80"/>
      <c r="H1926" s="80"/>
      <c r="I1926" s="80"/>
      <c r="J1926" s="80"/>
      <c r="K1926" s="80"/>
      <c r="L1926" s="2"/>
      <c r="M1926" s="2"/>
      <c r="N1926" s="2"/>
      <c r="O1926" s="2"/>
      <c r="P1926" s="2"/>
      <c r="Q1926" s="2"/>
      <c r="R1926" s="80"/>
      <c r="S1926" s="80"/>
      <c r="T1926" s="80"/>
      <c r="U1926" s="80"/>
      <c r="V1926" s="80"/>
      <c r="W1926" s="80"/>
      <c r="X1926" s="80"/>
      <c r="Y1926" s="80"/>
      <c r="Z1926" s="80"/>
      <c r="AA1926" s="80"/>
      <c r="AB1926" s="80"/>
      <c r="AC1926" s="80"/>
      <c r="AD1926" s="80"/>
      <c r="AE1926" s="80"/>
      <c r="AF1926" s="80"/>
      <c r="AG1926" s="80"/>
      <c r="AH1926" s="80"/>
      <c r="AI1926" s="80"/>
    </row>
    <row r="1927" spans="1:35" x14ac:dyDescent="0.2">
      <c r="A1927" s="80"/>
      <c r="B1927" s="80"/>
      <c r="C1927" s="80"/>
      <c r="D1927" s="80"/>
      <c r="E1927" s="80"/>
      <c r="F1927" s="80"/>
      <c r="G1927" s="80"/>
      <c r="H1927" s="80"/>
      <c r="I1927" s="80"/>
      <c r="J1927" s="80"/>
      <c r="K1927" s="80"/>
      <c r="L1927" s="2"/>
      <c r="M1927" s="2"/>
      <c r="N1927" s="2"/>
      <c r="O1927" s="2"/>
      <c r="P1927" s="2"/>
      <c r="Q1927" s="2"/>
      <c r="R1927" s="80"/>
      <c r="S1927" s="80"/>
      <c r="T1927" s="80"/>
      <c r="U1927" s="80"/>
      <c r="V1927" s="80"/>
      <c r="W1927" s="80"/>
      <c r="X1927" s="80"/>
      <c r="Y1927" s="80"/>
      <c r="Z1927" s="80"/>
      <c r="AA1927" s="80"/>
      <c r="AB1927" s="80"/>
      <c r="AC1927" s="80"/>
      <c r="AD1927" s="80"/>
      <c r="AE1927" s="80"/>
      <c r="AF1927" s="80"/>
      <c r="AG1927" s="80"/>
      <c r="AH1927" s="80"/>
      <c r="AI1927" s="80"/>
    </row>
    <row r="1928" spans="1:35" x14ac:dyDescent="0.2">
      <c r="A1928" s="80"/>
      <c r="B1928" s="80"/>
      <c r="C1928" s="80"/>
      <c r="D1928" s="80"/>
      <c r="E1928" s="80"/>
      <c r="F1928" s="80"/>
      <c r="G1928" s="80"/>
      <c r="H1928" s="80"/>
      <c r="I1928" s="80"/>
      <c r="J1928" s="80"/>
      <c r="K1928" s="80"/>
      <c r="L1928" s="2"/>
      <c r="M1928" s="2"/>
      <c r="N1928" s="2"/>
      <c r="O1928" s="2"/>
      <c r="P1928" s="2"/>
      <c r="Q1928" s="2"/>
      <c r="R1928" s="80"/>
      <c r="S1928" s="80"/>
      <c r="T1928" s="80"/>
      <c r="U1928" s="80"/>
      <c r="V1928" s="80"/>
      <c r="W1928" s="80"/>
      <c r="X1928" s="80"/>
      <c r="Y1928" s="80"/>
      <c r="Z1928" s="80"/>
      <c r="AA1928" s="80"/>
      <c r="AB1928" s="80"/>
      <c r="AC1928" s="80"/>
      <c r="AD1928" s="80"/>
      <c r="AE1928" s="80"/>
      <c r="AF1928" s="80"/>
      <c r="AG1928" s="80"/>
      <c r="AH1928" s="80"/>
      <c r="AI1928" s="80"/>
    </row>
    <row r="1929" spans="1:35" x14ac:dyDescent="0.2">
      <c r="A1929" s="80"/>
      <c r="B1929" s="80"/>
      <c r="C1929" s="80"/>
      <c r="D1929" s="80"/>
      <c r="E1929" s="80"/>
      <c r="F1929" s="80"/>
      <c r="G1929" s="80"/>
      <c r="H1929" s="80"/>
      <c r="I1929" s="80"/>
      <c r="J1929" s="80"/>
      <c r="K1929" s="80"/>
      <c r="L1929" s="2"/>
      <c r="M1929" s="2"/>
      <c r="N1929" s="2"/>
      <c r="O1929" s="2"/>
      <c r="P1929" s="2"/>
      <c r="Q1929" s="2"/>
      <c r="R1929" s="80"/>
      <c r="S1929" s="80"/>
      <c r="T1929" s="80"/>
      <c r="U1929" s="80"/>
      <c r="V1929" s="80"/>
      <c r="W1929" s="80"/>
      <c r="X1929" s="80"/>
      <c r="Y1929" s="80"/>
      <c r="Z1929" s="80"/>
      <c r="AA1929" s="80"/>
      <c r="AB1929" s="80"/>
      <c r="AC1929" s="80"/>
      <c r="AD1929" s="80"/>
      <c r="AE1929" s="80"/>
      <c r="AF1929" s="80"/>
      <c r="AG1929" s="80"/>
      <c r="AH1929" s="80"/>
      <c r="AI1929" s="80"/>
    </row>
    <row r="1930" spans="1:35" x14ac:dyDescent="0.2">
      <c r="A1930" s="80"/>
      <c r="B1930" s="80"/>
      <c r="C1930" s="80"/>
      <c r="D1930" s="80"/>
      <c r="E1930" s="80"/>
      <c r="F1930" s="80"/>
      <c r="G1930" s="80"/>
      <c r="H1930" s="80"/>
      <c r="I1930" s="80"/>
      <c r="J1930" s="80"/>
      <c r="K1930" s="80"/>
      <c r="L1930" s="2"/>
      <c r="M1930" s="2"/>
      <c r="N1930" s="2"/>
      <c r="O1930" s="2"/>
      <c r="P1930" s="2"/>
      <c r="Q1930" s="2"/>
      <c r="R1930" s="80"/>
      <c r="S1930" s="80"/>
      <c r="T1930" s="80"/>
      <c r="U1930" s="80"/>
      <c r="V1930" s="80"/>
      <c r="W1930" s="80"/>
      <c r="X1930" s="80"/>
      <c r="Y1930" s="80"/>
      <c r="Z1930" s="80"/>
      <c r="AA1930" s="80"/>
      <c r="AB1930" s="80"/>
      <c r="AC1930" s="80"/>
      <c r="AD1930" s="80"/>
      <c r="AE1930" s="80"/>
      <c r="AF1930" s="80"/>
      <c r="AG1930" s="80"/>
      <c r="AH1930" s="80"/>
      <c r="AI1930" s="80"/>
    </row>
    <row r="1931" spans="1:35" x14ac:dyDescent="0.2">
      <c r="A1931" s="80"/>
      <c r="B1931" s="80"/>
      <c r="C1931" s="80"/>
      <c r="D1931" s="80"/>
      <c r="E1931" s="80"/>
      <c r="F1931" s="80"/>
      <c r="G1931" s="80"/>
      <c r="H1931" s="80"/>
      <c r="I1931" s="80"/>
      <c r="J1931" s="80"/>
      <c r="K1931" s="80"/>
      <c r="L1931" s="2"/>
      <c r="M1931" s="2"/>
      <c r="N1931" s="2"/>
      <c r="O1931" s="2"/>
      <c r="P1931" s="2"/>
      <c r="Q1931" s="2"/>
      <c r="R1931" s="80"/>
      <c r="S1931" s="80"/>
      <c r="T1931" s="80"/>
      <c r="U1931" s="80"/>
      <c r="V1931" s="80"/>
      <c r="W1931" s="80"/>
      <c r="X1931" s="80"/>
      <c r="Y1931" s="80"/>
      <c r="Z1931" s="80"/>
      <c r="AA1931" s="80"/>
      <c r="AB1931" s="80"/>
      <c r="AC1931" s="80"/>
      <c r="AD1931" s="80"/>
      <c r="AE1931" s="80"/>
      <c r="AF1931" s="80"/>
      <c r="AG1931" s="80"/>
      <c r="AH1931" s="80"/>
      <c r="AI1931" s="80"/>
    </row>
    <row r="1932" spans="1:35" x14ac:dyDescent="0.2">
      <c r="A1932" s="80"/>
      <c r="B1932" s="80"/>
      <c r="C1932" s="80"/>
      <c r="D1932" s="80"/>
      <c r="E1932" s="80"/>
      <c r="F1932" s="80"/>
      <c r="G1932" s="80"/>
      <c r="H1932" s="80"/>
      <c r="I1932" s="80"/>
      <c r="J1932" s="80"/>
      <c r="K1932" s="80"/>
      <c r="L1932" s="2"/>
      <c r="M1932" s="2"/>
      <c r="N1932" s="2"/>
      <c r="O1932" s="2"/>
      <c r="P1932" s="2"/>
      <c r="Q1932" s="2"/>
      <c r="R1932" s="80"/>
      <c r="S1932" s="80"/>
      <c r="T1932" s="80"/>
      <c r="U1932" s="80"/>
      <c r="V1932" s="80"/>
      <c r="W1932" s="80"/>
      <c r="X1932" s="80"/>
      <c r="Y1932" s="80"/>
      <c r="Z1932" s="80"/>
      <c r="AA1932" s="80"/>
      <c r="AB1932" s="80"/>
      <c r="AC1932" s="80"/>
      <c r="AD1932" s="80"/>
      <c r="AE1932" s="80"/>
      <c r="AF1932" s="80"/>
      <c r="AG1932" s="80"/>
      <c r="AH1932" s="80"/>
      <c r="AI1932" s="80"/>
    </row>
    <row r="1933" spans="1:35" x14ac:dyDescent="0.2">
      <c r="A1933" s="80"/>
      <c r="B1933" s="80"/>
      <c r="C1933" s="80"/>
      <c r="D1933" s="80"/>
      <c r="E1933" s="80"/>
      <c r="F1933" s="80"/>
      <c r="G1933" s="80"/>
      <c r="H1933" s="80"/>
      <c r="I1933" s="80"/>
      <c r="J1933" s="80"/>
      <c r="K1933" s="80"/>
      <c r="L1933" s="2"/>
      <c r="M1933" s="2"/>
      <c r="N1933" s="2"/>
      <c r="O1933" s="2"/>
      <c r="P1933" s="2"/>
      <c r="Q1933" s="2"/>
      <c r="R1933" s="80"/>
      <c r="S1933" s="80"/>
      <c r="T1933" s="80"/>
      <c r="U1933" s="80"/>
      <c r="V1933" s="80"/>
      <c r="W1933" s="80"/>
      <c r="X1933" s="80"/>
      <c r="Y1933" s="80"/>
      <c r="Z1933" s="80"/>
      <c r="AA1933" s="80"/>
      <c r="AB1933" s="80"/>
      <c r="AC1933" s="80"/>
      <c r="AD1933" s="80"/>
      <c r="AE1933" s="80"/>
      <c r="AF1933" s="80"/>
      <c r="AG1933" s="80"/>
      <c r="AH1933" s="80"/>
      <c r="AI1933" s="80"/>
    </row>
    <row r="1934" spans="1:35" x14ac:dyDescent="0.2">
      <c r="A1934" s="80"/>
      <c r="B1934" s="80"/>
      <c r="C1934" s="80"/>
      <c r="D1934" s="80"/>
      <c r="E1934" s="80"/>
      <c r="F1934" s="80"/>
      <c r="G1934" s="80"/>
      <c r="H1934" s="80"/>
      <c r="I1934" s="80"/>
      <c r="J1934" s="80"/>
      <c r="K1934" s="80"/>
      <c r="L1934" s="2"/>
      <c r="M1934" s="2"/>
      <c r="N1934" s="2"/>
      <c r="O1934" s="2"/>
      <c r="P1934" s="2"/>
      <c r="Q1934" s="2"/>
      <c r="R1934" s="80"/>
      <c r="S1934" s="80"/>
      <c r="T1934" s="80"/>
      <c r="U1934" s="80"/>
      <c r="V1934" s="80"/>
      <c r="W1934" s="80"/>
      <c r="X1934" s="80"/>
      <c r="Y1934" s="80"/>
      <c r="Z1934" s="80"/>
      <c r="AA1934" s="80"/>
      <c r="AB1934" s="80"/>
      <c r="AC1934" s="80"/>
      <c r="AD1934" s="80"/>
      <c r="AE1934" s="80"/>
      <c r="AF1934" s="80"/>
      <c r="AG1934" s="80"/>
      <c r="AH1934" s="80"/>
      <c r="AI1934" s="80"/>
    </row>
    <row r="1935" spans="1:35" x14ac:dyDescent="0.2">
      <c r="A1935" s="80"/>
      <c r="B1935" s="80"/>
      <c r="C1935" s="80"/>
      <c r="D1935" s="80"/>
      <c r="E1935" s="80"/>
      <c r="F1935" s="80"/>
      <c r="G1935" s="80"/>
      <c r="H1935" s="80"/>
      <c r="I1935" s="80"/>
      <c r="J1935" s="80"/>
      <c r="K1935" s="80"/>
      <c r="L1935" s="2"/>
      <c r="M1935" s="2"/>
      <c r="N1935" s="2"/>
      <c r="O1935" s="2"/>
      <c r="P1935" s="2"/>
      <c r="Q1935" s="2"/>
      <c r="R1935" s="80"/>
      <c r="S1935" s="80"/>
      <c r="T1935" s="80"/>
      <c r="U1935" s="80"/>
      <c r="V1935" s="80"/>
      <c r="W1935" s="80"/>
      <c r="X1935" s="80"/>
      <c r="Y1935" s="80"/>
      <c r="Z1935" s="80"/>
      <c r="AA1935" s="80"/>
      <c r="AB1935" s="80"/>
      <c r="AC1935" s="80"/>
      <c r="AD1935" s="80"/>
      <c r="AE1935" s="80"/>
      <c r="AF1935" s="80"/>
      <c r="AG1935" s="80"/>
      <c r="AH1935" s="80"/>
      <c r="AI1935" s="80"/>
    </row>
    <row r="1936" spans="1:35" x14ac:dyDescent="0.2">
      <c r="A1936" s="80"/>
      <c r="B1936" s="80"/>
      <c r="C1936" s="80"/>
      <c r="D1936" s="80"/>
      <c r="E1936" s="80"/>
      <c r="F1936" s="80"/>
      <c r="G1936" s="80"/>
      <c r="H1936" s="80"/>
      <c r="I1936" s="80"/>
      <c r="J1936" s="80"/>
      <c r="K1936" s="80"/>
      <c r="L1936" s="2"/>
      <c r="M1936" s="2"/>
      <c r="N1936" s="2"/>
      <c r="O1936" s="2"/>
      <c r="P1936" s="2"/>
      <c r="Q1936" s="2"/>
      <c r="R1936" s="80"/>
      <c r="S1936" s="80"/>
      <c r="T1936" s="80"/>
      <c r="U1936" s="80"/>
      <c r="V1936" s="80"/>
      <c r="W1936" s="80"/>
      <c r="X1936" s="80"/>
      <c r="Y1936" s="80"/>
      <c r="Z1936" s="80"/>
      <c r="AA1936" s="80"/>
      <c r="AB1936" s="80"/>
      <c r="AC1936" s="80"/>
      <c r="AD1936" s="80"/>
      <c r="AE1936" s="80"/>
      <c r="AF1936" s="80"/>
      <c r="AG1936" s="80"/>
      <c r="AH1936" s="80"/>
      <c r="AI1936" s="80"/>
    </row>
    <row r="1937" spans="1:35" x14ac:dyDescent="0.2">
      <c r="A1937" s="80"/>
      <c r="B1937" s="80"/>
      <c r="C1937" s="80"/>
      <c r="D1937" s="80"/>
      <c r="E1937" s="80"/>
      <c r="F1937" s="80"/>
      <c r="G1937" s="80"/>
      <c r="H1937" s="80"/>
      <c r="I1937" s="80"/>
      <c r="J1937" s="80"/>
      <c r="K1937" s="80"/>
      <c r="L1937" s="2"/>
      <c r="M1937" s="2"/>
      <c r="N1937" s="2"/>
      <c r="O1937" s="2"/>
      <c r="P1937" s="2"/>
      <c r="Q1937" s="2"/>
      <c r="R1937" s="80"/>
      <c r="S1937" s="80"/>
      <c r="T1937" s="80"/>
      <c r="U1937" s="80"/>
      <c r="V1937" s="80"/>
      <c r="W1937" s="80"/>
      <c r="X1937" s="80"/>
      <c r="Y1937" s="80"/>
      <c r="Z1937" s="80"/>
      <c r="AA1937" s="80"/>
      <c r="AB1937" s="80"/>
      <c r="AC1937" s="80"/>
      <c r="AD1937" s="80"/>
      <c r="AE1937" s="80"/>
      <c r="AF1937" s="80"/>
      <c r="AG1937" s="80"/>
      <c r="AH1937" s="80"/>
      <c r="AI1937" s="80"/>
    </row>
    <row r="1938" spans="1:35" x14ac:dyDescent="0.2">
      <c r="A1938" s="80"/>
      <c r="B1938" s="80"/>
      <c r="C1938" s="80"/>
      <c r="D1938" s="80"/>
      <c r="E1938" s="80"/>
      <c r="F1938" s="80"/>
      <c r="G1938" s="80"/>
      <c r="H1938" s="80"/>
      <c r="I1938" s="80"/>
      <c r="J1938" s="80"/>
      <c r="K1938" s="80"/>
      <c r="L1938" s="2"/>
      <c r="M1938" s="2"/>
      <c r="N1938" s="2"/>
      <c r="O1938" s="2"/>
      <c r="P1938" s="2"/>
      <c r="Q1938" s="2"/>
      <c r="R1938" s="80"/>
      <c r="S1938" s="80"/>
      <c r="T1938" s="80"/>
      <c r="U1938" s="80"/>
      <c r="V1938" s="80"/>
      <c r="W1938" s="80"/>
      <c r="X1938" s="80"/>
      <c r="Y1938" s="80"/>
      <c r="Z1938" s="80"/>
      <c r="AA1938" s="80"/>
      <c r="AB1938" s="80"/>
      <c r="AC1938" s="80"/>
      <c r="AD1938" s="80"/>
      <c r="AE1938" s="80"/>
      <c r="AF1938" s="80"/>
      <c r="AG1938" s="80"/>
      <c r="AH1938" s="80"/>
      <c r="AI1938" s="80"/>
    </row>
    <row r="1939" spans="1:35" x14ac:dyDescent="0.2">
      <c r="A1939" s="80"/>
      <c r="B1939" s="80"/>
      <c r="C1939" s="80"/>
      <c r="D1939" s="80"/>
      <c r="E1939" s="80"/>
      <c r="F1939" s="80"/>
      <c r="G1939" s="80"/>
      <c r="H1939" s="80"/>
      <c r="I1939" s="80"/>
      <c r="J1939" s="80"/>
      <c r="K1939" s="80"/>
      <c r="L1939" s="2"/>
      <c r="M1939" s="2"/>
      <c r="N1939" s="2"/>
      <c r="O1939" s="2"/>
      <c r="P1939" s="2"/>
      <c r="Q1939" s="2"/>
      <c r="R1939" s="80"/>
      <c r="S1939" s="80"/>
      <c r="T1939" s="80"/>
      <c r="U1939" s="80"/>
      <c r="V1939" s="80"/>
      <c r="W1939" s="80"/>
      <c r="X1939" s="80"/>
      <c r="Y1939" s="80"/>
      <c r="Z1939" s="80"/>
      <c r="AA1939" s="80"/>
      <c r="AB1939" s="80"/>
      <c r="AC1939" s="80"/>
      <c r="AD1939" s="80"/>
      <c r="AE1939" s="80"/>
      <c r="AF1939" s="80"/>
      <c r="AG1939" s="80"/>
      <c r="AH1939" s="80"/>
      <c r="AI1939" s="80"/>
    </row>
    <row r="1940" spans="1:35" x14ac:dyDescent="0.2">
      <c r="A1940" s="80"/>
      <c r="B1940" s="80"/>
      <c r="C1940" s="80"/>
      <c r="D1940" s="80"/>
      <c r="E1940" s="80"/>
      <c r="F1940" s="80"/>
      <c r="G1940" s="80"/>
      <c r="H1940" s="80"/>
      <c r="I1940" s="80"/>
      <c r="J1940" s="80"/>
      <c r="K1940" s="80"/>
      <c r="L1940" s="2"/>
      <c r="M1940" s="2"/>
      <c r="N1940" s="2"/>
      <c r="O1940" s="2"/>
      <c r="P1940" s="2"/>
      <c r="Q1940" s="2"/>
      <c r="R1940" s="80"/>
      <c r="S1940" s="80"/>
      <c r="T1940" s="80"/>
      <c r="U1940" s="80"/>
      <c r="V1940" s="80"/>
      <c r="W1940" s="80"/>
      <c r="X1940" s="80"/>
      <c r="Y1940" s="80"/>
      <c r="Z1940" s="80"/>
      <c r="AA1940" s="80"/>
      <c r="AB1940" s="80"/>
      <c r="AC1940" s="80"/>
      <c r="AD1940" s="80"/>
      <c r="AE1940" s="80"/>
      <c r="AF1940" s="80"/>
      <c r="AG1940" s="80"/>
      <c r="AH1940" s="80"/>
      <c r="AI1940" s="80"/>
    </row>
    <row r="1941" spans="1:35" x14ac:dyDescent="0.2">
      <c r="A1941" s="80"/>
      <c r="B1941" s="80"/>
      <c r="C1941" s="80"/>
      <c r="D1941" s="80"/>
      <c r="E1941" s="80"/>
      <c r="F1941" s="80"/>
      <c r="G1941" s="80"/>
      <c r="H1941" s="80"/>
      <c r="I1941" s="80"/>
      <c r="J1941" s="80"/>
      <c r="K1941" s="80"/>
      <c r="L1941" s="2"/>
      <c r="M1941" s="2"/>
      <c r="N1941" s="2"/>
      <c r="O1941" s="2"/>
      <c r="P1941" s="2"/>
      <c r="Q1941" s="2"/>
      <c r="R1941" s="80"/>
      <c r="S1941" s="80"/>
      <c r="T1941" s="80"/>
      <c r="U1941" s="80"/>
      <c r="V1941" s="80"/>
      <c r="W1941" s="80"/>
      <c r="X1941" s="80"/>
      <c r="Y1941" s="80"/>
      <c r="Z1941" s="80"/>
      <c r="AA1941" s="80"/>
      <c r="AB1941" s="80"/>
      <c r="AC1941" s="80"/>
      <c r="AD1941" s="80"/>
      <c r="AE1941" s="80"/>
      <c r="AF1941" s="80"/>
      <c r="AG1941" s="80"/>
      <c r="AH1941" s="80"/>
      <c r="AI1941" s="80"/>
    </row>
    <row r="1942" spans="1:35" x14ac:dyDescent="0.2">
      <c r="A1942" s="80"/>
      <c r="B1942" s="80"/>
      <c r="C1942" s="80"/>
      <c r="D1942" s="80"/>
      <c r="E1942" s="80"/>
      <c r="F1942" s="80"/>
      <c r="G1942" s="80"/>
      <c r="H1942" s="80"/>
      <c r="I1942" s="80"/>
      <c r="J1942" s="80"/>
      <c r="K1942" s="80"/>
      <c r="L1942" s="2"/>
      <c r="M1942" s="2"/>
      <c r="N1942" s="2"/>
      <c r="O1942" s="2"/>
      <c r="P1942" s="2"/>
      <c r="Q1942" s="2"/>
      <c r="R1942" s="80"/>
      <c r="S1942" s="80"/>
      <c r="T1942" s="80"/>
      <c r="U1942" s="80"/>
      <c r="V1942" s="80"/>
      <c r="W1942" s="80"/>
      <c r="X1942" s="80"/>
      <c r="Y1942" s="80"/>
      <c r="Z1942" s="80"/>
      <c r="AA1942" s="80"/>
      <c r="AB1942" s="80"/>
      <c r="AC1942" s="80"/>
      <c r="AD1942" s="80"/>
      <c r="AE1942" s="80"/>
      <c r="AF1942" s="80"/>
      <c r="AG1942" s="80"/>
      <c r="AH1942" s="80"/>
      <c r="AI1942" s="80"/>
    </row>
    <row r="1943" spans="1:35" x14ac:dyDescent="0.2">
      <c r="A1943" s="80"/>
      <c r="B1943" s="80"/>
      <c r="C1943" s="80"/>
      <c r="D1943" s="80"/>
      <c r="E1943" s="80"/>
      <c r="F1943" s="80"/>
      <c r="G1943" s="80"/>
      <c r="H1943" s="80"/>
      <c r="I1943" s="80"/>
      <c r="J1943" s="80"/>
      <c r="K1943" s="80"/>
      <c r="L1943" s="2"/>
      <c r="M1943" s="2"/>
      <c r="N1943" s="2"/>
      <c r="O1943" s="2"/>
      <c r="P1943" s="2"/>
      <c r="Q1943" s="2"/>
      <c r="R1943" s="80"/>
      <c r="S1943" s="80"/>
      <c r="T1943" s="80"/>
      <c r="U1943" s="80"/>
      <c r="V1943" s="80"/>
      <c r="W1943" s="80"/>
      <c r="X1943" s="80"/>
      <c r="Y1943" s="80"/>
      <c r="Z1943" s="80"/>
      <c r="AA1943" s="80"/>
      <c r="AB1943" s="80"/>
      <c r="AC1943" s="80"/>
      <c r="AD1943" s="80"/>
      <c r="AE1943" s="80"/>
      <c r="AF1943" s="80"/>
      <c r="AG1943" s="80"/>
      <c r="AH1943" s="80"/>
      <c r="AI1943" s="80"/>
    </row>
    <row r="1944" spans="1:35" x14ac:dyDescent="0.2">
      <c r="A1944" s="80"/>
      <c r="B1944" s="80"/>
      <c r="C1944" s="80"/>
      <c r="D1944" s="80"/>
      <c r="E1944" s="80"/>
      <c r="F1944" s="80"/>
      <c r="G1944" s="80"/>
      <c r="H1944" s="80"/>
      <c r="I1944" s="80"/>
      <c r="J1944" s="80"/>
      <c r="K1944" s="80"/>
      <c r="L1944" s="2"/>
      <c r="M1944" s="2"/>
      <c r="N1944" s="2"/>
      <c r="O1944" s="2"/>
      <c r="P1944" s="2"/>
      <c r="Q1944" s="2"/>
      <c r="R1944" s="80"/>
      <c r="S1944" s="80"/>
      <c r="T1944" s="80"/>
      <c r="U1944" s="80"/>
      <c r="V1944" s="80"/>
      <c r="W1944" s="80"/>
      <c r="X1944" s="80"/>
      <c r="Y1944" s="80"/>
      <c r="Z1944" s="80"/>
      <c r="AA1944" s="80"/>
      <c r="AB1944" s="80"/>
      <c r="AC1944" s="80"/>
      <c r="AD1944" s="80"/>
      <c r="AE1944" s="80"/>
      <c r="AF1944" s="80"/>
      <c r="AG1944" s="80"/>
      <c r="AH1944" s="80"/>
      <c r="AI1944" s="80"/>
    </row>
    <row r="1945" spans="1:35" x14ac:dyDescent="0.2">
      <c r="A1945" s="80"/>
      <c r="B1945" s="80"/>
      <c r="C1945" s="80"/>
      <c r="D1945" s="80"/>
      <c r="E1945" s="80"/>
      <c r="F1945" s="80"/>
      <c r="G1945" s="80"/>
      <c r="H1945" s="80"/>
      <c r="I1945" s="80"/>
      <c r="J1945" s="80"/>
      <c r="K1945" s="80"/>
      <c r="L1945" s="2"/>
      <c r="M1945" s="2"/>
      <c r="N1945" s="2"/>
      <c r="O1945" s="2"/>
      <c r="P1945" s="2"/>
      <c r="Q1945" s="2"/>
      <c r="R1945" s="80"/>
      <c r="S1945" s="80"/>
      <c r="T1945" s="80"/>
      <c r="U1945" s="80"/>
      <c r="V1945" s="80"/>
      <c r="W1945" s="80"/>
      <c r="X1945" s="80"/>
      <c r="Y1945" s="80"/>
      <c r="Z1945" s="80"/>
      <c r="AA1945" s="80"/>
      <c r="AB1945" s="80"/>
      <c r="AC1945" s="80"/>
      <c r="AD1945" s="80"/>
      <c r="AE1945" s="80"/>
      <c r="AF1945" s="80"/>
      <c r="AG1945" s="80"/>
      <c r="AH1945" s="80"/>
      <c r="AI1945" s="80"/>
    </row>
    <row r="1946" spans="1:35" x14ac:dyDescent="0.2">
      <c r="A1946" s="80"/>
      <c r="B1946" s="80"/>
      <c r="C1946" s="80"/>
      <c r="D1946" s="80"/>
      <c r="E1946" s="80"/>
      <c r="F1946" s="80"/>
      <c r="G1946" s="80"/>
      <c r="H1946" s="80"/>
      <c r="I1946" s="80"/>
      <c r="J1946" s="80"/>
      <c r="K1946" s="80"/>
      <c r="L1946" s="2"/>
      <c r="M1946" s="2"/>
      <c r="N1946" s="2"/>
      <c r="O1946" s="2"/>
      <c r="P1946" s="2"/>
      <c r="Q1946" s="2"/>
      <c r="R1946" s="80"/>
      <c r="S1946" s="80"/>
      <c r="T1946" s="80"/>
      <c r="U1946" s="80"/>
      <c r="V1946" s="80"/>
      <c r="W1946" s="80"/>
      <c r="X1946" s="80"/>
      <c r="Y1946" s="80"/>
      <c r="Z1946" s="80"/>
      <c r="AA1946" s="80"/>
      <c r="AB1946" s="80"/>
      <c r="AC1946" s="80"/>
      <c r="AD1946" s="80"/>
      <c r="AE1946" s="80"/>
      <c r="AF1946" s="80"/>
      <c r="AG1946" s="80"/>
      <c r="AH1946" s="80"/>
      <c r="AI1946" s="80"/>
    </row>
    <row r="1947" spans="1:35" x14ac:dyDescent="0.2">
      <c r="A1947" s="80"/>
      <c r="B1947" s="80"/>
      <c r="C1947" s="80"/>
      <c r="D1947" s="80"/>
      <c r="E1947" s="80"/>
      <c r="F1947" s="80"/>
      <c r="G1947" s="80"/>
      <c r="H1947" s="80"/>
      <c r="I1947" s="80"/>
      <c r="J1947" s="80"/>
      <c r="K1947" s="80"/>
      <c r="L1947" s="2"/>
      <c r="M1947" s="2"/>
      <c r="N1947" s="2"/>
      <c r="O1947" s="2"/>
      <c r="P1947" s="2"/>
      <c r="Q1947" s="2"/>
      <c r="R1947" s="80"/>
      <c r="S1947" s="80"/>
      <c r="T1947" s="80"/>
      <c r="U1947" s="80"/>
      <c r="V1947" s="80"/>
      <c r="W1947" s="80"/>
      <c r="X1947" s="80"/>
      <c r="Y1947" s="80"/>
      <c r="Z1947" s="80"/>
      <c r="AA1947" s="80"/>
      <c r="AB1947" s="80"/>
      <c r="AC1947" s="80"/>
      <c r="AD1947" s="80"/>
      <c r="AE1947" s="80"/>
      <c r="AF1947" s="80"/>
      <c r="AG1947" s="80"/>
      <c r="AH1947" s="80"/>
      <c r="AI1947" s="80"/>
    </row>
    <row r="1948" spans="1:35" x14ac:dyDescent="0.2">
      <c r="A1948" s="80"/>
      <c r="B1948" s="80"/>
      <c r="C1948" s="80"/>
      <c r="D1948" s="80"/>
      <c r="E1948" s="80"/>
      <c r="F1948" s="80"/>
      <c r="G1948" s="80"/>
      <c r="H1948" s="80"/>
      <c r="I1948" s="80"/>
      <c r="J1948" s="80"/>
      <c r="K1948" s="80"/>
      <c r="L1948" s="2"/>
      <c r="M1948" s="2"/>
      <c r="N1948" s="2"/>
      <c r="O1948" s="2"/>
      <c r="P1948" s="2"/>
      <c r="Q1948" s="2"/>
      <c r="R1948" s="80"/>
      <c r="S1948" s="80"/>
      <c r="T1948" s="80"/>
      <c r="U1948" s="80"/>
      <c r="V1948" s="80"/>
      <c r="W1948" s="80"/>
      <c r="X1948" s="80"/>
      <c r="Y1948" s="80"/>
      <c r="Z1948" s="80"/>
      <c r="AA1948" s="80"/>
      <c r="AB1948" s="80"/>
      <c r="AC1948" s="80"/>
      <c r="AD1948" s="80"/>
      <c r="AE1948" s="80"/>
      <c r="AF1948" s="80"/>
      <c r="AG1948" s="80"/>
      <c r="AH1948" s="80"/>
      <c r="AI1948" s="80"/>
    </row>
    <row r="1949" spans="1:35" x14ac:dyDescent="0.2">
      <c r="A1949" s="80"/>
      <c r="B1949" s="80"/>
      <c r="C1949" s="80"/>
      <c r="D1949" s="80"/>
      <c r="E1949" s="80"/>
      <c r="F1949" s="80"/>
      <c r="G1949" s="80"/>
      <c r="H1949" s="80"/>
      <c r="I1949" s="80"/>
      <c r="J1949" s="80"/>
      <c r="K1949" s="80"/>
      <c r="L1949" s="2"/>
      <c r="M1949" s="2"/>
      <c r="N1949" s="2"/>
      <c r="O1949" s="2"/>
      <c r="P1949" s="2"/>
      <c r="Q1949" s="2"/>
      <c r="R1949" s="80"/>
      <c r="S1949" s="80"/>
      <c r="T1949" s="80"/>
      <c r="U1949" s="80"/>
      <c r="V1949" s="80"/>
      <c r="W1949" s="80"/>
      <c r="X1949" s="80"/>
      <c r="Y1949" s="80"/>
      <c r="Z1949" s="80"/>
      <c r="AA1949" s="80"/>
      <c r="AB1949" s="80"/>
      <c r="AC1949" s="80"/>
      <c r="AD1949" s="80"/>
      <c r="AE1949" s="80"/>
      <c r="AF1949" s="80"/>
      <c r="AG1949" s="80"/>
      <c r="AH1949" s="80"/>
      <c r="AI1949" s="80"/>
    </row>
    <row r="1950" spans="1:35" x14ac:dyDescent="0.2">
      <c r="A1950" s="80"/>
      <c r="B1950" s="80"/>
      <c r="C1950" s="80"/>
      <c r="D1950" s="80"/>
      <c r="E1950" s="80"/>
      <c r="F1950" s="80"/>
      <c r="G1950" s="80"/>
      <c r="H1950" s="80"/>
      <c r="I1950" s="80"/>
      <c r="J1950" s="80"/>
      <c r="K1950" s="80"/>
      <c r="L1950" s="2"/>
      <c r="M1950" s="2"/>
      <c r="N1950" s="2"/>
      <c r="O1950" s="2"/>
      <c r="P1950" s="2"/>
      <c r="Q1950" s="2"/>
      <c r="R1950" s="80"/>
      <c r="S1950" s="80"/>
      <c r="T1950" s="80"/>
      <c r="U1950" s="80"/>
      <c r="V1950" s="80"/>
      <c r="W1950" s="80"/>
      <c r="X1950" s="80"/>
      <c r="Y1950" s="80"/>
      <c r="Z1950" s="80"/>
      <c r="AA1950" s="80"/>
      <c r="AB1950" s="80"/>
      <c r="AC1950" s="80"/>
      <c r="AD1950" s="80"/>
      <c r="AE1950" s="80"/>
      <c r="AF1950" s="80"/>
      <c r="AG1950" s="80"/>
      <c r="AH1950" s="80"/>
      <c r="AI1950" s="80"/>
    </row>
    <row r="1951" spans="1:35" x14ac:dyDescent="0.2">
      <c r="A1951" s="80"/>
      <c r="B1951" s="80"/>
      <c r="C1951" s="80"/>
      <c r="D1951" s="80"/>
      <c r="E1951" s="80"/>
      <c r="F1951" s="80"/>
      <c r="G1951" s="80"/>
      <c r="H1951" s="80"/>
      <c r="I1951" s="80"/>
      <c r="J1951" s="80"/>
      <c r="K1951" s="80"/>
      <c r="L1951" s="2"/>
      <c r="M1951" s="2"/>
      <c r="N1951" s="2"/>
      <c r="O1951" s="2"/>
      <c r="P1951" s="2"/>
      <c r="Q1951" s="2"/>
      <c r="R1951" s="80"/>
      <c r="S1951" s="80"/>
      <c r="T1951" s="80"/>
      <c r="U1951" s="80"/>
      <c r="V1951" s="80"/>
      <c r="W1951" s="80"/>
      <c r="X1951" s="80"/>
      <c r="Y1951" s="80"/>
      <c r="Z1951" s="80"/>
      <c r="AA1951" s="80"/>
      <c r="AB1951" s="80"/>
      <c r="AC1951" s="80"/>
      <c r="AD1951" s="80"/>
      <c r="AE1951" s="80"/>
      <c r="AF1951" s="80"/>
      <c r="AG1951" s="80"/>
      <c r="AH1951" s="80"/>
      <c r="AI1951" s="80"/>
    </row>
    <row r="1952" spans="1:35" x14ac:dyDescent="0.2">
      <c r="A1952" s="80"/>
      <c r="B1952" s="80"/>
      <c r="C1952" s="80"/>
      <c r="D1952" s="80"/>
      <c r="E1952" s="80"/>
      <c r="F1952" s="80"/>
      <c r="G1952" s="80"/>
      <c r="H1952" s="80"/>
      <c r="I1952" s="80"/>
      <c r="J1952" s="80"/>
      <c r="K1952" s="80"/>
      <c r="L1952" s="2"/>
      <c r="M1952" s="2"/>
      <c r="N1952" s="2"/>
      <c r="O1952" s="2"/>
      <c r="P1952" s="2"/>
      <c r="Q1952" s="2"/>
      <c r="R1952" s="80"/>
      <c r="S1952" s="80"/>
      <c r="T1952" s="80"/>
      <c r="U1952" s="80"/>
      <c r="V1952" s="80"/>
      <c r="W1952" s="80"/>
      <c r="X1952" s="80"/>
      <c r="Y1952" s="80"/>
      <c r="Z1952" s="80"/>
      <c r="AA1952" s="80"/>
      <c r="AB1952" s="80"/>
      <c r="AC1952" s="80"/>
      <c r="AD1952" s="80"/>
      <c r="AE1952" s="80"/>
      <c r="AF1952" s="80"/>
      <c r="AG1952" s="80"/>
      <c r="AH1952" s="80"/>
      <c r="AI1952" s="80"/>
    </row>
    <row r="1953" spans="1:35" x14ac:dyDescent="0.2">
      <c r="A1953" s="80"/>
      <c r="B1953" s="80"/>
      <c r="C1953" s="80"/>
      <c r="D1953" s="80"/>
      <c r="E1953" s="80"/>
      <c r="F1953" s="80"/>
      <c r="G1953" s="80"/>
      <c r="H1953" s="80"/>
      <c r="I1953" s="80"/>
      <c r="J1953" s="80"/>
      <c r="K1953" s="80"/>
      <c r="L1953" s="2"/>
      <c r="M1953" s="2"/>
      <c r="N1953" s="2"/>
      <c r="O1953" s="2"/>
      <c r="P1953" s="2"/>
      <c r="Q1953" s="2"/>
      <c r="R1953" s="80"/>
      <c r="S1953" s="80"/>
      <c r="T1953" s="80"/>
      <c r="U1953" s="80"/>
      <c r="V1953" s="80"/>
      <c r="W1953" s="80"/>
      <c r="X1953" s="80"/>
      <c r="Y1953" s="80"/>
      <c r="Z1953" s="80"/>
      <c r="AA1953" s="80"/>
      <c r="AB1953" s="80"/>
      <c r="AC1953" s="80"/>
      <c r="AD1953" s="80"/>
      <c r="AE1953" s="80"/>
      <c r="AF1953" s="80"/>
      <c r="AG1953" s="80"/>
      <c r="AH1953" s="80"/>
      <c r="AI1953" s="80"/>
    </row>
    <row r="1954" spans="1:35" x14ac:dyDescent="0.2">
      <c r="A1954" s="80"/>
      <c r="B1954" s="80"/>
      <c r="C1954" s="80"/>
      <c r="D1954" s="80"/>
      <c r="E1954" s="80"/>
      <c r="F1954" s="80"/>
      <c r="G1954" s="80"/>
      <c r="H1954" s="80"/>
      <c r="I1954" s="80"/>
      <c r="J1954" s="80"/>
      <c r="K1954" s="80"/>
      <c r="L1954" s="2"/>
      <c r="M1954" s="2"/>
      <c r="N1954" s="2"/>
      <c r="O1954" s="2"/>
      <c r="P1954" s="2"/>
      <c r="Q1954" s="2"/>
      <c r="R1954" s="80"/>
      <c r="S1954" s="80"/>
      <c r="T1954" s="80"/>
      <c r="U1954" s="80"/>
      <c r="V1954" s="80"/>
      <c r="W1954" s="80"/>
      <c r="X1954" s="80"/>
      <c r="Y1954" s="80"/>
      <c r="Z1954" s="80"/>
      <c r="AA1954" s="80"/>
      <c r="AB1954" s="80"/>
      <c r="AC1954" s="80"/>
      <c r="AD1954" s="80"/>
      <c r="AE1954" s="80"/>
      <c r="AF1954" s="80"/>
      <c r="AG1954" s="80"/>
      <c r="AH1954" s="80"/>
      <c r="AI1954" s="80"/>
    </row>
    <row r="1955" spans="1:35" x14ac:dyDescent="0.2">
      <c r="A1955" s="80"/>
      <c r="B1955" s="80"/>
      <c r="C1955" s="80"/>
      <c r="D1955" s="80"/>
      <c r="E1955" s="80"/>
      <c r="F1955" s="80"/>
      <c r="G1955" s="80"/>
      <c r="H1955" s="80"/>
      <c r="I1955" s="80"/>
      <c r="J1955" s="80"/>
      <c r="K1955" s="80"/>
      <c r="L1955" s="2"/>
      <c r="M1955" s="2"/>
      <c r="N1955" s="2"/>
      <c r="O1955" s="2"/>
      <c r="P1955" s="2"/>
      <c r="Q1955" s="2"/>
      <c r="R1955" s="80"/>
      <c r="S1955" s="80"/>
      <c r="T1955" s="80"/>
      <c r="U1955" s="80"/>
      <c r="V1955" s="80"/>
      <c r="W1955" s="80"/>
      <c r="X1955" s="80"/>
      <c r="Y1955" s="80"/>
      <c r="Z1955" s="80"/>
      <c r="AA1955" s="80"/>
      <c r="AB1955" s="80"/>
      <c r="AC1955" s="80"/>
      <c r="AD1955" s="80"/>
      <c r="AE1955" s="80"/>
      <c r="AF1955" s="80"/>
      <c r="AG1955" s="80"/>
      <c r="AH1955" s="80"/>
      <c r="AI1955" s="80"/>
    </row>
    <row r="1956" spans="1:35" x14ac:dyDescent="0.2">
      <c r="A1956" s="80"/>
      <c r="B1956" s="80"/>
      <c r="C1956" s="80"/>
      <c r="D1956" s="80"/>
      <c r="E1956" s="80"/>
      <c r="F1956" s="80"/>
      <c r="G1956" s="80"/>
      <c r="H1956" s="80"/>
      <c r="I1956" s="80"/>
      <c r="J1956" s="80"/>
      <c r="K1956" s="80"/>
      <c r="L1956" s="2"/>
      <c r="M1956" s="2"/>
      <c r="N1956" s="2"/>
      <c r="O1956" s="2"/>
      <c r="P1956" s="2"/>
      <c r="Q1956" s="2"/>
      <c r="R1956" s="80"/>
      <c r="S1956" s="80"/>
      <c r="T1956" s="80"/>
      <c r="U1956" s="80"/>
      <c r="V1956" s="80"/>
      <c r="W1956" s="80"/>
      <c r="X1956" s="80"/>
      <c r="Y1956" s="80"/>
      <c r="Z1956" s="80"/>
      <c r="AA1956" s="80"/>
      <c r="AB1956" s="80"/>
      <c r="AC1956" s="80"/>
      <c r="AD1956" s="80"/>
      <c r="AE1956" s="80"/>
      <c r="AF1956" s="80"/>
      <c r="AG1956" s="80"/>
      <c r="AH1956" s="80"/>
      <c r="AI1956" s="80"/>
    </row>
    <row r="1957" spans="1:35" x14ac:dyDescent="0.2">
      <c r="A1957" s="80"/>
      <c r="B1957" s="80"/>
      <c r="C1957" s="80"/>
      <c r="D1957" s="80"/>
      <c r="E1957" s="80"/>
      <c r="F1957" s="80"/>
      <c r="G1957" s="80"/>
      <c r="H1957" s="80"/>
      <c r="I1957" s="80"/>
      <c r="J1957" s="80"/>
      <c r="K1957" s="80"/>
      <c r="L1957" s="2"/>
      <c r="M1957" s="2"/>
      <c r="N1957" s="2"/>
      <c r="O1957" s="2"/>
      <c r="P1957" s="2"/>
      <c r="Q1957" s="2"/>
      <c r="R1957" s="80"/>
      <c r="S1957" s="80"/>
      <c r="T1957" s="80"/>
      <c r="U1957" s="80"/>
      <c r="V1957" s="80"/>
      <c r="W1957" s="80"/>
      <c r="X1957" s="80"/>
      <c r="Y1957" s="80"/>
      <c r="Z1957" s="80"/>
      <c r="AA1957" s="80"/>
      <c r="AB1957" s="80"/>
      <c r="AC1957" s="80"/>
      <c r="AD1957" s="80"/>
      <c r="AE1957" s="80"/>
      <c r="AF1957" s="80"/>
      <c r="AG1957" s="80"/>
      <c r="AH1957" s="80"/>
      <c r="AI1957" s="80"/>
    </row>
    <row r="1958" spans="1:35" x14ac:dyDescent="0.2">
      <c r="A1958" s="80"/>
      <c r="B1958" s="80"/>
      <c r="C1958" s="80"/>
      <c r="D1958" s="80"/>
      <c r="E1958" s="80"/>
      <c r="F1958" s="80"/>
      <c r="G1958" s="80"/>
      <c r="H1958" s="80"/>
      <c r="I1958" s="80"/>
      <c r="J1958" s="80"/>
      <c r="K1958" s="80"/>
      <c r="L1958" s="2"/>
      <c r="M1958" s="2"/>
      <c r="N1958" s="2"/>
      <c r="O1958" s="2"/>
      <c r="P1958" s="2"/>
      <c r="Q1958" s="2"/>
      <c r="R1958" s="80"/>
      <c r="S1958" s="80"/>
      <c r="T1958" s="80"/>
      <c r="U1958" s="80"/>
      <c r="V1958" s="80"/>
      <c r="W1958" s="80"/>
      <c r="X1958" s="80"/>
      <c r="Y1958" s="80"/>
      <c r="Z1958" s="80"/>
      <c r="AA1958" s="80"/>
      <c r="AB1958" s="80"/>
      <c r="AC1958" s="80"/>
      <c r="AD1958" s="80"/>
      <c r="AE1958" s="80"/>
      <c r="AF1958" s="80"/>
      <c r="AG1958" s="80"/>
      <c r="AH1958" s="80"/>
      <c r="AI1958" s="80"/>
    </row>
    <row r="1959" spans="1:35" x14ac:dyDescent="0.2">
      <c r="A1959" s="80"/>
      <c r="B1959" s="80"/>
      <c r="C1959" s="80"/>
      <c r="D1959" s="80"/>
      <c r="E1959" s="80"/>
      <c r="F1959" s="80"/>
      <c r="G1959" s="80"/>
      <c r="H1959" s="80"/>
      <c r="I1959" s="80"/>
      <c r="J1959" s="80"/>
      <c r="K1959" s="80"/>
      <c r="L1959" s="2"/>
      <c r="M1959" s="2"/>
      <c r="N1959" s="2"/>
      <c r="O1959" s="2"/>
      <c r="P1959" s="2"/>
      <c r="Q1959" s="2"/>
      <c r="R1959" s="80"/>
      <c r="S1959" s="80"/>
      <c r="T1959" s="80"/>
      <c r="U1959" s="80"/>
      <c r="V1959" s="80"/>
      <c r="W1959" s="80"/>
      <c r="X1959" s="80"/>
      <c r="Y1959" s="80"/>
      <c r="Z1959" s="80"/>
      <c r="AA1959" s="80"/>
      <c r="AB1959" s="80"/>
      <c r="AC1959" s="80"/>
      <c r="AD1959" s="80"/>
      <c r="AE1959" s="80"/>
      <c r="AF1959" s="80"/>
      <c r="AG1959" s="80"/>
      <c r="AH1959" s="80"/>
      <c r="AI1959" s="80"/>
    </row>
    <row r="1960" spans="1:35" x14ac:dyDescent="0.2">
      <c r="A1960" s="80"/>
      <c r="B1960" s="80"/>
      <c r="C1960" s="80"/>
      <c r="D1960" s="80"/>
      <c r="E1960" s="80"/>
      <c r="F1960" s="80"/>
      <c r="G1960" s="80"/>
      <c r="H1960" s="80"/>
      <c r="I1960" s="80"/>
      <c r="J1960" s="80"/>
      <c r="K1960" s="80"/>
      <c r="L1960" s="2"/>
      <c r="M1960" s="2"/>
      <c r="N1960" s="2"/>
      <c r="O1960" s="2"/>
      <c r="P1960" s="2"/>
      <c r="Q1960" s="2"/>
      <c r="R1960" s="80"/>
      <c r="S1960" s="80"/>
      <c r="T1960" s="80"/>
      <c r="U1960" s="80"/>
      <c r="V1960" s="80"/>
      <c r="W1960" s="80"/>
      <c r="X1960" s="80"/>
      <c r="Y1960" s="80"/>
      <c r="Z1960" s="80"/>
      <c r="AA1960" s="80"/>
      <c r="AB1960" s="80"/>
      <c r="AC1960" s="80"/>
      <c r="AD1960" s="80"/>
      <c r="AE1960" s="80"/>
      <c r="AF1960" s="80"/>
      <c r="AG1960" s="80"/>
      <c r="AH1960" s="80"/>
      <c r="AI1960" s="80"/>
    </row>
    <row r="1961" spans="1:35" x14ac:dyDescent="0.2">
      <c r="A1961" s="80"/>
      <c r="B1961" s="80"/>
      <c r="C1961" s="80"/>
      <c r="D1961" s="80"/>
      <c r="E1961" s="80"/>
      <c r="F1961" s="80"/>
      <c r="G1961" s="80"/>
      <c r="H1961" s="80"/>
      <c r="I1961" s="80"/>
      <c r="J1961" s="80"/>
      <c r="K1961" s="80"/>
      <c r="L1961" s="2"/>
      <c r="M1961" s="2"/>
      <c r="N1961" s="2"/>
      <c r="O1961" s="2"/>
      <c r="P1961" s="2"/>
      <c r="Q1961" s="2"/>
      <c r="R1961" s="80"/>
      <c r="S1961" s="80"/>
      <c r="T1961" s="80"/>
      <c r="U1961" s="80"/>
      <c r="V1961" s="80"/>
      <c r="W1961" s="80"/>
      <c r="X1961" s="80"/>
      <c r="Y1961" s="80"/>
      <c r="Z1961" s="80"/>
      <c r="AA1961" s="80"/>
      <c r="AB1961" s="80"/>
      <c r="AC1961" s="80"/>
      <c r="AD1961" s="80"/>
      <c r="AE1961" s="80"/>
      <c r="AF1961" s="80"/>
      <c r="AG1961" s="80"/>
      <c r="AH1961" s="80"/>
      <c r="AI1961" s="80"/>
    </row>
    <row r="1962" spans="1:35" x14ac:dyDescent="0.2">
      <c r="A1962" s="80"/>
      <c r="B1962" s="80"/>
      <c r="C1962" s="80"/>
      <c r="D1962" s="80"/>
      <c r="E1962" s="80"/>
      <c r="F1962" s="80"/>
      <c r="G1962" s="80"/>
      <c r="H1962" s="80"/>
      <c r="I1962" s="80"/>
      <c r="J1962" s="80"/>
      <c r="K1962" s="80"/>
      <c r="L1962" s="2"/>
      <c r="M1962" s="2"/>
      <c r="N1962" s="2"/>
      <c r="O1962" s="2"/>
      <c r="P1962" s="2"/>
      <c r="Q1962" s="2"/>
      <c r="R1962" s="80"/>
      <c r="S1962" s="80"/>
      <c r="T1962" s="80"/>
      <c r="U1962" s="80"/>
      <c r="V1962" s="80"/>
      <c r="W1962" s="80"/>
      <c r="X1962" s="80"/>
      <c r="Y1962" s="80"/>
      <c r="Z1962" s="80"/>
      <c r="AA1962" s="80"/>
      <c r="AB1962" s="80"/>
      <c r="AC1962" s="80"/>
      <c r="AD1962" s="80"/>
      <c r="AE1962" s="80"/>
      <c r="AF1962" s="80"/>
      <c r="AG1962" s="80"/>
      <c r="AH1962" s="80"/>
      <c r="AI1962" s="80"/>
    </row>
    <row r="1963" spans="1:35" x14ac:dyDescent="0.2">
      <c r="A1963" s="80"/>
      <c r="B1963" s="80"/>
      <c r="C1963" s="80"/>
      <c r="D1963" s="80"/>
      <c r="E1963" s="80"/>
      <c r="F1963" s="80"/>
      <c r="G1963" s="80"/>
      <c r="H1963" s="80"/>
      <c r="I1963" s="80"/>
      <c r="J1963" s="80"/>
      <c r="K1963" s="80"/>
      <c r="L1963" s="2"/>
      <c r="M1963" s="2"/>
      <c r="N1963" s="2"/>
      <c r="O1963" s="2"/>
      <c r="P1963" s="2"/>
      <c r="Q1963" s="2"/>
      <c r="R1963" s="80"/>
      <c r="S1963" s="80"/>
      <c r="T1963" s="80"/>
      <c r="U1963" s="80"/>
      <c r="V1963" s="80"/>
      <c r="W1963" s="80"/>
      <c r="X1963" s="80"/>
      <c r="Y1963" s="80"/>
      <c r="Z1963" s="80"/>
      <c r="AA1963" s="80"/>
      <c r="AB1963" s="80"/>
      <c r="AC1963" s="80"/>
      <c r="AD1963" s="80"/>
      <c r="AE1963" s="80"/>
      <c r="AF1963" s="80"/>
      <c r="AG1963" s="80"/>
      <c r="AH1963" s="80"/>
      <c r="AI1963" s="80"/>
    </row>
    <row r="1964" spans="1:35" x14ac:dyDescent="0.2">
      <c r="A1964" s="80"/>
      <c r="B1964" s="80"/>
      <c r="C1964" s="80"/>
      <c r="D1964" s="80"/>
      <c r="E1964" s="80"/>
      <c r="F1964" s="80"/>
      <c r="G1964" s="80"/>
      <c r="H1964" s="80"/>
      <c r="I1964" s="80"/>
      <c r="J1964" s="80"/>
      <c r="K1964" s="80"/>
      <c r="L1964" s="2"/>
      <c r="M1964" s="2"/>
      <c r="N1964" s="2"/>
      <c r="O1964" s="2"/>
      <c r="P1964" s="2"/>
      <c r="Q1964" s="2"/>
      <c r="R1964" s="80"/>
      <c r="S1964" s="80"/>
      <c r="T1964" s="80"/>
      <c r="U1964" s="80"/>
      <c r="V1964" s="80"/>
      <c r="W1964" s="80"/>
      <c r="X1964" s="80"/>
      <c r="Y1964" s="80"/>
      <c r="Z1964" s="80"/>
      <c r="AA1964" s="80"/>
      <c r="AB1964" s="80"/>
      <c r="AC1964" s="80"/>
      <c r="AD1964" s="80"/>
      <c r="AE1964" s="80"/>
      <c r="AF1964" s="80"/>
      <c r="AG1964" s="80"/>
      <c r="AH1964" s="80"/>
      <c r="AI1964" s="80"/>
    </row>
    <row r="1965" spans="1:35" x14ac:dyDescent="0.2">
      <c r="A1965" s="80"/>
      <c r="B1965" s="80"/>
      <c r="C1965" s="80"/>
      <c r="D1965" s="80"/>
      <c r="E1965" s="80"/>
      <c r="F1965" s="80"/>
      <c r="G1965" s="80"/>
      <c r="H1965" s="80"/>
      <c r="I1965" s="80"/>
      <c r="J1965" s="80"/>
      <c r="K1965" s="80"/>
      <c r="L1965" s="2"/>
      <c r="M1965" s="2"/>
      <c r="N1965" s="2"/>
      <c r="O1965" s="2"/>
      <c r="P1965" s="2"/>
      <c r="Q1965" s="2"/>
      <c r="R1965" s="80"/>
      <c r="S1965" s="80"/>
      <c r="T1965" s="80"/>
      <c r="U1965" s="80"/>
      <c r="V1965" s="80"/>
      <c r="W1965" s="80"/>
      <c r="X1965" s="80"/>
      <c r="Y1965" s="80"/>
      <c r="Z1965" s="80"/>
      <c r="AA1965" s="80"/>
      <c r="AB1965" s="80"/>
      <c r="AC1965" s="80"/>
      <c r="AD1965" s="80"/>
      <c r="AE1965" s="80"/>
      <c r="AF1965" s="80"/>
      <c r="AG1965" s="80"/>
      <c r="AH1965" s="80"/>
      <c r="AI1965" s="80"/>
    </row>
    <row r="1966" spans="1:35" x14ac:dyDescent="0.2">
      <c r="A1966" s="80"/>
      <c r="B1966" s="80"/>
      <c r="C1966" s="80"/>
      <c r="D1966" s="80"/>
      <c r="E1966" s="80"/>
      <c r="F1966" s="80"/>
      <c r="G1966" s="80"/>
      <c r="H1966" s="80"/>
      <c r="I1966" s="80"/>
      <c r="J1966" s="80"/>
      <c r="K1966" s="80"/>
      <c r="L1966" s="2"/>
      <c r="M1966" s="2"/>
      <c r="N1966" s="2"/>
      <c r="O1966" s="2"/>
      <c r="P1966" s="2"/>
      <c r="Q1966" s="2"/>
      <c r="R1966" s="80"/>
      <c r="S1966" s="80"/>
      <c r="T1966" s="80"/>
      <c r="U1966" s="80"/>
      <c r="V1966" s="80"/>
      <c r="W1966" s="80"/>
      <c r="X1966" s="80"/>
      <c r="Y1966" s="80"/>
      <c r="Z1966" s="80"/>
      <c r="AA1966" s="80"/>
      <c r="AB1966" s="80"/>
      <c r="AC1966" s="80"/>
      <c r="AD1966" s="80"/>
      <c r="AE1966" s="80"/>
      <c r="AF1966" s="80"/>
      <c r="AG1966" s="80"/>
      <c r="AH1966" s="80"/>
      <c r="AI1966" s="80"/>
    </row>
    <row r="1967" spans="1:35" x14ac:dyDescent="0.2">
      <c r="A1967" s="80"/>
      <c r="B1967" s="80"/>
      <c r="C1967" s="80"/>
      <c r="D1967" s="80"/>
      <c r="E1967" s="80"/>
      <c r="F1967" s="80"/>
      <c r="G1967" s="80"/>
      <c r="H1967" s="80"/>
      <c r="I1967" s="80"/>
      <c r="J1967" s="80"/>
      <c r="K1967" s="80"/>
      <c r="L1967" s="2"/>
      <c r="M1967" s="2"/>
      <c r="N1967" s="2"/>
      <c r="O1967" s="2"/>
      <c r="P1967" s="2"/>
      <c r="Q1967" s="2"/>
      <c r="R1967" s="80"/>
      <c r="S1967" s="80"/>
      <c r="T1967" s="80"/>
      <c r="U1967" s="80"/>
      <c r="V1967" s="80"/>
      <c r="W1967" s="80"/>
      <c r="X1967" s="80"/>
      <c r="Y1967" s="80"/>
      <c r="Z1967" s="80"/>
      <c r="AA1967" s="80"/>
      <c r="AB1967" s="80"/>
      <c r="AC1967" s="80"/>
      <c r="AD1967" s="80"/>
      <c r="AE1967" s="80"/>
      <c r="AF1967" s="80"/>
      <c r="AG1967" s="80"/>
      <c r="AH1967" s="80"/>
      <c r="AI1967" s="80"/>
    </row>
    <row r="1968" spans="1:35" x14ac:dyDescent="0.2">
      <c r="A1968" s="80"/>
      <c r="B1968" s="80"/>
      <c r="C1968" s="80"/>
      <c r="D1968" s="80"/>
      <c r="E1968" s="80"/>
      <c r="F1968" s="80"/>
      <c r="G1968" s="80"/>
      <c r="H1968" s="80"/>
      <c r="I1968" s="80"/>
      <c r="J1968" s="80"/>
      <c r="K1968" s="80"/>
      <c r="L1968" s="2"/>
      <c r="M1968" s="2"/>
      <c r="N1968" s="2"/>
      <c r="O1968" s="2"/>
      <c r="P1968" s="2"/>
      <c r="Q1968" s="2"/>
      <c r="R1968" s="80"/>
      <c r="S1968" s="80"/>
      <c r="T1968" s="80"/>
      <c r="U1968" s="80"/>
      <c r="V1968" s="80"/>
      <c r="W1968" s="80"/>
      <c r="X1968" s="80"/>
      <c r="Y1968" s="80"/>
      <c r="Z1968" s="80"/>
      <c r="AA1968" s="80"/>
      <c r="AB1968" s="80"/>
      <c r="AC1968" s="80"/>
      <c r="AD1968" s="80"/>
      <c r="AE1968" s="80"/>
      <c r="AF1968" s="80"/>
      <c r="AG1968" s="80"/>
      <c r="AH1968" s="80"/>
      <c r="AI1968" s="80"/>
    </row>
    <row r="1969" spans="1:35" x14ac:dyDescent="0.2">
      <c r="A1969" s="80"/>
      <c r="B1969" s="80"/>
      <c r="C1969" s="80"/>
      <c r="D1969" s="80"/>
      <c r="E1969" s="80"/>
      <c r="F1969" s="80"/>
      <c r="G1969" s="80"/>
      <c r="H1969" s="80"/>
      <c r="I1969" s="80"/>
      <c r="J1969" s="80"/>
      <c r="K1969" s="80"/>
      <c r="L1969" s="2"/>
      <c r="M1969" s="2"/>
      <c r="N1969" s="2"/>
      <c r="O1969" s="2"/>
      <c r="P1969" s="2"/>
      <c r="Q1969" s="2"/>
      <c r="R1969" s="80"/>
      <c r="S1969" s="80"/>
      <c r="T1969" s="80"/>
      <c r="U1969" s="80"/>
      <c r="V1969" s="80"/>
      <c r="W1969" s="80"/>
      <c r="X1969" s="80"/>
      <c r="Y1969" s="80"/>
      <c r="Z1969" s="80"/>
      <c r="AA1969" s="80"/>
      <c r="AB1969" s="80"/>
      <c r="AC1969" s="80"/>
      <c r="AD1969" s="80"/>
      <c r="AE1969" s="80"/>
      <c r="AF1969" s="80"/>
      <c r="AG1969" s="80"/>
      <c r="AH1969" s="80"/>
      <c r="AI1969" s="80"/>
    </row>
    <row r="1970" spans="1:35" x14ac:dyDescent="0.2">
      <c r="A1970" s="80"/>
      <c r="B1970" s="80"/>
      <c r="C1970" s="80"/>
      <c r="D1970" s="80"/>
      <c r="E1970" s="80"/>
      <c r="F1970" s="80"/>
      <c r="G1970" s="80"/>
      <c r="H1970" s="80"/>
      <c r="I1970" s="80"/>
      <c r="J1970" s="80"/>
      <c r="K1970" s="80"/>
      <c r="L1970" s="2"/>
      <c r="M1970" s="2"/>
      <c r="N1970" s="2"/>
      <c r="O1970" s="2"/>
      <c r="P1970" s="2"/>
      <c r="Q1970" s="2"/>
      <c r="R1970" s="80"/>
      <c r="S1970" s="80"/>
      <c r="T1970" s="80"/>
      <c r="U1970" s="80"/>
      <c r="V1970" s="80"/>
      <c r="W1970" s="80"/>
      <c r="X1970" s="80"/>
      <c r="Y1970" s="80"/>
      <c r="Z1970" s="80"/>
      <c r="AA1970" s="80"/>
      <c r="AB1970" s="80"/>
      <c r="AC1970" s="80"/>
      <c r="AD1970" s="80"/>
      <c r="AE1970" s="80"/>
      <c r="AF1970" s="80"/>
      <c r="AG1970" s="80"/>
      <c r="AH1970" s="80"/>
      <c r="AI1970" s="80"/>
    </row>
    <row r="1971" spans="1:35" x14ac:dyDescent="0.2">
      <c r="A1971" s="80"/>
      <c r="B1971" s="80"/>
      <c r="C1971" s="80"/>
      <c r="D1971" s="80"/>
      <c r="E1971" s="80"/>
      <c r="F1971" s="80"/>
      <c r="G1971" s="80"/>
      <c r="H1971" s="80"/>
      <c r="I1971" s="80"/>
      <c r="J1971" s="80"/>
      <c r="K1971" s="80"/>
      <c r="L1971" s="2"/>
      <c r="M1971" s="2"/>
      <c r="N1971" s="2"/>
      <c r="O1971" s="2"/>
      <c r="P1971" s="2"/>
      <c r="Q1971" s="2"/>
      <c r="R1971" s="80"/>
      <c r="S1971" s="80"/>
      <c r="T1971" s="80"/>
      <c r="U1971" s="80"/>
      <c r="V1971" s="80"/>
      <c r="W1971" s="80"/>
      <c r="X1971" s="80"/>
      <c r="Y1971" s="80"/>
      <c r="Z1971" s="80"/>
      <c r="AA1971" s="80"/>
      <c r="AB1971" s="80"/>
      <c r="AC1971" s="80"/>
      <c r="AD1971" s="80"/>
      <c r="AE1971" s="80"/>
      <c r="AF1971" s="80"/>
      <c r="AG1971" s="80"/>
      <c r="AH1971" s="80"/>
      <c r="AI1971" s="80"/>
    </row>
    <row r="1972" spans="1:35" x14ac:dyDescent="0.2">
      <c r="A1972" s="80"/>
      <c r="B1972" s="80"/>
      <c r="C1972" s="80"/>
      <c r="D1972" s="80"/>
      <c r="E1972" s="80"/>
      <c r="F1972" s="80"/>
      <c r="G1972" s="80"/>
      <c r="H1972" s="80"/>
      <c r="I1972" s="80"/>
      <c r="J1972" s="80"/>
      <c r="K1972" s="80"/>
      <c r="L1972" s="2"/>
      <c r="M1972" s="2"/>
      <c r="N1972" s="2"/>
      <c r="O1972" s="2"/>
      <c r="P1972" s="2"/>
      <c r="Q1972" s="2"/>
      <c r="R1972" s="80"/>
      <c r="S1972" s="80"/>
      <c r="T1972" s="80"/>
      <c r="U1972" s="80"/>
      <c r="V1972" s="80"/>
      <c r="W1972" s="80"/>
      <c r="X1972" s="80"/>
      <c r="Y1972" s="80"/>
      <c r="Z1972" s="80"/>
      <c r="AA1972" s="80"/>
      <c r="AB1972" s="80"/>
      <c r="AC1972" s="80"/>
      <c r="AD1972" s="80"/>
      <c r="AE1972" s="80"/>
      <c r="AF1972" s="80"/>
      <c r="AG1972" s="80"/>
      <c r="AH1972" s="80"/>
      <c r="AI1972" s="80"/>
    </row>
    <row r="1973" spans="1:35" x14ac:dyDescent="0.2">
      <c r="A1973" s="80"/>
      <c r="B1973" s="80"/>
      <c r="C1973" s="80"/>
      <c r="D1973" s="80"/>
      <c r="E1973" s="80"/>
      <c r="F1973" s="80"/>
      <c r="G1973" s="80"/>
      <c r="H1973" s="80"/>
      <c r="I1973" s="80"/>
      <c r="J1973" s="80"/>
      <c r="K1973" s="80"/>
      <c r="L1973" s="2"/>
      <c r="M1973" s="2"/>
      <c r="N1973" s="2"/>
      <c r="O1973" s="2"/>
      <c r="P1973" s="2"/>
      <c r="Q1973" s="2"/>
      <c r="R1973" s="80"/>
      <c r="S1973" s="80"/>
      <c r="T1973" s="80"/>
      <c r="U1973" s="80"/>
      <c r="V1973" s="80"/>
      <c r="W1973" s="80"/>
      <c r="X1973" s="80"/>
      <c r="Y1973" s="80"/>
      <c r="Z1973" s="80"/>
      <c r="AA1973" s="80"/>
      <c r="AB1973" s="80"/>
      <c r="AC1973" s="80"/>
      <c r="AD1973" s="80"/>
      <c r="AE1973" s="80"/>
      <c r="AF1973" s="80"/>
      <c r="AG1973" s="80"/>
      <c r="AH1973" s="80"/>
      <c r="AI1973" s="80"/>
    </row>
    <row r="1974" spans="1:35" x14ac:dyDescent="0.2">
      <c r="A1974" s="80"/>
      <c r="B1974" s="80"/>
      <c r="C1974" s="80"/>
      <c r="D1974" s="80"/>
      <c r="E1974" s="80"/>
      <c r="F1974" s="80"/>
      <c r="G1974" s="80"/>
      <c r="H1974" s="80"/>
      <c r="I1974" s="80"/>
      <c r="J1974" s="80"/>
      <c r="K1974" s="80"/>
      <c r="L1974" s="2"/>
      <c r="M1974" s="2"/>
      <c r="N1974" s="2"/>
      <c r="O1974" s="2"/>
      <c r="P1974" s="2"/>
      <c r="Q1974" s="2"/>
      <c r="R1974" s="80"/>
      <c r="S1974" s="80"/>
      <c r="T1974" s="80"/>
      <c r="U1974" s="80"/>
      <c r="V1974" s="80"/>
      <c r="W1974" s="80"/>
      <c r="X1974" s="80"/>
      <c r="Y1974" s="80"/>
      <c r="Z1974" s="80"/>
      <c r="AA1974" s="80"/>
      <c r="AB1974" s="80"/>
      <c r="AC1974" s="80"/>
      <c r="AD1974" s="80"/>
      <c r="AE1974" s="80"/>
      <c r="AF1974" s="80"/>
      <c r="AG1974" s="80"/>
      <c r="AH1974" s="80"/>
      <c r="AI1974" s="80"/>
    </row>
    <row r="1975" spans="1:35" x14ac:dyDescent="0.2">
      <c r="A1975" s="80"/>
      <c r="B1975" s="80"/>
      <c r="C1975" s="80"/>
      <c r="D1975" s="80"/>
      <c r="E1975" s="80"/>
      <c r="F1975" s="80"/>
      <c r="G1975" s="80"/>
      <c r="H1975" s="80"/>
      <c r="I1975" s="80"/>
      <c r="J1975" s="80"/>
      <c r="K1975" s="80"/>
      <c r="L1975" s="2"/>
      <c r="M1975" s="2"/>
      <c r="N1975" s="2"/>
      <c r="O1975" s="2"/>
      <c r="P1975" s="2"/>
      <c r="Q1975" s="2"/>
      <c r="R1975" s="80"/>
      <c r="S1975" s="80"/>
      <c r="T1975" s="80"/>
      <c r="U1975" s="80"/>
      <c r="V1975" s="80"/>
      <c r="W1975" s="80"/>
      <c r="X1975" s="80"/>
      <c r="Y1975" s="80"/>
      <c r="Z1975" s="80"/>
      <c r="AA1975" s="80"/>
      <c r="AB1975" s="80"/>
      <c r="AC1975" s="80"/>
      <c r="AD1975" s="80"/>
      <c r="AE1975" s="80"/>
      <c r="AF1975" s="80"/>
      <c r="AG1975" s="80"/>
      <c r="AH1975" s="80"/>
      <c r="AI1975" s="80"/>
    </row>
    <row r="1976" spans="1:35" x14ac:dyDescent="0.2">
      <c r="A1976" s="80"/>
      <c r="B1976" s="80"/>
      <c r="C1976" s="80"/>
      <c r="D1976" s="80"/>
      <c r="E1976" s="80"/>
      <c r="F1976" s="80"/>
      <c r="G1976" s="80"/>
      <c r="H1976" s="80"/>
      <c r="I1976" s="80"/>
      <c r="J1976" s="80"/>
      <c r="K1976" s="80"/>
      <c r="L1976" s="2"/>
      <c r="M1976" s="2"/>
      <c r="N1976" s="2"/>
      <c r="O1976" s="2"/>
      <c r="P1976" s="2"/>
      <c r="Q1976" s="2"/>
      <c r="R1976" s="80"/>
      <c r="S1976" s="80"/>
      <c r="T1976" s="80"/>
      <c r="U1976" s="80"/>
      <c r="V1976" s="80"/>
      <c r="W1976" s="80"/>
      <c r="X1976" s="80"/>
      <c r="Y1976" s="80"/>
      <c r="Z1976" s="80"/>
      <c r="AA1976" s="80"/>
      <c r="AB1976" s="80"/>
      <c r="AC1976" s="80"/>
      <c r="AD1976" s="80"/>
      <c r="AE1976" s="80"/>
      <c r="AF1976" s="80"/>
      <c r="AG1976" s="80"/>
      <c r="AH1976" s="80"/>
      <c r="AI1976" s="80"/>
    </row>
    <row r="1977" spans="1:35" x14ac:dyDescent="0.2">
      <c r="A1977" s="80"/>
      <c r="B1977" s="80"/>
      <c r="C1977" s="80"/>
      <c r="D1977" s="80"/>
      <c r="E1977" s="80"/>
      <c r="F1977" s="80"/>
      <c r="G1977" s="80"/>
      <c r="H1977" s="80"/>
      <c r="I1977" s="80"/>
      <c r="J1977" s="80"/>
      <c r="K1977" s="80"/>
      <c r="L1977" s="2"/>
      <c r="M1977" s="2"/>
      <c r="N1977" s="2"/>
      <c r="O1977" s="2"/>
      <c r="P1977" s="2"/>
      <c r="Q1977" s="2"/>
      <c r="R1977" s="80"/>
      <c r="S1977" s="80"/>
      <c r="T1977" s="80"/>
      <c r="U1977" s="80"/>
      <c r="V1977" s="80"/>
      <c r="W1977" s="80"/>
      <c r="X1977" s="80"/>
      <c r="Y1977" s="80"/>
      <c r="Z1977" s="80"/>
      <c r="AA1977" s="80"/>
      <c r="AB1977" s="80"/>
      <c r="AC1977" s="80"/>
      <c r="AD1977" s="80"/>
      <c r="AE1977" s="80"/>
      <c r="AF1977" s="80"/>
      <c r="AG1977" s="80"/>
      <c r="AH1977" s="80"/>
      <c r="AI1977" s="80"/>
    </row>
    <row r="1978" spans="1:35" x14ac:dyDescent="0.2">
      <c r="A1978" s="80"/>
      <c r="B1978" s="80"/>
      <c r="C1978" s="80"/>
      <c r="D1978" s="80"/>
      <c r="E1978" s="80"/>
      <c r="F1978" s="80"/>
      <c r="G1978" s="80"/>
      <c r="H1978" s="80"/>
      <c r="I1978" s="80"/>
      <c r="J1978" s="80"/>
      <c r="K1978" s="80"/>
      <c r="L1978" s="2"/>
      <c r="M1978" s="2"/>
      <c r="N1978" s="2"/>
      <c r="O1978" s="2"/>
      <c r="P1978" s="2"/>
      <c r="Q1978" s="2"/>
      <c r="R1978" s="80"/>
      <c r="S1978" s="80"/>
      <c r="T1978" s="80"/>
      <c r="U1978" s="80"/>
      <c r="V1978" s="80"/>
      <c r="W1978" s="80"/>
      <c r="X1978" s="80"/>
      <c r="Y1978" s="80"/>
      <c r="Z1978" s="80"/>
      <c r="AA1978" s="80"/>
      <c r="AB1978" s="80"/>
      <c r="AC1978" s="80"/>
      <c r="AD1978" s="80"/>
      <c r="AE1978" s="80"/>
      <c r="AF1978" s="80"/>
      <c r="AG1978" s="80"/>
      <c r="AH1978" s="80"/>
      <c r="AI1978" s="80"/>
    </row>
    <row r="1979" spans="1:35" x14ac:dyDescent="0.2">
      <c r="A1979" s="80"/>
      <c r="B1979" s="80"/>
      <c r="C1979" s="80"/>
      <c r="D1979" s="80"/>
      <c r="E1979" s="80"/>
      <c r="F1979" s="80"/>
      <c r="G1979" s="80"/>
      <c r="H1979" s="80"/>
      <c r="I1979" s="80"/>
      <c r="J1979" s="80"/>
      <c r="K1979" s="80"/>
      <c r="L1979" s="2"/>
      <c r="M1979" s="2"/>
      <c r="N1979" s="2"/>
      <c r="O1979" s="2"/>
      <c r="P1979" s="2"/>
      <c r="Q1979" s="2"/>
      <c r="R1979" s="80"/>
      <c r="S1979" s="80"/>
      <c r="T1979" s="80"/>
      <c r="U1979" s="80"/>
      <c r="V1979" s="80"/>
      <c r="W1979" s="80"/>
      <c r="X1979" s="80"/>
      <c r="Y1979" s="80"/>
      <c r="Z1979" s="80"/>
      <c r="AA1979" s="80"/>
      <c r="AB1979" s="80"/>
      <c r="AC1979" s="80"/>
      <c r="AD1979" s="80"/>
      <c r="AE1979" s="80"/>
      <c r="AF1979" s="80"/>
      <c r="AG1979" s="80"/>
      <c r="AH1979" s="80"/>
      <c r="AI1979" s="80"/>
    </row>
    <row r="1980" spans="1:35" x14ac:dyDescent="0.2">
      <c r="A1980" s="80"/>
      <c r="B1980" s="80"/>
      <c r="C1980" s="80"/>
      <c r="D1980" s="80"/>
      <c r="E1980" s="80"/>
      <c r="F1980" s="80"/>
      <c r="G1980" s="80"/>
      <c r="H1980" s="80"/>
      <c r="I1980" s="80"/>
      <c r="J1980" s="80"/>
      <c r="K1980" s="80"/>
      <c r="L1980" s="2"/>
      <c r="M1980" s="2"/>
      <c r="N1980" s="2"/>
      <c r="O1980" s="2"/>
      <c r="P1980" s="2"/>
      <c r="Q1980" s="2"/>
      <c r="R1980" s="80"/>
      <c r="S1980" s="80"/>
      <c r="T1980" s="80"/>
      <c r="U1980" s="80"/>
      <c r="V1980" s="80"/>
      <c r="W1980" s="80"/>
      <c r="X1980" s="80"/>
      <c r="Y1980" s="80"/>
      <c r="Z1980" s="80"/>
      <c r="AA1980" s="80"/>
      <c r="AB1980" s="80"/>
      <c r="AC1980" s="80"/>
      <c r="AD1980" s="80"/>
      <c r="AE1980" s="80"/>
      <c r="AF1980" s="80"/>
      <c r="AG1980" s="80"/>
      <c r="AH1980" s="80"/>
      <c r="AI1980" s="80"/>
    </row>
    <row r="1981" spans="1:35" x14ac:dyDescent="0.2">
      <c r="A1981" s="80"/>
      <c r="B1981" s="80"/>
      <c r="C1981" s="80"/>
      <c r="D1981" s="80"/>
      <c r="E1981" s="80"/>
      <c r="F1981" s="80"/>
      <c r="G1981" s="80"/>
      <c r="H1981" s="80"/>
      <c r="I1981" s="80"/>
      <c r="J1981" s="80"/>
      <c r="K1981" s="80"/>
      <c r="L1981" s="2"/>
      <c r="M1981" s="2"/>
      <c r="N1981" s="2"/>
      <c r="O1981" s="2"/>
      <c r="P1981" s="2"/>
      <c r="Q1981" s="2"/>
      <c r="R1981" s="80"/>
      <c r="S1981" s="80"/>
      <c r="T1981" s="80"/>
      <c r="U1981" s="80"/>
      <c r="V1981" s="80"/>
      <c r="W1981" s="80"/>
      <c r="X1981" s="80"/>
      <c r="Y1981" s="80"/>
      <c r="Z1981" s="80"/>
      <c r="AA1981" s="80"/>
      <c r="AB1981" s="80"/>
      <c r="AC1981" s="80"/>
      <c r="AD1981" s="80"/>
      <c r="AE1981" s="80"/>
      <c r="AF1981" s="80"/>
      <c r="AG1981" s="80"/>
      <c r="AH1981" s="80"/>
      <c r="AI1981" s="80"/>
    </row>
    <row r="1982" spans="1:35" x14ac:dyDescent="0.2">
      <c r="A1982" s="80"/>
      <c r="B1982" s="80"/>
      <c r="C1982" s="80"/>
      <c r="D1982" s="80"/>
      <c r="E1982" s="80"/>
      <c r="F1982" s="80"/>
      <c r="G1982" s="80"/>
      <c r="H1982" s="80"/>
      <c r="I1982" s="80"/>
      <c r="J1982" s="80"/>
      <c r="K1982" s="80"/>
      <c r="L1982" s="2"/>
      <c r="M1982" s="2"/>
      <c r="N1982" s="2"/>
      <c r="O1982" s="2"/>
      <c r="P1982" s="2"/>
      <c r="Q1982" s="2"/>
      <c r="R1982" s="80"/>
      <c r="S1982" s="80"/>
      <c r="T1982" s="80"/>
      <c r="U1982" s="80"/>
      <c r="V1982" s="80"/>
      <c r="W1982" s="80"/>
      <c r="X1982" s="80"/>
      <c r="Y1982" s="80"/>
      <c r="Z1982" s="80"/>
      <c r="AA1982" s="80"/>
      <c r="AB1982" s="80"/>
      <c r="AC1982" s="80"/>
      <c r="AD1982" s="80"/>
      <c r="AE1982" s="80"/>
      <c r="AF1982" s="80"/>
      <c r="AG1982" s="80"/>
      <c r="AH1982" s="80"/>
      <c r="AI1982" s="80"/>
    </row>
    <row r="1983" spans="1:35" x14ac:dyDescent="0.2">
      <c r="A1983" s="80"/>
      <c r="B1983" s="80"/>
      <c r="C1983" s="80"/>
      <c r="D1983" s="80"/>
      <c r="E1983" s="80"/>
      <c r="F1983" s="80"/>
      <c r="G1983" s="80"/>
      <c r="H1983" s="80"/>
      <c r="I1983" s="80"/>
      <c r="J1983" s="80"/>
      <c r="K1983" s="80"/>
      <c r="L1983" s="2"/>
      <c r="M1983" s="2"/>
      <c r="N1983" s="2"/>
      <c r="O1983" s="2"/>
      <c r="P1983" s="2"/>
      <c r="Q1983" s="2"/>
      <c r="R1983" s="80"/>
      <c r="S1983" s="80"/>
      <c r="T1983" s="80"/>
      <c r="U1983" s="80"/>
      <c r="V1983" s="80"/>
      <c r="W1983" s="80"/>
      <c r="X1983" s="80"/>
      <c r="Y1983" s="80"/>
      <c r="Z1983" s="80"/>
      <c r="AA1983" s="80"/>
      <c r="AB1983" s="80"/>
      <c r="AC1983" s="80"/>
      <c r="AD1983" s="80"/>
      <c r="AE1983" s="80"/>
      <c r="AF1983" s="80"/>
      <c r="AG1983" s="80"/>
      <c r="AH1983" s="80"/>
      <c r="AI1983" s="80"/>
    </row>
    <row r="1984" spans="1:35" x14ac:dyDescent="0.2">
      <c r="A1984" s="80"/>
      <c r="B1984" s="80"/>
      <c r="C1984" s="80"/>
      <c r="D1984" s="80"/>
      <c r="E1984" s="80"/>
      <c r="F1984" s="80"/>
      <c r="G1984" s="80"/>
      <c r="H1984" s="80"/>
      <c r="I1984" s="80"/>
      <c r="J1984" s="80"/>
      <c r="K1984" s="80"/>
      <c r="L1984" s="2"/>
      <c r="M1984" s="2"/>
      <c r="N1984" s="2"/>
      <c r="O1984" s="2"/>
      <c r="P1984" s="2"/>
      <c r="Q1984" s="2"/>
      <c r="R1984" s="80"/>
      <c r="S1984" s="80"/>
      <c r="T1984" s="80"/>
      <c r="U1984" s="80"/>
      <c r="V1984" s="80"/>
      <c r="W1984" s="80"/>
      <c r="X1984" s="80"/>
      <c r="Y1984" s="80"/>
      <c r="Z1984" s="80"/>
      <c r="AA1984" s="80"/>
      <c r="AB1984" s="80"/>
      <c r="AC1984" s="80"/>
      <c r="AD1984" s="80"/>
      <c r="AE1984" s="80"/>
      <c r="AF1984" s="80"/>
      <c r="AG1984" s="80"/>
      <c r="AH1984" s="80"/>
      <c r="AI1984" s="80"/>
    </row>
    <row r="1985" spans="1:35" x14ac:dyDescent="0.2">
      <c r="A1985" s="80"/>
      <c r="B1985" s="80"/>
      <c r="C1985" s="80"/>
      <c r="D1985" s="80"/>
      <c r="E1985" s="80"/>
      <c r="F1985" s="80"/>
      <c r="G1985" s="80"/>
      <c r="H1985" s="80"/>
      <c r="I1985" s="80"/>
      <c r="J1985" s="80"/>
      <c r="K1985" s="80"/>
      <c r="L1985" s="2"/>
      <c r="M1985" s="2"/>
      <c r="N1985" s="2"/>
      <c r="O1985" s="2"/>
      <c r="P1985" s="2"/>
      <c r="Q1985" s="2"/>
      <c r="R1985" s="80"/>
      <c r="S1985" s="80"/>
      <c r="T1985" s="80"/>
      <c r="U1985" s="80"/>
      <c r="V1985" s="80"/>
      <c r="W1985" s="80"/>
      <c r="X1985" s="80"/>
      <c r="Y1985" s="80"/>
      <c r="Z1985" s="80"/>
      <c r="AA1985" s="80"/>
      <c r="AB1985" s="80"/>
      <c r="AC1985" s="80"/>
      <c r="AD1985" s="80"/>
      <c r="AE1985" s="80"/>
      <c r="AF1985" s="80"/>
      <c r="AG1985" s="80"/>
      <c r="AH1985" s="80"/>
      <c r="AI1985" s="80"/>
    </row>
    <row r="1986" spans="1:35" x14ac:dyDescent="0.2">
      <c r="A1986" s="80"/>
      <c r="B1986" s="80"/>
      <c r="C1986" s="80"/>
      <c r="D1986" s="80"/>
      <c r="E1986" s="80"/>
      <c r="F1986" s="80"/>
      <c r="G1986" s="80"/>
      <c r="H1986" s="80"/>
      <c r="I1986" s="80"/>
      <c r="J1986" s="80"/>
      <c r="K1986" s="80"/>
      <c r="L1986" s="2"/>
      <c r="M1986" s="2"/>
      <c r="N1986" s="2"/>
      <c r="O1986" s="2"/>
      <c r="P1986" s="2"/>
      <c r="Q1986" s="2"/>
      <c r="R1986" s="80"/>
      <c r="S1986" s="80"/>
      <c r="T1986" s="80"/>
      <c r="U1986" s="80"/>
      <c r="V1986" s="80"/>
      <c r="W1986" s="80"/>
      <c r="X1986" s="80"/>
      <c r="Y1986" s="80"/>
      <c r="Z1986" s="80"/>
      <c r="AA1986" s="80"/>
      <c r="AB1986" s="80"/>
      <c r="AC1986" s="80"/>
      <c r="AD1986" s="80"/>
      <c r="AE1986" s="80"/>
      <c r="AF1986" s="80"/>
      <c r="AG1986" s="80"/>
      <c r="AH1986" s="80"/>
      <c r="AI1986" s="80"/>
    </row>
    <row r="1987" spans="1:35" x14ac:dyDescent="0.2">
      <c r="A1987" s="80"/>
      <c r="B1987" s="80"/>
      <c r="C1987" s="80"/>
      <c r="D1987" s="80"/>
      <c r="E1987" s="80"/>
      <c r="F1987" s="80"/>
      <c r="G1987" s="80"/>
      <c r="H1987" s="80"/>
      <c r="I1987" s="80"/>
      <c r="J1987" s="80"/>
      <c r="K1987" s="80"/>
      <c r="L1987" s="2"/>
      <c r="M1987" s="2"/>
      <c r="N1987" s="2"/>
      <c r="O1987" s="2"/>
      <c r="P1987" s="2"/>
      <c r="Q1987" s="2"/>
      <c r="R1987" s="80"/>
      <c r="S1987" s="80"/>
      <c r="T1987" s="80"/>
      <c r="U1987" s="80"/>
      <c r="V1987" s="80"/>
      <c r="W1987" s="80"/>
      <c r="X1987" s="80"/>
      <c r="Y1987" s="80"/>
      <c r="Z1987" s="80"/>
      <c r="AA1987" s="80"/>
      <c r="AB1987" s="80"/>
      <c r="AC1987" s="80"/>
      <c r="AD1987" s="80"/>
      <c r="AE1987" s="80"/>
      <c r="AF1987" s="80"/>
      <c r="AG1987" s="80"/>
      <c r="AH1987" s="80"/>
      <c r="AI1987" s="80"/>
    </row>
    <row r="1988" spans="1:35" x14ac:dyDescent="0.2">
      <c r="A1988" s="80"/>
      <c r="B1988" s="80"/>
      <c r="C1988" s="80"/>
      <c r="D1988" s="80"/>
      <c r="E1988" s="80"/>
      <c r="F1988" s="80"/>
      <c r="G1988" s="80"/>
      <c r="H1988" s="80"/>
      <c r="I1988" s="80"/>
      <c r="J1988" s="80"/>
      <c r="K1988" s="80"/>
      <c r="L1988" s="2"/>
      <c r="M1988" s="2"/>
      <c r="N1988" s="2"/>
      <c r="O1988" s="2"/>
      <c r="P1988" s="2"/>
      <c r="Q1988" s="2"/>
      <c r="R1988" s="80"/>
      <c r="S1988" s="80"/>
      <c r="T1988" s="80"/>
      <c r="U1988" s="80"/>
      <c r="V1988" s="80"/>
      <c r="W1988" s="80"/>
      <c r="X1988" s="80"/>
      <c r="Y1988" s="80"/>
      <c r="Z1988" s="80"/>
      <c r="AA1988" s="80"/>
      <c r="AB1988" s="80"/>
      <c r="AC1988" s="80"/>
      <c r="AD1988" s="80"/>
      <c r="AE1988" s="80"/>
      <c r="AF1988" s="80"/>
      <c r="AG1988" s="80"/>
      <c r="AH1988" s="80"/>
      <c r="AI1988" s="80"/>
    </row>
    <row r="1989" spans="1:35" x14ac:dyDescent="0.2">
      <c r="A1989" s="80"/>
      <c r="B1989" s="80"/>
      <c r="C1989" s="80"/>
      <c r="D1989" s="80"/>
      <c r="E1989" s="80"/>
      <c r="F1989" s="80"/>
      <c r="G1989" s="80"/>
      <c r="H1989" s="80"/>
      <c r="I1989" s="80"/>
      <c r="J1989" s="80"/>
      <c r="K1989" s="80"/>
      <c r="L1989" s="2"/>
      <c r="M1989" s="2"/>
      <c r="N1989" s="2"/>
      <c r="O1989" s="2"/>
      <c r="P1989" s="2"/>
      <c r="Q1989" s="2"/>
      <c r="R1989" s="80"/>
      <c r="S1989" s="80"/>
      <c r="T1989" s="80"/>
      <c r="U1989" s="80"/>
      <c r="V1989" s="80"/>
      <c r="W1989" s="80"/>
      <c r="X1989" s="80"/>
      <c r="Y1989" s="80"/>
      <c r="Z1989" s="80"/>
      <c r="AA1989" s="80"/>
      <c r="AB1989" s="80"/>
      <c r="AC1989" s="80"/>
      <c r="AD1989" s="80"/>
      <c r="AE1989" s="80"/>
      <c r="AF1989" s="80"/>
      <c r="AG1989" s="80"/>
      <c r="AH1989" s="80"/>
      <c r="AI1989" s="80"/>
    </row>
    <row r="1990" spans="1:35" x14ac:dyDescent="0.2">
      <c r="A1990" s="80"/>
      <c r="B1990" s="80"/>
      <c r="C1990" s="80"/>
      <c r="D1990" s="80"/>
      <c r="E1990" s="80"/>
      <c r="F1990" s="80"/>
      <c r="G1990" s="80"/>
      <c r="H1990" s="80"/>
      <c r="I1990" s="80"/>
      <c r="J1990" s="80"/>
      <c r="K1990" s="80"/>
      <c r="L1990" s="2"/>
      <c r="M1990" s="2"/>
      <c r="N1990" s="2"/>
      <c r="O1990" s="2"/>
      <c r="P1990" s="2"/>
      <c r="Q1990" s="2"/>
      <c r="R1990" s="80"/>
      <c r="S1990" s="80"/>
      <c r="T1990" s="80"/>
      <c r="U1990" s="80"/>
      <c r="V1990" s="80"/>
      <c r="W1990" s="80"/>
      <c r="X1990" s="80"/>
      <c r="Y1990" s="80"/>
      <c r="Z1990" s="80"/>
      <c r="AA1990" s="80"/>
      <c r="AB1990" s="80"/>
      <c r="AC1990" s="80"/>
      <c r="AD1990" s="80"/>
      <c r="AE1990" s="80"/>
      <c r="AF1990" s="80"/>
      <c r="AG1990" s="80"/>
      <c r="AH1990" s="80"/>
      <c r="AI1990" s="80"/>
    </row>
    <row r="1991" spans="1:35" x14ac:dyDescent="0.2">
      <c r="A1991" s="80"/>
      <c r="B1991" s="80"/>
      <c r="C1991" s="80"/>
      <c r="D1991" s="80"/>
      <c r="E1991" s="80"/>
      <c r="F1991" s="80"/>
      <c r="G1991" s="80"/>
      <c r="H1991" s="80"/>
      <c r="I1991" s="80"/>
      <c r="J1991" s="80"/>
      <c r="K1991" s="80"/>
      <c r="L1991" s="2"/>
      <c r="M1991" s="2"/>
      <c r="N1991" s="2"/>
      <c r="O1991" s="2"/>
      <c r="P1991" s="2"/>
      <c r="Q1991" s="2"/>
      <c r="R1991" s="80"/>
      <c r="S1991" s="80"/>
      <c r="T1991" s="80"/>
      <c r="U1991" s="80"/>
      <c r="V1991" s="80"/>
      <c r="W1991" s="80"/>
      <c r="X1991" s="80"/>
      <c r="Y1991" s="80"/>
      <c r="Z1991" s="80"/>
      <c r="AA1991" s="80"/>
      <c r="AB1991" s="80"/>
      <c r="AC1991" s="80"/>
      <c r="AD1991" s="80"/>
      <c r="AE1991" s="80"/>
      <c r="AF1991" s="80"/>
      <c r="AG1991" s="80"/>
      <c r="AH1991" s="80"/>
      <c r="AI1991" s="80"/>
    </row>
    <row r="1992" spans="1:35" x14ac:dyDescent="0.2">
      <c r="A1992" s="80"/>
      <c r="B1992" s="80"/>
      <c r="C1992" s="80"/>
      <c r="D1992" s="80"/>
      <c r="E1992" s="80"/>
      <c r="F1992" s="80"/>
      <c r="G1992" s="80"/>
      <c r="H1992" s="80"/>
      <c r="I1992" s="80"/>
      <c r="J1992" s="80"/>
      <c r="K1992" s="80"/>
      <c r="L1992" s="2"/>
      <c r="M1992" s="2"/>
      <c r="N1992" s="2"/>
      <c r="O1992" s="2"/>
      <c r="P1992" s="2"/>
      <c r="Q1992" s="2"/>
      <c r="R1992" s="80"/>
      <c r="S1992" s="80"/>
      <c r="T1992" s="80"/>
      <c r="U1992" s="80"/>
      <c r="V1992" s="80"/>
      <c r="W1992" s="80"/>
      <c r="X1992" s="80"/>
      <c r="Y1992" s="80"/>
      <c r="Z1992" s="80"/>
      <c r="AA1992" s="80"/>
      <c r="AB1992" s="80"/>
      <c r="AC1992" s="80"/>
      <c r="AD1992" s="80"/>
      <c r="AE1992" s="80"/>
      <c r="AF1992" s="80"/>
      <c r="AG1992" s="80"/>
      <c r="AH1992" s="80"/>
      <c r="AI1992" s="80"/>
    </row>
    <row r="1993" spans="1:35" x14ac:dyDescent="0.2">
      <c r="A1993" s="80"/>
      <c r="B1993" s="80"/>
      <c r="C1993" s="80"/>
      <c r="D1993" s="80"/>
      <c r="E1993" s="80"/>
      <c r="F1993" s="80"/>
      <c r="G1993" s="80"/>
      <c r="H1993" s="80"/>
      <c r="I1993" s="80"/>
      <c r="J1993" s="80"/>
      <c r="K1993" s="80"/>
      <c r="L1993" s="2"/>
      <c r="M1993" s="2"/>
      <c r="N1993" s="2"/>
      <c r="O1993" s="2"/>
      <c r="P1993" s="2"/>
      <c r="Q1993" s="2"/>
      <c r="R1993" s="80"/>
      <c r="S1993" s="80"/>
      <c r="T1993" s="80"/>
      <c r="U1993" s="80"/>
      <c r="V1993" s="80"/>
      <c r="W1993" s="80"/>
      <c r="X1993" s="80"/>
      <c r="Y1993" s="80"/>
      <c r="Z1993" s="80"/>
      <c r="AA1993" s="80"/>
      <c r="AB1993" s="80"/>
      <c r="AC1993" s="80"/>
      <c r="AD1993" s="80"/>
      <c r="AE1993" s="80"/>
      <c r="AF1993" s="80"/>
      <c r="AG1993" s="80"/>
      <c r="AH1993" s="80"/>
      <c r="AI1993" s="80"/>
    </row>
    <row r="1994" spans="1:35" x14ac:dyDescent="0.2">
      <c r="A1994" s="80"/>
      <c r="B1994" s="80"/>
      <c r="C1994" s="80"/>
      <c r="D1994" s="80"/>
      <c r="E1994" s="80"/>
      <c r="F1994" s="80"/>
      <c r="G1994" s="80"/>
      <c r="H1994" s="80"/>
      <c r="I1994" s="80"/>
      <c r="J1994" s="80"/>
      <c r="K1994" s="80"/>
      <c r="L1994" s="2"/>
      <c r="M1994" s="2"/>
      <c r="N1994" s="2"/>
      <c r="O1994" s="2"/>
      <c r="P1994" s="2"/>
      <c r="Q1994" s="2"/>
      <c r="R1994" s="80"/>
      <c r="S1994" s="80"/>
      <c r="T1994" s="80"/>
      <c r="U1994" s="80"/>
      <c r="V1994" s="80"/>
      <c r="W1994" s="80"/>
      <c r="X1994" s="80"/>
      <c r="Y1994" s="80"/>
      <c r="Z1994" s="80"/>
      <c r="AA1994" s="80"/>
      <c r="AB1994" s="80"/>
      <c r="AC1994" s="80"/>
      <c r="AD1994" s="80"/>
      <c r="AE1994" s="80"/>
      <c r="AF1994" s="80"/>
      <c r="AG1994" s="80"/>
      <c r="AH1994" s="80"/>
      <c r="AI1994" s="80"/>
    </row>
    <row r="1995" spans="1:35" x14ac:dyDescent="0.2">
      <c r="A1995" s="80"/>
      <c r="B1995" s="80"/>
      <c r="C1995" s="80"/>
      <c r="D1995" s="80"/>
      <c r="E1995" s="80"/>
      <c r="F1995" s="80"/>
      <c r="G1995" s="80"/>
      <c r="H1995" s="80"/>
      <c r="I1995" s="80"/>
      <c r="J1995" s="80"/>
      <c r="K1995" s="80"/>
      <c r="L1995" s="2"/>
      <c r="M1995" s="2"/>
      <c r="N1995" s="2"/>
      <c r="O1995" s="2"/>
      <c r="P1995" s="2"/>
      <c r="Q1995" s="2"/>
      <c r="R1995" s="80"/>
      <c r="S1995" s="80"/>
      <c r="T1995" s="80"/>
      <c r="U1995" s="80"/>
      <c r="V1995" s="80"/>
      <c r="W1995" s="80"/>
      <c r="X1995" s="80"/>
      <c r="Y1995" s="80"/>
      <c r="Z1995" s="80"/>
      <c r="AA1995" s="80"/>
      <c r="AB1995" s="80"/>
      <c r="AC1995" s="80"/>
      <c r="AD1995" s="80"/>
      <c r="AE1995" s="80"/>
      <c r="AF1995" s="80"/>
      <c r="AG1995" s="80"/>
      <c r="AH1995" s="80"/>
      <c r="AI1995" s="80"/>
    </row>
    <row r="1996" spans="1:35" x14ac:dyDescent="0.2">
      <c r="A1996" s="80"/>
      <c r="B1996" s="80"/>
      <c r="C1996" s="80"/>
      <c r="D1996" s="80"/>
      <c r="E1996" s="80"/>
      <c r="F1996" s="80"/>
      <c r="G1996" s="80"/>
      <c r="H1996" s="80"/>
      <c r="I1996" s="80"/>
      <c r="J1996" s="80"/>
      <c r="K1996" s="80"/>
      <c r="L1996" s="2"/>
      <c r="M1996" s="2"/>
      <c r="N1996" s="2"/>
      <c r="O1996" s="2"/>
      <c r="P1996" s="2"/>
      <c r="Q1996" s="2"/>
      <c r="R1996" s="80"/>
      <c r="S1996" s="80"/>
      <c r="T1996" s="80"/>
      <c r="U1996" s="80"/>
      <c r="V1996" s="80"/>
      <c r="W1996" s="80"/>
      <c r="X1996" s="80"/>
      <c r="Y1996" s="80"/>
      <c r="Z1996" s="80"/>
      <c r="AA1996" s="80"/>
      <c r="AB1996" s="80"/>
      <c r="AC1996" s="80"/>
      <c r="AD1996" s="80"/>
      <c r="AE1996" s="80"/>
      <c r="AF1996" s="80"/>
      <c r="AG1996" s="80"/>
      <c r="AH1996" s="80"/>
      <c r="AI1996" s="80"/>
    </row>
    <row r="1997" spans="1:35" x14ac:dyDescent="0.2">
      <c r="A1997" s="80"/>
      <c r="B1997" s="80"/>
      <c r="C1997" s="80"/>
      <c r="D1997" s="80"/>
      <c r="E1997" s="80"/>
      <c r="F1997" s="80"/>
      <c r="G1997" s="80"/>
      <c r="H1997" s="80"/>
      <c r="I1997" s="80"/>
      <c r="J1997" s="80"/>
      <c r="K1997" s="80"/>
      <c r="L1997" s="2"/>
      <c r="M1997" s="2"/>
      <c r="N1997" s="2"/>
      <c r="O1997" s="2"/>
      <c r="P1997" s="2"/>
      <c r="Q1997" s="2"/>
      <c r="R1997" s="80"/>
      <c r="S1997" s="80"/>
      <c r="T1997" s="80"/>
      <c r="U1997" s="80"/>
      <c r="V1997" s="80"/>
      <c r="W1997" s="80"/>
      <c r="X1997" s="80"/>
      <c r="Y1997" s="80"/>
      <c r="Z1997" s="80"/>
      <c r="AA1997" s="80"/>
      <c r="AB1997" s="80"/>
      <c r="AC1997" s="80"/>
      <c r="AD1997" s="80"/>
      <c r="AE1997" s="80"/>
      <c r="AF1997" s="80"/>
      <c r="AG1997" s="80"/>
      <c r="AH1997" s="80"/>
      <c r="AI1997" s="80"/>
    </row>
    <row r="1998" spans="1:35" x14ac:dyDescent="0.2">
      <c r="A1998" s="80"/>
      <c r="B1998" s="80"/>
      <c r="C1998" s="80"/>
      <c r="D1998" s="80"/>
      <c r="E1998" s="80"/>
      <c r="F1998" s="80"/>
      <c r="G1998" s="80"/>
      <c r="H1998" s="80"/>
      <c r="I1998" s="80"/>
      <c r="J1998" s="80"/>
      <c r="K1998" s="80"/>
      <c r="L1998" s="2"/>
      <c r="M1998" s="2"/>
      <c r="N1998" s="2"/>
      <c r="O1998" s="2"/>
      <c r="P1998" s="2"/>
      <c r="Q1998" s="2"/>
      <c r="R1998" s="80"/>
      <c r="S1998" s="80"/>
      <c r="T1998" s="80"/>
      <c r="U1998" s="80"/>
      <c r="V1998" s="80"/>
      <c r="W1998" s="80"/>
      <c r="X1998" s="80"/>
      <c r="Y1998" s="80"/>
      <c r="Z1998" s="80"/>
      <c r="AA1998" s="80"/>
      <c r="AB1998" s="80"/>
      <c r="AC1998" s="80"/>
      <c r="AD1998" s="80"/>
      <c r="AE1998" s="80"/>
      <c r="AF1998" s="80"/>
      <c r="AG1998" s="80"/>
      <c r="AH1998" s="80"/>
      <c r="AI1998" s="80"/>
    </row>
    <row r="1999" spans="1:35" x14ac:dyDescent="0.2">
      <c r="A1999" s="80"/>
      <c r="B1999" s="80"/>
      <c r="C1999" s="80"/>
      <c r="D1999" s="80"/>
      <c r="E1999" s="80"/>
      <c r="F1999" s="80"/>
      <c r="G1999" s="80"/>
      <c r="H1999" s="80"/>
      <c r="I1999" s="80"/>
      <c r="J1999" s="80"/>
      <c r="K1999" s="80"/>
      <c r="L1999" s="2"/>
      <c r="M1999" s="2"/>
      <c r="N1999" s="2"/>
      <c r="O1999" s="2"/>
      <c r="P1999" s="2"/>
      <c r="Q1999" s="2"/>
      <c r="R1999" s="80"/>
      <c r="S1999" s="80"/>
      <c r="T1999" s="80"/>
      <c r="U1999" s="80"/>
      <c r="V1999" s="80"/>
      <c r="W1999" s="80"/>
      <c r="X1999" s="80"/>
      <c r="Y1999" s="80"/>
      <c r="Z1999" s="80"/>
      <c r="AA1999" s="80"/>
      <c r="AB1999" s="80"/>
      <c r="AC1999" s="80"/>
      <c r="AD1999" s="80"/>
      <c r="AE1999" s="80"/>
      <c r="AF1999" s="80"/>
      <c r="AG1999" s="80"/>
      <c r="AH1999" s="80"/>
      <c r="AI1999" s="80"/>
    </row>
    <row r="2000" spans="1:35" x14ac:dyDescent="0.2">
      <c r="A2000" s="80"/>
      <c r="B2000" s="80"/>
      <c r="C2000" s="80"/>
      <c r="D2000" s="80"/>
      <c r="E2000" s="80"/>
      <c r="F2000" s="80"/>
      <c r="G2000" s="80"/>
      <c r="H2000" s="80"/>
      <c r="I2000" s="80"/>
      <c r="J2000" s="80"/>
      <c r="K2000" s="80"/>
      <c r="L2000" s="2"/>
      <c r="M2000" s="2"/>
      <c r="N2000" s="2"/>
      <c r="O2000" s="2"/>
      <c r="P2000" s="2"/>
      <c r="Q2000" s="2"/>
      <c r="R2000" s="80"/>
      <c r="S2000" s="80"/>
      <c r="T2000" s="80"/>
      <c r="U2000" s="80"/>
      <c r="V2000" s="80"/>
      <c r="W2000" s="80"/>
      <c r="X2000" s="80"/>
      <c r="Y2000" s="80"/>
      <c r="Z2000" s="80"/>
      <c r="AA2000" s="80"/>
      <c r="AB2000" s="80"/>
      <c r="AC2000" s="80"/>
      <c r="AD2000" s="80"/>
      <c r="AE2000" s="80"/>
      <c r="AF2000" s="80"/>
      <c r="AG2000" s="80"/>
      <c r="AH2000" s="80"/>
      <c r="AI2000" s="80"/>
    </row>
    <row r="2001" spans="1:35" x14ac:dyDescent="0.2">
      <c r="A2001" s="80"/>
      <c r="B2001" s="80"/>
      <c r="C2001" s="80"/>
      <c r="D2001" s="80"/>
      <c r="E2001" s="80"/>
      <c r="F2001" s="80"/>
      <c r="G2001" s="80"/>
      <c r="H2001" s="80"/>
      <c r="I2001" s="80"/>
      <c r="J2001" s="80"/>
      <c r="K2001" s="80"/>
      <c r="L2001" s="2"/>
      <c r="M2001" s="2"/>
      <c r="N2001" s="2"/>
      <c r="O2001" s="2"/>
      <c r="P2001" s="2"/>
      <c r="Q2001" s="2"/>
      <c r="R2001" s="80"/>
      <c r="S2001" s="80"/>
      <c r="T2001" s="80"/>
      <c r="U2001" s="80"/>
      <c r="V2001" s="80"/>
      <c r="W2001" s="80"/>
      <c r="X2001" s="80"/>
      <c r="Y2001" s="80"/>
      <c r="Z2001" s="80"/>
      <c r="AA2001" s="80"/>
      <c r="AB2001" s="80"/>
      <c r="AC2001" s="80"/>
      <c r="AD2001" s="80"/>
      <c r="AE2001" s="80"/>
      <c r="AF2001" s="80"/>
      <c r="AG2001" s="80"/>
      <c r="AH2001" s="80"/>
      <c r="AI2001" s="80"/>
    </row>
    <row r="2002" spans="1:35" x14ac:dyDescent="0.2">
      <c r="A2002" s="80"/>
      <c r="B2002" s="80"/>
      <c r="C2002" s="80"/>
      <c r="D2002" s="80"/>
      <c r="E2002" s="80"/>
      <c r="F2002" s="80"/>
      <c r="G2002" s="80"/>
      <c r="H2002" s="80"/>
      <c r="I2002" s="80"/>
      <c r="J2002" s="80"/>
      <c r="K2002" s="80"/>
      <c r="L2002" s="2"/>
      <c r="M2002" s="2"/>
      <c r="N2002" s="2"/>
      <c r="O2002" s="2"/>
      <c r="P2002" s="2"/>
      <c r="Q2002" s="2"/>
      <c r="R2002" s="80"/>
      <c r="S2002" s="80"/>
      <c r="T2002" s="80"/>
      <c r="U2002" s="80"/>
      <c r="V2002" s="80"/>
      <c r="W2002" s="80"/>
      <c r="X2002" s="80"/>
      <c r="Y2002" s="80"/>
      <c r="Z2002" s="80"/>
      <c r="AA2002" s="80"/>
      <c r="AB2002" s="80"/>
      <c r="AC2002" s="80"/>
      <c r="AD2002" s="80"/>
      <c r="AE2002" s="80"/>
      <c r="AF2002" s="80"/>
      <c r="AG2002" s="80"/>
      <c r="AH2002" s="80"/>
      <c r="AI2002" s="80"/>
    </row>
    <row r="2003" spans="1:35" x14ac:dyDescent="0.2">
      <c r="A2003" s="80"/>
      <c r="B2003" s="80"/>
      <c r="C2003" s="80"/>
      <c r="D2003" s="80"/>
      <c r="E2003" s="80"/>
      <c r="F2003" s="80"/>
      <c r="G2003" s="80"/>
      <c r="H2003" s="80"/>
      <c r="I2003" s="80"/>
      <c r="J2003" s="80"/>
      <c r="K2003" s="80"/>
      <c r="L2003" s="2"/>
      <c r="M2003" s="2"/>
      <c r="N2003" s="2"/>
      <c r="O2003" s="2"/>
      <c r="P2003" s="2"/>
      <c r="Q2003" s="2"/>
      <c r="R2003" s="80"/>
      <c r="S2003" s="80"/>
      <c r="T2003" s="80"/>
      <c r="U2003" s="80"/>
      <c r="V2003" s="80"/>
      <c r="W2003" s="80"/>
      <c r="X2003" s="80"/>
      <c r="Y2003" s="80"/>
      <c r="Z2003" s="80"/>
      <c r="AA2003" s="80"/>
      <c r="AB2003" s="80"/>
      <c r="AC2003" s="80"/>
      <c r="AD2003" s="80"/>
      <c r="AE2003" s="80"/>
      <c r="AF2003" s="80"/>
      <c r="AG2003" s="80"/>
      <c r="AH2003" s="80"/>
      <c r="AI2003" s="80"/>
    </row>
    <row r="2004" spans="1:35" x14ac:dyDescent="0.2">
      <c r="A2004" s="80"/>
      <c r="B2004" s="80"/>
      <c r="C2004" s="80"/>
      <c r="D2004" s="80"/>
      <c r="E2004" s="80"/>
      <c r="F2004" s="80"/>
      <c r="G2004" s="80"/>
      <c r="H2004" s="80"/>
      <c r="I2004" s="80"/>
      <c r="J2004" s="80"/>
      <c r="K2004" s="80"/>
      <c r="L2004" s="2"/>
      <c r="M2004" s="2"/>
      <c r="N2004" s="2"/>
      <c r="O2004" s="2"/>
      <c r="P2004" s="2"/>
      <c r="Q2004" s="2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E2004" s="80"/>
      <c r="AF2004" s="80"/>
      <c r="AG2004" s="80"/>
      <c r="AH2004" s="80"/>
      <c r="AI2004" s="80"/>
    </row>
    <row r="2005" spans="1:35" x14ac:dyDescent="0.2">
      <c r="A2005" s="80"/>
      <c r="B2005" s="80"/>
      <c r="C2005" s="80"/>
      <c r="D2005" s="80"/>
      <c r="E2005" s="80"/>
      <c r="F2005" s="80"/>
      <c r="G2005" s="80"/>
      <c r="H2005" s="80"/>
      <c r="I2005" s="80"/>
      <c r="J2005" s="80"/>
      <c r="K2005" s="80"/>
      <c r="L2005" s="2"/>
      <c r="M2005" s="2"/>
      <c r="N2005" s="2"/>
      <c r="O2005" s="2"/>
      <c r="P2005" s="2"/>
      <c r="Q2005" s="2"/>
      <c r="R2005" s="80"/>
      <c r="S2005" s="80"/>
      <c r="T2005" s="80"/>
      <c r="U2005" s="80"/>
      <c r="V2005" s="80"/>
      <c r="W2005" s="80"/>
      <c r="X2005" s="80"/>
      <c r="Y2005" s="80"/>
      <c r="Z2005" s="80"/>
      <c r="AA2005" s="80"/>
      <c r="AB2005" s="80"/>
      <c r="AC2005" s="80"/>
      <c r="AD2005" s="80"/>
      <c r="AE2005" s="80"/>
      <c r="AF2005" s="80"/>
      <c r="AG2005" s="80"/>
      <c r="AH2005" s="80"/>
      <c r="AI2005" s="80"/>
    </row>
    <row r="2006" spans="1:35" x14ac:dyDescent="0.2">
      <c r="A2006" s="80"/>
      <c r="B2006" s="80"/>
      <c r="C2006" s="80"/>
      <c r="D2006" s="80"/>
      <c r="E2006" s="80"/>
      <c r="F2006" s="80"/>
      <c r="G2006" s="80"/>
      <c r="H2006" s="80"/>
      <c r="I2006" s="80"/>
      <c r="J2006" s="80"/>
      <c r="K2006" s="80"/>
      <c r="L2006" s="2"/>
      <c r="M2006" s="2"/>
      <c r="N2006" s="2"/>
      <c r="O2006" s="2"/>
      <c r="P2006" s="2"/>
      <c r="Q2006" s="2"/>
      <c r="R2006" s="80"/>
      <c r="S2006" s="80"/>
      <c r="T2006" s="80"/>
      <c r="U2006" s="80"/>
      <c r="V2006" s="80"/>
      <c r="W2006" s="80"/>
      <c r="X2006" s="80"/>
      <c r="Y2006" s="80"/>
      <c r="Z2006" s="80"/>
      <c r="AA2006" s="80"/>
      <c r="AB2006" s="80"/>
      <c r="AC2006" s="80"/>
      <c r="AD2006" s="80"/>
      <c r="AE2006" s="80"/>
      <c r="AF2006" s="80"/>
      <c r="AG2006" s="80"/>
      <c r="AH2006" s="80"/>
      <c r="AI2006" s="80"/>
    </row>
    <row r="2007" spans="1:35" x14ac:dyDescent="0.2">
      <c r="A2007" s="80"/>
      <c r="B2007" s="80"/>
      <c r="C2007" s="80"/>
      <c r="D2007" s="80"/>
      <c r="E2007" s="80"/>
      <c r="F2007" s="80"/>
      <c r="G2007" s="80"/>
      <c r="H2007" s="80"/>
      <c r="I2007" s="80"/>
      <c r="J2007" s="80"/>
      <c r="K2007" s="80"/>
      <c r="L2007" s="2"/>
      <c r="M2007" s="2"/>
      <c r="N2007" s="2"/>
      <c r="O2007" s="2"/>
      <c r="P2007" s="2"/>
      <c r="Q2007" s="2"/>
      <c r="R2007" s="80"/>
      <c r="S2007" s="80"/>
      <c r="T2007" s="80"/>
      <c r="U2007" s="80"/>
      <c r="V2007" s="80"/>
      <c r="W2007" s="80"/>
      <c r="X2007" s="80"/>
      <c r="Y2007" s="80"/>
      <c r="Z2007" s="80"/>
      <c r="AA2007" s="80"/>
      <c r="AB2007" s="80"/>
      <c r="AC2007" s="80"/>
      <c r="AD2007" s="80"/>
      <c r="AE2007" s="80"/>
      <c r="AF2007" s="80"/>
      <c r="AG2007" s="80"/>
      <c r="AH2007" s="80"/>
      <c r="AI2007" s="80"/>
    </row>
    <row r="2008" spans="1:35" x14ac:dyDescent="0.2">
      <c r="A2008" s="80"/>
      <c r="B2008" s="80"/>
      <c r="C2008" s="80"/>
      <c r="D2008" s="80"/>
      <c r="E2008" s="80"/>
      <c r="F2008" s="80"/>
      <c r="G2008" s="80"/>
      <c r="H2008" s="80"/>
      <c r="I2008" s="80"/>
      <c r="J2008" s="80"/>
      <c r="K2008" s="80"/>
      <c r="L2008" s="2"/>
      <c r="M2008" s="2"/>
      <c r="N2008" s="2"/>
      <c r="O2008" s="2"/>
      <c r="P2008" s="2"/>
      <c r="Q2008" s="2"/>
      <c r="R2008" s="80"/>
      <c r="S2008" s="80"/>
      <c r="T2008" s="80"/>
      <c r="U2008" s="80"/>
      <c r="V2008" s="80"/>
      <c r="W2008" s="80"/>
      <c r="X2008" s="80"/>
      <c r="Y2008" s="80"/>
      <c r="Z2008" s="80"/>
      <c r="AA2008" s="80"/>
      <c r="AB2008" s="80"/>
      <c r="AC2008" s="80"/>
      <c r="AD2008" s="80"/>
      <c r="AE2008" s="80"/>
      <c r="AF2008" s="80"/>
      <c r="AG2008" s="80"/>
      <c r="AH2008" s="80"/>
      <c r="AI2008" s="80"/>
    </row>
    <row r="2009" spans="1:35" x14ac:dyDescent="0.2">
      <c r="A2009" s="80"/>
      <c r="B2009" s="80"/>
      <c r="C2009" s="80"/>
      <c r="D2009" s="80"/>
      <c r="E2009" s="80"/>
      <c r="F2009" s="80"/>
      <c r="G2009" s="80"/>
      <c r="H2009" s="80"/>
      <c r="I2009" s="80"/>
      <c r="J2009" s="80"/>
      <c r="K2009" s="80"/>
      <c r="L2009" s="2"/>
      <c r="M2009" s="2"/>
      <c r="N2009" s="2"/>
      <c r="O2009" s="2"/>
      <c r="P2009" s="2"/>
      <c r="Q2009" s="2"/>
      <c r="R2009" s="80"/>
      <c r="S2009" s="80"/>
      <c r="T2009" s="80"/>
      <c r="U2009" s="80"/>
      <c r="V2009" s="80"/>
      <c r="W2009" s="80"/>
      <c r="X2009" s="80"/>
      <c r="Y2009" s="80"/>
      <c r="Z2009" s="80"/>
      <c r="AA2009" s="80"/>
      <c r="AB2009" s="80"/>
      <c r="AC2009" s="80"/>
      <c r="AD2009" s="80"/>
      <c r="AE2009" s="80"/>
      <c r="AF2009" s="80"/>
      <c r="AG2009" s="80"/>
      <c r="AH2009" s="80"/>
      <c r="AI2009" s="80"/>
    </row>
    <row r="2010" spans="1:35" x14ac:dyDescent="0.2">
      <c r="A2010" s="80"/>
      <c r="B2010" s="80"/>
      <c r="C2010" s="80"/>
      <c r="D2010" s="80"/>
      <c r="E2010" s="80"/>
      <c r="F2010" s="80"/>
      <c r="G2010" s="80"/>
      <c r="H2010" s="80"/>
      <c r="I2010" s="80"/>
      <c r="J2010" s="80"/>
      <c r="K2010" s="80"/>
      <c r="L2010" s="2"/>
      <c r="M2010" s="2"/>
      <c r="N2010" s="2"/>
      <c r="O2010" s="2"/>
      <c r="P2010" s="2"/>
      <c r="Q2010" s="2"/>
      <c r="R2010" s="80"/>
      <c r="S2010" s="80"/>
      <c r="T2010" s="80"/>
      <c r="U2010" s="80"/>
      <c r="V2010" s="80"/>
      <c r="W2010" s="80"/>
      <c r="X2010" s="80"/>
      <c r="Y2010" s="80"/>
      <c r="Z2010" s="80"/>
      <c r="AA2010" s="80"/>
      <c r="AB2010" s="80"/>
      <c r="AC2010" s="80"/>
      <c r="AD2010" s="80"/>
      <c r="AE2010" s="80"/>
      <c r="AF2010" s="80"/>
      <c r="AG2010" s="80"/>
      <c r="AH2010" s="80"/>
      <c r="AI2010" s="80"/>
    </row>
    <row r="2011" spans="1:35" x14ac:dyDescent="0.2">
      <c r="A2011" s="80"/>
      <c r="B2011" s="80"/>
      <c r="C2011" s="80"/>
      <c r="D2011" s="80"/>
      <c r="E2011" s="80"/>
      <c r="F2011" s="80"/>
      <c r="G2011" s="80"/>
      <c r="H2011" s="80"/>
      <c r="I2011" s="80"/>
      <c r="J2011" s="80"/>
      <c r="K2011" s="80"/>
      <c r="L2011" s="2"/>
      <c r="M2011" s="2"/>
      <c r="N2011" s="2"/>
      <c r="O2011" s="2"/>
      <c r="P2011" s="2"/>
      <c r="Q2011" s="2"/>
      <c r="R2011" s="80"/>
      <c r="S2011" s="80"/>
      <c r="T2011" s="80"/>
      <c r="U2011" s="80"/>
      <c r="V2011" s="80"/>
      <c r="W2011" s="80"/>
      <c r="X2011" s="80"/>
      <c r="Y2011" s="80"/>
      <c r="Z2011" s="80"/>
      <c r="AA2011" s="80"/>
      <c r="AB2011" s="80"/>
      <c r="AC2011" s="80"/>
      <c r="AD2011" s="80"/>
      <c r="AE2011" s="80"/>
      <c r="AF2011" s="80"/>
      <c r="AG2011" s="80"/>
      <c r="AH2011" s="80"/>
      <c r="AI2011" s="80"/>
    </row>
    <row r="2012" spans="1:35" x14ac:dyDescent="0.2">
      <c r="A2012" s="80"/>
      <c r="B2012" s="80"/>
      <c r="C2012" s="80"/>
      <c r="D2012" s="80"/>
      <c r="E2012" s="80"/>
      <c r="F2012" s="80"/>
      <c r="G2012" s="80"/>
      <c r="H2012" s="80"/>
      <c r="I2012" s="80"/>
      <c r="J2012" s="80"/>
      <c r="K2012" s="80"/>
      <c r="L2012" s="2"/>
      <c r="M2012" s="2"/>
      <c r="N2012" s="2"/>
      <c r="O2012" s="2"/>
      <c r="P2012" s="2"/>
      <c r="Q2012" s="2"/>
      <c r="R2012" s="80"/>
      <c r="S2012" s="80"/>
      <c r="T2012" s="80"/>
      <c r="U2012" s="80"/>
      <c r="V2012" s="80"/>
      <c r="W2012" s="80"/>
      <c r="X2012" s="80"/>
      <c r="Y2012" s="80"/>
      <c r="Z2012" s="80"/>
      <c r="AA2012" s="80"/>
      <c r="AB2012" s="80"/>
      <c r="AC2012" s="80"/>
      <c r="AD2012" s="80"/>
      <c r="AE2012" s="80"/>
      <c r="AF2012" s="80"/>
      <c r="AG2012" s="80"/>
      <c r="AH2012" s="80"/>
      <c r="AI2012" s="80"/>
    </row>
    <row r="2013" spans="1:35" x14ac:dyDescent="0.2">
      <c r="A2013" s="80"/>
      <c r="B2013" s="80"/>
      <c r="C2013" s="80"/>
      <c r="D2013" s="80"/>
      <c r="E2013" s="80"/>
      <c r="F2013" s="80"/>
      <c r="G2013" s="80"/>
      <c r="H2013" s="80"/>
      <c r="I2013" s="80"/>
      <c r="J2013" s="80"/>
      <c r="K2013" s="80"/>
      <c r="L2013" s="2"/>
      <c r="M2013" s="2"/>
      <c r="N2013" s="2"/>
      <c r="O2013" s="2"/>
      <c r="P2013" s="2"/>
      <c r="Q2013" s="2"/>
      <c r="R2013" s="80"/>
      <c r="S2013" s="80"/>
      <c r="T2013" s="80"/>
      <c r="U2013" s="80"/>
      <c r="V2013" s="80"/>
      <c r="W2013" s="80"/>
      <c r="X2013" s="80"/>
      <c r="Y2013" s="80"/>
      <c r="Z2013" s="80"/>
      <c r="AA2013" s="80"/>
      <c r="AB2013" s="80"/>
      <c r="AC2013" s="80"/>
      <c r="AD2013" s="80"/>
      <c r="AE2013" s="80"/>
      <c r="AF2013" s="80"/>
      <c r="AG2013" s="80"/>
      <c r="AH2013" s="80"/>
      <c r="AI2013" s="80"/>
    </row>
    <row r="2014" spans="1:35" x14ac:dyDescent="0.2">
      <c r="A2014" s="80"/>
      <c r="B2014" s="80"/>
      <c r="C2014" s="80"/>
      <c r="D2014" s="80"/>
      <c r="E2014" s="80"/>
      <c r="F2014" s="80"/>
      <c r="G2014" s="80"/>
      <c r="H2014" s="80"/>
      <c r="I2014" s="80"/>
      <c r="J2014" s="80"/>
      <c r="K2014" s="80"/>
      <c r="L2014" s="2"/>
      <c r="M2014" s="2"/>
      <c r="N2014" s="2"/>
      <c r="O2014" s="2"/>
      <c r="P2014" s="2"/>
      <c r="Q2014" s="2"/>
      <c r="R2014" s="80"/>
      <c r="S2014" s="80"/>
      <c r="T2014" s="80"/>
      <c r="U2014" s="80"/>
      <c r="V2014" s="80"/>
      <c r="W2014" s="80"/>
      <c r="X2014" s="80"/>
      <c r="Y2014" s="80"/>
      <c r="Z2014" s="80"/>
      <c r="AA2014" s="80"/>
      <c r="AB2014" s="80"/>
      <c r="AC2014" s="80"/>
      <c r="AD2014" s="80"/>
      <c r="AE2014" s="80"/>
      <c r="AF2014" s="80"/>
      <c r="AG2014" s="80"/>
      <c r="AH2014" s="80"/>
      <c r="AI2014" s="80"/>
    </row>
    <row r="2015" spans="1:35" x14ac:dyDescent="0.2">
      <c r="A2015" s="80"/>
      <c r="B2015" s="80"/>
      <c r="C2015" s="80"/>
      <c r="D2015" s="80"/>
      <c r="E2015" s="80"/>
      <c r="F2015" s="80"/>
      <c r="G2015" s="80"/>
      <c r="H2015" s="80"/>
      <c r="I2015" s="80"/>
      <c r="J2015" s="80"/>
      <c r="K2015" s="80"/>
      <c r="L2015" s="2"/>
      <c r="M2015" s="2"/>
      <c r="N2015" s="2"/>
      <c r="O2015" s="2"/>
      <c r="P2015" s="2"/>
      <c r="Q2015" s="2"/>
      <c r="R2015" s="80"/>
      <c r="S2015" s="80"/>
      <c r="T2015" s="80"/>
      <c r="U2015" s="80"/>
      <c r="V2015" s="80"/>
      <c r="W2015" s="80"/>
      <c r="X2015" s="80"/>
      <c r="Y2015" s="80"/>
      <c r="Z2015" s="80"/>
      <c r="AA2015" s="80"/>
      <c r="AB2015" s="80"/>
      <c r="AC2015" s="80"/>
      <c r="AD2015" s="80"/>
      <c r="AE2015" s="80"/>
      <c r="AF2015" s="80"/>
      <c r="AG2015" s="80"/>
      <c r="AH2015" s="80"/>
      <c r="AI2015" s="80"/>
    </row>
    <row r="2016" spans="1:35" x14ac:dyDescent="0.2">
      <c r="A2016" s="80"/>
      <c r="B2016" s="80"/>
      <c r="C2016" s="80"/>
      <c r="D2016" s="80"/>
      <c r="E2016" s="80"/>
      <c r="F2016" s="80"/>
      <c r="G2016" s="80"/>
      <c r="H2016" s="80"/>
      <c r="I2016" s="80"/>
      <c r="J2016" s="80"/>
      <c r="K2016" s="80"/>
      <c r="L2016" s="2"/>
      <c r="M2016" s="2"/>
      <c r="N2016" s="2"/>
      <c r="O2016" s="2"/>
      <c r="P2016" s="2"/>
      <c r="Q2016" s="2"/>
      <c r="R2016" s="80"/>
      <c r="S2016" s="80"/>
      <c r="T2016" s="80"/>
      <c r="U2016" s="80"/>
      <c r="V2016" s="80"/>
      <c r="W2016" s="80"/>
      <c r="X2016" s="80"/>
      <c r="Y2016" s="80"/>
      <c r="Z2016" s="80"/>
      <c r="AA2016" s="80"/>
      <c r="AB2016" s="80"/>
      <c r="AC2016" s="80"/>
      <c r="AD2016" s="80"/>
      <c r="AE2016" s="80"/>
      <c r="AF2016" s="80"/>
      <c r="AG2016" s="80"/>
      <c r="AH2016" s="80"/>
      <c r="AI2016" s="80"/>
    </row>
    <row r="2017" spans="1:35" x14ac:dyDescent="0.2">
      <c r="A2017" s="80"/>
      <c r="B2017" s="80"/>
      <c r="C2017" s="80"/>
      <c r="D2017" s="80"/>
      <c r="E2017" s="80"/>
      <c r="F2017" s="80"/>
      <c r="G2017" s="80"/>
      <c r="H2017" s="80"/>
      <c r="I2017" s="80"/>
      <c r="J2017" s="80"/>
      <c r="K2017" s="80"/>
      <c r="L2017" s="2"/>
      <c r="M2017" s="2"/>
      <c r="N2017" s="2"/>
      <c r="O2017" s="2"/>
      <c r="P2017" s="2"/>
      <c r="Q2017" s="2"/>
      <c r="R2017" s="80"/>
      <c r="S2017" s="80"/>
      <c r="T2017" s="80"/>
      <c r="U2017" s="80"/>
      <c r="V2017" s="80"/>
      <c r="W2017" s="80"/>
      <c r="X2017" s="80"/>
      <c r="Y2017" s="80"/>
      <c r="Z2017" s="80"/>
      <c r="AA2017" s="80"/>
      <c r="AB2017" s="80"/>
      <c r="AC2017" s="80"/>
      <c r="AD2017" s="80"/>
      <c r="AE2017" s="80"/>
      <c r="AF2017" s="80"/>
      <c r="AG2017" s="80"/>
      <c r="AH2017" s="80"/>
      <c r="AI2017" s="80"/>
    </row>
    <row r="2018" spans="1:35" x14ac:dyDescent="0.2">
      <c r="A2018" s="80"/>
      <c r="B2018" s="80"/>
      <c r="C2018" s="80"/>
      <c r="D2018" s="80"/>
      <c r="E2018" s="80"/>
      <c r="F2018" s="80"/>
      <c r="G2018" s="80"/>
      <c r="H2018" s="80"/>
      <c r="I2018" s="80"/>
      <c r="J2018" s="80"/>
      <c r="K2018" s="80"/>
      <c r="L2018" s="2"/>
      <c r="M2018" s="2"/>
      <c r="N2018" s="2"/>
      <c r="O2018" s="2"/>
      <c r="P2018" s="2"/>
      <c r="Q2018" s="2"/>
      <c r="R2018" s="80"/>
      <c r="S2018" s="80"/>
      <c r="T2018" s="80"/>
      <c r="U2018" s="80"/>
      <c r="V2018" s="80"/>
      <c r="W2018" s="80"/>
      <c r="X2018" s="80"/>
      <c r="Y2018" s="80"/>
      <c r="Z2018" s="80"/>
      <c r="AA2018" s="80"/>
      <c r="AB2018" s="80"/>
      <c r="AC2018" s="80"/>
      <c r="AD2018" s="80"/>
      <c r="AE2018" s="80"/>
      <c r="AF2018" s="80"/>
      <c r="AG2018" s="80"/>
      <c r="AH2018" s="80"/>
      <c r="AI2018" s="80"/>
    </row>
    <row r="2019" spans="1:35" x14ac:dyDescent="0.2">
      <c r="A2019" s="80"/>
      <c r="B2019" s="80"/>
      <c r="C2019" s="80"/>
      <c r="D2019" s="80"/>
      <c r="E2019" s="80"/>
      <c r="F2019" s="80"/>
      <c r="G2019" s="80"/>
      <c r="H2019" s="80"/>
      <c r="I2019" s="80"/>
      <c r="J2019" s="80"/>
      <c r="K2019" s="80"/>
      <c r="L2019" s="2"/>
      <c r="M2019" s="2"/>
      <c r="N2019" s="2"/>
      <c r="O2019" s="2"/>
      <c r="P2019" s="2"/>
      <c r="Q2019" s="2"/>
      <c r="R2019" s="80"/>
      <c r="S2019" s="80"/>
      <c r="T2019" s="80"/>
      <c r="U2019" s="80"/>
      <c r="V2019" s="80"/>
      <c r="W2019" s="80"/>
      <c r="X2019" s="80"/>
      <c r="Y2019" s="80"/>
      <c r="Z2019" s="80"/>
      <c r="AA2019" s="80"/>
      <c r="AB2019" s="80"/>
      <c r="AC2019" s="80"/>
      <c r="AD2019" s="80"/>
      <c r="AE2019" s="80"/>
      <c r="AF2019" s="80"/>
      <c r="AG2019" s="80"/>
      <c r="AH2019" s="80"/>
      <c r="AI2019" s="80"/>
    </row>
    <row r="2020" spans="1:35" x14ac:dyDescent="0.2">
      <c r="A2020" s="80"/>
      <c r="B2020" s="80"/>
      <c r="C2020" s="80"/>
      <c r="D2020" s="80"/>
      <c r="E2020" s="80"/>
      <c r="F2020" s="80"/>
      <c r="G2020" s="80"/>
      <c r="H2020" s="80"/>
      <c r="I2020" s="80"/>
      <c r="J2020" s="80"/>
      <c r="K2020" s="80"/>
      <c r="L2020" s="2"/>
      <c r="M2020" s="2"/>
      <c r="N2020" s="2"/>
      <c r="O2020" s="2"/>
      <c r="P2020" s="2"/>
      <c r="Q2020" s="2"/>
      <c r="R2020" s="80"/>
      <c r="S2020" s="80"/>
      <c r="T2020" s="80"/>
      <c r="U2020" s="80"/>
      <c r="V2020" s="80"/>
      <c r="W2020" s="80"/>
      <c r="X2020" s="80"/>
      <c r="Y2020" s="80"/>
      <c r="Z2020" s="80"/>
      <c r="AA2020" s="80"/>
      <c r="AB2020" s="80"/>
      <c r="AC2020" s="80"/>
      <c r="AD2020" s="80"/>
      <c r="AE2020" s="80"/>
      <c r="AF2020" s="80"/>
      <c r="AG2020" s="80"/>
      <c r="AH2020" s="80"/>
      <c r="AI2020" s="80"/>
    </row>
    <row r="2021" spans="1:35" x14ac:dyDescent="0.2">
      <c r="A2021" s="80"/>
      <c r="B2021" s="80"/>
      <c r="C2021" s="80"/>
      <c r="D2021" s="80"/>
      <c r="E2021" s="80"/>
      <c r="F2021" s="80"/>
      <c r="G2021" s="80"/>
      <c r="H2021" s="80"/>
      <c r="I2021" s="80"/>
      <c r="J2021" s="80"/>
      <c r="K2021" s="80"/>
      <c r="L2021" s="2"/>
      <c r="M2021" s="2"/>
      <c r="N2021" s="2"/>
      <c r="O2021" s="2"/>
      <c r="P2021" s="2"/>
      <c r="Q2021" s="2"/>
      <c r="R2021" s="80"/>
      <c r="S2021" s="80"/>
      <c r="T2021" s="80"/>
      <c r="U2021" s="80"/>
      <c r="V2021" s="80"/>
      <c r="W2021" s="80"/>
      <c r="X2021" s="80"/>
      <c r="Y2021" s="80"/>
      <c r="Z2021" s="80"/>
      <c r="AA2021" s="80"/>
      <c r="AB2021" s="80"/>
      <c r="AC2021" s="80"/>
      <c r="AD2021" s="80"/>
      <c r="AE2021" s="80"/>
      <c r="AF2021" s="80"/>
      <c r="AG2021" s="80"/>
      <c r="AH2021" s="80"/>
      <c r="AI2021" s="80"/>
    </row>
    <row r="2022" spans="1:35" x14ac:dyDescent="0.2">
      <c r="A2022" s="80"/>
      <c r="B2022" s="80"/>
      <c r="C2022" s="80"/>
      <c r="D2022" s="80"/>
      <c r="E2022" s="80"/>
      <c r="F2022" s="80"/>
      <c r="G2022" s="80"/>
      <c r="H2022" s="80"/>
      <c r="I2022" s="80"/>
      <c r="J2022" s="80"/>
      <c r="K2022" s="80"/>
      <c r="L2022" s="2"/>
      <c r="M2022" s="2"/>
      <c r="N2022" s="2"/>
      <c r="O2022" s="2"/>
      <c r="P2022" s="2"/>
      <c r="Q2022" s="2"/>
      <c r="R2022" s="80"/>
      <c r="S2022" s="80"/>
      <c r="T2022" s="80"/>
      <c r="U2022" s="80"/>
      <c r="V2022" s="80"/>
      <c r="W2022" s="80"/>
      <c r="X2022" s="80"/>
      <c r="Y2022" s="80"/>
      <c r="Z2022" s="80"/>
      <c r="AA2022" s="80"/>
      <c r="AB2022" s="80"/>
      <c r="AC2022" s="80"/>
      <c r="AD2022" s="80"/>
      <c r="AE2022" s="80"/>
      <c r="AF2022" s="80"/>
      <c r="AG2022" s="80"/>
      <c r="AH2022" s="80"/>
      <c r="AI2022" s="80"/>
    </row>
    <row r="2023" spans="1:35" x14ac:dyDescent="0.2">
      <c r="A2023" s="80"/>
      <c r="B2023" s="80"/>
      <c r="C2023" s="80"/>
      <c r="D2023" s="80"/>
      <c r="E2023" s="80"/>
      <c r="F2023" s="80"/>
      <c r="G2023" s="80"/>
      <c r="H2023" s="80"/>
      <c r="I2023" s="80"/>
      <c r="J2023" s="80"/>
      <c r="K2023" s="80"/>
      <c r="L2023" s="2"/>
      <c r="M2023" s="2"/>
      <c r="N2023" s="2"/>
      <c r="O2023" s="2"/>
      <c r="P2023" s="2"/>
      <c r="Q2023" s="2"/>
      <c r="R2023" s="80"/>
      <c r="S2023" s="80"/>
      <c r="T2023" s="80"/>
      <c r="U2023" s="80"/>
      <c r="V2023" s="80"/>
      <c r="W2023" s="80"/>
      <c r="X2023" s="80"/>
      <c r="Y2023" s="80"/>
      <c r="Z2023" s="80"/>
      <c r="AA2023" s="80"/>
      <c r="AB2023" s="80"/>
      <c r="AC2023" s="80"/>
      <c r="AD2023" s="80"/>
      <c r="AE2023" s="80"/>
      <c r="AF2023" s="80"/>
      <c r="AG2023" s="80"/>
      <c r="AH2023" s="80"/>
      <c r="AI2023" s="80"/>
    </row>
    <row r="2024" spans="1:35" x14ac:dyDescent="0.2">
      <c r="A2024" s="80"/>
      <c r="B2024" s="80"/>
      <c r="C2024" s="80"/>
      <c r="D2024" s="80"/>
      <c r="E2024" s="80"/>
      <c r="F2024" s="80"/>
      <c r="G2024" s="80"/>
      <c r="H2024" s="80"/>
      <c r="I2024" s="80"/>
      <c r="J2024" s="80"/>
      <c r="K2024" s="80"/>
      <c r="L2024" s="2"/>
      <c r="M2024" s="2"/>
      <c r="N2024" s="2"/>
      <c r="O2024" s="2"/>
      <c r="P2024" s="2"/>
      <c r="Q2024" s="2"/>
      <c r="R2024" s="80"/>
      <c r="S2024" s="80"/>
      <c r="T2024" s="80"/>
      <c r="U2024" s="80"/>
      <c r="V2024" s="80"/>
      <c r="W2024" s="80"/>
      <c r="X2024" s="80"/>
      <c r="Y2024" s="80"/>
      <c r="Z2024" s="80"/>
      <c r="AA2024" s="80"/>
      <c r="AB2024" s="80"/>
      <c r="AC2024" s="80"/>
      <c r="AD2024" s="80"/>
      <c r="AE2024" s="80"/>
      <c r="AF2024" s="80"/>
      <c r="AG2024" s="80"/>
      <c r="AH2024" s="80"/>
      <c r="AI2024" s="80"/>
    </row>
    <row r="2025" spans="1:35" x14ac:dyDescent="0.2">
      <c r="A2025" s="80"/>
      <c r="B2025" s="80"/>
      <c r="C2025" s="80"/>
      <c r="D2025" s="80"/>
      <c r="E2025" s="80"/>
      <c r="F2025" s="80"/>
      <c r="G2025" s="80"/>
      <c r="H2025" s="80"/>
      <c r="I2025" s="80"/>
      <c r="J2025" s="80"/>
      <c r="K2025" s="80"/>
      <c r="L2025" s="2"/>
      <c r="M2025" s="2"/>
      <c r="N2025" s="2"/>
      <c r="O2025" s="2"/>
      <c r="P2025" s="2"/>
      <c r="Q2025" s="2"/>
      <c r="R2025" s="80"/>
      <c r="S2025" s="80"/>
      <c r="T2025" s="80"/>
      <c r="U2025" s="80"/>
      <c r="V2025" s="80"/>
      <c r="W2025" s="80"/>
      <c r="X2025" s="80"/>
      <c r="Y2025" s="80"/>
      <c r="Z2025" s="80"/>
      <c r="AA2025" s="80"/>
      <c r="AB2025" s="80"/>
      <c r="AC2025" s="80"/>
      <c r="AD2025" s="80"/>
      <c r="AE2025" s="80"/>
      <c r="AF2025" s="80"/>
      <c r="AG2025" s="80"/>
      <c r="AH2025" s="80"/>
      <c r="AI2025" s="80"/>
    </row>
    <row r="2026" spans="1:35" x14ac:dyDescent="0.2">
      <c r="A2026" s="80"/>
      <c r="B2026" s="80"/>
      <c r="C2026" s="80"/>
      <c r="D2026" s="80"/>
      <c r="E2026" s="80"/>
      <c r="F2026" s="80"/>
      <c r="G2026" s="80"/>
      <c r="H2026" s="80"/>
      <c r="I2026" s="80"/>
      <c r="J2026" s="80"/>
      <c r="K2026" s="80"/>
      <c r="L2026" s="2"/>
      <c r="M2026" s="2"/>
      <c r="N2026" s="2"/>
      <c r="O2026" s="2"/>
      <c r="P2026" s="2"/>
      <c r="Q2026" s="2"/>
      <c r="R2026" s="80"/>
      <c r="S2026" s="80"/>
      <c r="T2026" s="80"/>
      <c r="U2026" s="80"/>
      <c r="V2026" s="80"/>
      <c r="W2026" s="80"/>
      <c r="X2026" s="80"/>
      <c r="Y2026" s="80"/>
      <c r="Z2026" s="80"/>
      <c r="AA2026" s="80"/>
      <c r="AB2026" s="80"/>
      <c r="AC2026" s="80"/>
      <c r="AD2026" s="80"/>
      <c r="AE2026" s="80"/>
      <c r="AF2026" s="80"/>
      <c r="AG2026" s="80"/>
      <c r="AH2026" s="80"/>
      <c r="AI2026" s="80"/>
    </row>
    <row r="2027" spans="1:35" x14ac:dyDescent="0.2">
      <c r="A2027" s="80"/>
      <c r="B2027" s="80"/>
      <c r="C2027" s="80"/>
      <c r="D2027" s="80"/>
      <c r="E2027" s="80"/>
      <c r="F2027" s="80"/>
      <c r="G2027" s="80"/>
      <c r="H2027" s="80"/>
      <c r="I2027" s="80"/>
      <c r="J2027" s="80"/>
      <c r="K2027" s="80"/>
      <c r="L2027" s="2"/>
      <c r="M2027" s="2"/>
      <c r="N2027" s="2"/>
      <c r="O2027" s="2"/>
      <c r="P2027" s="2"/>
      <c r="Q2027" s="2"/>
      <c r="R2027" s="80"/>
      <c r="S2027" s="80"/>
      <c r="T2027" s="80"/>
      <c r="U2027" s="80"/>
      <c r="V2027" s="80"/>
      <c r="W2027" s="80"/>
      <c r="X2027" s="80"/>
      <c r="Y2027" s="80"/>
      <c r="Z2027" s="80"/>
      <c r="AA2027" s="80"/>
      <c r="AB2027" s="80"/>
      <c r="AC2027" s="80"/>
      <c r="AD2027" s="80"/>
      <c r="AE2027" s="80"/>
      <c r="AF2027" s="80"/>
      <c r="AG2027" s="80"/>
      <c r="AH2027" s="80"/>
      <c r="AI2027" s="80"/>
    </row>
    <row r="2028" spans="1:35" x14ac:dyDescent="0.2">
      <c r="A2028" s="80"/>
      <c r="B2028" s="80"/>
      <c r="C2028" s="80"/>
      <c r="D2028" s="80"/>
      <c r="E2028" s="80"/>
      <c r="F2028" s="80"/>
      <c r="G2028" s="80"/>
      <c r="H2028" s="80"/>
      <c r="I2028" s="80"/>
      <c r="J2028" s="80"/>
      <c r="K2028" s="80"/>
      <c r="L2028" s="2"/>
      <c r="M2028" s="2"/>
      <c r="N2028" s="2"/>
      <c r="O2028" s="2"/>
      <c r="P2028" s="2"/>
      <c r="Q2028" s="2"/>
      <c r="R2028" s="80"/>
      <c r="S2028" s="80"/>
      <c r="T2028" s="80"/>
      <c r="U2028" s="80"/>
      <c r="V2028" s="80"/>
      <c r="W2028" s="80"/>
      <c r="X2028" s="80"/>
      <c r="Y2028" s="80"/>
      <c r="Z2028" s="80"/>
      <c r="AA2028" s="80"/>
      <c r="AB2028" s="80"/>
      <c r="AC2028" s="80"/>
      <c r="AD2028" s="80"/>
      <c r="AE2028" s="80"/>
      <c r="AF2028" s="80"/>
      <c r="AG2028" s="80"/>
      <c r="AH2028" s="80"/>
      <c r="AI2028" s="80"/>
    </row>
    <row r="2029" spans="1:35" x14ac:dyDescent="0.2">
      <c r="A2029" s="80"/>
      <c r="B2029" s="80"/>
      <c r="C2029" s="80"/>
      <c r="D2029" s="80"/>
      <c r="E2029" s="80"/>
      <c r="F2029" s="80"/>
      <c r="G2029" s="80"/>
      <c r="H2029" s="80"/>
      <c r="I2029" s="80"/>
      <c r="J2029" s="80"/>
      <c r="K2029" s="80"/>
      <c r="L2029" s="2"/>
      <c r="M2029" s="2"/>
      <c r="N2029" s="2"/>
      <c r="O2029" s="2"/>
      <c r="P2029" s="2"/>
      <c r="Q2029" s="2"/>
      <c r="R2029" s="80"/>
      <c r="S2029" s="80"/>
      <c r="T2029" s="80"/>
      <c r="U2029" s="80"/>
      <c r="V2029" s="80"/>
      <c r="W2029" s="80"/>
      <c r="X2029" s="80"/>
      <c r="Y2029" s="80"/>
      <c r="Z2029" s="80"/>
      <c r="AA2029" s="80"/>
      <c r="AB2029" s="80"/>
      <c r="AC2029" s="80"/>
      <c r="AD2029" s="80"/>
      <c r="AE2029" s="80"/>
      <c r="AF2029" s="80"/>
      <c r="AG2029" s="80"/>
      <c r="AH2029" s="80"/>
      <c r="AI2029" s="80"/>
    </row>
    <row r="2030" spans="1:35" x14ac:dyDescent="0.2">
      <c r="A2030" s="80"/>
      <c r="B2030" s="80"/>
      <c r="C2030" s="80"/>
      <c r="D2030" s="80"/>
      <c r="E2030" s="80"/>
      <c r="F2030" s="80"/>
      <c r="G2030" s="80"/>
      <c r="H2030" s="80"/>
      <c r="I2030" s="80"/>
      <c r="J2030" s="80"/>
      <c r="K2030" s="80"/>
      <c r="L2030" s="2"/>
      <c r="M2030" s="2"/>
      <c r="N2030" s="2"/>
      <c r="O2030" s="2"/>
      <c r="P2030" s="2"/>
      <c r="Q2030" s="2"/>
      <c r="R2030" s="80"/>
      <c r="S2030" s="80"/>
      <c r="T2030" s="80"/>
      <c r="U2030" s="80"/>
      <c r="V2030" s="80"/>
      <c r="W2030" s="80"/>
      <c r="X2030" s="80"/>
      <c r="Y2030" s="80"/>
      <c r="Z2030" s="80"/>
      <c r="AA2030" s="80"/>
      <c r="AB2030" s="80"/>
      <c r="AC2030" s="80"/>
      <c r="AD2030" s="80"/>
      <c r="AE2030" s="80"/>
      <c r="AF2030" s="80"/>
      <c r="AG2030" s="80"/>
      <c r="AH2030" s="80"/>
      <c r="AI2030" s="80"/>
    </row>
    <row r="2031" spans="1:35" x14ac:dyDescent="0.2">
      <c r="A2031" s="80"/>
      <c r="B2031" s="80"/>
      <c r="C2031" s="80"/>
      <c r="D2031" s="80"/>
      <c r="E2031" s="80"/>
      <c r="F2031" s="80"/>
      <c r="G2031" s="80"/>
      <c r="H2031" s="80"/>
      <c r="I2031" s="80"/>
      <c r="J2031" s="80"/>
      <c r="K2031" s="80"/>
      <c r="L2031" s="2"/>
      <c r="M2031" s="2"/>
      <c r="N2031" s="2"/>
      <c r="O2031" s="2"/>
      <c r="P2031" s="2"/>
      <c r="Q2031" s="2"/>
      <c r="R2031" s="80"/>
      <c r="S2031" s="80"/>
      <c r="T2031" s="80"/>
      <c r="U2031" s="80"/>
      <c r="V2031" s="80"/>
      <c r="W2031" s="80"/>
      <c r="X2031" s="80"/>
      <c r="Y2031" s="80"/>
      <c r="Z2031" s="80"/>
      <c r="AA2031" s="80"/>
      <c r="AB2031" s="80"/>
      <c r="AC2031" s="80"/>
      <c r="AD2031" s="80"/>
      <c r="AE2031" s="80"/>
      <c r="AF2031" s="80"/>
      <c r="AG2031" s="80"/>
      <c r="AH2031" s="80"/>
      <c r="AI2031" s="80"/>
    </row>
    <row r="2032" spans="1:35" x14ac:dyDescent="0.2">
      <c r="A2032" s="80"/>
      <c r="B2032" s="80"/>
      <c r="C2032" s="80"/>
      <c r="D2032" s="80"/>
      <c r="E2032" s="80"/>
      <c r="F2032" s="80"/>
      <c r="G2032" s="80"/>
      <c r="H2032" s="80"/>
      <c r="I2032" s="80"/>
      <c r="J2032" s="80"/>
      <c r="K2032" s="80"/>
      <c r="L2032" s="2"/>
      <c r="M2032" s="2"/>
      <c r="N2032" s="2"/>
      <c r="O2032" s="2"/>
      <c r="P2032" s="2"/>
      <c r="Q2032" s="2"/>
      <c r="R2032" s="80"/>
      <c r="S2032" s="80"/>
      <c r="T2032" s="80"/>
      <c r="U2032" s="80"/>
      <c r="V2032" s="80"/>
      <c r="W2032" s="80"/>
      <c r="X2032" s="80"/>
      <c r="Y2032" s="80"/>
      <c r="Z2032" s="80"/>
      <c r="AA2032" s="80"/>
      <c r="AB2032" s="80"/>
      <c r="AC2032" s="80"/>
      <c r="AD2032" s="80"/>
      <c r="AE2032" s="80"/>
      <c r="AF2032" s="80"/>
      <c r="AG2032" s="80"/>
      <c r="AH2032" s="80"/>
      <c r="AI2032" s="80"/>
    </row>
    <row r="2033" spans="1:35" x14ac:dyDescent="0.2">
      <c r="A2033" s="80"/>
      <c r="B2033" s="80"/>
      <c r="C2033" s="80"/>
      <c r="D2033" s="80"/>
      <c r="E2033" s="80"/>
      <c r="F2033" s="80"/>
      <c r="G2033" s="80"/>
      <c r="H2033" s="80"/>
      <c r="I2033" s="80"/>
      <c r="J2033" s="80"/>
      <c r="K2033" s="80"/>
      <c r="L2033" s="2"/>
      <c r="M2033" s="2"/>
      <c r="N2033" s="2"/>
      <c r="O2033" s="2"/>
      <c r="P2033" s="2"/>
      <c r="Q2033" s="2"/>
      <c r="R2033" s="80"/>
      <c r="S2033" s="80"/>
      <c r="T2033" s="80"/>
      <c r="U2033" s="80"/>
      <c r="V2033" s="80"/>
      <c r="W2033" s="80"/>
      <c r="X2033" s="80"/>
      <c r="Y2033" s="80"/>
      <c r="Z2033" s="80"/>
      <c r="AA2033" s="80"/>
      <c r="AB2033" s="80"/>
      <c r="AC2033" s="80"/>
      <c r="AD2033" s="80"/>
      <c r="AE2033" s="80"/>
      <c r="AF2033" s="80"/>
      <c r="AG2033" s="80"/>
      <c r="AH2033" s="80"/>
      <c r="AI2033" s="80"/>
    </row>
    <row r="2034" spans="1:35" x14ac:dyDescent="0.2">
      <c r="A2034" s="80"/>
      <c r="B2034" s="80"/>
      <c r="C2034" s="80"/>
      <c r="D2034" s="80"/>
      <c r="E2034" s="80"/>
      <c r="F2034" s="80"/>
      <c r="G2034" s="80"/>
      <c r="H2034" s="80"/>
      <c r="I2034" s="80"/>
      <c r="J2034" s="80"/>
      <c r="K2034" s="80"/>
      <c r="L2034" s="2"/>
      <c r="M2034" s="2"/>
      <c r="N2034" s="2"/>
      <c r="O2034" s="2"/>
      <c r="P2034" s="2"/>
      <c r="Q2034" s="2"/>
      <c r="R2034" s="80"/>
      <c r="S2034" s="80"/>
      <c r="T2034" s="80"/>
      <c r="U2034" s="80"/>
      <c r="V2034" s="80"/>
      <c r="W2034" s="80"/>
      <c r="X2034" s="80"/>
      <c r="Y2034" s="80"/>
      <c r="Z2034" s="80"/>
      <c r="AA2034" s="80"/>
      <c r="AB2034" s="80"/>
      <c r="AC2034" s="80"/>
      <c r="AD2034" s="80"/>
      <c r="AE2034" s="80"/>
      <c r="AF2034" s="80"/>
      <c r="AG2034" s="80"/>
      <c r="AH2034" s="80"/>
      <c r="AI2034" s="80"/>
    </row>
    <row r="2035" spans="1:35" x14ac:dyDescent="0.2">
      <c r="A2035" s="80"/>
      <c r="B2035" s="80"/>
      <c r="C2035" s="80"/>
      <c r="D2035" s="80"/>
      <c r="E2035" s="80"/>
      <c r="F2035" s="80"/>
      <c r="G2035" s="80"/>
      <c r="H2035" s="80"/>
      <c r="I2035" s="80"/>
      <c r="J2035" s="80"/>
      <c r="K2035" s="80"/>
      <c r="L2035" s="2"/>
      <c r="M2035" s="2"/>
      <c r="N2035" s="2"/>
      <c r="O2035" s="2"/>
      <c r="P2035" s="2"/>
      <c r="Q2035" s="2"/>
      <c r="R2035" s="80"/>
      <c r="S2035" s="80"/>
      <c r="T2035" s="80"/>
      <c r="U2035" s="80"/>
      <c r="V2035" s="80"/>
      <c r="W2035" s="80"/>
      <c r="X2035" s="80"/>
      <c r="Y2035" s="80"/>
      <c r="Z2035" s="80"/>
      <c r="AA2035" s="80"/>
      <c r="AB2035" s="80"/>
      <c r="AC2035" s="80"/>
      <c r="AD2035" s="80"/>
      <c r="AE2035" s="80"/>
      <c r="AF2035" s="80"/>
      <c r="AG2035" s="80"/>
      <c r="AH2035" s="80"/>
      <c r="AI2035" s="80"/>
    </row>
    <row r="2036" spans="1:35" x14ac:dyDescent="0.2">
      <c r="A2036" s="80"/>
      <c r="B2036" s="80"/>
      <c r="C2036" s="80"/>
      <c r="D2036" s="80"/>
      <c r="E2036" s="80"/>
      <c r="F2036" s="80"/>
      <c r="G2036" s="80"/>
      <c r="H2036" s="80"/>
      <c r="I2036" s="80"/>
      <c r="J2036" s="80"/>
      <c r="K2036" s="80"/>
      <c r="L2036" s="2"/>
      <c r="M2036" s="2"/>
      <c r="N2036" s="2"/>
      <c r="O2036" s="2"/>
      <c r="P2036" s="2"/>
      <c r="Q2036" s="2"/>
      <c r="R2036" s="80"/>
      <c r="S2036" s="80"/>
      <c r="T2036" s="80"/>
      <c r="U2036" s="80"/>
      <c r="V2036" s="80"/>
      <c r="W2036" s="80"/>
      <c r="X2036" s="80"/>
      <c r="Y2036" s="80"/>
      <c r="Z2036" s="80"/>
      <c r="AA2036" s="80"/>
      <c r="AB2036" s="80"/>
      <c r="AC2036" s="80"/>
      <c r="AD2036" s="80"/>
      <c r="AE2036" s="80"/>
      <c r="AF2036" s="80"/>
      <c r="AG2036" s="80"/>
      <c r="AH2036" s="80"/>
      <c r="AI2036" s="80"/>
    </row>
    <row r="2037" spans="1:35" x14ac:dyDescent="0.2">
      <c r="A2037" s="80"/>
      <c r="B2037" s="80"/>
      <c r="C2037" s="80"/>
      <c r="D2037" s="80"/>
      <c r="E2037" s="80"/>
      <c r="F2037" s="80"/>
      <c r="G2037" s="80"/>
      <c r="H2037" s="80"/>
      <c r="I2037" s="80"/>
      <c r="J2037" s="80"/>
      <c r="K2037" s="80"/>
      <c r="L2037" s="2"/>
      <c r="M2037" s="2"/>
      <c r="N2037" s="2"/>
      <c r="O2037" s="2"/>
      <c r="P2037" s="2"/>
      <c r="Q2037" s="2"/>
      <c r="R2037" s="80"/>
      <c r="S2037" s="80"/>
      <c r="T2037" s="80"/>
      <c r="U2037" s="80"/>
      <c r="V2037" s="80"/>
      <c r="W2037" s="80"/>
      <c r="X2037" s="80"/>
      <c r="Y2037" s="80"/>
      <c r="Z2037" s="80"/>
      <c r="AA2037" s="80"/>
      <c r="AB2037" s="80"/>
      <c r="AC2037" s="80"/>
      <c r="AD2037" s="80"/>
      <c r="AE2037" s="80"/>
      <c r="AF2037" s="80"/>
      <c r="AG2037" s="80"/>
      <c r="AH2037" s="80"/>
      <c r="AI2037" s="80"/>
    </row>
    <row r="2038" spans="1:35" x14ac:dyDescent="0.2">
      <c r="A2038" s="80"/>
      <c r="B2038" s="80"/>
      <c r="C2038" s="80"/>
      <c r="D2038" s="80"/>
      <c r="E2038" s="80"/>
      <c r="F2038" s="80"/>
      <c r="G2038" s="80"/>
      <c r="H2038" s="80"/>
      <c r="I2038" s="80"/>
      <c r="J2038" s="80"/>
      <c r="K2038" s="80"/>
      <c r="L2038" s="2"/>
      <c r="M2038" s="2"/>
      <c r="N2038" s="2"/>
      <c r="O2038" s="2"/>
      <c r="P2038" s="2"/>
      <c r="Q2038" s="2"/>
      <c r="R2038" s="80"/>
      <c r="S2038" s="80"/>
      <c r="T2038" s="80"/>
      <c r="U2038" s="80"/>
      <c r="V2038" s="80"/>
      <c r="W2038" s="80"/>
      <c r="X2038" s="80"/>
      <c r="Y2038" s="80"/>
      <c r="Z2038" s="80"/>
      <c r="AA2038" s="80"/>
      <c r="AB2038" s="80"/>
      <c r="AC2038" s="80"/>
      <c r="AD2038" s="80"/>
      <c r="AE2038" s="80"/>
      <c r="AF2038" s="80"/>
      <c r="AG2038" s="80"/>
      <c r="AH2038" s="80"/>
      <c r="AI2038" s="80"/>
    </row>
    <row r="2039" spans="1:35" x14ac:dyDescent="0.2">
      <c r="A2039" s="80"/>
      <c r="B2039" s="80"/>
      <c r="C2039" s="80"/>
      <c r="D2039" s="80"/>
      <c r="E2039" s="80"/>
      <c r="F2039" s="80"/>
      <c r="G2039" s="80"/>
      <c r="H2039" s="80"/>
      <c r="I2039" s="80"/>
      <c r="J2039" s="80"/>
      <c r="K2039" s="80"/>
      <c r="L2039" s="2"/>
      <c r="M2039" s="2"/>
      <c r="N2039" s="2"/>
      <c r="O2039" s="2"/>
      <c r="P2039" s="2"/>
      <c r="Q2039" s="2"/>
      <c r="R2039" s="80"/>
      <c r="S2039" s="80"/>
      <c r="T2039" s="80"/>
      <c r="U2039" s="80"/>
      <c r="V2039" s="80"/>
      <c r="W2039" s="80"/>
      <c r="X2039" s="80"/>
      <c r="Y2039" s="80"/>
      <c r="Z2039" s="80"/>
      <c r="AA2039" s="80"/>
      <c r="AB2039" s="80"/>
      <c r="AC2039" s="80"/>
      <c r="AD2039" s="80"/>
      <c r="AE2039" s="80"/>
      <c r="AF2039" s="80"/>
      <c r="AG2039" s="80"/>
      <c r="AH2039" s="80"/>
      <c r="AI2039" s="80"/>
    </row>
    <row r="2040" spans="1:35" x14ac:dyDescent="0.2">
      <c r="A2040" s="80"/>
      <c r="B2040" s="80"/>
      <c r="C2040" s="80"/>
      <c r="D2040" s="80"/>
      <c r="E2040" s="80"/>
      <c r="F2040" s="80"/>
      <c r="G2040" s="80"/>
      <c r="H2040" s="80"/>
      <c r="I2040" s="80"/>
      <c r="J2040" s="80"/>
      <c r="K2040" s="80"/>
      <c r="L2040" s="2"/>
      <c r="M2040" s="2"/>
      <c r="N2040" s="2"/>
      <c r="O2040" s="2"/>
      <c r="P2040" s="2"/>
      <c r="Q2040" s="2"/>
      <c r="R2040" s="80"/>
      <c r="S2040" s="80"/>
      <c r="T2040" s="80"/>
      <c r="U2040" s="80"/>
      <c r="V2040" s="80"/>
      <c r="W2040" s="80"/>
      <c r="X2040" s="80"/>
      <c r="Y2040" s="80"/>
      <c r="Z2040" s="80"/>
      <c r="AA2040" s="80"/>
      <c r="AB2040" s="80"/>
      <c r="AC2040" s="80"/>
      <c r="AD2040" s="80"/>
      <c r="AE2040" s="80"/>
      <c r="AF2040" s="80"/>
      <c r="AG2040" s="80"/>
      <c r="AH2040" s="80"/>
      <c r="AI2040" s="80"/>
    </row>
    <row r="2041" spans="1:35" x14ac:dyDescent="0.2">
      <c r="A2041" s="80"/>
      <c r="B2041" s="80"/>
      <c r="C2041" s="80"/>
      <c r="D2041" s="80"/>
      <c r="E2041" s="80"/>
      <c r="F2041" s="80"/>
      <c r="G2041" s="80"/>
      <c r="H2041" s="80"/>
      <c r="I2041" s="80"/>
      <c r="J2041" s="80"/>
      <c r="K2041" s="80"/>
      <c r="L2041" s="2"/>
      <c r="M2041" s="2"/>
      <c r="N2041" s="2"/>
      <c r="O2041" s="2"/>
      <c r="P2041" s="2"/>
      <c r="Q2041" s="2"/>
      <c r="R2041" s="80"/>
      <c r="S2041" s="80"/>
      <c r="T2041" s="80"/>
      <c r="U2041" s="80"/>
      <c r="V2041" s="80"/>
      <c r="W2041" s="80"/>
      <c r="X2041" s="80"/>
      <c r="Y2041" s="80"/>
      <c r="Z2041" s="80"/>
      <c r="AA2041" s="80"/>
      <c r="AB2041" s="80"/>
      <c r="AC2041" s="80"/>
      <c r="AD2041" s="80"/>
      <c r="AE2041" s="80"/>
      <c r="AF2041" s="80"/>
      <c r="AG2041" s="80"/>
      <c r="AH2041" s="80"/>
      <c r="AI2041" s="80"/>
    </row>
    <row r="2042" spans="1:35" x14ac:dyDescent="0.2">
      <c r="A2042" s="80"/>
      <c r="B2042" s="80"/>
      <c r="C2042" s="80"/>
      <c r="D2042" s="80"/>
      <c r="E2042" s="80"/>
      <c r="F2042" s="80"/>
      <c r="G2042" s="80"/>
      <c r="H2042" s="80"/>
      <c r="I2042" s="80"/>
      <c r="J2042" s="80"/>
      <c r="K2042" s="80"/>
      <c r="L2042" s="2"/>
      <c r="M2042" s="2"/>
      <c r="N2042" s="2"/>
      <c r="O2042" s="2"/>
      <c r="P2042" s="2"/>
      <c r="Q2042" s="2"/>
      <c r="R2042" s="80"/>
      <c r="S2042" s="80"/>
      <c r="T2042" s="80"/>
      <c r="U2042" s="80"/>
      <c r="V2042" s="80"/>
      <c r="W2042" s="80"/>
      <c r="X2042" s="80"/>
      <c r="Y2042" s="80"/>
      <c r="Z2042" s="80"/>
      <c r="AA2042" s="80"/>
      <c r="AB2042" s="80"/>
      <c r="AC2042" s="80"/>
      <c r="AD2042" s="80"/>
      <c r="AE2042" s="80"/>
      <c r="AF2042" s="80"/>
      <c r="AG2042" s="80"/>
      <c r="AH2042" s="80"/>
      <c r="AI2042" s="80"/>
    </row>
    <row r="2043" spans="1:35" x14ac:dyDescent="0.2">
      <c r="A2043" s="80"/>
      <c r="B2043" s="80"/>
      <c r="C2043" s="80"/>
      <c r="D2043" s="80"/>
      <c r="E2043" s="80"/>
      <c r="F2043" s="80"/>
      <c r="G2043" s="80"/>
      <c r="H2043" s="80"/>
      <c r="I2043" s="80"/>
      <c r="J2043" s="80"/>
      <c r="K2043" s="80"/>
      <c r="L2043" s="2"/>
      <c r="M2043" s="2"/>
      <c r="N2043" s="2"/>
      <c r="O2043" s="2"/>
      <c r="P2043" s="2"/>
      <c r="Q2043" s="2"/>
      <c r="R2043" s="80"/>
      <c r="S2043" s="80"/>
      <c r="T2043" s="80"/>
      <c r="U2043" s="80"/>
      <c r="V2043" s="80"/>
      <c r="W2043" s="80"/>
      <c r="X2043" s="80"/>
      <c r="Y2043" s="80"/>
      <c r="Z2043" s="80"/>
      <c r="AA2043" s="80"/>
      <c r="AB2043" s="80"/>
      <c r="AC2043" s="80"/>
      <c r="AD2043" s="80"/>
      <c r="AE2043" s="80"/>
      <c r="AF2043" s="80"/>
      <c r="AG2043" s="80"/>
      <c r="AH2043" s="80"/>
      <c r="AI2043" s="80"/>
    </row>
    <row r="2044" spans="1:35" x14ac:dyDescent="0.2">
      <c r="A2044" s="80"/>
      <c r="B2044" s="80"/>
      <c r="C2044" s="80"/>
      <c r="D2044" s="80"/>
      <c r="E2044" s="80"/>
      <c r="F2044" s="80"/>
      <c r="G2044" s="80"/>
      <c r="H2044" s="80"/>
      <c r="I2044" s="80"/>
      <c r="J2044" s="80"/>
      <c r="K2044" s="80"/>
      <c r="L2044" s="2"/>
      <c r="M2044" s="2"/>
      <c r="N2044" s="2"/>
      <c r="O2044" s="2"/>
      <c r="P2044" s="2"/>
      <c r="Q2044" s="2"/>
      <c r="R2044" s="80"/>
      <c r="S2044" s="80"/>
      <c r="T2044" s="80"/>
      <c r="U2044" s="80"/>
      <c r="V2044" s="80"/>
      <c r="W2044" s="80"/>
      <c r="X2044" s="80"/>
      <c r="Y2044" s="80"/>
      <c r="Z2044" s="80"/>
      <c r="AA2044" s="80"/>
      <c r="AB2044" s="80"/>
      <c r="AC2044" s="80"/>
      <c r="AD2044" s="80"/>
      <c r="AE2044" s="80"/>
      <c r="AF2044" s="80"/>
      <c r="AG2044" s="80"/>
      <c r="AH2044" s="80"/>
      <c r="AI2044" s="80"/>
    </row>
    <row r="2045" spans="1:35" x14ac:dyDescent="0.2">
      <c r="A2045" s="80"/>
      <c r="B2045" s="80"/>
      <c r="C2045" s="80"/>
      <c r="D2045" s="80"/>
      <c r="E2045" s="80"/>
      <c r="F2045" s="80"/>
      <c r="G2045" s="80"/>
      <c r="H2045" s="80"/>
      <c r="I2045" s="80"/>
      <c r="J2045" s="80"/>
      <c r="K2045" s="80"/>
      <c r="L2045" s="2"/>
      <c r="M2045" s="2"/>
      <c r="N2045" s="2"/>
      <c r="O2045" s="2"/>
      <c r="P2045" s="2"/>
      <c r="Q2045" s="2"/>
      <c r="R2045" s="80"/>
      <c r="S2045" s="80"/>
      <c r="T2045" s="80"/>
      <c r="U2045" s="80"/>
      <c r="V2045" s="80"/>
      <c r="W2045" s="80"/>
      <c r="X2045" s="80"/>
      <c r="Y2045" s="80"/>
      <c r="Z2045" s="80"/>
      <c r="AA2045" s="80"/>
      <c r="AB2045" s="80"/>
      <c r="AC2045" s="80"/>
      <c r="AD2045" s="80"/>
      <c r="AE2045" s="80"/>
      <c r="AF2045" s="80"/>
      <c r="AG2045" s="80"/>
      <c r="AH2045" s="80"/>
      <c r="AI2045" s="80"/>
    </row>
    <row r="2046" spans="1:35" x14ac:dyDescent="0.2">
      <c r="A2046" s="80"/>
      <c r="B2046" s="80"/>
      <c r="C2046" s="80"/>
      <c r="D2046" s="80"/>
      <c r="E2046" s="80"/>
      <c r="F2046" s="80"/>
      <c r="G2046" s="80"/>
      <c r="H2046" s="80"/>
      <c r="I2046" s="80"/>
      <c r="J2046" s="80"/>
      <c r="K2046" s="80"/>
      <c r="L2046" s="2"/>
      <c r="M2046" s="2"/>
      <c r="N2046" s="2"/>
      <c r="O2046" s="2"/>
      <c r="P2046" s="2"/>
      <c r="Q2046" s="2"/>
      <c r="R2046" s="80"/>
      <c r="S2046" s="80"/>
      <c r="T2046" s="80"/>
      <c r="U2046" s="80"/>
      <c r="V2046" s="80"/>
      <c r="W2046" s="80"/>
      <c r="X2046" s="80"/>
      <c r="Y2046" s="80"/>
      <c r="Z2046" s="80"/>
      <c r="AA2046" s="80"/>
      <c r="AB2046" s="80"/>
      <c r="AC2046" s="80"/>
      <c r="AD2046" s="80"/>
      <c r="AE2046" s="80"/>
      <c r="AF2046" s="80"/>
      <c r="AG2046" s="80"/>
      <c r="AH2046" s="80"/>
      <c r="AI2046" s="80"/>
    </row>
    <row r="2047" spans="1:35" x14ac:dyDescent="0.2">
      <c r="A2047" s="80"/>
      <c r="B2047" s="80"/>
      <c r="C2047" s="80"/>
      <c r="D2047" s="80"/>
      <c r="E2047" s="80"/>
      <c r="F2047" s="80"/>
      <c r="G2047" s="80"/>
      <c r="H2047" s="80"/>
      <c r="I2047" s="80"/>
      <c r="J2047" s="80"/>
      <c r="K2047" s="80"/>
      <c r="L2047" s="2"/>
      <c r="M2047" s="2"/>
      <c r="N2047" s="2"/>
      <c r="O2047" s="2"/>
      <c r="P2047" s="2"/>
      <c r="Q2047" s="2"/>
      <c r="R2047" s="80"/>
      <c r="S2047" s="80"/>
      <c r="T2047" s="80"/>
      <c r="U2047" s="80"/>
      <c r="V2047" s="80"/>
      <c r="W2047" s="80"/>
      <c r="X2047" s="80"/>
      <c r="Y2047" s="80"/>
      <c r="Z2047" s="80"/>
      <c r="AA2047" s="80"/>
      <c r="AB2047" s="80"/>
      <c r="AC2047" s="80"/>
      <c r="AD2047" s="80"/>
      <c r="AE2047" s="80"/>
      <c r="AF2047" s="80"/>
      <c r="AG2047" s="80"/>
      <c r="AH2047" s="80"/>
      <c r="AI2047" s="80"/>
    </row>
    <row r="2048" spans="1:35" x14ac:dyDescent="0.2">
      <c r="A2048" s="80"/>
      <c r="B2048" s="80"/>
      <c r="C2048" s="80"/>
      <c r="D2048" s="80"/>
      <c r="E2048" s="80"/>
      <c r="F2048" s="80"/>
      <c r="G2048" s="80"/>
      <c r="H2048" s="80"/>
      <c r="I2048" s="80"/>
      <c r="J2048" s="80"/>
      <c r="K2048" s="80"/>
      <c r="L2048" s="2"/>
      <c r="M2048" s="2"/>
      <c r="N2048" s="2"/>
      <c r="O2048" s="2"/>
      <c r="P2048" s="2"/>
      <c r="Q2048" s="2"/>
      <c r="R2048" s="80"/>
      <c r="S2048" s="80"/>
      <c r="T2048" s="80"/>
      <c r="U2048" s="80"/>
      <c r="V2048" s="80"/>
      <c r="W2048" s="80"/>
      <c r="X2048" s="80"/>
      <c r="Y2048" s="80"/>
      <c r="Z2048" s="80"/>
      <c r="AA2048" s="80"/>
      <c r="AB2048" s="80"/>
      <c r="AC2048" s="80"/>
      <c r="AD2048" s="80"/>
      <c r="AE2048" s="80"/>
      <c r="AF2048" s="80"/>
      <c r="AG2048" s="80"/>
      <c r="AH2048" s="80"/>
      <c r="AI2048" s="80"/>
    </row>
    <row r="2049" spans="1:35" x14ac:dyDescent="0.2">
      <c r="A2049" s="80"/>
      <c r="B2049" s="80"/>
      <c r="C2049" s="80"/>
      <c r="D2049" s="80"/>
      <c r="E2049" s="80"/>
      <c r="F2049" s="80"/>
      <c r="G2049" s="80"/>
      <c r="H2049" s="80"/>
      <c r="I2049" s="80"/>
      <c r="J2049" s="80"/>
      <c r="K2049" s="80"/>
      <c r="L2049" s="2"/>
      <c r="M2049" s="2"/>
      <c r="N2049" s="2"/>
      <c r="O2049" s="2"/>
      <c r="P2049" s="2"/>
      <c r="Q2049" s="2"/>
      <c r="R2049" s="80"/>
      <c r="S2049" s="80"/>
      <c r="T2049" s="80"/>
      <c r="U2049" s="80"/>
      <c r="V2049" s="80"/>
      <c r="W2049" s="80"/>
      <c r="X2049" s="80"/>
      <c r="Y2049" s="80"/>
      <c r="Z2049" s="80"/>
      <c r="AA2049" s="80"/>
      <c r="AB2049" s="80"/>
      <c r="AC2049" s="80"/>
      <c r="AD2049" s="80"/>
      <c r="AE2049" s="80"/>
      <c r="AF2049" s="80"/>
      <c r="AG2049" s="80"/>
      <c r="AH2049" s="80"/>
      <c r="AI2049" s="80"/>
    </row>
    <row r="2050" spans="1:35" x14ac:dyDescent="0.2">
      <c r="A2050" s="80"/>
      <c r="B2050" s="80"/>
      <c r="C2050" s="80"/>
      <c r="D2050" s="80"/>
      <c r="E2050" s="80"/>
      <c r="F2050" s="80"/>
      <c r="G2050" s="80"/>
      <c r="H2050" s="80"/>
      <c r="I2050" s="80"/>
      <c r="J2050" s="80"/>
      <c r="K2050" s="80"/>
      <c r="L2050" s="2"/>
      <c r="M2050" s="2"/>
      <c r="N2050" s="2"/>
      <c r="O2050" s="2"/>
      <c r="P2050" s="2"/>
      <c r="Q2050" s="2"/>
      <c r="R2050" s="80"/>
      <c r="S2050" s="80"/>
      <c r="T2050" s="80"/>
      <c r="U2050" s="80"/>
      <c r="V2050" s="80"/>
      <c r="W2050" s="80"/>
      <c r="X2050" s="80"/>
      <c r="Y2050" s="80"/>
      <c r="Z2050" s="80"/>
      <c r="AA2050" s="80"/>
      <c r="AB2050" s="80"/>
      <c r="AC2050" s="80"/>
      <c r="AD2050" s="80"/>
      <c r="AE2050" s="80"/>
      <c r="AF2050" s="80"/>
      <c r="AG2050" s="80"/>
      <c r="AH2050" s="80"/>
      <c r="AI2050" s="80"/>
    </row>
    <row r="2051" spans="1:35" x14ac:dyDescent="0.2">
      <c r="A2051" s="80"/>
      <c r="B2051" s="80"/>
      <c r="C2051" s="80"/>
      <c r="D2051" s="80"/>
      <c r="E2051" s="80"/>
      <c r="F2051" s="80"/>
      <c r="G2051" s="80"/>
      <c r="H2051" s="80"/>
      <c r="I2051" s="80"/>
      <c r="J2051" s="80"/>
      <c r="K2051" s="80"/>
      <c r="L2051" s="2"/>
      <c r="M2051" s="2"/>
      <c r="N2051" s="2"/>
      <c r="O2051" s="2"/>
      <c r="P2051" s="2"/>
      <c r="Q2051" s="2"/>
      <c r="R2051" s="80"/>
      <c r="S2051" s="80"/>
      <c r="T2051" s="80"/>
      <c r="U2051" s="80"/>
      <c r="V2051" s="80"/>
      <c r="W2051" s="80"/>
      <c r="X2051" s="80"/>
      <c r="Y2051" s="80"/>
      <c r="Z2051" s="80"/>
      <c r="AA2051" s="80"/>
      <c r="AB2051" s="80"/>
      <c r="AC2051" s="80"/>
      <c r="AD2051" s="80"/>
      <c r="AE2051" s="80"/>
      <c r="AF2051" s="80"/>
      <c r="AG2051" s="80"/>
      <c r="AH2051" s="80"/>
      <c r="AI2051" s="80"/>
    </row>
    <row r="2052" spans="1:35" x14ac:dyDescent="0.2">
      <c r="A2052" s="80"/>
      <c r="B2052" s="80"/>
      <c r="C2052" s="80"/>
      <c r="D2052" s="80"/>
      <c r="E2052" s="80"/>
      <c r="F2052" s="80"/>
      <c r="G2052" s="80"/>
      <c r="H2052" s="80"/>
      <c r="I2052" s="80"/>
      <c r="J2052" s="80"/>
      <c r="K2052" s="80"/>
      <c r="L2052" s="2"/>
      <c r="M2052" s="2"/>
      <c r="N2052" s="2"/>
      <c r="O2052" s="2"/>
      <c r="P2052" s="2"/>
      <c r="Q2052" s="2"/>
      <c r="R2052" s="80"/>
      <c r="S2052" s="80"/>
      <c r="T2052" s="80"/>
      <c r="U2052" s="80"/>
      <c r="V2052" s="80"/>
      <c r="W2052" s="80"/>
      <c r="X2052" s="80"/>
      <c r="Y2052" s="80"/>
      <c r="Z2052" s="80"/>
      <c r="AA2052" s="80"/>
      <c r="AB2052" s="80"/>
      <c r="AC2052" s="80"/>
      <c r="AD2052" s="80"/>
      <c r="AE2052" s="80"/>
      <c r="AF2052" s="80"/>
      <c r="AG2052" s="80"/>
      <c r="AH2052" s="80"/>
      <c r="AI2052" s="80"/>
    </row>
    <row r="2053" spans="1:35" x14ac:dyDescent="0.2">
      <c r="A2053" s="80"/>
      <c r="B2053" s="80"/>
      <c r="C2053" s="80"/>
      <c r="D2053" s="80"/>
      <c r="E2053" s="80"/>
      <c r="F2053" s="80"/>
      <c r="G2053" s="80"/>
      <c r="H2053" s="80"/>
      <c r="I2053" s="80"/>
      <c r="J2053" s="80"/>
      <c r="K2053" s="80"/>
      <c r="L2053" s="2"/>
      <c r="M2053" s="2"/>
      <c r="N2053" s="2"/>
      <c r="O2053" s="2"/>
      <c r="P2053" s="2"/>
      <c r="Q2053" s="2"/>
      <c r="R2053" s="80"/>
      <c r="S2053" s="80"/>
      <c r="T2053" s="80"/>
      <c r="U2053" s="80"/>
      <c r="V2053" s="80"/>
      <c r="W2053" s="80"/>
      <c r="X2053" s="80"/>
      <c r="Y2053" s="80"/>
      <c r="Z2053" s="80"/>
      <c r="AA2053" s="80"/>
      <c r="AB2053" s="80"/>
      <c r="AC2053" s="80"/>
      <c r="AD2053" s="80"/>
      <c r="AE2053" s="80"/>
      <c r="AF2053" s="80"/>
      <c r="AG2053" s="80"/>
      <c r="AH2053" s="80"/>
      <c r="AI2053" s="80"/>
    </row>
    <row r="2054" spans="1:35" x14ac:dyDescent="0.2">
      <c r="A2054" s="80"/>
      <c r="B2054" s="80"/>
      <c r="C2054" s="80"/>
      <c r="D2054" s="80"/>
      <c r="E2054" s="80"/>
      <c r="F2054" s="80"/>
      <c r="G2054" s="80"/>
      <c r="H2054" s="80"/>
      <c r="I2054" s="80"/>
      <c r="J2054" s="80"/>
      <c r="K2054" s="80"/>
      <c r="L2054" s="2"/>
      <c r="M2054" s="2"/>
      <c r="N2054" s="2"/>
      <c r="O2054" s="2"/>
      <c r="P2054" s="2"/>
      <c r="Q2054" s="2"/>
      <c r="R2054" s="80"/>
      <c r="S2054" s="80"/>
      <c r="T2054" s="80"/>
      <c r="U2054" s="80"/>
      <c r="V2054" s="80"/>
      <c r="W2054" s="80"/>
      <c r="X2054" s="80"/>
      <c r="Y2054" s="80"/>
      <c r="Z2054" s="80"/>
      <c r="AA2054" s="80"/>
      <c r="AB2054" s="80"/>
      <c r="AC2054" s="80"/>
      <c r="AD2054" s="80"/>
      <c r="AE2054" s="80"/>
      <c r="AF2054" s="80"/>
      <c r="AG2054" s="80"/>
      <c r="AH2054" s="80"/>
      <c r="AI2054" s="80"/>
    </row>
    <row r="2055" spans="1:35" x14ac:dyDescent="0.2">
      <c r="A2055" s="80"/>
      <c r="B2055" s="80"/>
      <c r="C2055" s="80"/>
      <c r="D2055" s="80"/>
      <c r="E2055" s="80"/>
      <c r="F2055" s="80"/>
      <c r="G2055" s="80"/>
      <c r="H2055" s="80"/>
      <c r="I2055" s="80"/>
      <c r="J2055" s="80"/>
      <c r="K2055" s="80"/>
      <c r="L2055" s="2"/>
      <c r="M2055" s="2"/>
      <c r="N2055" s="2"/>
      <c r="O2055" s="2"/>
      <c r="P2055" s="2"/>
      <c r="Q2055" s="2"/>
      <c r="R2055" s="80"/>
      <c r="S2055" s="80"/>
      <c r="T2055" s="80"/>
      <c r="U2055" s="80"/>
      <c r="V2055" s="80"/>
      <c r="W2055" s="80"/>
      <c r="X2055" s="80"/>
      <c r="Y2055" s="80"/>
      <c r="Z2055" s="80"/>
      <c r="AA2055" s="80"/>
      <c r="AB2055" s="80"/>
      <c r="AC2055" s="80"/>
      <c r="AD2055" s="80"/>
      <c r="AE2055" s="80"/>
      <c r="AF2055" s="80"/>
      <c r="AG2055" s="80"/>
      <c r="AH2055" s="80"/>
      <c r="AI2055" s="80"/>
    </row>
    <row r="2056" spans="1:35" x14ac:dyDescent="0.2">
      <c r="A2056" s="80"/>
      <c r="B2056" s="80"/>
      <c r="C2056" s="80"/>
      <c r="D2056" s="80"/>
      <c r="E2056" s="80"/>
      <c r="F2056" s="80"/>
      <c r="G2056" s="80"/>
      <c r="H2056" s="80"/>
      <c r="I2056" s="80"/>
      <c r="J2056" s="80"/>
      <c r="K2056" s="80"/>
      <c r="L2056" s="2"/>
      <c r="M2056" s="2"/>
      <c r="N2056" s="2"/>
      <c r="O2056" s="2"/>
      <c r="P2056" s="2"/>
      <c r="Q2056" s="2"/>
      <c r="R2056" s="80"/>
      <c r="S2056" s="80"/>
      <c r="T2056" s="80"/>
      <c r="U2056" s="80"/>
      <c r="V2056" s="80"/>
      <c r="W2056" s="80"/>
      <c r="X2056" s="80"/>
      <c r="Y2056" s="80"/>
      <c r="Z2056" s="80"/>
      <c r="AA2056" s="80"/>
      <c r="AB2056" s="80"/>
      <c r="AC2056" s="80"/>
      <c r="AD2056" s="80"/>
      <c r="AE2056" s="80"/>
      <c r="AF2056" s="80"/>
      <c r="AG2056" s="80"/>
      <c r="AH2056" s="80"/>
      <c r="AI2056" s="80"/>
    </row>
    <row r="2057" spans="1:35" x14ac:dyDescent="0.2">
      <c r="A2057" s="80"/>
      <c r="B2057" s="80"/>
      <c r="C2057" s="80"/>
      <c r="D2057" s="80"/>
      <c r="E2057" s="80"/>
      <c r="F2057" s="80"/>
      <c r="G2057" s="80"/>
      <c r="H2057" s="80"/>
      <c r="I2057" s="80"/>
      <c r="J2057" s="80"/>
      <c r="K2057" s="80"/>
      <c r="L2057" s="2"/>
      <c r="M2057" s="2"/>
      <c r="N2057" s="2"/>
      <c r="O2057" s="2"/>
      <c r="P2057" s="2"/>
      <c r="Q2057" s="2"/>
      <c r="R2057" s="80"/>
      <c r="S2057" s="80"/>
      <c r="T2057" s="80"/>
      <c r="U2057" s="80"/>
      <c r="V2057" s="80"/>
      <c r="W2057" s="80"/>
      <c r="X2057" s="80"/>
      <c r="Y2057" s="80"/>
      <c r="Z2057" s="80"/>
      <c r="AA2057" s="80"/>
      <c r="AB2057" s="80"/>
      <c r="AC2057" s="80"/>
      <c r="AD2057" s="80"/>
      <c r="AE2057" s="80"/>
      <c r="AF2057" s="80"/>
      <c r="AG2057" s="80"/>
      <c r="AH2057" s="80"/>
      <c r="AI2057" s="80"/>
    </row>
    <row r="2058" spans="1:35" x14ac:dyDescent="0.2">
      <c r="A2058" s="80"/>
      <c r="B2058" s="80"/>
      <c r="C2058" s="80"/>
      <c r="D2058" s="80"/>
      <c r="E2058" s="80"/>
      <c r="F2058" s="80"/>
      <c r="G2058" s="80"/>
      <c r="H2058" s="80"/>
      <c r="I2058" s="80"/>
      <c r="J2058" s="80"/>
      <c r="K2058" s="80"/>
      <c r="L2058" s="2"/>
      <c r="M2058" s="2"/>
      <c r="N2058" s="2"/>
      <c r="O2058" s="2"/>
      <c r="P2058" s="2"/>
      <c r="Q2058" s="2"/>
      <c r="R2058" s="80"/>
      <c r="S2058" s="80"/>
      <c r="T2058" s="80"/>
      <c r="U2058" s="80"/>
      <c r="V2058" s="80"/>
      <c r="W2058" s="80"/>
      <c r="X2058" s="80"/>
      <c r="Y2058" s="80"/>
      <c r="Z2058" s="80"/>
      <c r="AA2058" s="80"/>
      <c r="AB2058" s="80"/>
      <c r="AC2058" s="80"/>
      <c r="AD2058" s="80"/>
      <c r="AE2058" s="80"/>
      <c r="AF2058" s="80"/>
      <c r="AG2058" s="80"/>
      <c r="AH2058" s="80"/>
      <c r="AI2058" s="80"/>
    </row>
    <row r="2059" spans="1:35" x14ac:dyDescent="0.2">
      <c r="A2059" s="80"/>
      <c r="B2059" s="80"/>
      <c r="C2059" s="80"/>
      <c r="D2059" s="80"/>
      <c r="E2059" s="80"/>
      <c r="F2059" s="80"/>
      <c r="G2059" s="80"/>
      <c r="H2059" s="80"/>
      <c r="I2059" s="80"/>
      <c r="J2059" s="80"/>
      <c r="K2059" s="80"/>
      <c r="L2059" s="2"/>
      <c r="M2059" s="2"/>
      <c r="N2059" s="2"/>
      <c r="O2059" s="2"/>
      <c r="P2059" s="2"/>
      <c r="Q2059" s="2"/>
      <c r="R2059" s="80"/>
      <c r="S2059" s="80"/>
      <c r="T2059" s="80"/>
      <c r="U2059" s="80"/>
      <c r="V2059" s="80"/>
      <c r="W2059" s="80"/>
      <c r="X2059" s="80"/>
      <c r="Y2059" s="80"/>
      <c r="Z2059" s="80"/>
      <c r="AA2059" s="80"/>
      <c r="AB2059" s="80"/>
      <c r="AC2059" s="80"/>
      <c r="AD2059" s="80"/>
      <c r="AE2059" s="80"/>
      <c r="AF2059" s="80"/>
      <c r="AG2059" s="80"/>
      <c r="AH2059" s="80"/>
      <c r="AI2059" s="80"/>
    </row>
    <row r="2060" spans="1:35" x14ac:dyDescent="0.2">
      <c r="A2060" s="80"/>
      <c r="B2060" s="80"/>
      <c r="C2060" s="80"/>
      <c r="D2060" s="80"/>
      <c r="E2060" s="80"/>
      <c r="F2060" s="80"/>
      <c r="G2060" s="80"/>
      <c r="H2060" s="80"/>
      <c r="I2060" s="80"/>
      <c r="J2060" s="80"/>
      <c r="K2060" s="80"/>
      <c r="L2060" s="2"/>
      <c r="M2060" s="2"/>
      <c r="N2060" s="2"/>
      <c r="O2060" s="2"/>
      <c r="P2060" s="2"/>
      <c r="Q2060" s="2"/>
      <c r="R2060" s="80"/>
      <c r="S2060" s="80"/>
      <c r="T2060" s="80"/>
      <c r="U2060" s="80"/>
      <c r="V2060" s="80"/>
      <c r="W2060" s="80"/>
      <c r="X2060" s="80"/>
      <c r="Y2060" s="80"/>
      <c r="Z2060" s="80"/>
      <c r="AA2060" s="80"/>
      <c r="AB2060" s="80"/>
      <c r="AC2060" s="80"/>
      <c r="AD2060" s="80"/>
      <c r="AE2060" s="80"/>
      <c r="AF2060" s="80"/>
      <c r="AG2060" s="80"/>
      <c r="AH2060" s="80"/>
      <c r="AI2060" s="80"/>
    </row>
    <row r="2061" spans="1:35" x14ac:dyDescent="0.2">
      <c r="A2061" s="80"/>
      <c r="B2061" s="80"/>
      <c r="C2061" s="80"/>
      <c r="D2061" s="80"/>
      <c r="E2061" s="80"/>
      <c r="F2061" s="80"/>
      <c r="G2061" s="80"/>
      <c r="H2061" s="80"/>
      <c r="I2061" s="80"/>
      <c r="J2061" s="80"/>
      <c r="K2061" s="80"/>
      <c r="L2061" s="2"/>
      <c r="M2061" s="2"/>
      <c r="N2061" s="2"/>
      <c r="O2061" s="2"/>
      <c r="P2061" s="2"/>
      <c r="Q2061" s="2"/>
      <c r="R2061" s="80"/>
      <c r="S2061" s="80"/>
      <c r="T2061" s="80"/>
      <c r="U2061" s="80"/>
      <c r="V2061" s="80"/>
      <c r="W2061" s="80"/>
      <c r="X2061" s="80"/>
      <c r="Y2061" s="80"/>
      <c r="Z2061" s="80"/>
      <c r="AA2061" s="80"/>
      <c r="AB2061" s="80"/>
      <c r="AC2061" s="80"/>
      <c r="AD2061" s="80"/>
      <c r="AE2061" s="80"/>
      <c r="AF2061" s="80"/>
      <c r="AG2061" s="80"/>
      <c r="AH2061" s="80"/>
      <c r="AI2061" s="80"/>
    </row>
    <row r="2062" spans="1:35" x14ac:dyDescent="0.2">
      <c r="A2062" s="80"/>
      <c r="B2062" s="80"/>
      <c r="C2062" s="80"/>
      <c r="D2062" s="80"/>
      <c r="E2062" s="80"/>
      <c r="F2062" s="80"/>
      <c r="G2062" s="80"/>
      <c r="H2062" s="80"/>
      <c r="I2062" s="80"/>
      <c r="J2062" s="80"/>
      <c r="K2062" s="80"/>
      <c r="L2062" s="2"/>
      <c r="M2062" s="2"/>
      <c r="N2062" s="2"/>
      <c r="O2062" s="2"/>
      <c r="P2062" s="2"/>
      <c r="Q2062" s="2"/>
      <c r="R2062" s="80"/>
      <c r="S2062" s="80"/>
      <c r="T2062" s="80"/>
      <c r="U2062" s="80"/>
      <c r="V2062" s="80"/>
      <c r="W2062" s="80"/>
      <c r="X2062" s="80"/>
      <c r="Y2062" s="80"/>
      <c r="Z2062" s="80"/>
      <c r="AA2062" s="80"/>
      <c r="AB2062" s="80"/>
      <c r="AC2062" s="80"/>
      <c r="AD2062" s="80"/>
      <c r="AE2062" s="80"/>
      <c r="AF2062" s="80"/>
      <c r="AG2062" s="80"/>
      <c r="AH2062" s="80"/>
      <c r="AI2062" s="80"/>
    </row>
    <row r="2063" spans="1:35" x14ac:dyDescent="0.2">
      <c r="A2063" s="80"/>
      <c r="B2063" s="80"/>
      <c r="C2063" s="80"/>
      <c r="D2063" s="80"/>
      <c r="E2063" s="80"/>
      <c r="F2063" s="80"/>
      <c r="G2063" s="80"/>
      <c r="H2063" s="80"/>
      <c r="I2063" s="80"/>
      <c r="J2063" s="80"/>
      <c r="K2063" s="80"/>
      <c r="L2063" s="2"/>
      <c r="M2063" s="2"/>
      <c r="N2063" s="2"/>
      <c r="O2063" s="2"/>
      <c r="P2063" s="2"/>
      <c r="Q2063" s="2"/>
      <c r="R2063" s="80"/>
      <c r="S2063" s="80"/>
      <c r="T2063" s="80"/>
      <c r="U2063" s="80"/>
      <c r="V2063" s="80"/>
      <c r="W2063" s="80"/>
      <c r="X2063" s="80"/>
      <c r="Y2063" s="80"/>
      <c r="Z2063" s="80"/>
      <c r="AA2063" s="80"/>
      <c r="AB2063" s="80"/>
      <c r="AC2063" s="80"/>
      <c r="AD2063" s="80"/>
      <c r="AE2063" s="80"/>
      <c r="AF2063" s="80"/>
      <c r="AG2063" s="80"/>
      <c r="AH2063" s="80"/>
      <c r="AI2063" s="80"/>
    </row>
    <row r="2064" spans="1:35" x14ac:dyDescent="0.2">
      <c r="A2064" s="80"/>
      <c r="B2064" s="80"/>
      <c r="C2064" s="80"/>
      <c r="D2064" s="80"/>
      <c r="E2064" s="80"/>
      <c r="F2064" s="80"/>
      <c r="G2064" s="80"/>
      <c r="H2064" s="80"/>
      <c r="I2064" s="80"/>
      <c r="J2064" s="80"/>
      <c r="K2064" s="80"/>
      <c r="L2064" s="2"/>
      <c r="M2064" s="2"/>
      <c r="N2064" s="2"/>
      <c r="O2064" s="2"/>
      <c r="P2064" s="2"/>
      <c r="Q2064" s="2"/>
      <c r="R2064" s="80"/>
      <c r="S2064" s="80"/>
      <c r="T2064" s="80"/>
      <c r="U2064" s="80"/>
      <c r="V2064" s="80"/>
      <c r="W2064" s="80"/>
      <c r="X2064" s="80"/>
      <c r="Y2064" s="80"/>
      <c r="Z2064" s="80"/>
      <c r="AA2064" s="80"/>
      <c r="AB2064" s="80"/>
      <c r="AC2064" s="80"/>
      <c r="AD2064" s="80"/>
      <c r="AE2064" s="80"/>
      <c r="AF2064" s="80"/>
      <c r="AG2064" s="80"/>
      <c r="AH2064" s="80"/>
      <c r="AI2064" s="80"/>
    </row>
    <row r="2065" spans="1:35" x14ac:dyDescent="0.2">
      <c r="A2065" s="80"/>
      <c r="B2065" s="80"/>
      <c r="C2065" s="80"/>
      <c r="D2065" s="80"/>
      <c r="E2065" s="80"/>
      <c r="F2065" s="80"/>
      <c r="G2065" s="80"/>
      <c r="H2065" s="80"/>
      <c r="I2065" s="80"/>
      <c r="J2065" s="80"/>
      <c r="K2065" s="80"/>
      <c r="L2065" s="2"/>
      <c r="M2065" s="2"/>
      <c r="N2065" s="2"/>
      <c r="O2065" s="2"/>
      <c r="P2065" s="2"/>
      <c r="Q2065" s="2"/>
      <c r="R2065" s="80"/>
      <c r="S2065" s="80"/>
      <c r="T2065" s="80"/>
      <c r="U2065" s="80"/>
      <c r="V2065" s="80"/>
      <c r="W2065" s="80"/>
      <c r="X2065" s="80"/>
      <c r="Y2065" s="80"/>
      <c r="Z2065" s="80"/>
      <c r="AA2065" s="80"/>
      <c r="AB2065" s="80"/>
      <c r="AC2065" s="80"/>
      <c r="AD2065" s="80"/>
      <c r="AE2065" s="80"/>
      <c r="AF2065" s="80"/>
      <c r="AG2065" s="80"/>
      <c r="AH2065" s="80"/>
      <c r="AI2065" s="80"/>
    </row>
    <row r="2066" spans="1:35" x14ac:dyDescent="0.2">
      <c r="A2066" s="80"/>
      <c r="B2066" s="80"/>
      <c r="C2066" s="80"/>
      <c r="D2066" s="80"/>
      <c r="E2066" s="80"/>
      <c r="F2066" s="80"/>
      <c r="G2066" s="80"/>
      <c r="H2066" s="80"/>
      <c r="I2066" s="80"/>
      <c r="J2066" s="80"/>
      <c r="K2066" s="80"/>
      <c r="L2066" s="2"/>
      <c r="M2066" s="2"/>
      <c r="N2066" s="2"/>
      <c r="O2066" s="2"/>
      <c r="P2066" s="2"/>
      <c r="Q2066" s="2"/>
      <c r="R2066" s="80"/>
      <c r="S2066" s="80"/>
      <c r="T2066" s="80"/>
      <c r="U2066" s="80"/>
      <c r="V2066" s="80"/>
      <c r="W2066" s="80"/>
      <c r="X2066" s="80"/>
      <c r="Y2066" s="80"/>
      <c r="Z2066" s="80"/>
      <c r="AA2066" s="80"/>
      <c r="AB2066" s="80"/>
      <c r="AC2066" s="80"/>
      <c r="AD2066" s="80"/>
      <c r="AE2066" s="80"/>
      <c r="AF2066" s="80"/>
      <c r="AG2066" s="80"/>
      <c r="AH2066" s="80"/>
      <c r="AI2066" s="80"/>
    </row>
    <row r="2067" spans="1:35" x14ac:dyDescent="0.2">
      <c r="A2067" s="80"/>
      <c r="B2067" s="80"/>
      <c r="C2067" s="80"/>
      <c r="D2067" s="80"/>
      <c r="E2067" s="80"/>
      <c r="F2067" s="80"/>
      <c r="G2067" s="80"/>
      <c r="H2067" s="80"/>
      <c r="I2067" s="80"/>
      <c r="J2067" s="80"/>
      <c r="K2067" s="80"/>
      <c r="L2067" s="2"/>
      <c r="M2067" s="2"/>
      <c r="N2067" s="2"/>
      <c r="O2067" s="2"/>
      <c r="P2067" s="2"/>
      <c r="Q2067" s="2"/>
      <c r="R2067" s="80"/>
      <c r="S2067" s="80"/>
      <c r="T2067" s="80"/>
      <c r="U2067" s="80"/>
      <c r="V2067" s="80"/>
      <c r="W2067" s="80"/>
      <c r="X2067" s="80"/>
      <c r="Y2067" s="80"/>
      <c r="Z2067" s="80"/>
      <c r="AA2067" s="80"/>
      <c r="AB2067" s="80"/>
      <c r="AC2067" s="80"/>
      <c r="AD2067" s="80"/>
      <c r="AE2067" s="80"/>
      <c r="AF2067" s="80"/>
      <c r="AG2067" s="80"/>
      <c r="AH2067" s="80"/>
      <c r="AI2067" s="80"/>
    </row>
    <row r="2068" spans="1:35" x14ac:dyDescent="0.2">
      <c r="A2068" s="80"/>
      <c r="B2068" s="80"/>
      <c r="C2068" s="80"/>
      <c r="D2068" s="80"/>
      <c r="E2068" s="80"/>
      <c r="F2068" s="80"/>
      <c r="G2068" s="80"/>
      <c r="H2068" s="80"/>
      <c r="I2068" s="80"/>
      <c r="J2068" s="80"/>
      <c r="K2068" s="80"/>
      <c r="L2068" s="2"/>
      <c r="M2068" s="2"/>
      <c r="N2068" s="2"/>
      <c r="O2068" s="2"/>
      <c r="P2068" s="2"/>
      <c r="Q2068" s="2"/>
      <c r="R2068" s="80"/>
      <c r="S2068" s="80"/>
      <c r="T2068" s="80"/>
      <c r="U2068" s="80"/>
      <c r="V2068" s="80"/>
      <c r="W2068" s="80"/>
      <c r="X2068" s="80"/>
      <c r="Y2068" s="80"/>
      <c r="Z2068" s="80"/>
      <c r="AA2068" s="80"/>
      <c r="AB2068" s="80"/>
      <c r="AC2068" s="80"/>
      <c r="AD2068" s="80"/>
      <c r="AE2068" s="80"/>
      <c r="AF2068" s="80"/>
      <c r="AG2068" s="80"/>
      <c r="AH2068" s="80"/>
      <c r="AI2068" s="80"/>
    </row>
    <row r="2069" spans="1:35" x14ac:dyDescent="0.2">
      <c r="A2069" s="80"/>
      <c r="B2069" s="80"/>
      <c r="C2069" s="80"/>
      <c r="D2069" s="80"/>
      <c r="E2069" s="80"/>
      <c r="F2069" s="80"/>
      <c r="G2069" s="80"/>
      <c r="H2069" s="80"/>
      <c r="I2069" s="80"/>
      <c r="J2069" s="80"/>
      <c r="K2069" s="80"/>
      <c r="L2069" s="2"/>
      <c r="M2069" s="2"/>
      <c r="N2069" s="2"/>
      <c r="O2069" s="2"/>
      <c r="P2069" s="2"/>
      <c r="Q2069" s="2"/>
      <c r="R2069" s="80"/>
      <c r="S2069" s="80"/>
      <c r="T2069" s="80"/>
      <c r="U2069" s="80"/>
      <c r="V2069" s="80"/>
      <c r="W2069" s="80"/>
      <c r="X2069" s="80"/>
      <c r="Y2069" s="80"/>
      <c r="Z2069" s="80"/>
      <c r="AA2069" s="80"/>
      <c r="AB2069" s="80"/>
      <c r="AC2069" s="80"/>
      <c r="AD2069" s="80"/>
      <c r="AE2069" s="80"/>
      <c r="AF2069" s="80"/>
      <c r="AG2069" s="80"/>
      <c r="AH2069" s="80"/>
      <c r="AI2069" s="80"/>
    </row>
    <row r="2070" spans="1:35" x14ac:dyDescent="0.2">
      <c r="A2070" s="80"/>
      <c r="B2070" s="80"/>
      <c r="C2070" s="80"/>
      <c r="D2070" s="80"/>
      <c r="E2070" s="80"/>
      <c r="F2070" s="80"/>
      <c r="G2070" s="80"/>
      <c r="H2070" s="80"/>
      <c r="I2070" s="80"/>
      <c r="J2070" s="80"/>
      <c r="K2070" s="80"/>
      <c r="L2070" s="2"/>
      <c r="M2070" s="2"/>
      <c r="N2070" s="2"/>
      <c r="O2070" s="2"/>
      <c r="P2070" s="2"/>
      <c r="Q2070" s="2"/>
      <c r="R2070" s="80"/>
      <c r="S2070" s="80"/>
      <c r="T2070" s="80"/>
      <c r="U2070" s="80"/>
      <c r="V2070" s="80"/>
      <c r="W2070" s="80"/>
      <c r="X2070" s="80"/>
      <c r="Y2070" s="80"/>
      <c r="Z2070" s="80"/>
      <c r="AA2070" s="80"/>
      <c r="AB2070" s="80"/>
      <c r="AC2070" s="80"/>
      <c r="AD2070" s="80"/>
      <c r="AE2070" s="80"/>
      <c r="AF2070" s="80"/>
      <c r="AG2070" s="80"/>
      <c r="AH2070" s="80"/>
      <c r="AI2070" s="80"/>
    </row>
    <row r="2071" spans="1:35" x14ac:dyDescent="0.2">
      <c r="A2071" s="80"/>
      <c r="B2071" s="80"/>
      <c r="C2071" s="80"/>
      <c r="D2071" s="80"/>
      <c r="E2071" s="80"/>
      <c r="F2071" s="80"/>
      <c r="G2071" s="80"/>
      <c r="H2071" s="80"/>
      <c r="I2071" s="80"/>
      <c r="J2071" s="80"/>
      <c r="K2071" s="80"/>
      <c r="L2071" s="2"/>
      <c r="M2071" s="2"/>
      <c r="N2071" s="2"/>
      <c r="O2071" s="2"/>
      <c r="P2071" s="2"/>
      <c r="Q2071" s="2"/>
      <c r="R2071" s="80"/>
      <c r="S2071" s="80"/>
      <c r="T2071" s="80"/>
      <c r="U2071" s="80"/>
      <c r="V2071" s="80"/>
      <c r="W2071" s="80"/>
      <c r="X2071" s="80"/>
      <c r="Y2071" s="80"/>
      <c r="Z2071" s="80"/>
      <c r="AA2071" s="80"/>
      <c r="AB2071" s="80"/>
      <c r="AC2071" s="80"/>
      <c r="AD2071" s="80"/>
      <c r="AE2071" s="80"/>
      <c r="AF2071" s="80"/>
      <c r="AG2071" s="80"/>
      <c r="AH2071" s="80"/>
      <c r="AI2071" s="80"/>
    </row>
    <row r="2072" spans="1:35" x14ac:dyDescent="0.2">
      <c r="A2072" s="80"/>
      <c r="B2072" s="80"/>
      <c r="C2072" s="80"/>
      <c r="D2072" s="80"/>
      <c r="E2072" s="80"/>
      <c r="F2072" s="80"/>
      <c r="G2072" s="80"/>
      <c r="H2072" s="80"/>
      <c r="I2072" s="80"/>
      <c r="J2072" s="80"/>
      <c r="K2072" s="80"/>
      <c r="L2072" s="2"/>
      <c r="M2072" s="2"/>
      <c r="N2072" s="2"/>
      <c r="O2072" s="2"/>
      <c r="P2072" s="2"/>
      <c r="Q2072" s="2"/>
      <c r="R2072" s="80"/>
      <c r="S2072" s="80"/>
      <c r="T2072" s="80"/>
      <c r="U2072" s="80"/>
      <c r="V2072" s="80"/>
      <c r="W2072" s="80"/>
      <c r="X2072" s="80"/>
      <c r="Y2072" s="80"/>
      <c r="Z2072" s="80"/>
      <c r="AA2072" s="80"/>
      <c r="AB2072" s="80"/>
      <c r="AC2072" s="80"/>
      <c r="AD2072" s="80"/>
      <c r="AE2072" s="80"/>
      <c r="AF2072" s="80"/>
      <c r="AG2072" s="80"/>
      <c r="AH2072" s="80"/>
      <c r="AI2072" s="80"/>
    </row>
    <row r="2073" spans="1:35" x14ac:dyDescent="0.2">
      <c r="A2073" s="80"/>
      <c r="B2073" s="80"/>
      <c r="C2073" s="80"/>
      <c r="D2073" s="80"/>
      <c r="E2073" s="80"/>
      <c r="F2073" s="80"/>
      <c r="G2073" s="80"/>
      <c r="H2073" s="80"/>
      <c r="I2073" s="80"/>
      <c r="J2073" s="80"/>
      <c r="K2073" s="80"/>
      <c r="L2073" s="2"/>
      <c r="M2073" s="2"/>
      <c r="N2073" s="2"/>
      <c r="O2073" s="2"/>
      <c r="P2073" s="2"/>
      <c r="Q2073" s="2"/>
      <c r="R2073" s="80"/>
      <c r="S2073" s="80"/>
      <c r="T2073" s="80"/>
      <c r="U2073" s="80"/>
      <c r="V2073" s="80"/>
      <c r="W2073" s="80"/>
      <c r="X2073" s="80"/>
      <c r="Y2073" s="80"/>
      <c r="Z2073" s="80"/>
      <c r="AA2073" s="80"/>
      <c r="AB2073" s="80"/>
      <c r="AC2073" s="80"/>
      <c r="AD2073" s="80"/>
      <c r="AE2073" s="80"/>
      <c r="AF2073" s="80"/>
      <c r="AG2073" s="80"/>
      <c r="AH2073" s="80"/>
      <c r="AI2073" s="80"/>
    </row>
    <row r="2074" spans="1:35" x14ac:dyDescent="0.2">
      <c r="A2074" s="80"/>
      <c r="B2074" s="80"/>
      <c r="C2074" s="80"/>
      <c r="D2074" s="80"/>
      <c r="E2074" s="80"/>
      <c r="F2074" s="80"/>
      <c r="G2074" s="80"/>
      <c r="H2074" s="80"/>
      <c r="I2074" s="80"/>
      <c r="J2074" s="80"/>
      <c r="K2074" s="80"/>
      <c r="L2074" s="2"/>
      <c r="M2074" s="2"/>
      <c r="N2074" s="2"/>
      <c r="O2074" s="2"/>
      <c r="P2074" s="2"/>
      <c r="Q2074" s="2"/>
      <c r="R2074" s="80"/>
      <c r="S2074" s="80"/>
      <c r="T2074" s="80"/>
      <c r="U2074" s="80"/>
      <c r="V2074" s="80"/>
      <c r="W2074" s="80"/>
      <c r="X2074" s="80"/>
      <c r="Y2074" s="80"/>
      <c r="Z2074" s="80"/>
      <c r="AA2074" s="80"/>
      <c r="AB2074" s="80"/>
      <c r="AC2074" s="80"/>
      <c r="AD2074" s="80"/>
      <c r="AE2074" s="80"/>
      <c r="AF2074" s="80"/>
      <c r="AG2074" s="80"/>
      <c r="AH2074" s="80"/>
      <c r="AI2074" s="80"/>
    </row>
    <row r="2075" spans="1:35" x14ac:dyDescent="0.2">
      <c r="A2075" s="80"/>
      <c r="B2075" s="80"/>
      <c r="C2075" s="80"/>
      <c r="D2075" s="80"/>
      <c r="E2075" s="80"/>
      <c r="F2075" s="80"/>
      <c r="G2075" s="80"/>
      <c r="H2075" s="80"/>
      <c r="I2075" s="80"/>
      <c r="J2075" s="80"/>
      <c r="K2075" s="80"/>
      <c r="L2075" s="2"/>
      <c r="M2075" s="2"/>
      <c r="N2075" s="2"/>
      <c r="O2075" s="2"/>
      <c r="P2075" s="2"/>
      <c r="Q2075" s="2"/>
      <c r="R2075" s="80"/>
      <c r="S2075" s="80"/>
      <c r="T2075" s="80"/>
      <c r="U2075" s="80"/>
      <c r="V2075" s="80"/>
      <c r="W2075" s="80"/>
      <c r="X2075" s="80"/>
      <c r="Y2075" s="80"/>
      <c r="Z2075" s="80"/>
      <c r="AA2075" s="80"/>
      <c r="AB2075" s="80"/>
      <c r="AC2075" s="80"/>
      <c r="AD2075" s="80"/>
      <c r="AE2075" s="80"/>
      <c r="AF2075" s="80"/>
      <c r="AG2075" s="80"/>
      <c r="AH2075" s="80"/>
      <c r="AI2075" s="80"/>
    </row>
    <row r="2076" spans="1:35" x14ac:dyDescent="0.2">
      <c r="A2076" s="80"/>
      <c r="B2076" s="80"/>
      <c r="C2076" s="80"/>
      <c r="D2076" s="80"/>
      <c r="E2076" s="80"/>
      <c r="F2076" s="80"/>
      <c r="G2076" s="80"/>
      <c r="H2076" s="80"/>
      <c r="I2076" s="80"/>
      <c r="J2076" s="80"/>
      <c r="K2076" s="80"/>
      <c r="L2076" s="2"/>
      <c r="M2076" s="2"/>
      <c r="N2076" s="2"/>
      <c r="O2076" s="2"/>
      <c r="P2076" s="2"/>
      <c r="Q2076" s="2"/>
      <c r="R2076" s="80"/>
      <c r="S2076" s="80"/>
      <c r="T2076" s="80"/>
      <c r="U2076" s="80"/>
      <c r="V2076" s="80"/>
      <c r="W2076" s="80"/>
      <c r="X2076" s="80"/>
      <c r="Y2076" s="80"/>
      <c r="Z2076" s="80"/>
      <c r="AA2076" s="80"/>
      <c r="AB2076" s="80"/>
      <c r="AC2076" s="80"/>
      <c r="AD2076" s="80"/>
      <c r="AE2076" s="80"/>
      <c r="AF2076" s="80"/>
      <c r="AG2076" s="80"/>
      <c r="AH2076" s="80"/>
      <c r="AI2076" s="80"/>
    </row>
    <row r="2077" spans="1:35" x14ac:dyDescent="0.2">
      <c r="A2077" s="80"/>
      <c r="B2077" s="80"/>
      <c r="C2077" s="80"/>
      <c r="D2077" s="80"/>
      <c r="E2077" s="80"/>
      <c r="F2077" s="80"/>
      <c r="G2077" s="80"/>
      <c r="H2077" s="80"/>
      <c r="I2077" s="80"/>
      <c r="J2077" s="80"/>
      <c r="K2077" s="80"/>
      <c r="L2077" s="2"/>
      <c r="M2077" s="2"/>
      <c r="N2077" s="2"/>
      <c r="O2077" s="2"/>
      <c r="P2077" s="2"/>
      <c r="Q2077" s="2"/>
      <c r="R2077" s="80"/>
      <c r="S2077" s="80"/>
      <c r="T2077" s="80"/>
      <c r="U2077" s="80"/>
      <c r="V2077" s="80"/>
      <c r="W2077" s="80"/>
      <c r="X2077" s="80"/>
      <c r="Y2077" s="80"/>
      <c r="Z2077" s="80"/>
      <c r="AA2077" s="80"/>
      <c r="AB2077" s="80"/>
      <c r="AC2077" s="80"/>
      <c r="AD2077" s="80"/>
      <c r="AE2077" s="80"/>
      <c r="AF2077" s="80"/>
      <c r="AG2077" s="80"/>
      <c r="AH2077" s="80"/>
      <c r="AI2077" s="80"/>
    </row>
    <row r="2078" spans="1:35" x14ac:dyDescent="0.2">
      <c r="A2078" s="80"/>
      <c r="B2078" s="80"/>
      <c r="C2078" s="80"/>
      <c r="D2078" s="80"/>
      <c r="E2078" s="80"/>
      <c r="F2078" s="80"/>
      <c r="G2078" s="80"/>
      <c r="H2078" s="80"/>
      <c r="I2078" s="80"/>
      <c r="J2078" s="80"/>
      <c r="K2078" s="80"/>
      <c r="L2078" s="2"/>
      <c r="M2078" s="2"/>
      <c r="N2078" s="2"/>
      <c r="O2078" s="2"/>
      <c r="P2078" s="2"/>
      <c r="Q2078" s="2"/>
      <c r="R2078" s="80"/>
      <c r="S2078" s="80"/>
      <c r="T2078" s="80"/>
      <c r="U2078" s="80"/>
      <c r="V2078" s="80"/>
      <c r="W2078" s="80"/>
      <c r="X2078" s="80"/>
      <c r="Y2078" s="80"/>
      <c r="Z2078" s="80"/>
      <c r="AA2078" s="80"/>
      <c r="AB2078" s="80"/>
      <c r="AC2078" s="80"/>
      <c r="AD2078" s="80"/>
      <c r="AE2078" s="80"/>
      <c r="AF2078" s="80"/>
      <c r="AG2078" s="80"/>
      <c r="AH2078" s="80"/>
      <c r="AI2078" s="80"/>
    </row>
    <row r="2079" spans="1:35" x14ac:dyDescent="0.2">
      <c r="A2079" s="80"/>
      <c r="B2079" s="80"/>
      <c r="C2079" s="80"/>
      <c r="D2079" s="80"/>
      <c r="E2079" s="80"/>
      <c r="F2079" s="80"/>
      <c r="G2079" s="80"/>
      <c r="H2079" s="80"/>
      <c r="I2079" s="80"/>
      <c r="J2079" s="80"/>
      <c r="K2079" s="80"/>
      <c r="L2079" s="2"/>
      <c r="M2079" s="2"/>
      <c r="N2079" s="2"/>
      <c r="O2079" s="2"/>
      <c r="P2079" s="2"/>
      <c r="Q2079" s="2"/>
      <c r="R2079" s="80"/>
      <c r="S2079" s="80"/>
      <c r="T2079" s="80"/>
      <c r="U2079" s="80"/>
      <c r="V2079" s="80"/>
      <c r="W2079" s="80"/>
      <c r="X2079" s="80"/>
      <c r="Y2079" s="80"/>
      <c r="Z2079" s="80"/>
      <c r="AA2079" s="80"/>
      <c r="AB2079" s="80"/>
      <c r="AC2079" s="80"/>
      <c r="AD2079" s="80"/>
      <c r="AE2079" s="80"/>
      <c r="AF2079" s="80"/>
      <c r="AG2079" s="80"/>
      <c r="AH2079" s="80"/>
      <c r="AI2079" s="80"/>
    </row>
    <row r="2080" spans="1:35" x14ac:dyDescent="0.2">
      <c r="A2080" s="80"/>
      <c r="B2080" s="80"/>
      <c r="C2080" s="80"/>
      <c r="D2080" s="80"/>
      <c r="E2080" s="80"/>
      <c r="F2080" s="80"/>
      <c r="G2080" s="80"/>
      <c r="H2080" s="80"/>
      <c r="I2080" s="80"/>
      <c r="J2080" s="80"/>
      <c r="K2080" s="80"/>
      <c r="L2080" s="2"/>
      <c r="M2080" s="2"/>
      <c r="N2080" s="2"/>
      <c r="O2080" s="2"/>
      <c r="P2080" s="2"/>
      <c r="Q2080" s="2"/>
      <c r="R2080" s="80"/>
      <c r="S2080" s="80"/>
      <c r="T2080" s="80"/>
      <c r="U2080" s="80"/>
      <c r="V2080" s="80"/>
      <c r="W2080" s="80"/>
      <c r="X2080" s="80"/>
      <c r="Y2080" s="80"/>
      <c r="Z2080" s="80"/>
      <c r="AA2080" s="80"/>
      <c r="AB2080" s="80"/>
      <c r="AC2080" s="80"/>
      <c r="AD2080" s="80"/>
      <c r="AE2080" s="80"/>
      <c r="AF2080" s="80"/>
      <c r="AG2080" s="80"/>
      <c r="AH2080" s="80"/>
      <c r="AI2080" s="80"/>
    </row>
    <row r="2081" spans="1:35" x14ac:dyDescent="0.2">
      <c r="A2081" s="80"/>
      <c r="B2081" s="80"/>
      <c r="C2081" s="80"/>
      <c r="D2081" s="80"/>
      <c r="E2081" s="80"/>
      <c r="F2081" s="80"/>
      <c r="G2081" s="80"/>
      <c r="H2081" s="80"/>
      <c r="I2081" s="80"/>
      <c r="J2081" s="80"/>
      <c r="K2081" s="80"/>
      <c r="L2081" s="2"/>
      <c r="M2081" s="2"/>
      <c r="N2081" s="2"/>
      <c r="O2081" s="2"/>
      <c r="P2081" s="2"/>
      <c r="Q2081" s="2"/>
      <c r="R2081" s="80"/>
      <c r="S2081" s="80"/>
      <c r="T2081" s="80"/>
      <c r="U2081" s="80"/>
      <c r="V2081" s="80"/>
      <c r="W2081" s="80"/>
      <c r="X2081" s="80"/>
      <c r="Y2081" s="80"/>
      <c r="Z2081" s="80"/>
      <c r="AA2081" s="80"/>
      <c r="AB2081" s="80"/>
      <c r="AC2081" s="80"/>
      <c r="AD2081" s="80"/>
      <c r="AE2081" s="80"/>
      <c r="AF2081" s="80"/>
      <c r="AG2081" s="80"/>
      <c r="AH2081" s="80"/>
      <c r="AI2081" s="80"/>
    </row>
    <row r="2082" spans="1:35" x14ac:dyDescent="0.2">
      <c r="A2082" s="80"/>
      <c r="B2082" s="80"/>
      <c r="C2082" s="80"/>
      <c r="D2082" s="80"/>
      <c r="E2082" s="80"/>
      <c r="F2082" s="80"/>
      <c r="G2082" s="80"/>
      <c r="H2082" s="80"/>
      <c r="I2082" s="80"/>
      <c r="J2082" s="80"/>
      <c r="K2082" s="80"/>
      <c r="L2082" s="2"/>
      <c r="M2082" s="2"/>
      <c r="N2082" s="2"/>
      <c r="O2082" s="2"/>
      <c r="P2082" s="2"/>
      <c r="Q2082" s="2"/>
      <c r="R2082" s="80"/>
      <c r="S2082" s="80"/>
      <c r="T2082" s="80"/>
      <c r="U2082" s="80"/>
      <c r="V2082" s="80"/>
      <c r="W2082" s="80"/>
      <c r="X2082" s="80"/>
      <c r="Y2082" s="80"/>
      <c r="Z2082" s="80"/>
      <c r="AA2082" s="80"/>
      <c r="AB2082" s="80"/>
      <c r="AC2082" s="80"/>
      <c r="AD2082" s="80"/>
      <c r="AE2082" s="80"/>
      <c r="AF2082" s="80"/>
      <c r="AG2082" s="80"/>
      <c r="AH2082" s="80"/>
      <c r="AI2082" s="80"/>
    </row>
    <row r="2083" spans="1:35" x14ac:dyDescent="0.2">
      <c r="A2083" s="80"/>
      <c r="B2083" s="80"/>
      <c r="C2083" s="80"/>
      <c r="D2083" s="80"/>
      <c r="E2083" s="80"/>
      <c r="F2083" s="80"/>
      <c r="G2083" s="80"/>
      <c r="H2083" s="80"/>
      <c r="I2083" s="80"/>
      <c r="J2083" s="80"/>
      <c r="K2083" s="80"/>
      <c r="L2083" s="2"/>
      <c r="M2083" s="2"/>
      <c r="N2083" s="2"/>
      <c r="O2083" s="2"/>
      <c r="P2083" s="2"/>
      <c r="Q2083" s="2"/>
      <c r="R2083" s="80"/>
      <c r="S2083" s="80"/>
      <c r="T2083" s="80"/>
      <c r="U2083" s="80"/>
      <c r="V2083" s="80"/>
      <c r="W2083" s="80"/>
      <c r="X2083" s="80"/>
      <c r="Y2083" s="80"/>
      <c r="Z2083" s="80"/>
      <c r="AA2083" s="80"/>
      <c r="AB2083" s="80"/>
      <c r="AC2083" s="80"/>
      <c r="AD2083" s="80"/>
      <c r="AE2083" s="80"/>
      <c r="AF2083" s="80"/>
      <c r="AG2083" s="80"/>
      <c r="AH2083" s="80"/>
      <c r="AI2083" s="80"/>
    </row>
    <row r="2084" spans="1:35" x14ac:dyDescent="0.2">
      <c r="A2084" s="80"/>
      <c r="B2084" s="80"/>
      <c r="C2084" s="80"/>
      <c r="D2084" s="80"/>
      <c r="E2084" s="80"/>
      <c r="F2084" s="80"/>
      <c r="G2084" s="80"/>
      <c r="H2084" s="80"/>
      <c r="I2084" s="80"/>
      <c r="J2084" s="80"/>
      <c r="K2084" s="80"/>
      <c r="L2084" s="2"/>
      <c r="M2084" s="2"/>
      <c r="N2084" s="2"/>
      <c r="O2084" s="2"/>
      <c r="P2084" s="2"/>
      <c r="Q2084" s="2"/>
      <c r="R2084" s="80"/>
      <c r="S2084" s="80"/>
      <c r="T2084" s="80"/>
      <c r="U2084" s="80"/>
      <c r="V2084" s="80"/>
      <c r="W2084" s="80"/>
      <c r="X2084" s="80"/>
      <c r="Y2084" s="80"/>
      <c r="Z2084" s="80"/>
      <c r="AA2084" s="80"/>
      <c r="AB2084" s="80"/>
      <c r="AC2084" s="80"/>
      <c r="AD2084" s="80"/>
      <c r="AE2084" s="80"/>
      <c r="AF2084" s="80"/>
      <c r="AG2084" s="80"/>
      <c r="AH2084" s="80"/>
      <c r="AI2084" s="80"/>
    </row>
    <row r="2085" spans="1:35" x14ac:dyDescent="0.2">
      <c r="A2085" s="80"/>
      <c r="B2085" s="80"/>
      <c r="C2085" s="80"/>
      <c r="D2085" s="80"/>
      <c r="E2085" s="80"/>
      <c r="F2085" s="80"/>
      <c r="G2085" s="80"/>
      <c r="H2085" s="80"/>
      <c r="I2085" s="80"/>
      <c r="J2085" s="80"/>
      <c r="K2085" s="80"/>
      <c r="L2085" s="2"/>
      <c r="M2085" s="2"/>
      <c r="N2085" s="2"/>
      <c r="O2085" s="2"/>
      <c r="P2085" s="2"/>
      <c r="Q2085" s="2"/>
      <c r="R2085" s="80"/>
      <c r="S2085" s="80"/>
      <c r="T2085" s="80"/>
      <c r="U2085" s="80"/>
      <c r="V2085" s="80"/>
      <c r="W2085" s="80"/>
      <c r="X2085" s="80"/>
      <c r="Y2085" s="80"/>
      <c r="Z2085" s="80"/>
      <c r="AA2085" s="80"/>
      <c r="AB2085" s="80"/>
      <c r="AC2085" s="80"/>
      <c r="AD2085" s="80"/>
      <c r="AE2085" s="80"/>
      <c r="AF2085" s="80"/>
      <c r="AG2085" s="80"/>
      <c r="AH2085" s="80"/>
      <c r="AI2085" s="80"/>
    </row>
    <row r="2086" spans="1:35" x14ac:dyDescent="0.2">
      <c r="A2086" s="80"/>
      <c r="B2086" s="80"/>
      <c r="C2086" s="80"/>
      <c r="D2086" s="80"/>
      <c r="E2086" s="80"/>
      <c r="F2086" s="80"/>
      <c r="G2086" s="80"/>
      <c r="H2086" s="80"/>
      <c r="I2086" s="80"/>
      <c r="J2086" s="80"/>
      <c r="K2086" s="80"/>
      <c r="L2086" s="2"/>
      <c r="M2086" s="2"/>
      <c r="N2086" s="2"/>
      <c r="O2086" s="2"/>
      <c r="P2086" s="2"/>
      <c r="Q2086" s="2"/>
      <c r="R2086" s="80"/>
      <c r="S2086" s="80"/>
      <c r="T2086" s="80"/>
      <c r="U2086" s="80"/>
      <c r="V2086" s="80"/>
      <c r="W2086" s="80"/>
      <c r="X2086" s="80"/>
      <c r="Y2086" s="80"/>
      <c r="Z2086" s="80"/>
      <c r="AA2086" s="80"/>
      <c r="AB2086" s="80"/>
      <c r="AC2086" s="80"/>
      <c r="AD2086" s="80"/>
      <c r="AE2086" s="80"/>
      <c r="AF2086" s="80"/>
      <c r="AG2086" s="80"/>
      <c r="AH2086" s="80"/>
      <c r="AI2086" s="80"/>
    </row>
    <row r="2087" spans="1:35" x14ac:dyDescent="0.2">
      <c r="A2087" s="80"/>
      <c r="B2087" s="80"/>
      <c r="C2087" s="80"/>
      <c r="D2087" s="80"/>
      <c r="E2087" s="80"/>
      <c r="F2087" s="80"/>
      <c r="G2087" s="80"/>
      <c r="H2087" s="80"/>
      <c r="I2087" s="80"/>
      <c r="J2087" s="80"/>
      <c r="K2087" s="80"/>
      <c r="L2087" s="2"/>
      <c r="M2087" s="2"/>
      <c r="N2087" s="2"/>
      <c r="O2087" s="2"/>
      <c r="P2087" s="2"/>
      <c r="Q2087" s="2"/>
      <c r="R2087" s="80"/>
      <c r="S2087" s="80"/>
      <c r="T2087" s="80"/>
      <c r="U2087" s="80"/>
      <c r="V2087" s="80"/>
      <c r="W2087" s="80"/>
      <c r="X2087" s="80"/>
      <c r="Y2087" s="80"/>
      <c r="Z2087" s="80"/>
      <c r="AA2087" s="80"/>
      <c r="AB2087" s="80"/>
      <c r="AC2087" s="80"/>
      <c r="AD2087" s="80"/>
      <c r="AE2087" s="80"/>
      <c r="AF2087" s="80"/>
      <c r="AG2087" s="80"/>
      <c r="AH2087" s="80"/>
      <c r="AI2087" s="80"/>
    </row>
    <row r="2088" spans="1:35" x14ac:dyDescent="0.2">
      <c r="A2088" s="80"/>
      <c r="B2088" s="80"/>
      <c r="C2088" s="80"/>
      <c r="D2088" s="80"/>
      <c r="E2088" s="80"/>
      <c r="F2088" s="80"/>
      <c r="G2088" s="80"/>
      <c r="H2088" s="80"/>
      <c r="I2088" s="80"/>
      <c r="J2088" s="80"/>
      <c r="K2088" s="80"/>
      <c r="L2088" s="2"/>
      <c r="M2088" s="2"/>
      <c r="N2088" s="2"/>
      <c r="O2088" s="2"/>
      <c r="P2088" s="2"/>
      <c r="Q2088" s="2"/>
      <c r="R2088" s="80"/>
      <c r="S2088" s="80"/>
      <c r="T2088" s="80"/>
      <c r="U2088" s="80"/>
      <c r="V2088" s="80"/>
      <c r="W2088" s="80"/>
      <c r="X2088" s="80"/>
      <c r="Y2088" s="80"/>
      <c r="Z2088" s="80"/>
      <c r="AA2088" s="80"/>
      <c r="AB2088" s="80"/>
      <c r="AC2088" s="80"/>
      <c r="AD2088" s="80"/>
      <c r="AE2088" s="80"/>
      <c r="AF2088" s="80"/>
      <c r="AG2088" s="80"/>
      <c r="AH2088" s="80"/>
      <c r="AI2088" s="80"/>
    </row>
    <row r="2089" spans="1:35" x14ac:dyDescent="0.2">
      <c r="A2089" s="80"/>
      <c r="B2089" s="80"/>
      <c r="C2089" s="80"/>
      <c r="D2089" s="80"/>
      <c r="E2089" s="80"/>
      <c r="F2089" s="80"/>
      <c r="G2089" s="80"/>
      <c r="H2089" s="80"/>
      <c r="I2089" s="80"/>
      <c r="J2089" s="80"/>
      <c r="K2089" s="80"/>
      <c r="L2089" s="2"/>
      <c r="M2089" s="2"/>
      <c r="N2089" s="2"/>
      <c r="O2089" s="2"/>
      <c r="P2089" s="2"/>
      <c r="Q2089" s="2"/>
      <c r="R2089" s="80"/>
      <c r="S2089" s="80"/>
      <c r="T2089" s="80"/>
      <c r="U2089" s="80"/>
      <c r="V2089" s="80"/>
      <c r="W2089" s="80"/>
      <c r="X2089" s="80"/>
      <c r="Y2089" s="80"/>
      <c r="Z2089" s="80"/>
      <c r="AA2089" s="80"/>
      <c r="AB2089" s="80"/>
      <c r="AC2089" s="80"/>
      <c r="AD2089" s="80"/>
      <c r="AE2089" s="80"/>
      <c r="AF2089" s="80"/>
      <c r="AG2089" s="80"/>
      <c r="AH2089" s="80"/>
      <c r="AI2089" s="80"/>
    </row>
    <row r="2090" spans="1:35" x14ac:dyDescent="0.2">
      <c r="A2090" s="80"/>
      <c r="B2090" s="80"/>
      <c r="C2090" s="80"/>
      <c r="D2090" s="80"/>
      <c r="E2090" s="80"/>
      <c r="F2090" s="80"/>
      <c r="G2090" s="80"/>
      <c r="H2090" s="80"/>
      <c r="I2090" s="80"/>
      <c r="J2090" s="80"/>
      <c r="K2090" s="80"/>
      <c r="L2090" s="2"/>
      <c r="M2090" s="2"/>
      <c r="N2090" s="2"/>
      <c r="O2090" s="2"/>
      <c r="P2090" s="2"/>
      <c r="Q2090" s="2"/>
      <c r="R2090" s="80"/>
      <c r="S2090" s="80"/>
      <c r="T2090" s="80"/>
      <c r="U2090" s="80"/>
      <c r="V2090" s="80"/>
      <c r="W2090" s="80"/>
      <c r="X2090" s="80"/>
      <c r="Y2090" s="80"/>
      <c r="Z2090" s="80"/>
      <c r="AA2090" s="80"/>
      <c r="AB2090" s="80"/>
      <c r="AC2090" s="80"/>
      <c r="AD2090" s="80"/>
      <c r="AE2090" s="80"/>
      <c r="AF2090" s="80"/>
      <c r="AG2090" s="80"/>
      <c r="AH2090" s="80"/>
      <c r="AI2090" s="80"/>
    </row>
    <row r="2091" spans="1:35" x14ac:dyDescent="0.2">
      <c r="A2091" s="80"/>
      <c r="B2091" s="80"/>
      <c r="C2091" s="80"/>
      <c r="D2091" s="80"/>
      <c r="E2091" s="80"/>
      <c r="F2091" s="80"/>
      <c r="G2091" s="80"/>
      <c r="H2091" s="80"/>
      <c r="I2091" s="80"/>
      <c r="J2091" s="80"/>
      <c r="K2091" s="80"/>
      <c r="L2091" s="2"/>
      <c r="M2091" s="2"/>
      <c r="N2091" s="2"/>
      <c r="O2091" s="2"/>
      <c r="P2091" s="2"/>
      <c r="Q2091" s="2"/>
      <c r="R2091" s="80"/>
      <c r="S2091" s="80"/>
      <c r="T2091" s="80"/>
      <c r="U2091" s="80"/>
      <c r="V2091" s="80"/>
      <c r="W2091" s="80"/>
      <c r="X2091" s="80"/>
      <c r="Y2091" s="80"/>
      <c r="Z2091" s="80"/>
      <c r="AA2091" s="80"/>
      <c r="AB2091" s="80"/>
      <c r="AC2091" s="80"/>
      <c r="AD2091" s="80"/>
      <c r="AE2091" s="80"/>
      <c r="AF2091" s="80"/>
      <c r="AG2091" s="80"/>
      <c r="AH2091" s="80"/>
      <c r="AI2091" s="80"/>
    </row>
    <row r="2092" spans="1:35" x14ac:dyDescent="0.2">
      <c r="A2092" s="80"/>
      <c r="B2092" s="80"/>
      <c r="C2092" s="80"/>
      <c r="D2092" s="80"/>
      <c r="E2092" s="80"/>
      <c r="F2092" s="80"/>
      <c r="G2092" s="80"/>
      <c r="H2092" s="80"/>
      <c r="I2092" s="80"/>
      <c r="J2092" s="80"/>
      <c r="K2092" s="80"/>
      <c r="L2092" s="2"/>
      <c r="M2092" s="2"/>
      <c r="N2092" s="2"/>
      <c r="O2092" s="2"/>
      <c r="P2092" s="2"/>
      <c r="Q2092" s="2"/>
      <c r="R2092" s="80"/>
      <c r="S2092" s="80"/>
      <c r="T2092" s="80"/>
      <c r="U2092" s="80"/>
      <c r="V2092" s="80"/>
      <c r="W2092" s="80"/>
      <c r="X2092" s="80"/>
      <c r="Y2092" s="80"/>
      <c r="Z2092" s="80"/>
      <c r="AA2092" s="80"/>
      <c r="AB2092" s="80"/>
      <c r="AC2092" s="80"/>
      <c r="AD2092" s="80"/>
      <c r="AE2092" s="80"/>
      <c r="AF2092" s="80"/>
      <c r="AG2092" s="80"/>
      <c r="AH2092" s="80"/>
      <c r="AI2092" s="80"/>
    </row>
    <row r="2093" spans="1:35" x14ac:dyDescent="0.2">
      <c r="A2093" s="80"/>
      <c r="B2093" s="80"/>
      <c r="C2093" s="80"/>
      <c r="D2093" s="80"/>
      <c r="E2093" s="80"/>
      <c r="F2093" s="80"/>
      <c r="G2093" s="80"/>
      <c r="H2093" s="80"/>
      <c r="I2093" s="80"/>
      <c r="J2093" s="80"/>
      <c r="K2093" s="80"/>
      <c r="L2093" s="2"/>
      <c r="M2093" s="2"/>
      <c r="N2093" s="2"/>
      <c r="O2093" s="2"/>
      <c r="P2093" s="2"/>
      <c r="Q2093" s="2"/>
      <c r="R2093" s="80"/>
      <c r="S2093" s="80"/>
      <c r="T2093" s="80"/>
      <c r="U2093" s="80"/>
      <c r="V2093" s="80"/>
      <c r="W2093" s="80"/>
      <c r="X2093" s="80"/>
      <c r="Y2093" s="80"/>
      <c r="Z2093" s="80"/>
      <c r="AA2093" s="80"/>
      <c r="AB2093" s="80"/>
      <c r="AC2093" s="80"/>
      <c r="AD2093" s="80"/>
      <c r="AE2093" s="80"/>
      <c r="AF2093" s="80"/>
      <c r="AG2093" s="80"/>
      <c r="AH2093" s="80"/>
      <c r="AI2093" s="80"/>
    </row>
    <row r="2094" spans="1:35" x14ac:dyDescent="0.2">
      <c r="A2094" s="80"/>
      <c r="B2094" s="80"/>
      <c r="C2094" s="80"/>
      <c r="D2094" s="80"/>
      <c r="E2094" s="80"/>
      <c r="F2094" s="80"/>
      <c r="G2094" s="80"/>
      <c r="H2094" s="80"/>
      <c r="I2094" s="80"/>
      <c r="J2094" s="80"/>
      <c r="K2094" s="80"/>
      <c r="L2094" s="2"/>
      <c r="M2094" s="2"/>
      <c r="N2094" s="2"/>
      <c r="O2094" s="2"/>
      <c r="P2094" s="2"/>
      <c r="Q2094" s="2"/>
      <c r="R2094" s="80"/>
      <c r="S2094" s="80"/>
      <c r="T2094" s="80"/>
      <c r="U2094" s="80"/>
      <c r="V2094" s="80"/>
      <c r="W2094" s="80"/>
      <c r="X2094" s="80"/>
      <c r="Y2094" s="80"/>
      <c r="Z2094" s="80"/>
      <c r="AA2094" s="80"/>
      <c r="AB2094" s="80"/>
      <c r="AC2094" s="80"/>
      <c r="AD2094" s="80"/>
      <c r="AE2094" s="80"/>
      <c r="AF2094" s="80"/>
      <c r="AG2094" s="80"/>
      <c r="AH2094" s="80"/>
      <c r="AI2094" s="80"/>
    </row>
    <row r="2095" spans="1:35" x14ac:dyDescent="0.2">
      <c r="A2095" s="80"/>
      <c r="B2095" s="80"/>
      <c r="C2095" s="80"/>
      <c r="D2095" s="80"/>
      <c r="E2095" s="80"/>
      <c r="F2095" s="80"/>
      <c r="G2095" s="80"/>
      <c r="H2095" s="80"/>
      <c r="I2095" s="80"/>
      <c r="J2095" s="80"/>
      <c r="K2095" s="80"/>
      <c r="L2095" s="2"/>
      <c r="M2095" s="2"/>
      <c r="N2095" s="2"/>
      <c r="O2095" s="2"/>
      <c r="P2095" s="2"/>
      <c r="Q2095" s="2"/>
      <c r="R2095" s="80"/>
      <c r="S2095" s="80"/>
      <c r="T2095" s="80"/>
      <c r="U2095" s="80"/>
      <c r="V2095" s="80"/>
      <c r="W2095" s="80"/>
      <c r="X2095" s="80"/>
      <c r="Y2095" s="80"/>
      <c r="Z2095" s="80"/>
      <c r="AA2095" s="80"/>
      <c r="AB2095" s="80"/>
      <c r="AC2095" s="80"/>
      <c r="AD2095" s="80"/>
      <c r="AE2095" s="80"/>
      <c r="AF2095" s="80"/>
      <c r="AG2095" s="80"/>
      <c r="AH2095" s="80"/>
      <c r="AI2095" s="80"/>
    </row>
    <row r="2096" spans="1:35" x14ac:dyDescent="0.2">
      <c r="A2096" s="80"/>
      <c r="B2096" s="80"/>
      <c r="C2096" s="80"/>
      <c r="D2096" s="80"/>
      <c r="E2096" s="80"/>
      <c r="F2096" s="80"/>
      <c r="G2096" s="80"/>
      <c r="H2096" s="80"/>
      <c r="I2096" s="80"/>
      <c r="J2096" s="80"/>
      <c r="K2096" s="80"/>
      <c r="L2096" s="2"/>
      <c r="M2096" s="2"/>
      <c r="N2096" s="2"/>
      <c r="O2096" s="2"/>
      <c r="P2096" s="2"/>
      <c r="Q2096" s="2"/>
      <c r="R2096" s="80"/>
      <c r="S2096" s="80"/>
      <c r="T2096" s="80"/>
      <c r="U2096" s="80"/>
      <c r="V2096" s="80"/>
      <c r="W2096" s="80"/>
      <c r="X2096" s="80"/>
      <c r="Y2096" s="80"/>
      <c r="Z2096" s="80"/>
      <c r="AA2096" s="80"/>
      <c r="AB2096" s="80"/>
      <c r="AC2096" s="80"/>
      <c r="AD2096" s="80"/>
      <c r="AE2096" s="80"/>
      <c r="AF2096" s="80"/>
      <c r="AG2096" s="80"/>
      <c r="AH2096" s="80"/>
      <c r="AI2096" s="80"/>
    </row>
    <row r="2097" spans="1:35" x14ac:dyDescent="0.2">
      <c r="A2097" s="80"/>
      <c r="B2097" s="80"/>
      <c r="C2097" s="80"/>
      <c r="D2097" s="80"/>
      <c r="E2097" s="80"/>
      <c r="F2097" s="80"/>
      <c r="G2097" s="80"/>
      <c r="H2097" s="80"/>
      <c r="I2097" s="80"/>
      <c r="J2097" s="80"/>
      <c r="K2097" s="80"/>
      <c r="L2097" s="2"/>
      <c r="M2097" s="2"/>
      <c r="N2097" s="2"/>
      <c r="O2097" s="2"/>
      <c r="P2097" s="2"/>
      <c r="Q2097" s="2"/>
      <c r="R2097" s="80"/>
      <c r="S2097" s="80"/>
      <c r="T2097" s="80"/>
      <c r="U2097" s="80"/>
      <c r="V2097" s="80"/>
      <c r="W2097" s="80"/>
      <c r="X2097" s="80"/>
      <c r="Y2097" s="80"/>
      <c r="Z2097" s="80"/>
      <c r="AA2097" s="80"/>
      <c r="AB2097" s="80"/>
      <c r="AC2097" s="80"/>
      <c r="AD2097" s="80"/>
      <c r="AE2097" s="80"/>
      <c r="AF2097" s="80"/>
      <c r="AG2097" s="80"/>
      <c r="AH2097" s="80"/>
      <c r="AI2097" s="80"/>
    </row>
    <row r="2098" spans="1:35" x14ac:dyDescent="0.2">
      <c r="A2098" s="80"/>
      <c r="B2098" s="80"/>
      <c r="C2098" s="80"/>
      <c r="D2098" s="80"/>
      <c r="E2098" s="80"/>
      <c r="F2098" s="80"/>
      <c r="G2098" s="80"/>
      <c r="H2098" s="80"/>
      <c r="I2098" s="80"/>
      <c r="J2098" s="80"/>
      <c r="K2098" s="80"/>
      <c r="L2098" s="2"/>
      <c r="M2098" s="2"/>
      <c r="N2098" s="2"/>
      <c r="O2098" s="2"/>
      <c r="P2098" s="2"/>
      <c r="Q2098" s="2"/>
      <c r="R2098" s="80"/>
      <c r="S2098" s="80"/>
      <c r="T2098" s="80"/>
      <c r="U2098" s="80"/>
      <c r="V2098" s="80"/>
      <c r="W2098" s="80"/>
      <c r="X2098" s="80"/>
      <c r="Y2098" s="80"/>
      <c r="Z2098" s="80"/>
      <c r="AA2098" s="80"/>
      <c r="AB2098" s="80"/>
      <c r="AC2098" s="80"/>
      <c r="AD2098" s="80"/>
      <c r="AE2098" s="80"/>
      <c r="AF2098" s="80"/>
      <c r="AG2098" s="80"/>
      <c r="AH2098" s="80"/>
      <c r="AI2098" s="80"/>
    </row>
    <row r="2099" spans="1:35" x14ac:dyDescent="0.2">
      <c r="A2099" s="80"/>
      <c r="B2099" s="80"/>
      <c r="C2099" s="80"/>
      <c r="D2099" s="80"/>
      <c r="E2099" s="80"/>
      <c r="F2099" s="80"/>
      <c r="G2099" s="80"/>
      <c r="H2099" s="80"/>
      <c r="I2099" s="80"/>
      <c r="J2099" s="80"/>
      <c r="K2099" s="80"/>
      <c r="L2099" s="2"/>
      <c r="M2099" s="2"/>
      <c r="N2099" s="2"/>
      <c r="O2099" s="2"/>
      <c r="P2099" s="2"/>
      <c r="Q2099" s="2"/>
      <c r="R2099" s="80"/>
      <c r="S2099" s="80"/>
      <c r="T2099" s="80"/>
      <c r="U2099" s="80"/>
      <c r="V2099" s="80"/>
      <c r="W2099" s="80"/>
      <c r="X2099" s="80"/>
      <c r="Y2099" s="80"/>
      <c r="Z2099" s="80"/>
      <c r="AA2099" s="80"/>
      <c r="AB2099" s="80"/>
      <c r="AC2099" s="80"/>
      <c r="AD2099" s="80"/>
      <c r="AE2099" s="80"/>
      <c r="AF2099" s="80"/>
      <c r="AG2099" s="80"/>
      <c r="AH2099" s="80"/>
      <c r="AI2099" s="80"/>
    </row>
    <row r="2100" spans="1:35" x14ac:dyDescent="0.2">
      <c r="A2100" s="80"/>
      <c r="B2100" s="80"/>
      <c r="C2100" s="80"/>
      <c r="D2100" s="80"/>
      <c r="E2100" s="80"/>
      <c r="F2100" s="80"/>
      <c r="G2100" s="80"/>
      <c r="H2100" s="80"/>
      <c r="I2100" s="80"/>
      <c r="J2100" s="80"/>
      <c r="K2100" s="80"/>
      <c r="L2100" s="2"/>
      <c r="M2100" s="2"/>
      <c r="N2100" s="2"/>
      <c r="O2100" s="2"/>
      <c r="P2100" s="2"/>
      <c r="Q2100" s="2"/>
      <c r="R2100" s="80"/>
      <c r="S2100" s="80"/>
      <c r="T2100" s="80"/>
      <c r="U2100" s="80"/>
      <c r="V2100" s="80"/>
      <c r="W2100" s="80"/>
      <c r="X2100" s="80"/>
      <c r="Y2100" s="80"/>
      <c r="Z2100" s="80"/>
      <c r="AA2100" s="80"/>
      <c r="AB2100" s="80"/>
      <c r="AC2100" s="80"/>
      <c r="AD2100" s="80"/>
      <c r="AE2100" s="80"/>
      <c r="AF2100" s="80"/>
      <c r="AG2100" s="80"/>
      <c r="AH2100" s="80"/>
      <c r="AI2100" s="80"/>
    </row>
    <row r="2101" spans="1:35" x14ac:dyDescent="0.2">
      <c r="A2101" s="80"/>
      <c r="B2101" s="80"/>
      <c r="C2101" s="80"/>
      <c r="D2101" s="80"/>
      <c r="E2101" s="80"/>
      <c r="F2101" s="80"/>
      <c r="G2101" s="80"/>
      <c r="H2101" s="80"/>
      <c r="I2101" s="80"/>
      <c r="J2101" s="80"/>
      <c r="K2101" s="80"/>
      <c r="L2101" s="2"/>
      <c r="M2101" s="2"/>
      <c r="N2101" s="2"/>
      <c r="O2101" s="2"/>
      <c r="P2101" s="2"/>
      <c r="Q2101" s="2"/>
      <c r="R2101" s="80"/>
      <c r="S2101" s="80"/>
      <c r="T2101" s="80"/>
      <c r="U2101" s="80"/>
      <c r="V2101" s="80"/>
      <c r="W2101" s="80"/>
      <c r="X2101" s="80"/>
      <c r="Y2101" s="80"/>
      <c r="Z2101" s="80"/>
      <c r="AA2101" s="80"/>
      <c r="AB2101" s="80"/>
      <c r="AC2101" s="80"/>
      <c r="AD2101" s="80"/>
      <c r="AE2101" s="80"/>
      <c r="AF2101" s="80"/>
      <c r="AG2101" s="80"/>
      <c r="AH2101" s="80"/>
      <c r="AI2101" s="80"/>
    </row>
    <row r="2102" spans="1:35" x14ac:dyDescent="0.2">
      <c r="A2102" s="80"/>
      <c r="B2102" s="80"/>
      <c r="C2102" s="80"/>
      <c r="D2102" s="80"/>
      <c r="E2102" s="80"/>
      <c r="F2102" s="80"/>
      <c r="G2102" s="80"/>
      <c r="H2102" s="80"/>
      <c r="I2102" s="80"/>
      <c r="J2102" s="80"/>
      <c r="K2102" s="80"/>
      <c r="L2102" s="2"/>
      <c r="M2102" s="2"/>
      <c r="N2102" s="2"/>
      <c r="O2102" s="2"/>
      <c r="P2102" s="2"/>
      <c r="Q2102" s="2"/>
      <c r="R2102" s="80"/>
      <c r="S2102" s="80"/>
      <c r="T2102" s="80"/>
      <c r="U2102" s="80"/>
      <c r="V2102" s="80"/>
      <c r="W2102" s="80"/>
      <c r="X2102" s="80"/>
      <c r="Y2102" s="80"/>
      <c r="Z2102" s="80"/>
      <c r="AA2102" s="80"/>
      <c r="AB2102" s="80"/>
      <c r="AC2102" s="80"/>
      <c r="AD2102" s="80"/>
      <c r="AE2102" s="80"/>
      <c r="AF2102" s="80"/>
      <c r="AG2102" s="80"/>
      <c r="AH2102" s="80"/>
      <c r="AI2102" s="80"/>
    </row>
    <row r="2103" spans="1:35" x14ac:dyDescent="0.2">
      <c r="A2103" s="80"/>
      <c r="B2103" s="80"/>
      <c r="C2103" s="80"/>
      <c r="D2103" s="80"/>
      <c r="E2103" s="80"/>
      <c r="F2103" s="80"/>
      <c r="G2103" s="80"/>
      <c r="H2103" s="80"/>
      <c r="I2103" s="80"/>
      <c r="J2103" s="80"/>
      <c r="K2103" s="80"/>
      <c r="L2103" s="2"/>
      <c r="M2103" s="2"/>
      <c r="N2103" s="2"/>
      <c r="O2103" s="2"/>
      <c r="P2103" s="2"/>
      <c r="Q2103" s="2"/>
      <c r="R2103" s="80"/>
      <c r="S2103" s="80"/>
      <c r="T2103" s="80"/>
      <c r="U2103" s="80"/>
      <c r="V2103" s="80"/>
      <c r="W2103" s="80"/>
      <c r="X2103" s="80"/>
      <c r="Y2103" s="80"/>
      <c r="Z2103" s="80"/>
      <c r="AA2103" s="80"/>
      <c r="AB2103" s="80"/>
      <c r="AC2103" s="80"/>
      <c r="AD2103" s="80"/>
      <c r="AE2103" s="80"/>
      <c r="AF2103" s="80"/>
      <c r="AG2103" s="80"/>
      <c r="AH2103" s="80"/>
      <c r="AI2103" s="80"/>
    </row>
    <row r="2104" spans="1:35" x14ac:dyDescent="0.2">
      <c r="A2104" s="80"/>
      <c r="B2104" s="80"/>
      <c r="C2104" s="80"/>
      <c r="D2104" s="80"/>
      <c r="E2104" s="80"/>
      <c r="F2104" s="80"/>
      <c r="G2104" s="80"/>
      <c r="H2104" s="80"/>
      <c r="I2104" s="80"/>
      <c r="J2104" s="80"/>
      <c r="K2104" s="80"/>
      <c r="L2104" s="2"/>
      <c r="M2104" s="2"/>
      <c r="N2104" s="2"/>
      <c r="O2104" s="2"/>
      <c r="P2104" s="2"/>
      <c r="Q2104" s="2"/>
      <c r="R2104" s="80"/>
      <c r="S2104" s="80"/>
      <c r="T2104" s="80"/>
      <c r="U2104" s="80"/>
      <c r="V2104" s="80"/>
      <c r="W2104" s="80"/>
      <c r="X2104" s="80"/>
      <c r="Y2104" s="80"/>
      <c r="Z2104" s="80"/>
      <c r="AA2104" s="80"/>
      <c r="AB2104" s="80"/>
      <c r="AC2104" s="80"/>
      <c r="AD2104" s="80"/>
      <c r="AE2104" s="80"/>
      <c r="AF2104" s="80"/>
      <c r="AG2104" s="80"/>
      <c r="AH2104" s="80"/>
      <c r="AI2104" s="80"/>
    </row>
    <row r="2105" spans="1:35" x14ac:dyDescent="0.2">
      <c r="A2105" s="80"/>
      <c r="B2105" s="80"/>
      <c r="C2105" s="80"/>
      <c r="D2105" s="80"/>
      <c r="E2105" s="80"/>
      <c r="F2105" s="80"/>
      <c r="G2105" s="80"/>
      <c r="H2105" s="80"/>
      <c r="I2105" s="80"/>
      <c r="J2105" s="80"/>
      <c r="K2105" s="80"/>
      <c r="L2105" s="2"/>
      <c r="M2105" s="2"/>
      <c r="N2105" s="2"/>
      <c r="O2105" s="2"/>
      <c r="P2105" s="2"/>
      <c r="Q2105" s="2"/>
      <c r="R2105" s="80"/>
      <c r="S2105" s="80"/>
      <c r="T2105" s="80"/>
      <c r="U2105" s="80"/>
      <c r="V2105" s="80"/>
      <c r="W2105" s="80"/>
      <c r="X2105" s="80"/>
      <c r="Y2105" s="80"/>
      <c r="Z2105" s="80"/>
      <c r="AA2105" s="80"/>
      <c r="AB2105" s="80"/>
      <c r="AC2105" s="80"/>
      <c r="AD2105" s="80"/>
      <c r="AE2105" s="80"/>
      <c r="AF2105" s="80"/>
      <c r="AG2105" s="80"/>
      <c r="AH2105" s="80"/>
      <c r="AI2105" s="80"/>
    </row>
    <row r="2106" spans="1:35" x14ac:dyDescent="0.2">
      <c r="A2106" s="80"/>
      <c r="B2106" s="80"/>
      <c r="C2106" s="80"/>
      <c r="D2106" s="80"/>
      <c r="E2106" s="80"/>
      <c r="F2106" s="80"/>
      <c r="G2106" s="80"/>
      <c r="H2106" s="80"/>
      <c r="I2106" s="80"/>
      <c r="J2106" s="80"/>
      <c r="K2106" s="80"/>
      <c r="L2106" s="2"/>
      <c r="M2106" s="2"/>
      <c r="N2106" s="2"/>
      <c r="O2106" s="2"/>
      <c r="P2106" s="2"/>
      <c r="Q2106" s="2"/>
      <c r="R2106" s="80"/>
      <c r="S2106" s="80"/>
      <c r="T2106" s="80"/>
      <c r="U2106" s="80"/>
      <c r="V2106" s="80"/>
      <c r="W2106" s="80"/>
      <c r="X2106" s="80"/>
      <c r="Y2106" s="80"/>
      <c r="Z2106" s="80"/>
      <c r="AA2106" s="80"/>
      <c r="AB2106" s="80"/>
      <c r="AC2106" s="80"/>
      <c r="AD2106" s="80"/>
      <c r="AE2106" s="80"/>
      <c r="AF2106" s="80"/>
      <c r="AG2106" s="80"/>
      <c r="AH2106" s="80"/>
      <c r="AI2106" s="80"/>
    </row>
    <row r="2107" spans="1:35" x14ac:dyDescent="0.2">
      <c r="A2107" s="80"/>
      <c r="B2107" s="80"/>
      <c r="C2107" s="80"/>
      <c r="D2107" s="80"/>
      <c r="E2107" s="80"/>
      <c r="F2107" s="80"/>
      <c r="G2107" s="80"/>
      <c r="H2107" s="80"/>
      <c r="I2107" s="80"/>
      <c r="J2107" s="80"/>
      <c r="K2107" s="80"/>
      <c r="L2107" s="2"/>
      <c r="M2107" s="2"/>
      <c r="N2107" s="2"/>
      <c r="O2107" s="2"/>
      <c r="P2107" s="2"/>
      <c r="Q2107" s="2"/>
      <c r="R2107" s="80"/>
      <c r="S2107" s="80"/>
      <c r="T2107" s="80"/>
      <c r="U2107" s="80"/>
      <c r="V2107" s="80"/>
      <c r="W2107" s="80"/>
      <c r="X2107" s="80"/>
      <c r="Y2107" s="80"/>
      <c r="Z2107" s="80"/>
      <c r="AA2107" s="80"/>
      <c r="AB2107" s="80"/>
      <c r="AC2107" s="80"/>
      <c r="AD2107" s="80"/>
      <c r="AE2107" s="80"/>
      <c r="AF2107" s="80"/>
      <c r="AG2107" s="80"/>
      <c r="AH2107" s="80"/>
      <c r="AI2107" s="80"/>
    </row>
    <row r="2108" spans="1:35" x14ac:dyDescent="0.2">
      <c r="A2108" s="80"/>
      <c r="B2108" s="80"/>
      <c r="C2108" s="80"/>
      <c r="D2108" s="80"/>
      <c r="E2108" s="80"/>
      <c r="F2108" s="80"/>
      <c r="G2108" s="80"/>
      <c r="H2108" s="80"/>
      <c r="I2108" s="80"/>
      <c r="J2108" s="80"/>
      <c r="K2108" s="80"/>
      <c r="L2108" s="2"/>
      <c r="M2108" s="2"/>
      <c r="N2108" s="2"/>
      <c r="O2108" s="2"/>
      <c r="P2108" s="2"/>
      <c r="Q2108" s="2"/>
      <c r="R2108" s="80"/>
      <c r="S2108" s="80"/>
      <c r="T2108" s="80"/>
      <c r="U2108" s="80"/>
      <c r="V2108" s="80"/>
      <c r="W2108" s="80"/>
      <c r="X2108" s="80"/>
      <c r="Y2108" s="80"/>
      <c r="Z2108" s="80"/>
      <c r="AA2108" s="80"/>
      <c r="AB2108" s="80"/>
      <c r="AC2108" s="80"/>
      <c r="AD2108" s="80"/>
      <c r="AE2108" s="80"/>
      <c r="AF2108" s="80"/>
      <c r="AG2108" s="80"/>
      <c r="AH2108" s="80"/>
      <c r="AI2108" s="80"/>
    </row>
    <row r="2109" spans="1:35" x14ac:dyDescent="0.2">
      <c r="A2109" s="80"/>
      <c r="B2109" s="80"/>
      <c r="C2109" s="80"/>
      <c r="D2109" s="80"/>
      <c r="E2109" s="80"/>
      <c r="F2109" s="80"/>
      <c r="G2109" s="80"/>
      <c r="H2109" s="80"/>
      <c r="I2109" s="80"/>
      <c r="J2109" s="80"/>
      <c r="K2109" s="80"/>
      <c r="L2109" s="2"/>
      <c r="M2109" s="2"/>
      <c r="N2109" s="2"/>
      <c r="O2109" s="2"/>
      <c r="P2109" s="2"/>
      <c r="Q2109" s="2"/>
      <c r="R2109" s="80"/>
      <c r="S2109" s="80"/>
      <c r="T2109" s="80"/>
      <c r="U2109" s="80"/>
      <c r="V2109" s="80"/>
      <c r="W2109" s="80"/>
      <c r="X2109" s="80"/>
      <c r="Y2109" s="80"/>
      <c r="Z2109" s="80"/>
      <c r="AA2109" s="80"/>
      <c r="AB2109" s="80"/>
      <c r="AC2109" s="80"/>
      <c r="AD2109" s="80"/>
      <c r="AE2109" s="80"/>
      <c r="AF2109" s="80"/>
      <c r="AG2109" s="80"/>
      <c r="AH2109" s="80"/>
      <c r="AI2109" s="80"/>
    </row>
    <row r="2110" spans="1:35" x14ac:dyDescent="0.2">
      <c r="A2110" s="80"/>
      <c r="B2110" s="80"/>
      <c r="C2110" s="80"/>
      <c r="D2110" s="80"/>
      <c r="E2110" s="80"/>
      <c r="F2110" s="80"/>
      <c r="G2110" s="80"/>
      <c r="H2110" s="80"/>
      <c r="I2110" s="80"/>
      <c r="J2110" s="80"/>
      <c r="K2110" s="80"/>
      <c r="L2110" s="2"/>
      <c r="M2110" s="2"/>
      <c r="N2110" s="2"/>
      <c r="O2110" s="2"/>
      <c r="P2110" s="2"/>
      <c r="Q2110" s="2"/>
      <c r="R2110" s="80"/>
      <c r="S2110" s="80"/>
      <c r="T2110" s="80"/>
      <c r="U2110" s="80"/>
      <c r="V2110" s="80"/>
      <c r="W2110" s="80"/>
      <c r="X2110" s="80"/>
      <c r="Y2110" s="80"/>
      <c r="Z2110" s="80"/>
      <c r="AA2110" s="80"/>
      <c r="AB2110" s="80"/>
      <c r="AC2110" s="80"/>
      <c r="AD2110" s="80"/>
      <c r="AE2110" s="80"/>
      <c r="AF2110" s="80"/>
      <c r="AG2110" s="80"/>
      <c r="AH2110" s="80"/>
      <c r="AI2110" s="80"/>
    </row>
    <row r="2111" spans="1:35" x14ac:dyDescent="0.2">
      <c r="A2111" s="80"/>
      <c r="B2111" s="80"/>
      <c r="C2111" s="80"/>
      <c r="D2111" s="80"/>
      <c r="E2111" s="80"/>
      <c r="F2111" s="80"/>
      <c r="G2111" s="80"/>
      <c r="H2111" s="80"/>
      <c r="I2111" s="80"/>
      <c r="J2111" s="80"/>
      <c r="K2111" s="80"/>
      <c r="L2111" s="2"/>
      <c r="M2111" s="2"/>
      <c r="N2111" s="2"/>
      <c r="O2111" s="2"/>
      <c r="P2111" s="2"/>
      <c r="Q2111" s="2"/>
      <c r="R2111" s="80"/>
      <c r="S2111" s="80"/>
      <c r="T2111" s="80"/>
      <c r="U2111" s="80"/>
      <c r="V2111" s="80"/>
      <c r="W2111" s="80"/>
      <c r="X2111" s="80"/>
      <c r="Y2111" s="80"/>
      <c r="Z2111" s="80"/>
      <c r="AA2111" s="80"/>
      <c r="AB2111" s="80"/>
      <c r="AC2111" s="80"/>
      <c r="AD2111" s="80"/>
      <c r="AE2111" s="80"/>
      <c r="AF2111" s="80"/>
      <c r="AG2111" s="80"/>
      <c r="AH2111" s="80"/>
      <c r="AI2111" s="80"/>
    </row>
    <row r="2112" spans="1:35" x14ac:dyDescent="0.2">
      <c r="A2112" s="80"/>
      <c r="B2112" s="80"/>
      <c r="C2112" s="80"/>
      <c r="D2112" s="80"/>
      <c r="E2112" s="80"/>
      <c r="F2112" s="80"/>
      <c r="G2112" s="80"/>
      <c r="H2112" s="80"/>
      <c r="I2112" s="80"/>
      <c r="J2112" s="80"/>
      <c r="K2112" s="80"/>
      <c r="L2112" s="2"/>
      <c r="M2112" s="2"/>
      <c r="N2112" s="2"/>
      <c r="O2112" s="2"/>
      <c r="P2112" s="2"/>
      <c r="Q2112" s="2"/>
      <c r="R2112" s="80"/>
      <c r="S2112" s="80"/>
      <c r="T2112" s="80"/>
      <c r="U2112" s="80"/>
      <c r="V2112" s="80"/>
      <c r="W2112" s="80"/>
      <c r="X2112" s="80"/>
      <c r="Y2112" s="80"/>
      <c r="Z2112" s="80"/>
      <c r="AA2112" s="80"/>
      <c r="AB2112" s="80"/>
      <c r="AC2112" s="80"/>
      <c r="AD2112" s="80"/>
      <c r="AE2112" s="80"/>
      <c r="AF2112" s="80"/>
      <c r="AG2112" s="80"/>
      <c r="AH2112" s="80"/>
      <c r="AI2112" s="80"/>
    </row>
    <row r="2113" spans="1:35" x14ac:dyDescent="0.2">
      <c r="A2113" s="80"/>
      <c r="B2113" s="80"/>
      <c r="C2113" s="80"/>
      <c r="D2113" s="80"/>
      <c r="E2113" s="80"/>
      <c r="F2113" s="80"/>
      <c r="G2113" s="80"/>
      <c r="H2113" s="80"/>
      <c r="I2113" s="80"/>
      <c r="J2113" s="80"/>
      <c r="K2113" s="80"/>
      <c r="L2113" s="2"/>
      <c r="M2113" s="2"/>
      <c r="N2113" s="2"/>
      <c r="O2113" s="2"/>
      <c r="P2113" s="2"/>
      <c r="Q2113" s="2"/>
      <c r="R2113" s="80"/>
      <c r="S2113" s="80"/>
      <c r="T2113" s="80"/>
      <c r="U2113" s="80"/>
      <c r="V2113" s="80"/>
      <c r="W2113" s="80"/>
      <c r="X2113" s="80"/>
      <c r="Y2113" s="80"/>
      <c r="Z2113" s="80"/>
      <c r="AA2113" s="80"/>
      <c r="AB2113" s="80"/>
      <c r="AC2113" s="80"/>
      <c r="AD2113" s="80"/>
      <c r="AE2113" s="80"/>
      <c r="AF2113" s="80"/>
      <c r="AG2113" s="80"/>
      <c r="AH2113" s="80"/>
      <c r="AI2113" s="80"/>
    </row>
    <row r="2114" spans="1:35" x14ac:dyDescent="0.2">
      <c r="A2114" s="80"/>
      <c r="B2114" s="80"/>
      <c r="C2114" s="80"/>
      <c r="D2114" s="80"/>
      <c r="E2114" s="80"/>
      <c r="F2114" s="80"/>
      <c r="G2114" s="80"/>
      <c r="H2114" s="80"/>
      <c r="I2114" s="80"/>
      <c r="J2114" s="80"/>
      <c r="K2114" s="80"/>
      <c r="L2114" s="2"/>
      <c r="M2114" s="2"/>
      <c r="N2114" s="2"/>
      <c r="O2114" s="2"/>
      <c r="P2114" s="2"/>
      <c r="Q2114" s="2"/>
      <c r="R2114" s="80"/>
      <c r="S2114" s="80"/>
      <c r="T2114" s="80"/>
      <c r="U2114" s="80"/>
      <c r="V2114" s="80"/>
      <c r="W2114" s="80"/>
      <c r="X2114" s="80"/>
      <c r="Y2114" s="80"/>
      <c r="Z2114" s="80"/>
      <c r="AA2114" s="80"/>
      <c r="AB2114" s="80"/>
      <c r="AC2114" s="80"/>
      <c r="AD2114" s="80"/>
      <c r="AE2114" s="80"/>
      <c r="AF2114" s="80"/>
      <c r="AG2114" s="80"/>
      <c r="AH2114" s="80"/>
      <c r="AI2114" s="80"/>
    </row>
    <row r="2115" spans="1:35" x14ac:dyDescent="0.2">
      <c r="A2115" s="80"/>
      <c r="B2115" s="80"/>
      <c r="C2115" s="80"/>
      <c r="D2115" s="80"/>
      <c r="E2115" s="80"/>
      <c r="F2115" s="80"/>
      <c r="G2115" s="80"/>
      <c r="H2115" s="80"/>
      <c r="I2115" s="80"/>
      <c r="J2115" s="80"/>
      <c r="K2115" s="80"/>
      <c r="L2115" s="2"/>
      <c r="M2115" s="2"/>
      <c r="N2115" s="2"/>
      <c r="O2115" s="2"/>
      <c r="P2115" s="2"/>
      <c r="Q2115" s="2"/>
      <c r="R2115" s="80"/>
      <c r="S2115" s="80"/>
      <c r="T2115" s="80"/>
      <c r="U2115" s="80"/>
      <c r="V2115" s="80"/>
      <c r="W2115" s="80"/>
      <c r="X2115" s="80"/>
      <c r="Y2115" s="80"/>
      <c r="Z2115" s="80"/>
      <c r="AA2115" s="80"/>
      <c r="AB2115" s="80"/>
      <c r="AC2115" s="80"/>
      <c r="AD2115" s="80"/>
      <c r="AE2115" s="80"/>
      <c r="AF2115" s="80"/>
      <c r="AG2115" s="80"/>
      <c r="AH2115" s="80"/>
      <c r="AI2115" s="80"/>
    </row>
    <row r="2116" spans="1:35" x14ac:dyDescent="0.2">
      <c r="A2116" s="80"/>
      <c r="B2116" s="80"/>
      <c r="C2116" s="80"/>
      <c r="D2116" s="80"/>
      <c r="E2116" s="80"/>
      <c r="F2116" s="80"/>
      <c r="G2116" s="80"/>
      <c r="H2116" s="80"/>
      <c r="I2116" s="80"/>
      <c r="J2116" s="80"/>
      <c r="K2116" s="80"/>
      <c r="L2116" s="2"/>
      <c r="M2116" s="2"/>
      <c r="N2116" s="2"/>
      <c r="O2116" s="2"/>
      <c r="P2116" s="2"/>
      <c r="Q2116" s="2"/>
      <c r="R2116" s="80"/>
      <c r="S2116" s="80"/>
      <c r="T2116" s="80"/>
      <c r="U2116" s="80"/>
      <c r="V2116" s="80"/>
      <c r="W2116" s="80"/>
      <c r="X2116" s="80"/>
      <c r="Y2116" s="80"/>
      <c r="Z2116" s="80"/>
      <c r="AA2116" s="80"/>
      <c r="AB2116" s="80"/>
      <c r="AC2116" s="80"/>
      <c r="AD2116" s="80"/>
      <c r="AE2116" s="80"/>
      <c r="AF2116" s="80"/>
      <c r="AG2116" s="80"/>
      <c r="AH2116" s="80"/>
      <c r="AI2116" s="80"/>
    </row>
    <row r="2117" spans="1:35" x14ac:dyDescent="0.2">
      <c r="A2117" s="80"/>
      <c r="B2117" s="80"/>
      <c r="C2117" s="80"/>
      <c r="D2117" s="80"/>
      <c r="E2117" s="80"/>
      <c r="F2117" s="80"/>
      <c r="G2117" s="80"/>
      <c r="H2117" s="80"/>
      <c r="I2117" s="80"/>
      <c r="J2117" s="80"/>
      <c r="K2117" s="80"/>
      <c r="L2117" s="2"/>
      <c r="M2117" s="2"/>
      <c r="N2117" s="2"/>
      <c r="O2117" s="2"/>
      <c r="P2117" s="2"/>
      <c r="Q2117" s="2"/>
      <c r="R2117" s="80"/>
      <c r="S2117" s="80"/>
      <c r="T2117" s="80"/>
      <c r="U2117" s="80"/>
      <c r="V2117" s="80"/>
      <c r="W2117" s="80"/>
      <c r="X2117" s="80"/>
      <c r="Y2117" s="80"/>
      <c r="Z2117" s="80"/>
      <c r="AA2117" s="80"/>
      <c r="AB2117" s="80"/>
      <c r="AC2117" s="80"/>
      <c r="AD2117" s="80"/>
      <c r="AE2117" s="80"/>
      <c r="AF2117" s="80"/>
      <c r="AG2117" s="80"/>
      <c r="AH2117" s="80"/>
      <c r="AI2117" s="80"/>
    </row>
    <row r="2118" spans="1:35" x14ac:dyDescent="0.2">
      <c r="A2118" s="80"/>
      <c r="B2118" s="80"/>
      <c r="C2118" s="80"/>
      <c r="D2118" s="80"/>
      <c r="E2118" s="80"/>
      <c r="F2118" s="80"/>
      <c r="G2118" s="80"/>
      <c r="H2118" s="80"/>
      <c r="I2118" s="80"/>
      <c r="J2118" s="80"/>
      <c r="K2118" s="80"/>
      <c r="L2118" s="2"/>
      <c r="M2118" s="2"/>
      <c r="N2118" s="2"/>
      <c r="O2118" s="2"/>
      <c r="P2118" s="2"/>
      <c r="Q2118" s="2"/>
      <c r="R2118" s="80"/>
      <c r="S2118" s="80"/>
      <c r="T2118" s="80"/>
      <c r="U2118" s="80"/>
      <c r="V2118" s="80"/>
      <c r="W2118" s="80"/>
      <c r="X2118" s="80"/>
      <c r="Y2118" s="80"/>
      <c r="Z2118" s="80"/>
      <c r="AA2118" s="80"/>
      <c r="AB2118" s="80"/>
      <c r="AC2118" s="80"/>
      <c r="AD2118" s="80"/>
      <c r="AE2118" s="80"/>
      <c r="AF2118" s="80"/>
      <c r="AG2118" s="80"/>
      <c r="AH2118" s="80"/>
      <c r="AI2118" s="80"/>
    </row>
    <row r="2119" spans="1:35" x14ac:dyDescent="0.2">
      <c r="A2119" s="80"/>
      <c r="B2119" s="80"/>
      <c r="C2119" s="80"/>
      <c r="D2119" s="80"/>
      <c r="E2119" s="80"/>
      <c r="F2119" s="80"/>
      <c r="G2119" s="80"/>
      <c r="H2119" s="80"/>
      <c r="I2119" s="80"/>
      <c r="J2119" s="80"/>
      <c r="K2119" s="80"/>
      <c r="L2119" s="2"/>
      <c r="M2119" s="2"/>
      <c r="N2119" s="2"/>
      <c r="O2119" s="2"/>
      <c r="P2119" s="2"/>
      <c r="Q2119" s="2"/>
      <c r="R2119" s="80"/>
      <c r="S2119" s="80"/>
      <c r="T2119" s="80"/>
      <c r="U2119" s="80"/>
      <c r="V2119" s="80"/>
      <c r="W2119" s="80"/>
      <c r="X2119" s="80"/>
      <c r="Y2119" s="80"/>
      <c r="Z2119" s="80"/>
      <c r="AA2119" s="80"/>
      <c r="AB2119" s="80"/>
      <c r="AC2119" s="80"/>
      <c r="AD2119" s="80"/>
      <c r="AE2119" s="80"/>
      <c r="AF2119" s="80"/>
      <c r="AG2119" s="80"/>
      <c r="AH2119" s="80"/>
      <c r="AI2119" s="80"/>
    </row>
    <row r="2120" spans="1:35" x14ac:dyDescent="0.2">
      <c r="A2120" s="80"/>
      <c r="B2120" s="80"/>
      <c r="C2120" s="80"/>
      <c r="D2120" s="80"/>
      <c r="E2120" s="80"/>
      <c r="F2120" s="80"/>
      <c r="G2120" s="80"/>
      <c r="H2120" s="80"/>
      <c r="I2120" s="80"/>
      <c r="J2120" s="80"/>
      <c r="K2120" s="80"/>
      <c r="L2120" s="2"/>
      <c r="M2120" s="2"/>
      <c r="N2120" s="2"/>
      <c r="O2120" s="2"/>
      <c r="P2120" s="2"/>
      <c r="Q2120" s="2"/>
      <c r="R2120" s="80"/>
      <c r="S2120" s="80"/>
      <c r="T2120" s="80"/>
      <c r="U2120" s="80"/>
      <c r="V2120" s="80"/>
      <c r="W2120" s="80"/>
      <c r="X2120" s="80"/>
      <c r="Y2120" s="80"/>
      <c r="Z2120" s="80"/>
      <c r="AA2120" s="80"/>
      <c r="AB2120" s="80"/>
      <c r="AC2120" s="80"/>
      <c r="AD2120" s="80"/>
      <c r="AE2120" s="80"/>
      <c r="AF2120" s="80"/>
      <c r="AG2120" s="80"/>
      <c r="AH2120" s="80"/>
      <c r="AI2120" s="80"/>
    </row>
    <row r="2121" spans="1:35" x14ac:dyDescent="0.2">
      <c r="A2121" s="80"/>
      <c r="B2121" s="80"/>
      <c r="C2121" s="80"/>
      <c r="D2121" s="80"/>
      <c r="E2121" s="80"/>
      <c r="F2121" s="80"/>
      <c r="G2121" s="80"/>
      <c r="H2121" s="80"/>
      <c r="I2121" s="80"/>
      <c r="J2121" s="80"/>
      <c r="K2121" s="80"/>
      <c r="L2121" s="2"/>
      <c r="M2121" s="2"/>
      <c r="N2121" s="2"/>
      <c r="O2121" s="2"/>
      <c r="P2121" s="2"/>
      <c r="Q2121" s="2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E2121" s="80"/>
      <c r="AF2121" s="80"/>
      <c r="AG2121" s="80"/>
      <c r="AH2121" s="80"/>
      <c r="AI2121" s="80"/>
    </row>
    <row r="2122" spans="1:35" x14ac:dyDescent="0.2">
      <c r="A2122" s="80"/>
      <c r="B2122" s="80"/>
      <c r="C2122" s="80"/>
      <c r="D2122" s="80"/>
      <c r="E2122" s="80"/>
      <c r="F2122" s="80"/>
      <c r="G2122" s="80"/>
      <c r="H2122" s="80"/>
      <c r="I2122" s="80"/>
      <c r="J2122" s="80"/>
      <c r="K2122" s="80"/>
      <c r="L2122" s="2"/>
      <c r="M2122" s="2"/>
      <c r="N2122" s="2"/>
      <c r="O2122" s="2"/>
      <c r="P2122" s="2"/>
      <c r="Q2122" s="2"/>
      <c r="R2122" s="80"/>
      <c r="S2122" s="80"/>
      <c r="T2122" s="80"/>
      <c r="U2122" s="80"/>
      <c r="V2122" s="80"/>
      <c r="W2122" s="80"/>
      <c r="X2122" s="80"/>
      <c r="Y2122" s="80"/>
      <c r="Z2122" s="80"/>
      <c r="AA2122" s="80"/>
      <c r="AB2122" s="80"/>
      <c r="AC2122" s="80"/>
      <c r="AD2122" s="80"/>
      <c r="AE2122" s="80"/>
      <c r="AF2122" s="80"/>
      <c r="AG2122" s="80"/>
      <c r="AH2122" s="80"/>
      <c r="AI2122" s="80"/>
    </row>
    <row r="2123" spans="1:35" x14ac:dyDescent="0.2">
      <c r="A2123" s="80"/>
      <c r="B2123" s="80"/>
      <c r="C2123" s="80"/>
      <c r="D2123" s="80"/>
      <c r="E2123" s="80"/>
      <c r="F2123" s="80"/>
      <c r="G2123" s="80"/>
      <c r="H2123" s="80"/>
      <c r="I2123" s="80"/>
      <c r="J2123" s="80"/>
      <c r="K2123" s="80"/>
      <c r="L2123" s="2"/>
      <c r="M2123" s="2"/>
      <c r="N2123" s="2"/>
      <c r="O2123" s="2"/>
      <c r="P2123" s="2"/>
      <c r="Q2123" s="2"/>
      <c r="R2123" s="80"/>
      <c r="S2123" s="80"/>
      <c r="T2123" s="80"/>
      <c r="U2123" s="80"/>
      <c r="V2123" s="80"/>
      <c r="W2123" s="80"/>
      <c r="X2123" s="80"/>
      <c r="Y2123" s="80"/>
      <c r="Z2123" s="80"/>
      <c r="AA2123" s="80"/>
      <c r="AB2123" s="80"/>
      <c r="AC2123" s="80"/>
      <c r="AD2123" s="80"/>
      <c r="AE2123" s="80"/>
      <c r="AF2123" s="80"/>
      <c r="AG2123" s="80"/>
      <c r="AH2123" s="80"/>
      <c r="AI2123" s="80"/>
    </row>
    <row r="2124" spans="1:35" x14ac:dyDescent="0.2">
      <c r="A2124" s="80"/>
      <c r="B2124" s="80"/>
      <c r="C2124" s="80"/>
      <c r="D2124" s="80"/>
      <c r="E2124" s="80"/>
      <c r="F2124" s="80"/>
      <c r="G2124" s="80"/>
      <c r="H2124" s="80"/>
      <c r="I2124" s="80"/>
      <c r="J2124" s="80"/>
      <c r="K2124" s="80"/>
      <c r="L2124" s="2"/>
      <c r="M2124" s="2"/>
      <c r="N2124" s="2"/>
      <c r="O2124" s="2"/>
      <c r="P2124" s="2"/>
      <c r="Q2124" s="2"/>
      <c r="R2124" s="80"/>
      <c r="S2124" s="80"/>
      <c r="T2124" s="80"/>
      <c r="U2124" s="80"/>
      <c r="V2124" s="80"/>
      <c r="W2124" s="80"/>
      <c r="X2124" s="80"/>
      <c r="Y2124" s="80"/>
      <c r="Z2124" s="80"/>
      <c r="AA2124" s="80"/>
      <c r="AB2124" s="80"/>
      <c r="AC2124" s="80"/>
      <c r="AD2124" s="80"/>
      <c r="AE2124" s="80"/>
      <c r="AF2124" s="80"/>
      <c r="AG2124" s="80"/>
      <c r="AH2124" s="80"/>
      <c r="AI2124" s="80"/>
    </row>
    <row r="2125" spans="1:35" x14ac:dyDescent="0.2">
      <c r="A2125" s="80"/>
      <c r="B2125" s="80"/>
      <c r="C2125" s="80"/>
      <c r="D2125" s="80"/>
      <c r="E2125" s="80"/>
      <c r="F2125" s="80"/>
      <c r="G2125" s="80"/>
      <c r="H2125" s="80"/>
      <c r="I2125" s="80"/>
      <c r="J2125" s="80"/>
      <c r="K2125" s="80"/>
      <c r="L2125" s="2"/>
      <c r="M2125" s="2"/>
      <c r="N2125" s="2"/>
      <c r="O2125" s="2"/>
      <c r="P2125" s="2"/>
      <c r="Q2125" s="2"/>
      <c r="R2125" s="80"/>
      <c r="S2125" s="80"/>
      <c r="T2125" s="80"/>
      <c r="U2125" s="80"/>
      <c r="V2125" s="80"/>
      <c r="W2125" s="80"/>
      <c r="X2125" s="80"/>
      <c r="Y2125" s="80"/>
      <c r="Z2125" s="80"/>
      <c r="AA2125" s="80"/>
      <c r="AB2125" s="80"/>
      <c r="AC2125" s="80"/>
      <c r="AD2125" s="80"/>
      <c r="AE2125" s="80"/>
      <c r="AF2125" s="80"/>
      <c r="AG2125" s="80"/>
      <c r="AH2125" s="80"/>
      <c r="AI2125" s="80"/>
    </row>
    <row r="2126" spans="1:35" x14ac:dyDescent="0.2">
      <c r="A2126" s="80"/>
      <c r="B2126" s="80"/>
      <c r="C2126" s="80"/>
      <c r="D2126" s="80"/>
      <c r="E2126" s="80"/>
      <c r="F2126" s="80"/>
      <c r="G2126" s="80"/>
      <c r="H2126" s="80"/>
      <c r="I2126" s="80"/>
      <c r="J2126" s="80"/>
      <c r="K2126" s="80"/>
      <c r="L2126" s="2"/>
      <c r="M2126" s="2"/>
      <c r="N2126" s="2"/>
      <c r="O2126" s="2"/>
      <c r="P2126" s="2"/>
      <c r="Q2126" s="2"/>
      <c r="R2126" s="80"/>
      <c r="S2126" s="80"/>
      <c r="T2126" s="80"/>
      <c r="U2126" s="80"/>
      <c r="V2126" s="80"/>
      <c r="W2126" s="80"/>
      <c r="X2126" s="80"/>
      <c r="Y2126" s="80"/>
      <c r="Z2126" s="80"/>
      <c r="AA2126" s="80"/>
      <c r="AB2126" s="80"/>
      <c r="AC2126" s="80"/>
      <c r="AD2126" s="80"/>
      <c r="AE2126" s="80"/>
      <c r="AF2126" s="80"/>
      <c r="AG2126" s="80"/>
      <c r="AH2126" s="80"/>
      <c r="AI2126" s="80"/>
    </row>
    <row r="2127" spans="1:35" x14ac:dyDescent="0.2">
      <c r="A2127" s="80"/>
      <c r="B2127" s="80"/>
      <c r="C2127" s="80"/>
      <c r="D2127" s="80"/>
      <c r="E2127" s="80"/>
      <c r="F2127" s="80"/>
      <c r="G2127" s="80"/>
      <c r="H2127" s="80"/>
      <c r="I2127" s="80"/>
      <c r="J2127" s="80"/>
      <c r="K2127" s="80"/>
      <c r="L2127" s="2"/>
      <c r="M2127" s="2"/>
      <c r="N2127" s="2"/>
      <c r="O2127" s="2"/>
      <c r="P2127" s="2"/>
      <c r="Q2127" s="2"/>
      <c r="R2127" s="80"/>
      <c r="S2127" s="80"/>
      <c r="T2127" s="80"/>
      <c r="U2127" s="80"/>
      <c r="V2127" s="80"/>
      <c r="W2127" s="80"/>
      <c r="X2127" s="80"/>
      <c r="Y2127" s="80"/>
      <c r="Z2127" s="80"/>
      <c r="AA2127" s="80"/>
      <c r="AB2127" s="80"/>
      <c r="AC2127" s="80"/>
      <c r="AD2127" s="80"/>
      <c r="AE2127" s="80"/>
      <c r="AF2127" s="80"/>
      <c r="AG2127" s="80"/>
      <c r="AH2127" s="80"/>
      <c r="AI2127" s="80"/>
    </row>
    <row r="2128" spans="1:35" x14ac:dyDescent="0.2">
      <c r="A2128" s="80"/>
      <c r="B2128" s="80"/>
      <c r="C2128" s="80"/>
      <c r="D2128" s="80"/>
      <c r="E2128" s="80"/>
      <c r="F2128" s="80"/>
      <c r="G2128" s="80"/>
      <c r="H2128" s="80"/>
      <c r="I2128" s="80"/>
      <c r="J2128" s="80"/>
      <c r="K2128" s="80"/>
      <c r="L2128" s="2"/>
      <c r="M2128" s="2"/>
      <c r="N2128" s="2"/>
      <c r="O2128" s="2"/>
      <c r="P2128" s="2"/>
      <c r="Q2128" s="2"/>
      <c r="R2128" s="80"/>
      <c r="S2128" s="80"/>
      <c r="T2128" s="80"/>
      <c r="U2128" s="80"/>
      <c r="V2128" s="80"/>
      <c r="W2128" s="80"/>
      <c r="X2128" s="80"/>
      <c r="Y2128" s="80"/>
      <c r="Z2128" s="80"/>
      <c r="AA2128" s="80"/>
      <c r="AB2128" s="80"/>
      <c r="AC2128" s="80"/>
      <c r="AD2128" s="80"/>
      <c r="AE2128" s="80"/>
      <c r="AF2128" s="80"/>
      <c r="AG2128" s="80"/>
      <c r="AH2128" s="80"/>
      <c r="AI2128" s="80"/>
    </row>
    <row r="2129" spans="1:35" x14ac:dyDescent="0.2">
      <c r="A2129" s="80"/>
      <c r="B2129" s="80"/>
      <c r="C2129" s="80"/>
      <c r="D2129" s="80"/>
      <c r="E2129" s="80"/>
      <c r="F2129" s="80"/>
      <c r="G2129" s="80"/>
      <c r="H2129" s="80"/>
      <c r="I2129" s="80"/>
      <c r="J2129" s="80"/>
      <c r="K2129" s="80"/>
      <c r="L2129" s="2"/>
      <c r="M2129" s="2"/>
      <c r="N2129" s="2"/>
      <c r="O2129" s="2"/>
      <c r="P2129" s="2"/>
      <c r="Q2129" s="2"/>
      <c r="R2129" s="80"/>
      <c r="S2129" s="80"/>
      <c r="T2129" s="80"/>
      <c r="U2129" s="80"/>
      <c r="V2129" s="80"/>
      <c r="W2129" s="80"/>
      <c r="X2129" s="80"/>
      <c r="Y2129" s="80"/>
      <c r="Z2129" s="80"/>
      <c r="AA2129" s="80"/>
      <c r="AB2129" s="80"/>
      <c r="AC2129" s="80"/>
      <c r="AD2129" s="80"/>
      <c r="AE2129" s="80"/>
      <c r="AF2129" s="80"/>
      <c r="AG2129" s="80"/>
      <c r="AH2129" s="80"/>
      <c r="AI2129" s="80"/>
    </row>
    <row r="2130" spans="1:35" x14ac:dyDescent="0.2">
      <c r="A2130" s="80"/>
      <c r="B2130" s="80"/>
      <c r="C2130" s="80"/>
      <c r="D2130" s="80"/>
      <c r="E2130" s="80"/>
      <c r="F2130" s="80"/>
      <c r="G2130" s="80"/>
      <c r="H2130" s="80"/>
      <c r="I2130" s="80"/>
      <c r="J2130" s="80"/>
      <c r="K2130" s="80"/>
      <c r="L2130" s="2"/>
      <c r="M2130" s="2"/>
      <c r="N2130" s="2"/>
      <c r="O2130" s="2"/>
      <c r="P2130" s="2"/>
      <c r="Q2130" s="2"/>
      <c r="R2130" s="80"/>
      <c r="S2130" s="80"/>
      <c r="T2130" s="80"/>
      <c r="U2130" s="80"/>
      <c r="V2130" s="80"/>
      <c r="W2130" s="80"/>
      <c r="X2130" s="80"/>
      <c r="Y2130" s="80"/>
      <c r="Z2130" s="80"/>
      <c r="AA2130" s="80"/>
      <c r="AB2130" s="80"/>
      <c r="AC2130" s="80"/>
      <c r="AD2130" s="80"/>
      <c r="AE2130" s="80"/>
      <c r="AF2130" s="80"/>
      <c r="AG2130" s="80"/>
      <c r="AH2130" s="80"/>
      <c r="AI2130" s="80"/>
    </row>
    <row r="2131" spans="1:35" x14ac:dyDescent="0.2">
      <c r="A2131" s="80"/>
      <c r="B2131" s="80"/>
      <c r="C2131" s="80"/>
      <c r="D2131" s="80"/>
      <c r="E2131" s="80"/>
      <c r="F2131" s="80"/>
      <c r="G2131" s="80"/>
      <c r="H2131" s="80"/>
      <c r="I2131" s="80"/>
      <c r="J2131" s="80"/>
      <c r="K2131" s="80"/>
      <c r="L2131" s="2"/>
      <c r="M2131" s="2"/>
      <c r="N2131" s="2"/>
      <c r="O2131" s="2"/>
      <c r="P2131" s="2"/>
      <c r="Q2131" s="2"/>
      <c r="R2131" s="80"/>
      <c r="S2131" s="80"/>
      <c r="T2131" s="80"/>
      <c r="U2131" s="80"/>
      <c r="V2131" s="80"/>
      <c r="W2131" s="80"/>
      <c r="X2131" s="80"/>
      <c r="Y2131" s="80"/>
      <c r="Z2131" s="80"/>
      <c r="AA2131" s="80"/>
      <c r="AB2131" s="80"/>
      <c r="AC2131" s="80"/>
      <c r="AD2131" s="80"/>
      <c r="AE2131" s="80"/>
      <c r="AF2131" s="80"/>
      <c r="AG2131" s="80"/>
      <c r="AH2131" s="80"/>
      <c r="AI2131" s="80"/>
    </row>
    <row r="2132" spans="1:35" x14ac:dyDescent="0.2">
      <c r="A2132" s="80"/>
      <c r="B2132" s="80"/>
      <c r="C2132" s="80"/>
      <c r="D2132" s="80"/>
      <c r="E2132" s="80"/>
      <c r="F2132" s="80"/>
      <c r="G2132" s="80"/>
      <c r="H2132" s="80"/>
      <c r="I2132" s="80"/>
      <c r="J2132" s="80"/>
      <c r="K2132" s="80"/>
      <c r="L2132" s="2"/>
      <c r="M2132" s="2"/>
      <c r="N2132" s="2"/>
      <c r="O2132" s="2"/>
      <c r="P2132" s="2"/>
      <c r="Q2132" s="2"/>
      <c r="R2132" s="80"/>
      <c r="S2132" s="80"/>
      <c r="T2132" s="80"/>
      <c r="U2132" s="80"/>
      <c r="V2132" s="80"/>
      <c r="W2132" s="80"/>
      <c r="X2132" s="80"/>
      <c r="Y2132" s="80"/>
      <c r="Z2132" s="80"/>
      <c r="AA2132" s="80"/>
      <c r="AB2132" s="80"/>
      <c r="AC2132" s="80"/>
      <c r="AD2132" s="80"/>
      <c r="AE2132" s="80"/>
      <c r="AF2132" s="80"/>
      <c r="AG2132" s="80"/>
      <c r="AH2132" s="80"/>
      <c r="AI2132" s="80"/>
    </row>
    <row r="2133" spans="1:35" x14ac:dyDescent="0.2">
      <c r="A2133" s="80"/>
      <c r="B2133" s="80"/>
      <c r="C2133" s="80"/>
      <c r="D2133" s="80"/>
      <c r="E2133" s="80"/>
      <c r="F2133" s="80"/>
      <c r="G2133" s="80"/>
      <c r="H2133" s="80"/>
      <c r="I2133" s="80"/>
      <c r="J2133" s="80"/>
      <c r="K2133" s="80"/>
      <c r="L2133" s="2"/>
      <c r="M2133" s="2"/>
      <c r="N2133" s="2"/>
      <c r="O2133" s="2"/>
      <c r="P2133" s="2"/>
      <c r="Q2133" s="2"/>
      <c r="R2133" s="80"/>
      <c r="S2133" s="80"/>
      <c r="T2133" s="80"/>
      <c r="U2133" s="80"/>
      <c r="V2133" s="80"/>
      <c r="W2133" s="80"/>
      <c r="X2133" s="80"/>
      <c r="Y2133" s="80"/>
      <c r="Z2133" s="80"/>
      <c r="AA2133" s="80"/>
      <c r="AB2133" s="80"/>
      <c r="AC2133" s="80"/>
      <c r="AD2133" s="80"/>
      <c r="AE2133" s="80"/>
      <c r="AF2133" s="80"/>
      <c r="AG2133" s="80"/>
      <c r="AH2133" s="80"/>
      <c r="AI2133" s="80"/>
    </row>
    <row r="2134" spans="1:35" x14ac:dyDescent="0.2">
      <c r="A2134" s="80"/>
      <c r="B2134" s="80"/>
      <c r="C2134" s="80"/>
      <c r="D2134" s="80"/>
      <c r="E2134" s="80"/>
      <c r="F2134" s="80"/>
      <c r="G2134" s="80"/>
      <c r="H2134" s="80"/>
      <c r="I2134" s="80"/>
      <c r="J2134" s="80"/>
      <c r="K2134" s="80"/>
      <c r="L2134" s="2"/>
      <c r="M2134" s="2"/>
      <c r="N2134" s="2"/>
      <c r="O2134" s="2"/>
      <c r="P2134" s="2"/>
      <c r="Q2134" s="2"/>
      <c r="R2134" s="80"/>
      <c r="S2134" s="80"/>
      <c r="T2134" s="80"/>
      <c r="U2134" s="80"/>
      <c r="V2134" s="80"/>
      <c r="W2134" s="80"/>
      <c r="X2134" s="80"/>
      <c r="Y2134" s="80"/>
      <c r="Z2134" s="80"/>
      <c r="AA2134" s="80"/>
      <c r="AB2134" s="80"/>
      <c r="AC2134" s="80"/>
      <c r="AD2134" s="80"/>
      <c r="AE2134" s="80"/>
      <c r="AF2134" s="80"/>
      <c r="AG2134" s="80"/>
      <c r="AH2134" s="80"/>
      <c r="AI2134" s="80"/>
    </row>
    <row r="2135" spans="1:35" x14ac:dyDescent="0.2">
      <c r="A2135" s="80"/>
      <c r="B2135" s="80"/>
      <c r="C2135" s="80"/>
      <c r="D2135" s="80"/>
      <c r="E2135" s="80"/>
      <c r="F2135" s="80"/>
      <c r="G2135" s="80"/>
      <c r="H2135" s="80"/>
      <c r="I2135" s="80"/>
      <c r="J2135" s="80"/>
      <c r="K2135" s="80"/>
      <c r="L2135" s="2"/>
      <c r="M2135" s="2"/>
      <c r="N2135" s="2"/>
      <c r="O2135" s="2"/>
      <c r="P2135" s="2"/>
      <c r="Q2135" s="2"/>
      <c r="R2135" s="80"/>
      <c r="S2135" s="80"/>
      <c r="T2135" s="80"/>
      <c r="U2135" s="80"/>
      <c r="V2135" s="80"/>
      <c r="W2135" s="80"/>
      <c r="X2135" s="80"/>
      <c r="Y2135" s="80"/>
      <c r="Z2135" s="80"/>
      <c r="AA2135" s="80"/>
      <c r="AB2135" s="80"/>
      <c r="AC2135" s="80"/>
      <c r="AD2135" s="80"/>
      <c r="AE2135" s="80"/>
      <c r="AF2135" s="80"/>
      <c r="AG2135" s="80"/>
      <c r="AH2135" s="80"/>
      <c r="AI2135" s="80"/>
    </row>
    <row r="2136" spans="1:35" x14ac:dyDescent="0.2">
      <c r="A2136" s="80"/>
      <c r="B2136" s="80"/>
      <c r="C2136" s="80"/>
      <c r="D2136" s="80"/>
      <c r="E2136" s="80"/>
      <c r="F2136" s="80"/>
      <c r="G2136" s="80"/>
      <c r="H2136" s="80"/>
      <c r="I2136" s="80"/>
      <c r="J2136" s="80"/>
      <c r="K2136" s="80"/>
      <c r="L2136" s="2"/>
      <c r="M2136" s="2"/>
      <c r="N2136" s="2"/>
      <c r="O2136" s="2"/>
      <c r="P2136" s="2"/>
      <c r="Q2136" s="2"/>
      <c r="R2136" s="80"/>
      <c r="S2136" s="80"/>
      <c r="T2136" s="80"/>
      <c r="U2136" s="80"/>
      <c r="V2136" s="80"/>
      <c r="W2136" s="80"/>
      <c r="X2136" s="80"/>
      <c r="Y2136" s="80"/>
      <c r="Z2136" s="80"/>
      <c r="AA2136" s="80"/>
      <c r="AB2136" s="80"/>
      <c r="AC2136" s="80"/>
      <c r="AD2136" s="80"/>
      <c r="AE2136" s="80"/>
      <c r="AF2136" s="80"/>
      <c r="AG2136" s="80"/>
      <c r="AH2136" s="80"/>
      <c r="AI2136" s="80"/>
    </row>
    <row r="2137" spans="1:35" x14ac:dyDescent="0.2">
      <c r="A2137" s="80"/>
      <c r="B2137" s="80"/>
      <c r="C2137" s="80"/>
      <c r="D2137" s="80"/>
      <c r="E2137" s="80"/>
      <c r="F2137" s="80"/>
      <c r="G2137" s="80"/>
      <c r="H2137" s="80"/>
      <c r="I2137" s="80"/>
      <c r="J2137" s="80"/>
      <c r="K2137" s="80"/>
      <c r="L2137" s="2"/>
      <c r="M2137" s="2"/>
      <c r="N2137" s="2"/>
      <c r="O2137" s="2"/>
      <c r="P2137" s="2"/>
      <c r="Q2137" s="2"/>
      <c r="R2137" s="80"/>
      <c r="S2137" s="80"/>
      <c r="T2137" s="80"/>
      <c r="U2137" s="80"/>
      <c r="V2137" s="80"/>
      <c r="W2137" s="80"/>
      <c r="X2137" s="80"/>
      <c r="Y2137" s="80"/>
      <c r="Z2137" s="80"/>
      <c r="AA2137" s="80"/>
      <c r="AB2137" s="80"/>
      <c r="AC2137" s="80"/>
      <c r="AD2137" s="80"/>
      <c r="AE2137" s="80"/>
      <c r="AF2137" s="80"/>
      <c r="AG2137" s="80"/>
      <c r="AH2137" s="80"/>
      <c r="AI2137" s="80"/>
    </row>
    <row r="2138" spans="1:35" x14ac:dyDescent="0.2">
      <c r="A2138" s="80"/>
      <c r="B2138" s="80"/>
      <c r="C2138" s="80"/>
      <c r="D2138" s="80"/>
      <c r="E2138" s="80"/>
      <c r="F2138" s="80"/>
      <c r="G2138" s="80"/>
      <c r="H2138" s="80"/>
      <c r="I2138" s="80"/>
      <c r="J2138" s="80"/>
      <c r="K2138" s="80"/>
      <c r="L2138" s="2"/>
      <c r="M2138" s="2"/>
      <c r="N2138" s="2"/>
      <c r="O2138" s="2"/>
      <c r="P2138" s="2"/>
      <c r="Q2138" s="2"/>
      <c r="R2138" s="80"/>
      <c r="S2138" s="80"/>
      <c r="T2138" s="80"/>
      <c r="U2138" s="80"/>
      <c r="V2138" s="80"/>
      <c r="W2138" s="80"/>
      <c r="X2138" s="80"/>
      <c r="Y2138" s="80"/>
      <c r="Z2138" s="80"/>
      <c r="AA2138" s="80"/>
      <c r="AB2138" s="80"/>
      <c r="AC2138" s="80"/>
      <c r="AD2138" s="80"/>
      <c r="AE2138" s="80"/>
      <c r="AF2138" s="80"/>
      <c r="AG2138" s="80"/>
      <c r="AH2138" s="80"/>
      <c r="AI2138" s="80"/>
    </row>
    <row r="2139" spans="1:35" x14ac:dyDescent="0.2">
      <c r="A2139" s="80"/>
      <c r="B2139" s="80"/>
      <c r="C2139" s="80"/>
      <c r="D2139" s="80"/>
      <c r="E2139" s="80"/>
      <c r="F2139" s="80"/>
      <c r="G2139" s="80"/>
      <c r="H2139" s="80"/>
      <c r="I2139" s="80"/>
      <c r="J2139" s="80"/>
      <c r="K2139" s="80"/>
      <c r="L2139" s="2"/>
      <c r="M2139" s="2"/>
      <c r="N2139" s="2"/>
      <c r="O2139" s="2"/>
      <c r="P2139" s="2"/>
      <c r="Q2139" s="2"/>
      <c r="R2139" s="80"/>
      <c r="S2139" s="80"/>
      <c r="T2139" s="80"/>
      <c r="U2139" s="80"/>
      <c r="V2139" s="80"/>
      <c r="W2139" s="80"/>
      <c r="X2139" s="80"/>
      <c r="Y2139" s="80"/>
      <c r="Z2139" s="80"/>
      <c r="AA2139" s="80"/>
      <c r="AB2139" s="80"/>
      <c r="AC2139" s="80"/>
      <c r="AD2139" s="80"/>
      <c r="AE2139" s="80"/>
      <c r="AF2139" s="80"/>
      <c r="AG2139" s="80"/>
      <c r="AH2139" s="80"/>
      <c r="AI2139" s="80"/>
    </row>
    <row r="2140" spans="1:35" x14ac:dyDescent="0.2">
      <c r="A2140" s="80"/>
      <c r="B2140" s="80"/>
      <c r="C2140" s="80"/>
      <c r="D2140" s="80"/>
      <c r="E2140" s="80"/>
      <c r="F2140" s="80"/>
      <c r="G2140" s="80"/>
      <c r="H2140" s="80"/>
      <c r="I2140" s="80"/>
      <c r="J2140" s="80"/>
      <c r="K2140" s="80"/>
      <c r="L2140" s="2"/>
      <c r="M2140" s="2"/>
      <c r="N2140" s="2"/>
      <c r="O2140" s="2"/>
      <c r="P2140" s="2"/>
      <c r="Q2140" s="2"/>
      <c r="R2140" s="80"/>
      <c r="S2140" s="80"/>
      <c r="T2140" s="80"/>
      <c r="U2140" s="80"/>
      <c r="V2140" s="80"/>
      <c r="W2140" s="80"/>
      <c r="X2140" s="80"/>
      <c r="Y2140" s="80"/>
      <c r="Z2140" s="80"/>
      <c r="AA2140" s="80"/>
      <c r="AB2140" s="80"/>
      <c r="AC2140" s="80"/>
      <c r="AD2140" s="80"/>
      <c r="AE2140" s="80"/>
      <c r="AF2140" s="80"/>
      <c r="AG2140" s="80"/>
      <c r="AH2140" s="80"/>
      <c r="AI2140" s="80"/>
    </row>
    <row r="2141" spans="1:35" x14ac:dyDescent="0.2">
      <c r="A2141" s="80"/>
      <c r="B2141" s="80"/>
      <c r="C2141" s="80"/>
      <c r="D2141" s="80"/>
      <c r="E2141" s="80"/>
      <c r="F2141" s="80"/>
      <c r="G2141" s="80"/>
      <c r="H2141" s="80"/>
      <c r="I2141" s="80"/>
      <c r="J2141" s="80"/>
      <c r="K2141" s="80"/>
      <c r="L2141" s="2"/>
      <c r="M2141" s="2"/>
      <c r="N2141" s="2"/>
      <c r="O2141" s="2"/>
      <c r="P2141" s="2"/>
      <c r="Q2141" s="2"/>
      <c r="R2141" s="80"/>
      <c r="S2141" s="80"/>
      <c r="T2141" s="80"/>
      <c r="U2141" s="80"/>
      <c r="V2141" s="80"/>
      <c r="W2141" s="80"/>
      <c r="X2141" s="80"/>
      <c r="Y2141" s="80"/>
      <c r="Z2141" s="80"/>
      <c r="AA2141" s="80"/>
      <c r="AB2141" s="80"/>
      <c r="AC2141" s="80"/>
      <c r="AD2141" s="80"/>
      <c r="AE2141" s="80"/>
      <c r="AF2141" s="80"/>
      <c r="AG2141" s="80"/>
      <c r="AH2141" s="80"/>
      <c r="AI2141" s="80"/>
    </row>
    <row r="2142" spans="1:35" x14ac:dyDescent="0.2">
      <c r="A2142" s="80"/>
      <c r="B2142" s="80"/>
      <c r="C2142" s="80"/>
      <c r="D2142" s="80"/>
      <c r="E2142" s="80"/>
      <c r="F2142" s="80"/>
      <c r="G2142" s="80"/>
      <c r="H2142" s="80"/>
      <c r="I2142" s="80"/>
      <c r="J2142" s="80"/>
      <c r="K2142" s="80"/>
      <c r="L2142" s="2"/>
      <c r="M2142" s="2"/>
      <c r="N2142" s="2"/>
      <c r="O2142" s="2"/>
      <c r="P2142" s="2"/>
      <c r="Q2142" s="2"/>
      <c r="R2142" s="80"/>
      <c r="S2142" s="80"/>
      <c r="T2142" s="80"/>
      <c r="U2142" s="80"/>
      <c r="V2142" s="80"/>
      <c r="W2142" s="80"/>
      <c r="X2142" s="80"/>
      <c r="Y2142" s="80"/>
      <c r="Z2142" s="80"/>
      <c r="AA2142" s="80"/>
      <c r="AB2142" s="80"/>
      <c r="AC2142" s="80"/>
      <c r="AD2142" s="80"/>
      <c r="AE2142" s="80"/>
      <c r="AF2142" s="80"/>
      <c r="AG2142" s="80"/>
      <c r="AH2142" s="80"/>
      <c r="AI2142" s="80"/>
    </row>
    <row r="2143" spans="1:35" x14ac:dyDescent="0.2">
      <c r="A2143" s="80"/>
      <c r="B2143" s="80"/>
      <c r="C2143" s="80"/>
      <c r="D2143" s="80"/>
      <c r="E2143" s="80"/>
      <c r="F2143" s="80"/>
      <c r="G2143" s="80"/>
      <c r="H2143" s="80"/>
      <c r="I2143" s="80"/>
      <c r="J2143" s="80"/>
      <c r="K2143" s="80"/>
      <c r="L2143" s="2"/>
      <c r="M2143" s="2"/>
      <c r="N2143" s="2"/>
      <c r="O2143" s="2"/>
      <c r="P2143" s="2"/>
      <c r="Q2143" s="2"/>
      <c r="R2143" s="80"/>
      <c r="S2143" s="80"/>
      <c r="T2143" s="80"/>
      <c r="U2143" s="80"/>
      <c r="V2143" s="80"/>
      <c r="W2143" s="80"/>
      <c r="X2143" s="80"/>
      <c r="Y2143" s="80"/>
      <c r="Z2143" s="80"/>
      <c r="AA2143" s="80"/>
      <c r="AB2143" s="80"/>
      <c r="AC2143" s="80"/>
      <c r="AD2143" s="80"/>
      <c r="AE2143" s="80"/>
      <c r="AF2143" s="80"/>
      <c r="AG2143" s="80"/>
      <c r="AH2143" s="80"/>
      <c r="AI2143" s="80"/>
    </row>
    <row r="2144" spans="1:35" x14ac:dyDescent="0.2">
      <c r="A2144" s="80"/>
      <c r="B2144" s="80"/>
      <c r="C2144" s="80"/>
      <c r="D2144" s="80"/>
      <c r="E2144" s="80"/>
      <c r="F2144" s="80"/>
      <c r="G2144" s="80"/>
      <c r="H2144" s="80"/>
      <c r="I2144" s="80"/>
      <c r="J2144" s="80"/>
      <c r="K2144" s="80"/>
      <c r="L2144" s="2"/>
      <c r="M2144" s="2"/>
      <c r="N2144" s="2"/>
      <c r="O2144" s="2"/>
      <c r="P2144" s="2"/>
      <c r="Q2144" s="2"/>
      <c r="R2144" s="80"/>
      <c r="S2144" s="80"/>
      <c r="T2144" s="80"/>
      <c r="U2144" s="80"/>
      <c r="V2144" s="80"/>
      <c r="W2144" s="80"/>
      <c r="X2144" s="80"/>
      <c r="Y2144" s="80"/>
      <c r="Z2144" s="80"/>
      <c r="AA2144" s="80"/>
      <c r="AB2144" s="80"/>
      <c r="AC2144" s="80"/>
      <c r="AD2144" s="80"/>
      <c r="AE2144" s="80"/>
      <c r="AF2144" s="80"/>
      <c r="AG2144" s="80"/>
      <c r="AH2144" s="80"/>
      <c r="AI2144" s="80"/>
    </row>
    <row r="2145" spans="1:35" x14ac:dyDescent="0.2">
      <c r="A2145" s="80"/>
      <c r="B2145" s="80"/>
      <c r="C2145" s="80"/>
      <c r="D2145" s="80"/>
      <c r="E2145" s="80"/>
      <c r="F2145" s="80"/>
      <c r="G2145" s="80"/>
      <c r="H2145" s="80"/>
      <c r="I2145" s="80"/>
      <c r="J2145" s="80"/>
      <c r="K2145" s="80"/>
      <c r="L2145" s="2"/>
      <c r="M2145" s="2"/>
      <c r="N2145" s="2"/>
      <c r="O2145" s="2"/>
      <c r="P2145" s="2"/>
      <c r="Q2145" s="2"/>
      <c r="R2145" s="80"/>
      <c r="S2145" s="80"/>
      <c r="T2145" s="80"/>
      <c r="U2145" s="80"/>
      <c r="V2145" s="80"/>
      <c r="W2145" s="80"/>
      <c r="X2145" s="80"/>
      <c r="Y2145" s="80"/>
      <c r="Z2145" s="80"/>
      <c r="AA2145" s="80"/>
      <c r="AB2145" s="80"/>
      <c r="AC2145" s="80"/>
      <c r="AD2145" s="80"/>
      <c r="AE2145" s="80"/>
      <c r="AF2145" s="80"/>
      <c r="AG2145" s="80"/>
      <c r="AH2145" s="80"/>
      <c r="AI2145" s="80"/>
    </row>
    <row r="2146" spans="1:35" x14ac:dyDescent="0.2">
      <c r="A2146" s="80"/>
      <c r="B2146" s="80"/>
      <c r="C2146" s="80"/>
      <c r="D2146" s="80"/>
      <c r="E2146" s="80"/>
      <c r="F2146" s="80"/>
      <c r="G2146" s="80"/>
      <c r="H2146" s="80"/>
      <c r="I2146" s="80"/>
      <c r="J2146" s="80"/>
      <c r="K2146" s="80"/>
      <c r="L2146" s="2"/>
      <c r="M2146" s="2"/>
      <c r="N2146" s="2"/>
      <c r="O2146" s="2"/>
      <c r="P2146" s="2"/>
      <c r="Q2146" s="2"/>
      <c r="R2146" s="80"/>
      <c r="S2146" s="80"/>
      <c r="T2146" s="80"/>
      <c r="U2146" s="80"/>
      <c r="V2146" s="80"/>
      <c r="W2146" s="80"/>
      <c r="X2146" s="80"/>
      <c r="Y2146" s="80"/>
      <c r="Z2146" s="80"/>
      <c r="AA2146" s="80"/>
      <c r="AB2146" s="80"/>
      <c r="AC2146" s="80"/>
      <c r="AD2146" s="80"/>
      <c r="AE2146" s="80"/>
      <c r="AF2146" s="80"/>
      <c r="AG2146" s="80"/>
      <c r="AH2146" s="80"/>
      <c r="AI2146" s="80"/>
    </row>
    <row r="2147" spans="1:35" x14ac:dyDescent="0.2">
      <c r="A2147" s="80"/>
      <c r="B2147" s="80"/>
      <c r="C2147" s="80"/>
      <c r="D2147" s="80"/>
      <c r="E2147" s="80"/>
      <c r="F2147" s="80"/>
      <c r="G2147" s="80"/>
      <c r="H2147" s="80"/>
      <c r="I2147" s="80"/>
      <c r="J2147" s="80"/>
      <c r="K2147" s="80"/>
      <c r="L2147" s="2"/>
      <c r="M2147" s="2"/>
      <c r="N2147" s="2"/>
      <c r="O2147" s="2"/>
      <c r="P2147" s="2"/>
      <c r="Q2147" s="2"/>
      <c r="R2147" s="80"/>
      <c r="S2147" s="80"/>
      <c r="T2147" s="80"/>
      <c r="U2147" s="80"/>
      <c r="V2147" s="80"/>
      <c r="W2147" s="80"/>
      <c r="X2147" s="80"/>
      <c r="Y2147" s="80"/>
      <c r="Z2147" s="80"/>
      <c r="AA2147" s="80"/>
      <c r="AB2147" s="80"/>
      <c r="AC2147" s="80"/>
      <c r="AD2147" s="80"/>
      <c r="AE2147" s="80"/>
      <c r="AF2147" s="80"/>
      <c r="AG2147" s="80"/>
      <c r="AH2147" s="80"/>
      <c r="AI2147" s="80"/>
    </row>
    <row r="2148" spans="1:35" x14ac:dyDescent="0.2">
      <c r="A2148" s="80"/>
      <c r="B2148" s="80"/>
      <c r="C2148" s="80"/>
      <c r="D2148" s="80"/>
      <c r="E2148" s="80"/>
      <c r="F2148" s="80"/>
      <c r="G2148" s="80"/>
      <c r="H2148" s="80"/>
      <c r="I2148" s="80"/>
      <c r="J2148" s="80"/>
      <c r="K2148" s="80"/>
      <c r="L2148" s="2"/>
      <c r="M2148" s="2"/>
      <c r="N2148" s="2"/>
      <c r="O2148" s="2"/>
      <c r="P2148" s="2"/>
      <c r="Q2148" s="2"/>
      <c r="R2148" s="80"/>
      <c r="S2148" s="80"/>
      <c r="T2148" s="80"/>
      <c r="U2148" s="80"/>
      <c r="V2148" s="80"/>
      <c r="W2148" s="80"/>
      <c r="X2148" s="80"/>
      <c r="Y2148" s="80"/>
      <c r="Z2148" s="80"/>
      <c r="AA2148" s="80"/>
      <c r="AB2148" s="80"/>
      <c r="AC2148" s="80"/>
      <c r="AD2148" s="80"/>
      <c r="AE2148" s="80"/>
      <c r="AF2148" s="80"/>
      <c r="AG2148" s="80"/>
      <c r="AH2148" s="80"/>
      <c r="AI2148" s="80"/>
    </row>
    <row r="2149" spans="1:35" x14ac:dyDescent="0.2">
      <c r="A2149" s="80"/>
      <c r="B2149" s="80"/>
      <c r="C2149" s="80"/>
      <c r="D2149" s="80"/>
      <c r="E2149" s="80"/>
      <c r="F2149" s="80"/>
      <c r="G2149" s="80"/>
      <c r="H2149" s="80"/>
      <c r="I2149" s="80"/>
      <c r="J2149" s="80"/>
      <c r="K2149" s="80"/>
      <c r="L2149" s="2"/>
      <c r="M2149" s="2"/>
      <c r="N2149" s="2"/>
      <c r="O2149" s="2"/>
      <c r="P2149" s="2"/>
      <c r="Q2149" s="2"/>
      <c r="R2149" s="80"/>
      <c r="S2149" s="80"/>
      <c r="T2149" s="80"/>
      <c r="U2149" s="80"/>
      <c r="V2149" s="80"/>
      <c r="W2149" s="80"/>
      <c r="X2149" s="80"/>
      <c r="Y2149" s="80"/>
      <c r="Z2149" s="80"/>
      <c r="AA2149" s="80"/>
      <c r="AB2149" s="80"/>
      <c r="AC2149" s="80"/>
      <c r="AD2149" s="80"/>
      <c r="AE2149" s="80"/>
      <c r="AF2149" s="80"/>
      <c r="AG2149" s="80"/>
      <c r="AH2149" s="80"/>
      <c r="AI2149" s="80"/>
    </row>
    <row r="2150" spans="1:35" x14ac:dyDescent="0.2">
      <c r="A2150" s="80"/>
      <c r="B2150" s="80"/>
      <c r="C2150" s="80"/>
      <c r="D2150" s="80"/>
      <c r="E2150" s="80"/>
      <c r="F2150" s="80"/>
      <c r="G2150" s="80"/>
      <c r="H2150" s="80"/>
      <c r="I2150" s="80"/>
      <c r="J2150" s="80"/>
      <c r="K2150" s="80"/>
      <c r="L2150" s="2"/>
      <c r="M2150" s="2"/>
      <c r="N2150" s="2"/>
      <c r="O2150" s="2"/>
      <c r="P2150" s="2"/>
      <c r="Q2150" s="2"/>
      <c r="R2150" s="80"/>
      <c r="S2150" s="80"/>
      <c r="T2150" s="80"/>
      <c r="U2150" s="80"/>
      <c r="V2150" s="80"/>
      <c r="W2150" s="80"/>
      <c r="X2150" s="80"/>
      <c r="Y2150" s="80"/>
      <c r="Z2150" s="80"/>
      <c r="AA2150" s="80"/>
      <c r="AB2150" s="80"/>
      <c r="AC2150" s="80"/>
      <c r="AD2150" s="80"/>
      <c r="AE2150" s="80"/>
      <c r="AF2150" s="80"/>
      <c r="AG2150" s="80"/>
      <c r="AH2150" s="80"/>
      <c r="AI2150" s="80"/>
    </row>
    <row r="2151" spans="1:35" x14ac:dyDescent="0.2">
      <c r="A2151" s="80"/>
      <c r="B2151" s="80"/>
      <c r="C2151" s="80"/>
      <c r="D2151" s="80"/>
      <c r="E2151" s="80"/>
      <c r="F2151" s="80"/>
      <c r="G2151" s="80"/>
      <c r="H2151" s="80"/>
      <c r="I2151" s="80"/>
      <c r="J2151" s="80"/>
      <c r="K2151" s="80"/>
      <c r="L2151" s="2"/>
      <c r="M2151" s="2"/>
      <c r="N2151" s="2"/>
      <c r="O2151" s="2"/>
      <c r="P2151" s="2"/>
      <c r="Q2151" s="2"/>
      <c r="R2151" s="80"/>
      <c r="S2151" s="80"/>
      <c r="T2151" s="80"/>
      <c r="U2151" s="80"/>
      <c r="V2151" s="80"/>
      <c r="W2151" s="80"/>
      <c r="X2151" s="80"/>
      <c r="Y2151" s="80"/>
      <c r="Z2151" s="80"/>
      <c r="AA2151" s="80"/>
      <c r="AB2151" s="80"/>
      <c r="AC2151" s="80"/>
      <c r="AD2151" s="80"/>
      <c r="AE2151" s="80"/>
      <c r="AF2151" s="80"/>
      <c r="AG2151" s="80"/>
      <c r="AH2151" s="80"/>
      <c r="AI2151" s="80"/>
    </row>
    <row r="2152" spans="1:35" x14ac:dyDescent="0.2">
      <c r="A2152" s="80"/>
      <c r="B2152" s="80"/>
      <c r="C2152" s="80"/>
      <c r="D2152" s="80"/>
      <c r="E2152" s="80"/>
      <c r="F2152" s="80"/>
      <c r="G2152" s="80"/>
      <c r="H2152" s="80"/>
      <c r="I2152" s="80"/>
      <c r="J2152" s="80"/>
      <c r="K2152" s="80"/>
      <c r="L2152" s="2"/>
      <c r="M2152" s="2"/>
      <c r="N2152" s="2"/>
      <c r="O2152" s="2"/>
      <c r="P2152" s="2"/>
      <c r="Q2152" s="2"/>
      <c r="R2152" s="80"/>
      <c r="S2152" s="80"/>
      <c r="T2152" s="80"/>
      <c r="U2152" s="80"/>
      <c r="V2152" s="80"/>
      <c r="W2152" s="80"/>
      <c r="X2152" s="80"/>
      <c r="Y2152" s="80"/>
      <c r="Z2152" s="80"/>
      <c r="AA2152" s="80"/>
      <c r="AB2152" s="80"/>
      <c r="AC2152" s="80"/>
      <c r="AD2152" s="80"/>
      <c r="AE2152" s="80"/>
      <c r="AF2152" s="80"/>
      <c r="AG2152" s="80"/>
      <c r="AH2152" s="80"/>
      <c r="AI2152" s="80"/>
    </row>
    <row r="2153" spans="1:35" x14ac:dyDescent="0.2">
      <c r="A2153" s="80"/>
      <c r="B2153" s="80"/>
      <c r="C2153" s="80"/>
      <c r="D2153" s="80"/>
      <c r="E2153" s="80"/>
      <c r="F2153" s="80"/>
      <c r="G2153" s="80"/>
      <c r="H2153" s="80"/>
      <c r="I2153" s="80"/>
      <c r="J2153" s="80"/>
      <c r="K2153" s="80"/>
      <c r="L2153" s="2"/>
      <c r="M2153" s="2"/>
      <c r="N2153" s="2"/>
      <c r="O2153" s="2"/>
      <c r="P2153" s="2"/>
      <c r="Q2153" s="2"/>
      <c r="R2153" s="80"/>
      <c r="S2153" s="80"/>
      <c r="T2153" s="80"/>
      <c r="U2153" s="80"/>
      <c r="V2153" s="80"/>
      <c r="W2153" s="80"/>
      <c r="X2153" s="80"/>
      <c r="Y2153" s="80"/>
      <c r="Z2153" s="80"/>
      <c r="AA2153" s="80"/>
      <c r="AB2153" s="80"/>
      <c r="AC2153" s="80"/>
      <c r="AD2153" s="80"/>
      <c r="AE2153" s="80"/>
      <c r="AF2153" s="80"/>
      <c r="AG2153" s="80"/>
      <c r="AH2153" s="80"/>
      <c r="AI2153" s="80"/>
    </row>
    <row r="2154" spans="1:35" x14ac:dyDescent="0.2">
      <c r="A2154" s="80"/>
      <c r="B2154" s="80"/>
      <c r="C2154" s="80"/>
      <c r="D2154" s="80"/>
      <c r="E2154" s="80"/>
      <c r="F2154" s="80"/>
      <c r="G2154" s="80"/>
      <c r="H2154" s="80"/>
      <c r="I2154" s="80"/>
      <c r="J2154" s="80"/>
      <c r="K2154" s="80"/>
      <c r="L2154" s="2"/>
      <c r="M2154" s="2"/>
      <c r="N2154" s="2"/>
      <c r="O2154" s="2"/>
      <c r="P2154" s="2"/>
      <c r="Q2154" s="2"/>
      <c r="R2154" s="80"/>
      <c r="S2154" s="80"/>
      <c r="T2154" s="80"/>
      <c r="U2154" s="80"/>
      <c r="V2154" s="80"/>
      <c r="W2154" s="80"/>
      <c r="X2154" s="80"/>
      <c r="Y2154" s="80"/>
      <c r="Z2154" s="80"/>
      <c r="AA2154" s="80"/>
      <c r="AB2154" s="80"/>
      <c r="AC2154" s="80"/>
      <c r="AD2154" s="80"/>
      <c r="AE2154" s="80"/>
      <c r="AF2154" s="80"/>
      <c r="AG2154" s="80"/>
      <c r="AH2154" s="80"/>
      <c r="AI2154" s="80"/>
    </row>
    <row r="2155" spans="1:35" x14ac:dyDescent="0.2">
      <c r="A2155" s="80"/>
      <c r="B2155" s="80"/>
      <c r="C2155" s="80"/>
      <c r="D2155" s="80"/>
      <c r="E2155" s="80"/>
      <c r="F2155" s="80"/>
      <c r="G2155" s="80"/>
      <c r="H2155" s="80"/>
      <c r="I2155" s="80"/>
      <c r="J2155" s="80"/>
      <c r="K2155" s="80"/>
      <c r="L2155" s="2"/>
      <c r="M2155" s="2"/>
      <c r="N2155" s="2"/>
      <c r="O2155" s="2"/>
      <c r="P2155" s="2"/>
      <c r="Q2155" s="2"/>
      <c r="R2155" s="80"/>
      <c r="S2155" s="80"/>
      <c r="T2155" s="80"/>
      <c r="U2155" s="80"/>
      <c r="V2155" s="80"/>
      <c r="W2155" s="80"/>
      <c r="X2155" s="80"/>
      <c r="Y2155" s="80"/>
      <c r="Z2155" s="80"/>
      <c r="AA2155" s="80"/>
      <c r="AB2155" s="80"/>
      <c r="AC2155" s="80"/>
      <c r="AD2155" s="80"/>
      <c r="AE2155" s="80"/>
      <c r="AF2155" s="80"/>
      <c r="AG2155" s="80"/>
      <c r="AH2155" s="80"/>
      <c r="AI2155" s="80"/>
    </row>
    <row r="2156" spans="1:35" x14ac:dyDescent="0.2">
      <c r="A2156" s="80"/>
      <c r="B2156" s="80"/>
      <c r="C2156" s="80"/>
      <c r="D2156" s="80"/>
      <c r="E2156" s="80"/>
      <c r="F2156" s="80"/>
      <c r="G2156" s="80"/>
      <c r="H2156" s="80"/>
      <c r="I2156" s="80"/>
      <c r="J2156" s="80"/>
      <c r="K2156" s="80"/>
      <c r="L2156" s="2"/>
      <c r="M2156" s="2"/>
      <c r="N2156" s="2"/>
      <c r="O2156" s="2"/>
      <c r="P2156" s="2"/>
      <c r="Q2156" s="2"/>
      <c r="R2156" s="80"/>
      <c r="S2156" s="80"/>
      <c r="T2156" s="80"/>
      <c r="U2156" s="80"/>
      <c r="V2156" s="80"/>
      <c r="W2156" s="80"/>
      <c r="X2156" s="80"/>
      <c r="Y2156" s="80"/>
      <c r="Z2156" s="80"/>
      <c r="AA2156" s="80"/>
      <c r="AB2156" s="80"/>
      <c r="AC2156" s="80"/>
      <c r="AD2156" s="80"/>
      <c r="AE2156" s="80"/>
      <c r="AF2156" s="80"/>
      <c r="AG2156" s="80"/>
      <c r="AH2156" s="80"/>
      <c r="AI2156" s="80"/>
    </row>
    <row r="2157" spans="1:35" x14ac:dyDescent="0.2">
      <c r="A2157" s="80"/>
      <c r="B2157" s="80"/>
      <c r="C2157" s="80"/>
      <c r="D2157" s="80"/>
      <c r="E2157" s="80"/>
      <c r="F2157" s="80"/>
      <c r="G2157" s="80"/>
      <c r="H2157" s="80"/>
      <c r="I2157" s="80"/>
      <c r="J2157" s="80"/>
      <c r="K2157" s="80"/>
      <c r="L2157" s="2"/>
      <c r="M2157" s="2"/>
      <c r="N2157" s="2"/>
      <c r="O2157" s="2"/>
      <c r="P2157" s="2"/>
      <c r="Q2157" s="2"/>
      <c r="R2157" s="80"/>
      <c r="S2157" s="80"/>
      <c r="T2157" s="80"/>
      <c r="U2157" s="80"/>
      <c r="V2157" s="80"/>
      <c r="W2157" s="80"/>
      <c r="X2157" s="80"/>
      <c r="Y2157" s="80"/>
      <c r="Z2157" s="80"/>
      <c r="AA2157" s="80"/>
      <c r="AB2157" s="80"/>
      <c r="AC2157" s="80"/>
      <c r="AD2157" s="80"/>
      <c r="AE2157" s="80"/>
      <c r="AF2157" s="80"/>
      <c r="AG2157" s="80"/>
      <c r="AH2157" s="80"/>
      <c r="AI2157" s="80"/>
    </row>
    <row r="2158" spans="1:35" x14ac:dyDescent="0.2">
      <c r="A2158" s="80"/>
      <c r="B2158" s="80"/>
      <c r="C2158" s="80"/>
      <c r="D2158" s="80"/>
      <c r="E2158" s="80"/>
      <c r="F2158" s="80"/>
      <c r="G2158" s="80"/>
      <c r="H2158" s="80"/>
      <c r="I2158" s="80"/>
      <c r="J2158" s="80"/>
      <c r="K2158" s="80"/>
      <c r="L2158" s="2"/>
      <c r="M2158" s="2"/>
      <c r="N2158" s="2"/>
      <c r="O2158" s="2"/>
      <c r="P2158" s="2"/>
      <c r="Q2158" s="2"/>
      <c r="R2158" s="80"/>
      <c r="S2158" s="80"/>
      <c r="T2158" s="80"/>
      <c r="U2158" s="80"/>
      <c r="V2158" s="80"/>
      <c r="W2158" s="80"/>
      <c r="X2158" s="80"/>
      <c r="Y2158" s="80"/>
      <c r="Z2158" s="80"/>
      <c r="AA2158" s="80"/>
      <c r="AB2158" s="80"/>
      <c r="AC2158" s="80"/>
      <c r="AD2158" s="80"/>
      <c r="AE2158" s="80"/>
      <c r="AF2158" s="80"/>
      <c r="AG2158" s="80"/>
      <c r="AH2158" s="80"/>
      <c r="AI2158" s="80"/>
    </row>
    <row r="2159" spans="1:35" x14ac:dyDescent="0.2">
      <c r="A2159" s="80"/>
      <c r="B2159" s="80"/>
      <c r="C2159" s="80"/>
      <c r="D2159" s="80"/>
      <c r="E2159" s="80"/>
      <c r="F2159" s="80"/>
      <c r="G2159" s="80"/>
      <c r="H2159" s="80"/>
      <c r="I2159" s="80"/>
      <c r="J2159" s="80"/>
      <c r="K2159" s="80"/>
      <c r="L2159" s="2"/>
      <c r="M2159" s="2"/>
      <c r="N2159" s="2"/>
      <c r="O2159" s="2"/>
      <c r="P2159" s="2"/>
      <c r="Q2159" s="2"/>
      <c r="R2159" s="80"/>
      <c r="S2159" s="80"/>
      <c r="T2159" s="80"/>
      <c r="U2159" s="80"/>
      <c r="V2159" s="80"/>
      <c r="W2159" s="80"/>
      <c r="X2159" s="80"/>
      <c r="Y2159" s="80"/>
      <c r="Z2159" s="80"/>
      <c r="AA2159" s="80"/>
      <c r="AB2159" s="80"/>
      <c r="AC2159" s="80"/>
      <c r="AD2159" s="80"/>
      <c r="AE2159" s="80"/>
      <c r="AF2159" s="80"/>
      <c r="AG2159" s="80"/>
      <c r="AH2159" s="80"/>
      <c r="AI2159" s="80"/>
    </row>
    <row r="2160" spans="1:35" x14ac:dyDescent="0.2">
      <c r="A2160" s="80"/>
      <c r="B2160" s="80"/>
      <c r="C2160" s="80"/>
      <c r="D2160" s="80"/>
      <c r="E2160" s="80"/>
      <c r="F2160" s="80"/>
      <c r="G2160" s="80"/>
      <c r="H2160" s="80"/>
      <c r="I2160" s="80"/>
      <c r="J2160" s="80"/>
      <c r="K2160" s="80"/>
      <c r="L2160" s="2"/>
      <c r="M2160" s="2"/>
      <c r="N2160" s="2"/>
      <c r="O2160" s="2"/>
      <c r="P2160" s="2"/>
      <c r="Q2160" s="2"/>
      <c r="R2160" s="80"/>
      <c r="S2160" s="80"/>
      <c r="T2160" s="80"/>
      <c r="U2160" s="80"/>
      <c r="V2160" s="80"/>
      <c r="W2160" s="80"/>
      <c r="X2160" s="80"/>
      <c r="Y2160" s="80"/>
      <c r="Z2160" s="80"/>
      <c r="AA2160" s="80"/>
      <c r="AB2160" s="80"/>
      <c r="AC2160" s="80"/>
      <c r="AD2160" s="80"/>
      <c r="AE2160" s="80"/>
      <c r="AF2160" s="80"/>
      <c r="AG2160" s="80"/>
      <c r="AH2160" s="80"/>
      <c r="AI2160" s="80"/>
    </row>
    <row r="2161" spans="1:35" x14ac:dyDescent="0.2">
      <c r="A2161" s="80"/>
      <c r="B2161" s="80"/>
      <c r="C2161" s="80"/>
      <c r="D2161" s="80"/>
      <c r="E2161" s="80"/>
      <c r="F2161" s="80"/>
      <c r="G2161" s="80"/>
      <c r="H2161" s="80"/>
      <c r="I2161" s="80"/>
      <c r="J2161" s="80"/>
      <c r="K2161" s="80"/>
      <c r="L2161" s="2"/>
      <c r="M2161" s="2"/>
      <c r="N2161" s="2"/>
      <c r="O2161" s="2"/>
      <c r="P2161" s="2"/>
      <c r="Q2161" s="2"/>
      <c r="R2161" s="80"/>
      <c r="S2161" s="80"/>
      <c r="T2161" s="80"/>
      <c r="U2161" s="80"/>
      <c r="V2161" s="80"/>
      <c r="W2161" s="80"/>
      <c r="X2161" s="80"/>
      <c r="Y2161" s="80"/>
      <c r="Z2161" s="80"/>
      <c r="AA2161" s="80"/>
      <c r="AB2161" s="80"/>
      <c r="AC2161" s="80"/>
      <c r="AD2161" s="80"/>
      <c r="AE2161" s="80"/>
      <c r="AF2161" s="80"/>
      <c r="AG2161" s="80"/>
      <c r="AH2161" s="80"/>
      <c r="AI2161" s="80"/>
    </row>
    <row r="2162" spans="1:35" x14ac:dyDescent="0.2">
      <c r="A2162" s="80"/>
      <c r="B2162" s="80"/>
      <c r="C2162" s="80"/>
      <c r="D2162" s="80"/>
      <c r="E2162" s="80"/>
      <c r="F2162" s="80"/>
      <c r="G2162" s="80"/>
      <c r="H2162" s="80"/>
      <c r="I2162" s="80"/>
      <c r="J2162" s="80"/>
      <c r="K2162" s="80"/>
      <c r="L2162" s="2"/>
      <c r="M2162" s="2"/>
      <c r="N2162" s="2"/>
      <c r="O2162" s="2"/>
      <c r="P2162" s="2"/>
      <c r="Q2162" s="2"/>
      <c r="R2162" s="80"/>
      <c r="S2162" s="80"/>
      <c r="T2162" s="80"/>
      <c r="U2162" s="80"/>
      <c r="V2162" s="80"/>
      <c r="W2162" s="80"/>
      <c r="X2162" s="80"/>
      <c r="Y2162" s="80"/>
      <c r="Z2162" s="80"/>
      <c r="AA2162" s="80"/>
      <c r="AB2162" s="80"/>
      <c r="AC2162" s="80"/>
      <c r="AD2162" s="80"/>
      <c r="AE2162" s="80"/>
      <c r="AF2162" s="80"/>
      <c r="AG2162" s="80"/>
      <c r="AH2162" s="80"/>
      <c r="AI2162" s="80"/>
    </row>
    <row r="2163" spans="1:35" x14ac:dyDescent="0.2">
      <c r="A2163" s="80"/>
      <c r="B2163" s="80"/>
      <c r="C2163" s="80"/>
      <c r="D2163" s="80"/>
      <c r="E2163" s="80"/>
      <c r="F2163" s="80"/>
      <c r="G2163" s="80"/>
      <c r="H2163" s="80"/>
      <c r="I2163" s="80"/>
      <c r="J2163" s="80"/>
      <c r="K2163" s="80"/>
      <c r="L2163" s="2"/>
      <c r="M2163" s="2"/>
      <c r="N2163" s="2"/>
      <c r="O2163" s="2"/>
      <c r="P2163" s="2"/>
      <c r="Q2163" s="2"/>
      <c r="R2163" s="80"/>
      <c r="S2163" s="80"/>
      <c r="T2163" s="80"/>
      <c r="U2163" s="80"/>
      <c r="V2163" s="80"/>
      <c r="W2163" s="80"/>
      <c r="X2163" s="80"/>
      <c r="Y2163" s="80"/>
      <c r="Z2163" s="80"/>
      <c r="AA2163" s="80"/>
      <c r="AB2163" s="80"/>
      <c r="AC2163" s="80"/>
      <c r="AD2163" s="80"/>
      <c r="AE2163" s="80"/>
      <c r="AF2163" s="80"/>
      <c r="AG2163" s="80"/>
      <c r="AH2163" s="80"/>
      <c r="AI2163" s="80"/>
    </row>
    <row r="2164" spans="1:35" x14ac:dyDescent="0.2">
      <c r="A2164" s="80"/>
      <c r="B2164" s="80"/>
      <c r="C2164" s="80"/>
      <c r="D2164" s="80"/>
      <c r="E2164" s="80"/>
      <c r="F2164" s="80"/>
      <c r="G2164" s="80"/>
      <c r="H2164" s="80"/>
      <c r="I2164" s="80"/>
      <c r="J2164" s="80"/>
      <c r="K2164" s="80"/>
      <c r="L2164" s="2"/>
      <c r="M2164" s="2"/>
      <c r="N2164" s="2"/>
      <c r="O2164" s="2"/>
      <c r="P2164" s="2"/>
      <c r="Q2164" s="2"/>
      <c r="R2164" s="80"/>
      <c r="S2164" s="80"/>
      <c r="T2164" s="80"/>
      <c r="U2164" s="80"/>
      <c r="V2164" s="80"/>
      <c r="W2164" s="80"/>
      <c r="X2164" s="80"/>
      <c r="Y2164" s="80"/>
      <c r="Z2164" s="80"/>
      <c r="AA2164" s="80"/>
      <c r="AB2164" s="80"/>
      <c r="AC2164" s="80"/>
      <c r="AD2164" s="80"/>
      <c r="AE2164" s="80"/>
      <c r="AF2164" s="80"/>
      <c r="AG2164" s="80"/>
      <c r="AH2164" s="80"/>
      <c r="AI2164" s="80"/>
    </row>
    <row r="2165" spans="1:35" x14ac:dyDescent="0.2">
      <c r="A2165" s="80"/>
      <c r="B2165" s="80"/>
      <c r="C2165" s="80"/>
      <c r="D2165" s="80"/>
      <c r="E2165" s="80"/>
      <c r="F2165" s="80"/>
      <c r="G2165" s="80"/>
      <c r="H2165" s="80"/>
      <c r="I2165" s="80"/>
      <c r="J2165" s="80"/>
      <c r="K2165" s="80"/>
      <c r="L2165" s="2"/>
      <c r="M2165" s="2"/>
      <c r="N2165" s="2"/>
      <c r="O2165" s="2"/>
      <c r="P2165" s="2"/>
      <c r="Q2165" s="2"/>
      <c r="R2165" s="80"/>
      <c r="S2165" s="80"/>
      <c r="T2165" s="80"/>
      <c r="U2165" s="80"/>
      <c r="V2165" s="80"/>
      <c r="W2165" s="80"/>
      <c r="X2165" s="80"/>
      <c r="Y2165" s="80"/>
      <c r="Z2165" s="80"/>
      <c r="AA2165" s="80"/>
      <c r="AB2165" s="80"/>
      <c r="AC2165" s="80"/>
      <c r="AD2165" s="80"/>
      <c r="AE2165" s="80"/>
      <c r="AF2165" s="80"/>
      <c r="AG2165" s="80"/>
      <c r="AH2165" s="80"/>
      <c r="AI2165" s="80"/>
    </row>
    <row r="2166" spans="1:35" x14ac:dyDescent="0.2">
      <c r="A2166" s="80"/>
      <c r="B2166" s="80"/>
      <c r="C2166" s="80"/>
      <c r="D2166" s="80"/>
      <c r="E2166" s="80"/>
      <c r="F2166" s="80"/>
      <c r="G2166" s="80"/>
      <c r="H2166" s="80"/>
      <c r="I2166" s="80"/>
      <c r="J2166" s="80"/>
      <c r="K2166" s="80"/>
      <c r="L2166" s="2"/>
      <c r="M2166" s="2"/>
      <c r="N2166" s="2"/>
      <c r="O2166" s="2"/>
      <c r="P2166" s="2"/>
      <c r="Q2166" s="2"/>
      <c r="R2166" s="80"/>
      <c r="S2166" s="80"/>
      <c r="T2166" s="80"/>
      <c r="U2166" s="80"/>
      <c r="V2166" s="80"/>
      <c r="W2166" s="80"/>
      <c r="X2166" s="80"/>
      <c r="Y2166" s="80"/>
      <c r="Z2166" s="80"/>
      <c r="AA2166" s="80"/>
      <c r="AB2166" s="80"/>
      <c r="AC2166" s="80"/>
      <c r="AD2166" s="80"/>
      <c r="AE2166" s="80"/>
      <c r="AF2166" s="80"/>
      <c r="AG2166" s="80"/>
      <c r="AH2166" s="80"/>
      <c r="AI2166" s="80"/>
    </row>
    <row r="2167" spans="1:35" x14ac:dyDescent="0.2">
      <c r="A2167" s="80"/>
      <c r="B2167" s="80"/>
      <c r="C2167" s="80"/>
      <c r="D2167" s="80"/>
      <c r="E2167" s="80"/>
      <c r="F2167" s="80"/>
      <c r="G2167" s="80"/>
      <c r="H2167" s="80"/>
      <c r="I2167" s="80"/>
      <c r="J2167" s="80"/>
      <c r="K2167" s="80"/>
      <c r="L2167" s="2"/>
      <c r="M2167" s="2"/>
      <c r="N2167" s="2"/>
      <c r="O2167" s="2"/>
      <c r="P2167" s="2"/>
      <c r="Q2167" s="2"/>
      <c r="R2167" s="80"/>
      <c r="S2167" s="80"/>
      <c r="T2167" s="80"/>
      <c r="U2167" s="80"/>
      <c r="V2167" s="80"/>
      <c r="W2167" s="80"/>
      <c r="X2167" s="80"/>
      <c r="Y2167" s="80"/>
      <c r="Z2167" s="80"/>
      <c r="AA2167" s="80"/>
      <c r="AB2167" s="80"/>
      <c r="AC2167" s="80"/>
      <c r="AD2167" s="80"/>
      <c r="AE2167" s="80"/>
      <c r="AF2167" s="80"/>
      <c r="AG2167" s="80"/>
      <c r="AH2167" s="80"/>
      <c r="AI2167" s="80"/>
    </row>
    <row r="2168" spans="1:35" x14ac:dyDescent="0.2">
      <c r="A2168" s="80"/>
      <c r="B2168" s="80"/>
      <c r="C2168" s="80"/>
      <c r="D2168" s="80"/>
      <c r="E2168" s="80"/>
      <c r="F2168" s="80"/>
      <c r="G2168" s="80"/>
      <c r="H2168" s="80"/>
      <c r="I2168" s="80"/>
      <c r="J2168" s="80"/>
      <c r="K2168" s="80"/>
      <c r="L2168" s="2"/>
      <c r="M2168" s="2"/>
      <c r="N2168" s="2"/>
      <c r="O2168" s="2"/>
      <c r="P2168" s="2"/>
      <c r="Q2168" s="2"/>
      <c r="R2168" s="80"/>
      <c r="S2168" s="80"/>
      <c r="T2168" s="80"/>
      <c r="U2168" s="80"/>
      <c r="V2168" s="80"/>
      <c r="W2168" s="80"/>
      <c r="X2168" s="80"/>
      <c r="Y2168" s="80"/>
      <c r="Z2168" s="80"/>
      <c r="AA2168" s="80"/>
      <c r="AB2168" s="80"/>
      <c r="AC2168" s="80"/>
      <c r="AD2168" s="80"/>
      <c r="AE2168" s="80"/>
      <c r="AF2168" s="80"/>
      <c r="AG2168" s="80"/>
      <c r="AH2168" s="80"/>
      <c r="AI2168" s="80"/>
    </row>
    <row r="2169" spans="1:35" x14ac:dyDescent="0.2">
      <c r="A2169" s="80"/>
      <c r="B2169" s="80"/>
      <c r="C2169" s="80"/>
      <c r="D2169" s="80"/>
      <c r="E2169" s="80"/>
      <c r="F2169" s="80"/>
      <c r="G2169" s="80"/>
      <c r="H2169" s="80"/>
      <c r="I2169" s="80"/>
      <c r="J2169" s="80"/>
      <c r="K2169" s="80"/>
      <c r="L2169" s="2"/>
      <c r="M2169" s="2"/>
      <c r="N2169" s="2"/>
      <c r="O2169" s="2"/>
      <c r="P2169" s="2"/>
      <c r="Q2169" s="2"/>
      <c r="R2169" s="80"/>
      <c r="S2169" s="80"/>
      <c r="T2169" s="80"/>
      <c r="U2169" s="80"/>
      <c r="V2169" s="80"/>
      <c r="W2169" s="80"/>
      <c r="X2169" s="80"/>
      <c r="Y2169" s="80"/>
      <c r="Z2169" s="80"/>
      <c r="AA2169" s="80"/>
      <c r="AB2169" s="80"/>
      <c r="AC2169" s="80"/>
      <c r="AD2169" s="80"/>
      <c r="AE2169" s="80"/>
      <c r="AF2169" s="80"/>
      <c r="AG2169" s="80"/>
      <c r="AH2169" s="80"/>
      <c r="AI2169" s="80"/>
    </row>
    <row r="2170" spans="1:35" x14ac:dyDescent="0.2">
      <c r="A2170" s="80"/>
      <c r="B2170" s="80"/>
      <c r="C2170" s="80"/>
      <c r="D2170" s="80"/>
      <c r="E2170" s="80"/>
      <c r="F2170" s="80"/>
      <c r="G2170" s="80"/>
      <c r="H2170" s="80"/>
      <c r="I2170" s="80"/>
      <c r="J2170" s="80"/>
      <c r="K2170" s="80"/>
      <c r="L2170" s="2"/>
      <c r="M2170" s="2"/>
      <c r="N2170" s="2"/>
      <c r="O2170" s="2"/>
      <c r="P2170" s="2"/>
      <c r="Q2170" s="2"/>
      <c r="R2170" s="80"/>
      <c r="S2170" s="80"/>
      <c r="T2170" s="80"/>
      <c r="U2170" s="80"/>
      <c r="V2170" s="80"/>
      <c r="W2170" s="80"/>
      <c r="X2170" s="80"/>
      <c r="Y2170" s="80"/>
      <c r="Z2170" s="80"/>
      <c r="AA2170" s="80"/>
      <c r="AB2170" s="80"/>
      <c r="AC2170" s="80"/>
      <c r="AD2170" s="80"/>
      <c r="AE2170" s="80"/>
      <c r="AF2170" s="80"/>
      <c r="AG2170" s="80"/>
      <c r="AH2170" s="80"/>
      <c r="AI2170" s="80"/>
    </row>
    <row r="2171" spans="1:35" x14ac:dyDescent="0.2">
      <c r="A2171" s="80"/>
      <c r="B2171" s="80"/>
      <c r="C2171" s="80"/>
      <c r="D2171" s="80"/>
      <c r="E2171" s="80"/>
      <c r="F2171" s="80"/>
      <c r="G2171" s="80"/>
      <c r="H2171" s="80"/>
      <c r="I2171" s="80"/>
      <c r="J2171" s="80"/>
      <c r="K2171" s="80"/>
      <c r="L2171" s="2"/>
      <c r="M2171" s="2"/>
      <c r="N2171" s="2"/>
      <c r="O2171" s="2"/>
      <c r="P2171" s="2"/>
      <c r="Q2171" s="2"/>
      <c r="R2171" s="80"/>
      <c r="S2171" s="80"/>
      <c r="T2171" s="80"/>
      <c r="U2171" s="80"/>
      <c r="V2171" s="80"/>
      <c r="W2171" s="80"/>
      <c r="X2171" s="80"/>
      <c r="Y2171" s="80"/>
      <c r="Z2171" s="80"/>
      <c r="AA2171" s="80"/>
      <c r="AB2171" s="80"/>
      <c r="AC2171" s="80"/>
      <c r="AD2171" s="80"/>
      <c r="AE2171" s="80"/>
      <c r="AF2171" s="80"/>
      <c r="AG2171" s="80"/>
      <c r="AH2171" s="80"/>
      <c r="AI2171" s="80"/>
    </row>
    <row r="2172" spans="1:35" x14ac:dyDescent="0.2">
      <c r="A2172" s="80"/>
      <c r="B2172" s="80"/>
      <c r="C2172" s="80"/>
      <c r="D2172" s="80"/>
      <c r="E2172" s="80"/>
      <c r="F2172" s="80"/>
      <c r="G2172" s="80"/>
      <c r="H2172" s="80"/>
      <c r="I2172" s="80"/>
      <c r="J2172" s="80"/>
      <c r="K2172" s="80"/>
      <c r="L2172" s="2"/>
      <c r="M2172" s="2"/>
      <c r="N2172" s="2"/>
      <c r="O2172" s="2"/>
      <c r="P2172" s="2"/>
      <c r="Q2172" s="2"/>
      <c r="R2172" s="80"/>
      <c r="S2172" s="80"/>
      <c r="T2172" s="80"/>
      <c r="U2172" s="80"/>
      <c r="V2172" s="80"/>
      <c r="W2172" s="80"/>
      <c r="X2172" s="80"/>
      <c r="Y2172" s="80"/>
      <c r="Z2172" s="80"/>
      <c r="AA2172" s="80"/>
      <c r="AB2172" s="80"/>
      <c r="AC2172" s="80"/>
      <c r="AD2172" s="80"/>
      <c r="AE2172" s="80"/>
      <c r="AF2172" s="80"/>
      <c r="AG2172" s="80"/>
      <c r="AH2172" s="80"/>
      <c r="AI2172" s="80"/>
    </row>
    <row r="2173" spans="1:35" x14ac:dyDescent="0.2">
      <c r="A2173" s="80"/>
      <c r="B2173" s="80"/>
      <c r="C2173" s="80"/>
      <c r="D2173" s="80"/>
      <c r="E2173" s="80"/>
      <c r="F2173" s="80"/>
      <c r="G2173" s="80"/>
      <c r="H2173" s="80"/>
      <c r="I2173" s="80"/>
      <c r="J2173" s="80"/>
      <c r="K2173" s="80"/>
      <c r="L2173" s="2"/>
      <c r="M2173" s="2"/>
      <c r="N2173" s="2"/>
      <c r="O2173" s="2"/>
      <c r="P2173" s="2"/>
      <c r="Q2173" s="2"/>
      <c r="R2173" s="80"/>
      <c r="S2173" s="80"/>
      <c r="T2173" s="80"/>
      <c r="U2173" s="80"/>
      <c r="V2173" s="80"/>
      <c r="W2173" s="80"/>
      <c r="X2173" s="80"/>
      <c r="Y2173" s="80"/>
      <c r="Z2173" s="80"/>
      <c r="AA2173" s="80"/>
      <c r="AB2173" s="80"/>
      <c r="AC2173" s="80"/>
      <c r="AD2173" s="80"/>
      <c r="AE2173" s="80"/>
      <c r="AF2173" s="80"/>
      <c r="AG2173" s="80"/>
      <c r="AH2173" s="80"/>
      <c r="AI2173" s="80"/>
    </row>
    <row r="2174" spans="1:35" x14ac:dyDescent="0.2">
      <c r="A2174" s="80"/>
      <c r="B2174" s="80"/>
      <c r="C2174" s="80"/>
      <c r="D2174" s="80"/>
      <c r="E2174" s="80"/>
      <c r="F2174" s="80"/>
      <c r="G2174" s="80"/>
      <c r="H2174" s="80"/>
      <c r="I2174" s="80"/>
      <c r="J2174" s="80"/>
      <c r="K2174" s="80"/>
      <c r="L2174" s="2"/>
      <c r="M2174" s="2"/>
      <c r="N2174" s="2"/>
      <c r="O2174" s="2"/>
      <c r="P2174" s="2"/>
      <c r="Q2174" s="2"/>
      <c r="R2174" s="80"/>
      <c r="S2174" s="80"/>
      <c r="T2174" s="80"/>
      <c r="U2174" s="80"/>
      <c r="V2174" s="80"/>
      <c r="W2174" s="80"/>
      <c r="X2174" s="80"/>
      <c r="Y2174" s="80"/>
      <c r="Z2174" s="80"/>
      <c r="AA2174" s="80"/>
      <c r="AB2174" s="80"/>
      <c r="AC2174" s="80"/>
      <c r="AD2174" s="80"/>
      <c r="AE2174" s="80"/>
      <c r="AF2174" s="80"/>
      <c r="AG2174" s="80"/>
      <c r="AH2174" s="80"/>
      <c r="AI2174" s="80"/>
    </row>
    <row r="2175" spans="1:35" x14ac:dyDescent="0.2">
      <c r="A2175" s="80"/>
      <c r="B2175" s="80"/>
      <c r="C2175" s="80"/>
      <c r="D2175" s="80"/>
      <c r="E2175" s="80"/>
      <c r="F2175" s="80"/>
      <c r="G2175" s="80"/>
      <c r="H2175" s="80"/>
      <c r="I2175" s="80"/>
      <c r="J2175" s="80"/>
      <c r="K2175" s="80"/>
      <c r="L2175" s="2"/>
      <c r="M2175" s="2"/>
      <c r="N2175" s="2"/>
      <c r="O2175" s="2"/>
      <c r="P2175" s="2"/>
      <c r="Q2175" s="2"/>
      <c r="R2175" s="80"/>
      <c r="S2175" s="80"/>
      <c r="T2175" s="80"/>
      <c r="U2175" s="80"/>
      <c r="V2175" s="80"/>
      <c r="W2175" s="80"/>
      <c r="X2175" s="80"/>
      <c r="Y2175" s="80"/>
      <c r="Z2175" s="80"/>
      <c r="AA2175" s="80"/>
      <c r="AB2175" s="80"/>
      <c r="AC2175" s="80"/>
      <c r="AD2175" s="80"/>
      <c r="AE2175" s="80"/>
      <c r="AF2175" s="80"/>
      <c r="AG2175" s="80"/>
      <c r="AH2175" s="80"/>
      <c r="AI2175" s="80"/>
    </row>
    <row r="2176" spans="1:35" x14ac:dyDescent="0.2">
      <c r="A2176" s="80"/>
      <c r="B2176" s="80"/>
      <c r="C2176" s="80"/>
      <c r="D2176" s="80"/>
      <c r="E2176" s="80"/>
      <c r="F2176" s="80"/>
      <c r="G2176" s="80"/>
      <c r="H2176" s="80"/>
      <c r="I2176" s="80"/>
      <c r="J2176" s="80"/>
      <c r="K2176" s="80"/>
      <c r="L2176" s="2"/>
      <c r="M2176" s="2"/>
      <c r="N2176" s="2"/>
      <c r="O2176" s="2"/>
      <c r="P2176" s="2"/>
      <c r="Q2176" s="2"/>
      <c r="R2176" s="80"/>
      <c r="S2176" s="80"/>
      <c r="T2176" s="80"/>
      <c r="U2176" s="80"/>
      <c r="V2176" s="80"/>
      <c r="W2176" s="80"/>
      <c r="X2176" s="80"/>
      <c r="Y2176" s="80"/>
      <c r="Z2176" s="80"/>
      <c r="AA2176" s="80"/>
      <c r="AB2176" s="80"/>
      <c r="AC2176" s="80"/>
      <c r="AD2176" s="80"/>
      <c r="AE2176" s="80"/>
      <c r="AF2176" s="80"/>
      <c r="AG2176" s="80"/>
      <c r="AH2176" s="80"/>
      <c r="AI2176" s="80"/>
    </row>
    <row r="2177" spans="1:35" x14ac:dyDescent="0.2">
      <c r="A2177" s="80"/>
      <c r="B2177" s="80"/>
      <c r="C2177" s="80"/>
      <c r="D2177" s="80"/>
      <c r="E2177" s="80"/>
      <c r="F2177" s="80"/>
      <c r="G2177" s="80"/>
      <c r="H2177" s="80"/>
      <c r="I2177" s="80"/>
      <c r="J2177" s="80"/>
      <c r="K2177" s="80"/>
      <c r="L2177" s="2"/>
      <c r="M2177" s="2"/>
      <c r="N2177" s="2"/>
      <c r="O2177" s="2"/>
      <c r="P2177" s="2"/>
      <c r="Q2177" s="2"/>
      <c r="R2177" s="80"/>
      <c r="S2177" s="80"/>
      <c r="T2177" s="80"/>
      <c r="U2177" s="80"/>
      <c r="V2177" s="80"/>
      <c r="W2177" s="80"/>
      <c r="X2177" s="80"/>
      <c r="Y2177" s="80"/>
      <c r="Z2177" s="80"/>
      <c r="AA2177" s="80"/>
      <c r="AB2177" s="80"/>
      <c r="AC2177" s="80"/>
      <c r="AD2177" s="80"/>
      <c r="AE2177" s="80"/>
      <c r="AF2177" s="80"/>
      <c r="AG2177" s="80"/>
      <c r="AH2177" s="80"/>
      <c r="AI2177" s="80"/>
    </row>
    <row r="2178" spans="1:35" x14ac:dyDescent="0.2">
      <c r="A2178" s="80"/>
      <c r="B2178" s="80"/>
      <c r="C2178" s="80"/>
      <c r="D2178" s="80"/>
      <c r="E2178" s="80"/>
      <c r="F2178" s="80"/>
      <c r="G2178" s="80"/>
      <c r="H2178" s="80"/>
      <c r="I2178" s="80"/>
      <c r="J2178" s="80"/>
      <c r="K2178" s="80"/>
      <c r="L2178" s="2"/>
      <c r="M2178" s="2"/>
      <c r="N2178" s="2"/>
      <c r="O2178" s="2"/>
      <c r="P2178" s="2"/>
      <c r="Q2178" s="2"/>
      <c r="R2178" s="80"/>
      <c r="S2178" s="80"/>
      <c r="T2178" s="80"/>
      <c r="U2178" s="80"/>
      <c r="V2178" s="80"/>
      <c r="W2178" s="80"/>
      <c r="X2178" s="80"/>
      <c r="Y2178" s="80"/>
      <c r="Z2178" s="80"/>
      <c r="AA2178" s="80"/>
      <c r="AB2178" s="80"/>
      <c r="AC2178" s="80"/>
      <c r="AD2178" s="80"/>
      <c r="AE2178" s="80"/>
      <c r="AF2178" s="80"/>
      <c r="AG2178" s="80"/>
      <c r="AH2178" s="80"/>
      <c r="AI2178" s="80"/>
    </row>
    <row r="2179" spans="1:35" x14ac:dyDescent="0.2">
      <c r="A2179" s="80"/>
      <c r="B2179" s="80"/>
      <c r="C2179" s="80"/>
      <c r="D2179" s="80"/>
      <c r="E2179" s="80"/>
      <c r="F2179" s="80"/>
      <c r="G2179" s="80"/>
      <c r="H2179" s="80"/>
      <c r="I2179" s="80"/>
      <c r="J2179" s="80"/>
      <c r="K2179" s="80"/>
      <c r="L2179" s="2"/>
      <c r="M2179" s="2"/>
      <c r="N2179" s="2"/>
      <c r="O2179" s="2"/>
      <c r="P2179" s="2"/>
      <c r="Q2179" s="2"/>
      <c r="R2179" s="80"/>
      <c r="S2179" s="80"/>
      <c r="T2179" s="80"/>
      <c r="U2179" s="80"/>
      <c r="V2179" s="80"/>
      <c r="W2179" s="80"/>
      <c r="X2179" s="80"/>
      <c r="Y2179" s="80"/>
      <c r="Z2179" s="80"/>
      <c r="AA2179" s="80"/>
      <c r="AB2179" s="80"/>
      <c r="AC2179" s="80"/>
      <c r="AD2179" s="80"/>
      <c r="AE2179" s="80"/>
      <c r="AF2179" s="80"/>
      <c r="AG2179" s="80"/>
      <c r="AH2179" s="80"/>
      <c r="AI2179" s="80"/>
    </row>
    <row r="2180" spans="1:35" x14ac:dyDescent="0.2">
      <c r="A2180" s="80"/>
      <c r="B2180" s="80"/>
      <c r="C2180" s="80"/>
      <c r="D2180" s="80"/>
      <c r="E2180" s="80"/>
      <c r="F2180" s="80"/>
      <c r="G2180" s="80"/>
      <c r="H2180" s="80"/>
      <c r="I2180" s="80"/>
      <c r="J2180" s="80"/>
      <c r="K2180" s="80"/>
      <c r="L2180" s="2"/>
      <c r="M2180" s="2"/>
      <c r="N2180" s="2"/>
      <c r="O2180" s="2"/>
      <c r="P2180" s="2"/>
      <c r="Q2180" s="2"/>
      <c r="R2180" s="80"/>
      <c r="S2180" s="80"/>
      <c r="T2180" s="80"/>
      <c r="U2180" s="80"/>
      <c r="V2180" s="80"/>
      <c r="W2180" s="80"/>
      <c r="X2180" s="80"/>
      <c r="Y2180" s="80"/>
      <c r="Z2180" s="80"/>
      <c r="AA2180" s="80"/>
      <c r="AB2180" s="80"/>
      <c r="AC2180" s="80"/>
      <c r="AD2180" s="80"/>
      <c r="AE2180" s="80"/>
      <c r="AF2180" s="80"/>
      <c r="AG2180" s="80"/>
      <c r="AH2180" s="80"/>
      <c r="AI2180" s="80"/>
    </row>
    <row r="2181" spans="1:35" x14ac:dyDescent="0.2">
      <c r="A2181" s="80"/>
      <c r="B2181" s="80"/>
      <c r="C2181" s="80"/>
      <c r="D2181" s="80"/>
      <c r="E2181" s="80"/>
      <c r="F2181" s="80"/>
      <c r="G2181" s="80"/>
      <c r="H2181" s="80"/>
      <c r="I2181" s="80"/>
      <c r="J2181" s="80"/>
      <c r="K2181" s="80"/>
      <c r="L2181" s="2"/>
      <c r="M2181" s="2"/>
      <c r="N2181" s="2"/>
      <c r="O2181" s="2"/>
      <c r="P2181" s="2"/>
      <c r="Q2181" s="2"/>
      <c r="R2181" s="80"/>
      <c r="S2181" s="80"/>
      <c r="T2181" s="80"/>
      <c r="U2181" s="80"/>
      <c r="V2181" s="80"/>
      <c r="W2181" s="80"/>
      <c r="X2181" s="80"/>
      <c r="Y2181" s="80"/>
      <c r="Z2181" s="80"/>
      <c r="AA2181" s="80"/>
      <c r="AB2181" s="80"/>
      <c r="AC2181" s="80"/>
      <c r="AD2181" s="80"/>
      <c r="AE2181" s="80"/>
      <c r="AF2181" s="80"/>
      <c r="AG2181" s="80"/>
      <c r="AH2181" s="80"/>
      <c r="AI2181" s="80"/>
    </row>
    <row r="2182" spans="1:35" x14ac:dyDescent="0.2">
      <c r="A2182" s="80"/>
      <c r="B2182" s="80"/>
      <c r="C2182" s="80"/>
      <c r="D2182" s="80"/>
      <c r="E2182" s="80"/>
      <c r="F2182" s="80"/>
      <c r="G2182" s="80"/>
      <c r="H2182" s="80"/>
      <c r="I2182" s="80"/>
      <c r="J2182" s="80"/>
      <c r="K2182" s="80"/>
      <c r="L2182" s="2"/>
      <c r="M2182" s="2"/>
      <c r="N2182" s="2"/>
      <c r="O2182" s="2"/>
      <c r="P2182" s="2"/>
      <c r="Q2182" s="2"/>
      <c r="R2182" s="80"/>
      <c r="S2182" s="80"/>
      <c r="T2182" s="80"/>
      <c r="U2182" s="80"/>
      <c r="V2182" s="80"/>
      <c r="W2182" s="80"/>
      <c r="X2182" s="80"/>
      <c r="Y2182" s="80"/>
      <c r="Z2182" s="80"/>
      <c r="AA2182" s="80"/>
      <c r="AB2182" s="80"/>
      <c r="AC2182" s="80"/>
      <c r="AD2182" s="80"/>
      <c r="AE2182" s="80"/>
      <c r="AF2182" s="80"/>
      <c r="AG2182" s="80"/>
      <c r="AH2182" s="80"/>
      <c r="AI2182" s="80"/>
    </row>
    <row r="2183" spans="1:35" x14ac:dyDescent="0.2">
      <c r="A2183" s="80"/>
      <c r="B2183" s="80"/>
      <c r="C2183" s="80"/>
      <c r="D2183" s="80"/>
      <c r="E2183" s="80"/>
      <c r="F2183" s="80"/>
      <c r="G2183" s="80"/>
      <c r="H2183" s="80"/>
      <c r="I2183" s="80"/>
      <c r="J2183" s="80"/>
      <c r="K2183" s="80"/>
      <c r="L2183" s="2"/>
      <c r="M2183" s="2"/>
      <c r="N2183" s="2"/>
      <c r="O2183" s="2"/>
      <c r="P2183" s="2"/>
      <c r="Q2183" s="2"/>
      <c r="R2183" s="80"/>
      <c r="S2183" s="80"/>
      <c r="T2183" s="80"/>
      <c r="U2183" s="80"/>
      <c r="V2183" s="80"/>
      <c r="W2183" s="80"/>
      <c r="X2183" s="80"/>
      <c r="Y2183" s="80"/>
      <c r="Z2183" s="80"/>
      <c r="AA2183" s="80"/>
      <c r="AB2183" s="80"/>
      <c r="AC2183" s="80"/>
      <c r="AD2183" s="80"/>
      <c r="AE2183" s="80"/>
      <c r="AF2183" s="80"/>
      <c r="AG2183" s="80"/>
      <c r="AH2183" s="80"/>
      <c r="AI2183" s="80"/>
    </row>
    <row r="2184" spans="1:35" x14ac:dyDescent="0.2">
      <c r="A2184" s="80"/>
      <c r="B2184" s="80"/>
      <c r="C2184" s="80"/>
      <c r="D2184" s="80"/>
      <c r="E2184" s="80"/>
      <c r="F2184" s="80"/>
      <c r="G2184" s="80"/>
      <c r="H2184" s="80"/>
      <c r="I2184" s="80"/>
      <c r="J2184" s="80"/>
      <c r="K2184" s="80"/>
      <c r="L2184" s="2"/>
      <c r="M2184" s="2"/>
      <c r="N2184" s="2"/>
      <c r="O2184" s="2"/>
      <c r="P2184" s="2"/>
      <c r="Q2184" s="2"/>
      <c r="R2184" s="80"/>
      <c r="S2184" s="80"/>
      <c r="T2184" s="80"/>
      <c r="U2184" s="80"/>
      <c r="V2184" s="80"/>
      <c r="W2184" s="80"/>
      <c r="X2184" s="80"/>
      <c r="Y2184" s="80"/>
      <c r="Z2184" s="80"/>
      <c r="AA2184" s="80"/>
      <c r="AB2184" s="80"/>
      <c r="AC2184" s="80"/>
      <c r="AD2184" s="80"/>
      <c r="AE2184" s="80"/>
      <c r="AF2184" s="80"/>
      <c r="AG2184" s="80"/>
      <c r="AH2184" s="80"/>
      <c r="AI2184" s="80"/>
    </row>
    <row r="2185" spans="1:35" x14ac:dyDescent="0.2">
      <c r="A2185" s="80"/>
      <c r="B2185" s="80"/>
      <c r="C2185" s="80"/>
      <c r="D2185" s="80"/>
      <c r="E2185" s="80"/>
      <c r="F2185" s="80"/>
      <c r="G2185" s="80"/>
      <c r="H2185" s="80"/>
      <c r="I2185" s="80"/>
      <c r="J2185" s="80"/>
      <c r="K2185" s="80"/>
      <c r="L2185" s="2"/>
      <c r="M2185" s="2"/>
      <c r="N2185" s="2"/>
      <c r="O2185" s="2"/>
      <c r="P2185" s="2"/>
      <c r="Q2185" s="2"/>
      <c r="R2185" s="80"/>
      <c r="S2185" s="80"/>
      <c r="T2185" s="80"/>
      <c r="U2185" s="80"/>
      <c r="V2185" s="80"/>
      <c r="W2185" s="80"/>
      <c r="X2185" s="80"/>
      <c r="Y2185" s="80"/>
      <c r="Z2185" s="80"/>
      <c r="AA2185" s="80"/>
      <c r="AB2185" s="80"/>
      <c r="AC2185" s="80"/>
      <c r="AD2185" s="80"/>
      <c r="AE2185" s="80"/>
      <c r="AF2185" s="80"/>
      <c r="AG2185" s="80"/>
      <c r="AH2185" s="80"/>
      <c r="AI2185" s="80"/>
    </row>
    <row r="2186" spans="1:35" x14ac:dyDescent="0.2">
      <c r="A2186" s="80"/>
      <c r="B2186" s="80"/>
      <c r="C2186" s="80"/>
      <c r="D2186" s="80"/>
      <c r="E2186" s="80"/>
      <c r="F2186" s="80"/>
      <c r="G2186" s="80"/>
      <c r="H2186" s="80"/>
      <c r="I2186" s="80"/>
      <c r="J2186" s="80"/>
      <c r="K2186" s="80"/>
      <c r="L2186" s="2"/>
      <c r="M2186" s="2"/>
      <c r="N2186" s="2"/>
      <c r="O2186" s="2"/>
      <c r="P2186" s="2"/>
      <c r="Q2186" s="2"/>
      <c r="R2186" s="80"/>
      <c r="S2186" s="80"/>
      <c r="T2186" s="80"/>
      <c r="U2186" s="80"/>
      <c r="V2186" s="80"/>
      <c r="W2186" s="80"/>
      <c r="X2186" s="80"/>
      <c r="Y2186" s="80"/>
      <c r="Z2186" s="80"/>
      <c r="AA2186" s="80"/>
      <c r="AB2186" s="80"/>
      <c r="AC2186" s="80"/>
      <c r="AD2186" s="80"/>
      <c r="AE2186" s="80"/>
      <c r="AF2186" s="80"/>
      <c r="AG2186" s="80"/>
      <c r="AH2186" s="80"/>
      <c r="AI2186" s="80"/>
    </row>
    <row r="2187" spans="1:35" x14ac:dyDescent="0.2">
      <c r="A2187" s="80"/>
      <c r="B2187" s="80"/>
      <c r="C2187" s="80"/>
      <c r="D2187" s="80"/>
      <c r="E2187" s="80"/>
      <c r="F2187" s="80"/>
      <c r="G2187" s="80"/>
      <c r="H2187" s="80"/>
      <c r="I2187" s="80"/>
      <c r="J2187" s="80"/>
      <c r="K2187" s="80"/>
      <c r="L2187" s="2"/>
      <c r="M2187" s="2"/>
      <c r="N2187" s="2"/>
      <c r="O2187" s="2"/>
      <c r="P2187" s="2"/>
      <c r="Q2187" s="2"/>
      <c r="R2187" s="80"/>
      <c r="S2187" s="80"/>
      <c r="T2187" s="80"/>
      <c r="U2187" s="80"/>
      <c r="V2187" s="80"/>
      <c r="W2187" s="80"/>
      <c r="X2187" s="80"/>
      <c r="Y2187" s="80"/>
      <c r="Z2187" s="80"/>
      <c r="AA2187" s="80"/>
      <c r="AB2187" s="80"/>
      <c r="AC2187" s="80"/>
      <c r="AD2187" s="80"/>
      <c r="AE2187" s="80"/>
      <c r="AF2187" s="80"/>
      <c r="AG2187" s="80"/>
      <c r="AH2187" s="80"/>
      <c r="AI2187" s="80"/>
    </row>
    <row r="2188" spans="1:35" x14ac:dyDescent="0.2">
      <c r="A2188" s="80"/>
      <c r="B2188" s="80"/>
      <c r="C2188" s="80"/>
      <c r="D2188" s="80"/>
      <c r="E2188" s="80"/>
      <c r="F2188" s="80"/>
      <c r="G2188" s="80"/>
      <c r="H2188" s="80"/>
      <c r="I2188" s="80"/>
      <c r="J2188" s="80"/>
      <c r="K2188" s="80"/>
      <c r="L2188" s="2"/>
      <c r="M2188" s="2"/>
      <c r="N2188" s="2"/>
      <c r="O2188" s="2"/>
      <c r="P2188" s="2"/>
      <c r="Q2188" s="2"/>
      <c r="R2188" s="80"/>
      <c r="S2188" s="80"/>
      <c r="T2188" s="80"/>
      <c r="U2188" s="80"/>
      <c r="V2188" s="80"/>
      <c r="W2188" s="80"/>
      <c r="X2188" s="80"/>
      <c r="Y2188" s="80"/>
      <c r="Z2188" s="80"/>
      <c r="AA2188" s="80"/>
      <c r="AB2188" s="80"/>
      <c r="AC2188" s="80"/>
      <c r="AD2188" s="80"/>
      <c r="AE2188" s="80"/>
      <c r="AF2188" s="80"/>
      <c r="AG2188" s="80"/>
      <c r="AH2188" s="80"/>
      <c r="AI2188" s="80"/>
    </row>
    <row r="2189" spans="1:35" x14ac:dyDescent="0.2">
      <c r="A2189" s="80"/>
      <c r="B2189" s="80"/>
      <c r="C2189" s="80"/>
      <c r="D2189" s="80"/>
      <c r="E2189" s="80"/>
      <c r="F2189" s="80"/>
      <c r="G2189" s="80"/>
      <c r="H2189" s="80"/>
      <c r="I2189" s="80"/>
      <c r="J2189" s="80"/>
      <c r="K2189" s="80"/>
      <c r="L2189" s="2"/>
      <c r="M2189" s="2"/>
      <c r="N2189" s="2"/>
      <c r="O2189" s="2"/>
      <c r="P2189" s="2"/>
      <c r="Q2189" s="2"/>
      <c r="R2189" s="80"/>
      <c r="S2189" s="80"/>
      <c r="T2189" s="80"/>
      <c r="U2189" s="80"/>
      <c r="V2189" s="80"/>
      <c r="W2189" s="80"/>
      <c r="X2189" s="80"/>
      <c r="Y2189" s="80"/>
      <c r="Z2189" s="80"/>
      <c r="AA2189" s="80"/>
      <c r="AB2189" s="80"/>
      <c r="AC2189" s="80"/>
      <c r="AD2189" s="80"/>
      <c r="AE2189" s="80"/>
      <c r="AF2189" s="80"/>
      <c r="AG2189" s="80"/>
      <c r="AH2189" s="80"/>
      <c r="AI2189" s="80"/>
    </row>
    <row r="2190" spans="1:35" x14ac:dyDescent="0.2">
      <c r="A2190" s="80"/>
      <c r="B2190" s="80"/>
      <c r="C2190" s="80"/>
      <c r="D2190" s="80"/>
      <c r="E2190" s="80"/>
      <c r="F2190" s="80"/>
      <c r="G2190" s="80"/>
      <c r="H2190" s="80"/>
      <c r="I2190" s="80"/>
      <c r="J2190" s="80"/>
      <c r="K2190" s="80"/>
      <c r="L2190" s="2"/>
      <c r="M2190" s="2"/>
      <c r="N2190" s="2"/>
      <c r="O2190" s="2"/>
      <c r="P2190" s="2"/>
      <c r="Q2190" s="2"/>
      <c r="R2190" s="80"/>
      <c r="S2190" s="80"/>
      <c r="T2190" s="80"/>
      <c r="U2190" s="80"/>
      <c r="V2190" s="80"/>
      <c r="W2190" s="80"/>
      <c r="X2190" s="80"/>
      <c r="Y2190" s="80"/>
      <c r="Z2190" s="80"/>
      <c r="AA2190" s="80"/>
      <c r="AB2190" s="80"/>
      <c r="AC2190" s="80"/>
      <c r="AD2190" s="80"/>
      <c r="AE2190" s="80"/>
      <c r="AF2190" s="80"/>
      <c r="AG2190" s="80"/>
      <c r="AH2190" s="80"/>
      <c r="AI2190" s="80"/>
    </row>
    <row r="2191" spans="1:35" x14ac:dyDescent="0.2">
      <c r="A2191" s="80"/>
      <c r="B2191" s="80"/>
      <c r="C2191" s="80"/>
      <c r="D2191" s="80"/>
      <c r="E2191" s="80"/>
      <c r="F2191" s="80"/>
      <c r="G2191" s="80"/>
      <c r="H2191" s="80"/>
      <c r="I2191" s="80"/>
      <c r="J2191" s="80"/>
      <c r="K2191" s="80"/>
      <c r="L2191" s="2"/>
      <c r="M2191" s="2"/>
      <c r="N2191" s="2"/>
      <c r="O2191" s="2"/>
      <c r="P2191" s="2"/>
      <c r="Q2191" s="2"/>
      <c r="R2191" s="80"/>
      <c r="S2191" s="80"/>
      <c r="T2191" s="80"/>
      <c r="U2191" s="80"/>
      <c r="V2191" s="80"/>
      <c r="W2191" s="80"/>
      <c r="X2191" s="80"/>
      <c r="Y2191" s="80"/>
      <c r="Z2191" s="80"/>
      <c r="AA2191" s="80"/>
      <c r="AB2191" s="80"/>
      <c r="AC2191" s="80"/>
      <c r="AD2191" s="80"/>
      <c r="AE2191" s="80"/>
      <c r="AF2191" s="80"/>
      <c r="AG2191" s="80"/>
      <c r="AH2191" s="80"/>
      <c r="AI2191" s="80"/>
    </row>
    <row r="2192" spans="1:35" x14ac:dyDescent="0.2">
      <c r="A2192" s="80"/>
      <c r="B2192" s="80"/>
      <c r="C2192" s="80"/>
      <c r="D2192" s="80"/>
      <c r="E2192" s="80"/>
      <c r="F2192" s="80"/>
      <c r="G2192" s="80"/>
      <c r="H2192" s="80"/>
      <c r="I2192" s="80"/>
      <c r="J2192" s="80"/>
      <c r="K2192" s="80"/>
      <c r="L2192" s="2"/>
      <c r="M2192" s="2"/>
      <c r="N2192" s="2"/>
      <c r="O2192" s="2"/>
      <c r="P2192" s="2"/>
      <c r="Q2192" s="2"/>
      <c r="R2192" s="80"/>
      <c r="S2192" s="80"/>
      <c r="T2192" s="80"/>
      <c r="U2192" s="80"/>
      <c r="V2192" s="80"/>
      <c r="W2192" s="80"/>
      <c r="X2192" s="80"/>
      <c r="Y2192" s="80"/>
      <c r="Z2192" s="80"/>
      <c r="AA2192" s="80"/>
      <c r="AB2192" s="80"/>
      <c r="AC2192" s="80"/>
      <c r="AD2192" s="80"/>
      <c r="AE2192" s="80"/>
      <c r="AF2192" s="80"/>
      <c r="AG2192" s="80"/>
      <c r="AH2192" s="80"/>
      <c r="AI2192" s="80"/>
    </row>
    <row r="2193" spans="1:35" x14ac:dyDescent="0.2">
      <c r="A2193" s="80"/>
      <c r="B2193" s="80"/>
      <c r="C2193" s="80"/>
      <c r="D2193" s="80"/>
      <c r="E2193" s="80"/>
      <c r="F2193" s="80"/>
      <c r="G2193" s="80"/>
      <c r="H2193" s="80"/>
      <c r="I2193" s="80"/>
      <c r="J2193" s="80"/>
      <c r="K2193" s="80"/>
      <c r="L2193" s="2"/>
      <c r="M2193" s="2"/>
      <c r="N2193" s="2"/>
      <c r="O2193" s="2"/>
      <c r="P2193" s="2"/>
      <c r="Q2193" s="2"/>
      <c r="R2193" s="80"/>
      <c r="S2193" s="80"/>
      <c r="T2193" s="80"/>
      <c r="U2193" s="80"/>
      <c r="V2193" s="80"/>
      <c r="W2193" s="80"/>
      <c r="X2193" s="80"/>
      <c r="Y2193" s="80"/>
      <c r="Z2193" s="80"/>
      <c r="AA2193" s="80"/>
      <c r="AB2193" s="80"/>
      <c r="AC2193" s="80"/>
      <c r="AD2193" s="80"/>
      <c r="AE2193" s="80"/>
      <c r="AF2193" s="80"/>
      <c r="AG2193" s="80"/>
      <c r="AH2193" s="80"/>
      <c r="AI2193" s="80"/>
    </row>
    <row r="2194" spans="1:35" x14ac:dyDescent="0.2">
      <c r="A2194" s="80"/>
      <c r="B2194" s="80"/>
      <c r="C2194" s="80"/>
      <c r="D2194" s="80"/>
      <c r="E2194" s="80"/>
      <c r="F2194" s="80"/>
      <c r="G2194" s="80"/>
      <c r="H2194" s="80"/>
      <c r="I2194" s="80"/>
      <c r="J2194" s="80"/>
      <c r="K2194" s="80"/>
      <c r="L2194" s="2"/>
      <c r="M2194" s="2"/>
      <c r="N2194" s="2"/>
      <c r="O2194" s="2"/>
      <c r="P2194" s="2"/>
      <c r="Q2194" s="2"/>
      <c r="R2194" s="80"/>
      <c r="S2194" s="80"/>
      <c r="T2194" s="80"/>
      <c r="U2194" s="80"/>
      <c r="V2194" s="80"/>
      <c r="W2194" s="80"/>
      <c r="X2194" s="80"/>
      <c r="Y2194" s="80"/>
      <c r="Z2194" s="80"/>
      <c r="AA2194" s="80"/>
      <c r="AB2194" s="80"/>
      <c r="AC2194" s="80"/>
      <c r="AD2194" s="80"/>
      <c r="AE2194" s="80"/>
      <c r="AF2194" s="80"/>
      <c r="AG2194" s="80"/>
      <c r="AH2194" s="80"/>
      <c r="AI2194" s="80"/>
    </row>
    <row r="2195" spans="1:35" x14ac:dyDescent="0.2">
      <c r="A2195" s="80"/>
      <c r="B2195" s="80"/>
      <c r="C2195" s="80"/>
      <c r="D2195" s="80"/>
      <c r="E2195" s="80"/>
      <c r="F2195" s="80"/>
      <c r="G2195" s="80"/>
      <c r="H2195" s="80"/>
      <c r="I2195" s="80"/>
      <c r="J2195" s="80"/>
      <c r="K2195" s="80"/>
      <c r="L2195" s="2"/>
      <c r="M2195" s="2"/>
      <c r="N2195" s="2"/>
      <c r="O2195" s="2"/>
      <c r="P2195" s="2"/>
      <c r="Q2195" s="2"/>
      <c r="R2195" s="80"/>
      <c r="S2195" s="80"/>
      <c r="T2195" s="80"/>
      <c r="U2195" s="80"/>
      <c r="V2195" s="80"/>
      <c r="W2195" s="80"/>
      <c r="X2195" s="80"/>
      <c r="Y2195" s="80"/>
      <c r="Z2195" s="80"/>
      <c r="AA2195" s="80"/>
      <c r="AB2195" s="80"/>
      <c r="AC2195" s="80"/>
      <c r="AD2195" s="80"/>
      <c r="AE2195" s="80"/>
      <c r="AF2195" s="80"/>
      <c r="AG2195" s="80"/>
      <c r="AH2195" s="80"/>
      <c r="AI2195" s="80"/>
    </row>
    <row r="2196" spans="1:35" x14ac:dyDescent="0.2">
      <c r="A2196" s="80"/>
      <c r="B2196" s="80"/>
      <c r="C2196" s="80"/>
      <c r="D2196" s="80"/>
      <c r="E2196" s="80"/>
      <c r="F2196" s="80"/>
      <c r="G2196" s="80"/>
      <c r="H2196" s="80"/>
      <c r="I2196" s="80"/>
      <c r="J2196" s="80"/>
      <c r="K2196" s="80"/>
      <c r="L2196" s="2"/>
      <c r="M2196" s="2"/>
      <c r="N2196" s="2"/>
      <c r="O2196" s="2"/>
      <c r="P2196" s="2"/>
      <c r="Q2196" s="2"/>
      <c r="R2196" s="80"/>
      <c r="S2196" s="80"/>
      <c r="T2196" s="80"/>
      <c r="U2196" s="80"/>
      <c r="V2196" s="80"/>
      <c r="W2196" s="80"/>
      <c r="X2196" s="80"/>
      <c r="Y2196" s="80"/>
      <c r="Z2196" s="80"/>
      <c r="AA2196" s="80"/>
      <c r="AB2196" s="80"/>
      <c r="AC2196" s="80"/>
      <c r="AD2196" s="80"/>
      <c r="AE2196" s="80"/>
      <c r="AF2196" s="80"/>
      <c r="AG2196" s="80"/>
      <c r="AH2196" s="80"/>
      <c r="AI2196" s="80"/>
    </row>
    <row r="2197" spans="1:35" x14ac:dyDescent="0.2">
      <c r="A2197" s="80"/>
      <c r="B2197" s="80"/>
      <c r="C2197" s="80"/>
      <c r="D2197" s="80"/>
      <c r="E2197" s="80"/>
      <c r="F2197" s="80"/>
      <c r="G2197" s="80"/>
      <c r="H2197" s="80"/>
      <c r="I2197" s="80"/>
      <c r="J2197" s="80"/>
      <c r="K2197" s="80"/>
      <c r="L2197" s="2"/>
      <c r="M2197" s="2"/>
      <c r="N2197" s="2"/>
      <c r="O2197" s="2"/>
      <c r="P2197" s="2"/>
      <c r="Q2197" s="2"/>
      <c r="R2197" s="80"/>
      <c r="S2197" s="80"/>
      <c r="T2197" s="80"/>
      <c r="U2197" s="80"/>
      <c r="V2197" s="80"/>
      <c r="W2197" s="80"/>
      <c r="X2197" s="80"/>
      <c r="Y2197" s="80"/>
      <c r="Z2197" s="80"/>
      <c r="AA2197" s="80"/>
      <c r="AB2197" s="80"/>
      <c r="AC2197" s="80"/>
      <c r="AD2197" s="80"/>
      <c r="AE2197" s="80"/>
      <c r="AF2197" s="80"/>
      <c r="AG2197" s="80"/>
      <c r="AH2197" s="80"/>
      <c r="AI2197" s="80"/>
    </row>
    <row r="2198" spans="1:35" x14ac:dyDescent="0.2">
      <c r="A2198" s="80"/>
      <c r="B2198" s="80"/>
      <c r="C2198" s="80"/>
      <c r="D2198" s="80"/>
      <c r="E2198" s="80"/>
      <c r="F2198" s="80"/>
      <c r="G2198" s="80"/>
      <c r="H2198" s="80"/>
      <c r="I2198" s="80"/>
      <c r="J2198" s="80"/>
      <c r="K2198" s="80"/>
      <c r="L2198" s="2"/>
      <c r="M2198" s="2"/>
      <c r="N2198" s="2"/>
      <c r="O2198" s="2"/>
      <c r="P2198" s="2"/>
      <c r="Q2198" s="2"/>
      <c r="R2198" s="80"/>
      <c r="S2198" s="80"/>
      <c r="T2198" s="80"/>
      <c r="U2198" s="80"/>
      <c r="V2198" s="80"/>
      <c r="W2198" s="80"/>
      <c r="X2198" s="80"/>
      <c r="Y2198" s="80"/>
      <c r="Z2198" s="80"/>
      <c r="AA2198" s="80"/>
      <c r="AB2198" s="80"/>
      <c r="AC2198" s="80"/>
      <c r="AD2198" s="80"/>
      <c r="AE2198" s="80"/>
      <c r="AF2198" s="80"/>
      <c r="AG2198" s="80"/>
      <c r="AH2198" s="80"/>
      <c r="AI2198" s="80"/>
    </row>
    <row r="2199" spans="1:35" x14ac:dyDescent="0.2">
      <c r="A2199" s="80"/>
      <c r="B2199" s="80"/>
      <c r="C2199" s="80"/>
      <c r="D2199" s="80"/>
      <c r="E2199" s="80"/>
      <c r="F2199" s="80"/>
      <c r="G2199" s="80"/>
      <c r="H2199" s="80"/>
      <c r="I2199" s="80"/>
      <c r="J2199" s="80"/>
      <c r="K2199" s="80"/>
      <c r="L2199" s="2"/>
      <c r="M2199" s="2"/>
      <c r="N2199" s="2"/>
      <c r="O2199" s="2"/>
      <c r="P2199" s="2"/>
      <c r="Q2199" s="2"/>
      <c r="R2199" s="80"/>
      <c r="S2199" s="80"/>
      <c r="T2199" s="80"/>
      <c r="U2199" s="80"/>
      <c r="V2199" s="80"/>
      <c r="W2199" s="80"/>
      <c r="X2199" s="80"/>
      <c r="Y2199" s="80"/>
      <c r="Z2199" s="80"/>
      <c r="AA2199" s="80"/>
      <c r="AB2199" s="80"/>
      <c r="AC2199" s="80"/>
      <c r="AD2199" s="80"/>
      <c r="AE2199" s="80"/>
      <c r="AF2199" s="80"/>
      <c r="AG2199" s="80"/>
      <c r="AH2199" s="80"/>
      <c r="AI2199" s="80"/>
    </row>
    <row r="2200" spans="1:35" x14ac:dyDescent="0.2">
      <c r="A2200" s="80"/>
      <c r="B2200" s="80"/>
      <c r="C2200" s="80"/>
      <c r="D2200" s="80"/>
      <c r="E2200" s="80"/>
      <c r="F2200" s="80"/>
      <c r="G2200" s="80"/>
      <c r="H2200" s="80"/>
      <c r="I2200" s="80"/>
      <c r="J2200" s="80"/>
      <c r="K2200" s="80"/>
      <c r="L2200" s="2"/>
      <c r="M2200" s="2"/>
      <c r="N2200" s="2"/>
      <c r="O2200" s="2"/>
      <c r="P2200" s="2"/>
      <c r="Q2200" s="2"/>
      <c r="R2200" s="80"/>
      <c r="S2200" s="80"/>
      <c r="T2200" s="80"/>
      <c r="U2200" s="80"/>
      <c r="V2200" s="80"/>
      <c r="W2200" s="80"/>
      <c r="X2200" s="80"/>
      <c r="Y2200" s="80"/>
      <c r="Z2200" s="80"/>
      <c r="AA2200" s="80"/>
      <c r="AB2200" s="80"/>
      <c r="AC2200" s="80"/>
      <c r="AD2200" s="80"/>
      <c r="AE2200" s="80"/>
      <c r="AF2200" s="80"/>
      <c r="AG2200" s="80"/>
      <c r="AH2200" s="80"/>
      <c r="AI2200" s="80"/>
    </row>
    <row r="2201" spans="1:35" x14ac:dyDescent="0.2">
      <c r="A2201" s="80"/>
      <c r="B2201" s="80"/>
      <c r="C2201" s="80"/>
      <c r="D2201" s="80"/>
      <c r="E2201" s="80"/>
      <c r="F2201" s="80"/>
      <c r="G2201" s="80"/>
      <c r="H2201" s="80"/>
      <c r="I2201" s="80"/>
      <c r="J2201" s="80"/>
      <c r="K2201" s="80"/>
      <c r="L2201" s="2"/>
      <c r="M2201" s="2"/>
      <c r="N2201" s="2"/>
      <c r="O2201" s="2"/>
      <c r="P2201" s="2"/>
      <c r="Q2201" s="2"/>
      <c r="R2201" s="80"/>
      <c r="S2201" s="80"/>
      <c r="T2201" s="80"/>
      <c r="U2201" s="80"/>
      <c r="V2201" s="80"/>
      <c r="W2201" s="80"/>
      <c r="X2201" s="80"/>
      <c r="Y2201" s="80"/>
      <c r="Z2201" s="80"/>
      <c r="AA2201" s="80"/>
      <c r="AB2201" s="80"/>
      <c r="AC2201" s="80"/>
      <c r="AD2201" s="80"/>
      <c r="AE2201" s="80"/>
      <c r="AF2201" s="80"/>
      <c r="AG2201" s="80"/>
      <c r="AH2201" s="80"/>
      <c r="AI2201" s="80"/>
    </row>
    <row r="2202" spans="1:35" x14ac:dyDescent="0.2">
      <c r="A2202" s="80"/>
      <c r="B2202" s="80"/>
      <c r="C2202" s="80"/>
      <c r="D2202" s="80"/>
      <c r="E2202" s="80"/>
      <c r="F2202" s="80"/>
      <c r="G2202" s="80"/>
      <c r="H2202" s="80"/>
      <c r="I2202" s="80"/>
      <c r="J2202" s="80"/>
      <c r="K2202" s="80"/>
      <c r="L2202" s="2"/>
      <c r="M2202" s="2"/>
      <c r="N2202" s="2"/>
      <c r="O2202" s="2"/>
      <c r="P2202" s="2"/>
      <c r="Q2202" s="2"/>
      <c r="R2202" s="80"/>
      <c r="S2202" s="80"/>
      <c r="T2202" s="80"/>
      <c r="U2202" s="80"/>
      <c r="V2202" s="80"/>
      <c r="W2202" s="80"/>
      <c r="X2202" s="80"/>
      <c r="Y2202" s="80"/>
      <c r="Z2202" s="80"/>
      <c r="AA2202" s="80"/>
      <c r="AB2202" s="80"/>
      <c r="AC2202" s="80"/>
      <c r="AD2202" s="80"/>
      <c r="AE2202" s="80"/>
      <c r="AF2202" s="80"/>
      <c r="AG2202" s="80"/>
      <c r="AH2202" s="80"/>
      <c r="AI2202" s="80"/>
    </row>
    <row r="2203" spans="1:35" x14ac:dyDescent="0.2">
      <c r="A2203" s="80"/>
      <c r="B2203" s="80"/>
      <c r="C2203" s="80"/>
      <c r="D2203" s="80"/>
      <c r="E2203" s="80"/>
      <c r="F2203" s="80"/>
      <c r="G2203" s="80"/>
      <c r="H2203" s="80"/>
      <c r="I2203" s="80"/>
      <c r="J2203" s="80"/>
      <c r="K2203" s="80"/>
      <c r="L2203" s="2"/>
      <c r="M2203" s="2"/>
      <c r="N2203" s="2"/>
      <c r="O2203" s="2"/>
      <c r="P2203" s="2"/>
      <c r="Q2203" s="2"/>
      <c r="R2203" s="80"/>
      <c r="S2203" s="80"/>
      <c r="T2203" s="80"/>
      <c r="U2203" s="80"/>
      <c r="V2203" s="80"/>
      <c r="W2203" s="80"/>
      <c r="X2203" s="80"/>
      <c r="Y2203" s="80"/>
      <c r="Z2203" s="80"/>
      <c r="AA2203" s="80"/>
      <c r="AB2203" s="80"/>
      <c r="AC2203" s="80"/>
      <c r="AD2203" s="80"/>
      <c r="AE2203" s="80"/>
      <c r="AF2203" s="80"/>
      <c r="AG2203" s="80"/>
      <c r="AH2203" s="80"/>
      <c r="AI2203" s="80"/>
    </row>
    <row r="2204" spans="1:35" x14ac:dyDescent="0.2">
      <c r="A2204" s="80"/>
      <c r="B2204" s="80"/>
      <c r="C2204" s="80"/>
      <c r="D2204" s="80"/>
      <c r="E2204" s="80"/>
      <c r="F2204" s="80"/>
      <c r="G2204" s="80"/>
      <c r="H2204" s="80"/>
      <c r="I2204" s="80"/>
      <c r="J2204" s="80"/>
      <c r="K2204" s="80"/>
      <c r="L2204" s="2"/>
      <c r="M2204" s="2"/>
      <c r="N2204" s="2"/>
      <c r="O2204" s="2"/>
      <c r="P2204" s="2"/>
      <c r="Q2204" s="2"/>
      <c r="R2204" s="80"/>
      <c r="S2204" s="80"/>
      <c r="T2204" s="80"/>
      <c r="U2204" s="80"/>
      <c r="V2204" s="80"/>
      <c r="W2204" s="80"/>
      <c r="X2204" s="80"/>
      <c r="Y2204" s="80"/>
      <c r="Z2204" s="80"/>
      <c r="AA2204" s="80"/>
      <c r="AB2204" s="80"/>
      <c r="AC2204" s="80"/>
      <c r="AD2204" s="80"/>
      <c r="AE2204" s="80"/>
      <c r="AF2204" s="80"/>
      <c r="AG2204" s="80"/>
      <c r="AH2204" s="80"/>
      <c r="AI2204" s="80"/>
    </row>
    <row r="2205" spans="1:35" x14ac:dyDescent="0.2">
      <c r="A2205" s="80"/>
      <c r="B2205" s="80"/>
      <c r="C2205" s="80"/>
      <c r="D2205" s="80"/>
      <c r="E2205" s="80"/>
      <c r="F2205" s="80"/>
      <c r="G2205" s="80"/>
      <c r="H2205" s="80"/>
      <c r="I2205" s="80"/>
      <c r="J2205" s="80"/>
      <c r="K2205" s="80"/>
      <c r="L2205" s="2"/>
      <c r="M2205" s="2"/>
      <c r="N2205" s="2"/>
      <c r="O2205" s="2"/>
      <c r="P2205" s="2"/>
      <c r="Q2205" s="2"/>
      <c r="R2205" s="80"/>
      <c r="S2205" s="80"/>
      <c r="T2205" s="80"/>
      <c r="U2205" s="80"/>
      <c r="V2205" s="80"/>
      <c r="W2205" s="80"/>
      <c r="X2205" s="80"/>
      <c r="Y2205" s="80"/>
      <c r="Z2205" s="80"/>
      <c r="AA2205" s="80"/>
      <c r="AB2205" s="80"/>
      <c r="AC2205" s="80"/>
      <c r="AD2205" s="80"/>
      <c r="AE2205" s="80"/>
      <c r="AF2205" s="80"/>
      <c r="AG2205" s="80"/>
      <c r="AH2205" s="80"/>
      <c r="AI2205" s="80"/>
    </row>
    <row r="2206" spans="1:35" x14ac:dyDescent="0.2">
      <c r="A2206" s="80"/>
      <c r="B2206" s="80"/>
      <c r="C2206" s="80"/>
      <c r="D2206" s="80"/>
      <c r="E2206" s="80"/>
      <c r="F2206" s="80"/>
      <c r="G2206" s="80"/>
      <c r="H2206" s="80"/>
      <c r="I2206" s="80"/>
      <c r="J2206" s="80"/>
      <c r="K2206" s="80"/>
      <c r="L2206" s="2"/>
      <c r="M2206" s="2"/>
      <c r="N2206" s="2"/>
      <c r="O2206" s="2"/>
      <c r="P2206" s="2"/>
      <c r="Q2206" s="2"/>
      <c r="R2206" s="80"/>
      <c r="S2206" s="80"/>
      <c r="T2206" s="80"/>
      <c r="U2206" s="80"/>
      <c r="V2206" s="80"/>
      <c r="W2206" s="80"/>
      <c r="X2206" s="80"/>
      <c r="Y2206" s="80"/>
      <c r="Z2206" s="80"/>
      <c r="AA2206" s="80"/>
      <c r="AB2206" s="80"/>
      <c r="AC2206" s="80"/>
      <c r="AD2206" s="80"/>
      <c r="AE2206" s="80"/>
      <c r="AF2206" s="80"/>
      <c r="AG2206" s="80"/>
      <c r="AH2206" s="80"/>
      <c r="AI2206" s="80"/>
    </row>
    <row r="2207" spans="1:35" x14ac:dyDescent="0.2">
      <c r="A2207" s="80"/>
      <c r="B2207" s="80"/>
      <c r="C2207" s="80"/>
      <c r="D2207" s="80"/>
      <c r="E2207" s="80"/>
      <c r="F2207" s="80"/>
      <c r="G2207" s="80"/>
      <c r="H2207" s="80"/>
      <c r="I2207" s="80"/>
      <c r="J2207" s="80"/>
      <c r="K2207" s="80"/>
      <c r="L2207" s="2"/>
      <c r="M2207" s="2"/>
      <c r="N2207" s="2"/>
      <c r="O2207" s="2"/>
      <c r="P2207" s="2"/>
      <c r="Q2207" s="2"/>
      <c r="R2207" s="80"/>
      <c r="S2207" s="80"/>
      <c r="T2207" s="80"/>
      <c r="U2207" s="80"/>
      <c r="V2207" s="80"/>
      <c r="W2207" s="80"/>
      <c r="X2207" s="80"/>
      <c r="Y2207" s="80"/>
      <c r="Z2207" s="80"/>
      <c r="AA2207" s="80"/>
      <c r="AB2207" s="80"/>
      <c r="AC2207" s="80"/>
      <c r="AD2207" s="80"/>
      <c r="AE2207" s="80"/>
      <c r="AF2207" s="80"/>
      <c r="AG2207" s="80"/>
      <c r="AH2207" s="80"/>
      <c r="AI2207" s="80"/>
    </row>
    <row r="2208" spans="1:35" x14ac:dyDescent="0.2">
      <c r="A2208" s="80"/>
      <c r="B2208" s="80"/>
      <c r="C2208" s="80"/>
      <c r="D2208" s="80"/>
      <c r="E2208" s="80"/>
      <c r="F2208" s="80"/>
      <c r="G2208" s="80"/>
      <c r="H2208" s="80"/>
      <c r="I2208" s="80"/>
      <c r="J2208" s="80"/>
      <c r="K2208" s="80"/>
      <c r="L2208" s="2"/>
      <c r="M2208" s="2"/>
      <c r="N2208" s="2"/>
      <c r="O2208" s="2"/>
      <c r="P2208" s="2"/>
      <c r="Q2208" s="2"/>
      <c r="R2208" s="80"/>
      <c r="S2208" s="80"/>
      <c r="T2208" s="80"/>
      <c r="U2208" s="80"/>
      <c r="V2208" s="80"/>
      <c r="W2208" s="80"/>
      <c r="X2208" s="80"/>
      <c r="Y2208" s="80"/>
      <c r="Z2208" s="80"/>
      <c r="AA2208" s="80"/>
      <c r="AB2208" s="80"/>
      <c r="AC2208" s="80"/>
      <c r="AD2208" s="80"/>
      <c r="AE2208" s="80"/>
      <c r="AF2208" s="80"/>
      <c r="AG2208" s="80"/>
      <c r="AH2208" s="80"/>
      <c r="AI2208" s="80"/>
    </row>
    <row r="2209" spans="1:35" x14ac:dyDescent="0.2">
      <c r="A2209" s="80"/>
      <c r="B2209" s="80"/>
      <c r="C2209" s="80"/>
      <c r="D2209" s="80"/>
      <c r="E2209" s="80"/>
      <c r="F2209" s="80"/>
      <c r="G2209" s="80"/>
      <c r="H2209" s="80"/>
      <c r="I2209" s="80"/>
      <c r="J2209" s="80"/>
      <c r="K2209" s="80"/>
      <c r="L2209" s="2"/>
      <c r="M2209" s="2"/>
      <c r="N2209" s="2"/>
      <c r="O2209" s="2"/>
      <c r="P2209" s="2"/>
      <c r="Q2209" s="2"/>
      <c r="R2209" s="80"/>
      <c r="S2209" s="80"/>
      <c r="T2209" s="80"/>
      <c r="U2209" s="80"/>
      <c r="V2209" s="80"/>
      <c r="W2209" s="80"/>
      <c r="X2209" s="80"/>
      <c r="Y2209" s="80"/>
      <c r="Z2209" s="80"/>
      <c r="AA2209" s="80"/>
      <c r="AB2209" s="80"/>
      <c r="AC2209" s="80"/>
      <c r="AD2209" s="80"/>
      <c r="AE2209" s="80"/>
      <c r="AF2209" s="80"/>
      <c r="AG2209" s="80"/>
      <c r="AH2209" s="80"/>
      <c r="AI2209" s="80"/>
    </row>
    <row r="2210" spans="1:35" x14ac:dyDescent="0.2">
      <c r="A2210" s="80"/>
      <c r="B2210" s="80"/>
      <c r="C2210" s="80"/>
      <c r="D2210" s="80"/>
      <c r="E2210" s="80"/>
      <c r="F2210" s="80"/>
      <c r="G2210" s="80"/>
      <c r="H2210" s="80"/>
      <c r="I2210" s="80"/>
      <c r="J2210" s="80"/>
      <c r="K2210" s="80"/>
      <c r="L2210" s="2"/>
      <c r="M2210" s="2"/>
      <c r="N2210" s="2"/>
      <c r="O2210" s="2"/>
      <c r="P2210" s="2"/>
      <c r="Q2210" s="2"/>
      <c r="R2210" s="80"/>
      <c r="S2210" s="80"/>
      <c r="T2210" s="80"/>
      <c r="U2210" s="80"/>
      <c r="V2210" s="80"/>
      <c r="W2210" s="80"/>
      <c r="X2210" s="80"/>
      <c r="Y2210" s="80"/>
      <c r="Z2210" s="80"/>
      <c r="AA2210" s="80"/>
      <c r="AB2210" s="80"/>
      <c r="AC2210" s="80"/>
      <c r="AD2210" s="80"/>
      <c r="AE2210" s="80"/>
      <c r="AF2210" s="80"/>
      <c r="AG2210" s="80"/>
      <c r="AH2210" s="80"/>
      <c r="AI2210" s="80"/>
    </row>
    <row r="2211" spans="1:35" x14ac:dyDescent="0.2">
      <c r="A2211" s="80"/>
      <c r="B2211" s="80"/>
      <c r="C2211" s="80"/>
      <c r="D2211" s="80"/>
      <c r="E2211" s="80"/>
      <c r="F2211" s="80"/>
      <c r="G2211" s="80"/>
      <c r="H2211" s="80"/>
      <c r="I2211" s="80"/>
      <c r="J2211" s="80"/>
      <c r="K2211" s="80"/>
      <c r="L2211" s="2"/>
      <c r="M2211" s="2"/>
      <c r="N2211" s="2"/>
      <c r="O2211" s="2"/>
      <c r="P2211" s="2"/>
      <c r="Q2211" s="2"/>
      <c r="R2211" s="80"/>
      <c r="S2211" s="80"/>
      <c r="T2211" s="80"/>
      <c r="U2211" s="80"/>
      <c r="V2211" s="80"/>
      <c r="W2211" s="80"/>
      <c r="X2211" s="80"/>
      <c r="Y2211" s="80"/>
      <c r="Z2211" s="80"/>
      <c r="AA2211" s="80"/>
      <c r="AB2211" s="80"/>
      <c r="AC2211" s="80"/>
      <c r="AD2211" s="80"/>
      <c r="AE2211" s="80"/>
      <c r="AF2211" s="80"/>
      <c r="AG2211" s="80"/>
      <c r="AH2211" s="80"/>
      <c r="AI2211" s="80"/>
    </row>
    <row r="2212" spans="1:35" x14ac:dyDescent="0.2">
      <c r="A2212" s="80"/>
      <c r="B2212" s="80"/>
      <c r="C2212" s="80"/>
      <c r="D2212" s="80"/>
      <c r="E2212" s="80"/>
      <c r="F2212" s="80"/>
      <c r="G2212" s="80"/>
      <c r="H2212" s="80"/>
      <c r="I2212" s="80"/>
      <c r="J2212" s="80"/>
      <c r="K2212" s="80"/>
      <c r="L2212" s="2"/>
      <c r="M2212" s="2"/>
      <c r="N2212" s="2"/>
      <c r="O2212" s="2"/>
      <c r="P2212" s="2"/>
      <c r="Q2212" s="2"/>
      <c r="R2212" s="80"/>
      <c r="S2212" s="80"/>
      <c r="T2212" s="80"/>
      <c r="U2212" s="80"/>
      <c r="V2212" s="80"/>
      <c r="W2212" s="80"/>
      <c r="X2212" s="80"/>
      <c r="Y2212" s="80"/>
      <c r="Z2212" s="80"/>
      <c r="AA2212" s="80"/>
      <c r="AB2212" s="80"/>
      <c r="AC2212" s="80"/>
      <c r="AD2212" s="80"/>
      <c r="AE2212" s="80"/>
      <c r="AF2212" s="80"/>
      <c r="AG2212" s="80"/>
      <c r="AH2212" s="80"/>
      <c r="AI2212" s="80"/>
    </row>
  </sheetData>
  <sheetProtection password="C4B7" sheet="1" objects="1" scenarios="1" selectLockedCells="1"/>
  <customSheetViews>
    <customSheetView guid="{4DE99834-7080-40E5-9A2F-2BF27F7EDEBF}" scale="75" showPageBreaks="1" showGridLines="0" zeroValues="0" printArea="1" view="pageBreakPreview" showRuler="0" topLeftCell="A8">
      <selection activeCell="L35" sqref="L35"/>
      <rowBreaks count="1" manualBreakCount="1">
        <brk id="41" min="1" max="9" man="1"/>
      </rowBreaks>
      <pageMargins left="0.78740157480314965" right="0.19685039370078741" top="0.98425196850393704" bottom="0.98425196850393704" header="0.51181102362204722" footer="0.51181102362204722"/>
      <printOptions horizontalCentered="1" verticalCentered="1"/>
      <pageSetup paperSize="9" scale="88" orientation="portrait" horizontalDpi="120" verticalDpi="144" r:id="rId1"/>
      <headerFooter alignWithMargins="0"/>
    </customSheetView>
  </customSheetViews>
  <mergeCells count="34">
    <mergeCell ref="H79:H80"/>
    <mergeCell ref="I79:I80"/>
    <mergeCell ref="C6:K6"/>
    <mergeCell ref="E66:J66"/>
    <mergeCell ref="E67:J67"/>
    <mergeCell ref="J79:J80"/>
    <mergeCell ref="B74:D74"/>
    <mergeCell ref="J72:K72"/>
    <mergeCell ref="E72:I72"/>
    <mergeCell ref="D7:D8"/>
    <mergeCell ref="B73:K73"/>
    <mergeCell ref="H74:J74"/>
    <mergeCell ref="E7:G7"/>
    <mergeCell ref="H7:J7"/>
    <mergeCell ref="B7:B8"/>
    <mergeCell ref="C7:C8"/>
    <mergeCell ref="H83:H84"/>
    <mergeCell ref="G104:I104"/>
    <mergeCell ref="I83:I84"/>
    <mergeCell ref="J83:J84"/>
    <mergeCell ref="J87:K87"/>
    <mergeCell ref="K83:K84"/>
    <mergeCell ref="B98:K98"/>
    <mergeCell ref="E100:G100"/>
    <mergeCell ref="C4:H4"/>
    <mergeCell ref="H81:H82"/>
    <mergeCell ref="B2:K2"/>
    <mergeCell ref="B3:K3"/>
    <mergeCell ref="K79:K80"/>
    <mergeCell ref="K81:K82"/>
    <mergeCell ref="B5:K5"/>
    <mergeCell ref="B76:K76"/>
    <mergeCell ref="I81:I82"/>
    <mergeCell ref="J81:J82"/>
  </mergeCells>
  <phoneticPr fontId="38" type="noConversion"/>
  <conditionalFormatting sqref="B98:K104">
    <cfRule type="expression" dxfId="21" priority="1" stopIfTrue="1">
      <formula>$Q$17=FALSE</formula>
    </cfRule>
  </conditionalFormatting>
  <conditionalFormatting sqref="B7:K71">
    <cfRule type="expression" dxfId="20" priority="2" stopIfTrue="1">
      <formula>$Y$1=0</formula>
    </cfRule>
  </conditionalFormatting>
  <conditionalFormatting sqref="M2">
    <cfRule type="cellIs" dxfId="19" priority="3" stopIfTrue="1" operator="equal">
      <formula>0</formula>
    </cfRule>
  </conditionalFormatting>
  <conditionalFormatting sqref="M4">
    <cfRule type="cellIs" dxfId="18" priority="4" stopIfTrue="1" operator="equal">
      <formula>0</formula>
    </cfRule>
  </conditionalFormatting>
  <dataValidations xWindow="1091" yWindow="97" count="1">
    <dataValidation type="decimal" allowBlank="1" showInputMessage="1" showErrorMessage="1" promptTitle="ВНИМАНИЕ" prompt="Введите количество личного состава по общевойсковому пайку!" sqref="M2">
      <formula1>0</formula1>
      <formula2>5000</formula2>
    </dataValidation>
  </dataValidations>
  <hyperlinks>
    <hyperlink ref="A2" location="'Раскладка продуктов'!B64" tooltip="Переход в раскладку продуктов" display="ЧЕТВЕРГ"/>
  </hyperlinks>
  <pageMargins left="0.78740157480314965" right="0.19685039370078741" top="0.59055118110236227" bottom="0.59055118110236227" header="0.51181102362204722" footer="0.51181102362204722"/>
  <pageSetup paperSize="9" scale="69" orientation="portrait" horizontalDpi="120" verticalDpi="144" r:id="rId2"/>
  <headerFooter alignWithMargins="0"/>
  <rowBreaks count="1" manualBreakCount="1">
    <brk id="58" min="1" max="10" man="1"/>
  </rowBreaks>
  <drawing r:id="rId3"/>
  <legacyDrawing r:id="rId4"/>
  <controls>
    <mc:AlternateContent xmlns:mc="http://schemas.openxmlformats.org/markup-compatibility/2006">
      <mc:Choice Requires="x14">
        <control shapeId="16431" r:id="rId5" name="CommandButton1">
          <controlPr locked="0" defaultSize="0" autoLine="0" r:id="rId6">
            <anchor moveWithCells="1">
              <from>
                <xdr:col>11</xdr:col>
                <xdr:colOff>323850</xdr:colOff>
                <xdr:row>3</xdr:row>
                <xdr:rowOff>0</xdr:rowOff>
              </from>
              <to>
                <xdr:col>13</xdr:col>
                <xdr:colOff>523875</xdr:colOff>
                <xdr:row>4</xdr:row>
                <xdr:rowOff>76200</xdr:rowOff>
              </to>
            </anchor>
          </controlPr>
        </control>
      </mc:Choice>
      <mc:Fallback>
        <control shapeId="16431" r:id="rId5" name="CommandButton1"/>
      </mc:Fallback>
    </mc:AlternateContent>
    <mc:AlternateContent xmlns:mc="http://schemas.openxmlformats.org/markup-compatibility/2006">
      <mc:Choice Requires="x14">
        <control shapeId="16386" r:id="rId7" name="Spinner 2">
          <controlPr defaultSize="0" autoPict="0">
            <anchor moveWithCells="1" sizeWithCells="1">
              <from>
                <xdr:col>13</xdr:col>
                <xdr:colOff>28575</xdr:colOff>
                <xdr:row>0</xdr:row>
                <xdr:rowOff>76200</xdr:rowOff>
              </from>
              <to>
                <xdr:col>13</xdr:col>
                <xdr:colOff>466725</xdr:colOff>
                <xdr:row>2</xdr:row>
                <xdr:rowOff>76200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Пт">
    <tabColor indexed="54"/>
  </sheetPr>
  <dimension ref="A1:AD128"/>
  <sheetViews>
    <sheetView showGridLines="0" showZeros="0" showOutlineSymbols="0" view="pageBreakPreview" zoomScale="65" zoomScaleNormal="75" workbookViewId="0">
      <selection activeCell="M2" sqref="M2"/>
    </sheetView>
  </sheetViews>
  <sheetFormatPr defaultRowHeight="12.75" x14ac:dyDescent="0.2"/>
  <cols>
    <col min="1" max="1" width="5.7109375" style="4" customWidth="1"/>
    <col min="2" max="2" width="51.42578125" customWidth="1"/>
    <col min="3" max="3" width="4.7109375" customWidth="1"/>
    <col min="4" max="4" width="9.5703125" customWidth="1"/>
    <col min="5" max="7" width="9.5703125" hidden="1" customWidth="1"/>
    <col min="8" max="11" width="17.5703125" customWidth="1"/>
    <col min="12" max="12" width="9.140625" style="4"/>
    <col min="13" max="13" width="8.7109375" style="4" customWidth="1"/>
    <col min="14" max="14" width="9.28515625" style="4" bestFit="1" customWidth="1"/>
    <col min="15" max="16" width="10.7109375" style="4" customWidth="1"/>
    <col min="17" max="17" width="9.28515625" style="4" hidden="1" customWidth="1"/>
    <col min="18" max="18" width="0" hidden="1" customWidth="1"/>
    <col min="19" max="19" width="8.140625" hidden="1" customWidth="1"/>
    <col min="20" max="20" width="7.28515625" hidden="1" customWidth="1"/>
    <col min="21" max="21" width="9.42578125" hidden="1" customWidth="1"/>
    <col min="22" max="22" width="6.7109375" hidden="1" customWidth="1"/>
    <col min="23" max="26" width="0" hidden="1" customWidth="1"/>
  </cols>
  <sheetData>
    <row r="1" spans="1:30" ht="13.9" customHeight="1" thickBot="1" x14ac:dyDescent="0.25">
      <c r="B1" s="80"/>
      <c r="C1" s="80"/>
      <c r="D1" s="80"/>
      <c r="E1" s="80"/>
      <c r="F1" s="80"/>
      <c r="G1" s="80"/>
      <c r="H1" s="80"/>
      <c r="I1" s="80"/>
      <c r="J1" s="80"/>
      <c r="K1" s="244" t="s">
        <v>160</v>
      </c>
      <c r="L1" s="2"/>
      <c r="M1" s="2"/>
      <c r="N1" s="2"/>
      <c r="O1" s="2"/>
      <c r="P1" s="2"/>
      <c r="Q1" s="2"/>
      <c r="R1" s="80"/>
      <c r="S1" s="80"/>
      <c r="T1" s="80"/>
      <c r="U1" s="80"/>
      <c r="V1" s="80"/>
      <c r="W1" s="80">
        <v>5</v>
      </c>
      <c r="X1" s="302">
        <v>1</v>
      </c>
      <c r="Y1" s="2">
        <f>'Блок ввода'!G4</f>
        <v>0</v>
      </c>
      <c r="Z1" s="80"/>
      <c r="AA1" s="80"/>
      <c r="AB1" s="80"/>
      <c r="AC1" s="80"/>
      <c r="AD1" s="80"/>
    </row>
    <row r="2" spans="1:30" ht="21" customHeight="1" thickTop="1" thickBot="1" x14ac:dyDescent="0.25">
      <c r="A2" s="485" t="s">
        <v>524</v>
      </c>
      <c r="B2" s="1601" t="s">
        <v>511</v>
      </c>
      <c r="C2" s="1601"/>
      <c r="D2" s="1601"/>
      <c r="E2" s="1601"/>
      <c r="F2" s="1601"/>
      <c r="G2" s="1601"/>
      <c r="H2" s="1601"/>
      <c r="I2" s="1601"/>
      <c r="J2" s="1601"/>
      <c r="K2" s="1601"/>
      <c r="L2" s="2"/>
      <c r="M2" s="139">
        <v>0</v>
      </c>
      <c r="N2" s="2"/>
      <c r="O2" s="2"/>
      <c r="P2" s="2"/>
      <c r="Q2" s="2"/>
      <c r="R2" s="80"/>
      <c r="S2" s="80"/>
      <c r="T2" s="80"/>
      <c r="U2" s="80"/>
      <c r="V2" s="80"/>
      <c r="W2" s="80"/>
      <c r="X2" s="302">
        <v>0</v>
      </c>
      <c r="Y2" s="80"/>
      <c r="Z2" s="80"/>
      <c r="AA2" s="80"/>
      <c r="AB2" s="80"/>
      <c r="AC2" s="80"/>
      <c r="AD2" s="80"/>
    </row>
    <row r="3" spans="1:30" ht="18.95" customHeight="1" thickTop="1" x14ac:dyDescent="0.25">
      <c r="B3" s="1602" t="str">
        <f>CONCATENATE(" на выдачу продовольствия в столовую ",'Блок ввода'!G8," ",'Блок ввода'!I2)</f>
        <v xml:space="preserve"> на выдачу продовольствия в столовую войсковой части 00000</v>
      </c>
      <c r="C3" s="1602"/>
      <c r="D3" s="1602"/>
      <c r="E3" s="1602"/>
      <c r="F3" s="1602"/>
      <c r="G3" s="1602"/>
      <c r="H3" s="1602"/>
      <c r="I3" s="1602"/>
      <c r="J3" s="1602"/>
      <c r="K3" s="1602"/>
      <c r="L3" s="2"/>
      <c r="M3" s="137"/>
      <c r="N3" s="2"/>
      <c r="O3" s="2"/>
      <c r="P3" s="2"/>
      <c r="Q3" s="2"/>
      <c r="R3" s="80"/>
      <c r="S3" s="80"/>
      <c r="T3" s="80"/>
      <c r="U3" s="80"/>
      <c r="V3" s="80"/>
      <c r="W3" s="80"/>
      <c r="X3" s="302">
        <v>0</v>
      </c>
      <c r="Y3" s="80"/>
      <c r="Z3" s="80"/>
      <c r="AA3" s="80"/>
      <c r="AB3" s="80"/>
      <c r="AC3" s="80"/>
      <c r="AD3" s="80"/>
    </row>
    <row r="4" spans="1:30" ht="21" customHeight="1" x14ac:dyDescent="0.25">
      <c r="A4" s="2"/>
      <c r="B4" s="245" t="s">
        <v>214</v>
      </c>
      <c r="C4" s="1599">
        <f>'Блок ввода'!$I$4+4</f>
        <v>40095</v>
      </c>
      <c r="D4" s="1599"/>
      <c r="E4" s="1599"/>
      <c r="F4" s="1599"/>
      <c r="G4" s="1599"/>
      <c r="H4" s="1599"/>
      <c r="I4" s="1219"/>
      <c r="J4" s="1219"/>
      <c r="K4" s="1219"/>
      <c r="L4" s="2"/>
      <c r="M4" s="1232">
        <v>0</v>
      </c>
      <c r="N4" s="2"/>
      <c r="O4" s="2"/>
      <c r="P4" s="2"/>
      <c r="Q4" s="2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</row>
    <row r="5" spans="1:30" ht="17.100000000000001" customHeight="1" x14ac:dyDescent="0.25">
      <c r="A5" s="144"/>
      <c r="B5" s="1582" t="s">
        <v>375</v>
      </c>
      <c r="C5" s="1582"/>
      <c r="D5" s="1582"/>
      <c r="E5" s="1582"/>
      <c r="F5" s="1582"/>
      <c r="G5" s="1582"/>
      <c r="H5" s="1582"/>
      <c r="I5" s="1582"/>
      <c r="J5" s="1582"/>
      <c r="K5" s="1583"/>
      <c r="L5" s="137"/>
      <c r="M5" s="2"/>
      <c r="N5" s="2"/>
      <c r="O5" s="2"/>
      <c r="P5" s="2"/>
      <c r="Q5" s="2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</row>
    <row r="6" spans="1:30" ht="19.899999999999999" customHeight="1" thickBot="1" x14ac:dyDescent="0.3">
      <c r="A6" s="144"/>
      <c r="B6" s="245" t="s">
        <v>234</v>
      </c>
      <c r="C6" s="1611" t="s">
        <v>449</v>
      </c>
      <c r="D6" s="1611"/>
      <c r="E6" s="1611"/>
      <c r="F6" s="1611"/>
      <c r="G6" s="1611"/>
      <c r="H6" s="1611"/>
      <c r="I6" s="1611"/>
      <c r="J6" s="1611"/>
      <c r="K6" s="1611"/>
      <c r="L6" s="2"/>
      <c r="M6" s="246"/>
      <c r="N6" s="2"/>
      <c r="O6" s="2"/>
      <c r="P6" s="2"/>
      <c r="Q6" s="2"/>
      <c r="R6" s="80"/>
      <c r="S6" s="80"/>
      <c r="T6" s="80"/>
      <c r="U6" s="142" t="b">
        <f>IF(OR('Раскладка продуктов'!A106=1750,'Раскладка продуктов'!A106=1745),0,FALSE)</f>
        <v>0</v>
      </c>
      <c r="V6" s="80"/>
      <c r="W6" s="80"/>
      <c r="X6" s="80"/>
      <c r="Y6" s="80"/>
      <c r="Z6" s="80"/>
      <c r="AA6" s="80"/>
      <c r="AB6" s="80"/>
      <c r="AC6" s="80"/>
      <c r="AD6" s="80"/>
    </row>
    <row r="7" spans="1:30" ht="13.5" customHeight="1" thickBot="1" x14ac:dyDescent="0.25">
      <c r="A7" s="2"/>
      <c r="B7" s="1574" t="s">
        <v>221</v>
      </c>
      <c r="C7" s="1614" t="s">
        <v>167</v>
      </c>
      <c r="D7" s="1578" t="s">
        <v>284</v>
      </c>
      <c r="E7" s="1604" t="s">
        <v>261</v>
      </c>
      <c r="F7" s="1605"/>
      <c r="G7" s="1606"/>
      <c r="H7" s="1604" t="s">
        <v>262</v>
      </c>
      <c r="I7" s="1605"/>
      <c r="J7" s="1606"/>
      <c r="K7" s="248"/>
      <c r="L7" s="2"/>
      <c r="M7" s="2"/>
      <c r="N7" s="2"/>
      <c r="O7" s="2"/>
      <c r="P7" s="2"/>
      <c r="Q7" s="2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</row>
    <row r="8" spans="1:30" ht="58.15" customHeight="1" thickBot="1" x14ac:dyDescent="0.25">
      <c r="A8" s="2"/>
      <c r="B8" s="1613"/>
      <c r="C8" s="1615"/>
      <c r="D8" s="1579"/>
      <c r="E8" s="270" t="s">
        <v>123</v>
      </c>
      <c r="F8" s="270" t="s">
        <v>124</v>
      </c>
      <c r="G8" s="270" t="s">
        <v>125</v>
      </c>
      <c r="H8" s="250" t="s">
        <v>123</v>
      </c>
      <c r="I8" s="250" t="s">
        <v>124</v>
      </c>
      <c r="J8" s="250" t="s">
        <v>125</v>
      </c>
      <c r="K8" s="252" t="s">
        <v>161</v>
      </c>
      <c r="L8" s="2"/>
      <c r="M8" s="2"/>
      <c r="N8" s="2"/>
      <c r="O8" s="2"/>
      <c r="P8" s="2"/>
      <c r="Q8" s="2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</row>
    <row r="9" spans="1:30" ht="15" customHeight="1" x14ac:dyDescent="0.25">
      <c r="A9" s="2"/>
      <c r="B9" s="598" t="str">
        <f>Расчёт!B263</f>
        <v>ХЛЕБ ИЗ СМЕСИ МУКИ РЖАНОЙ</v>
      </c>
      <c r="C9" s="1235" t="s">
        <v>163</v>
      </c>
      <c r="D9" s="506">
        <f>Цены!D9</f>
        <v>0</v>
      </c>
      <c r="E9" s="507">
        <v>0</v>
      </c>
      <c r="F9" s="507">
        <v>0</v>
      </c>
      <c r="G9" s="508">
        <v>0</v>
      </c>
      <c r="H9" s="489">
        <f>Расчёт!G263</f>
        <v>0</v>
      </c>
      <c r="I9" s="490">
        <f>Расчёт!H263</f>
        <v>0</v>
      </c>
      <c r="J9" s="491">
        <f>Расчёт!I263</f>
        <v>0</v>
      </c>
      <c r="K9" s="492">
        <f>SUM(E9:J9)-K66</f>
        <v>0</v>
      </c>
      <c r="L9" s="2"/>
      <c r="M9" s="253"/>
      <c r="N9" s="254"/>
      <c r="O9" s="2"/>
      <c r="P9" s="2"/>
      <c r="Q9" s="2"/>
      <c r="R9" s="80"/>
      <c r="S9" s="80"/>
      <c r="T9" s="80"/>
      <c r="U9" s="80" t="b">
        <v>0</v>
      </c>
      <c r="V9" s="154">
        <f t="shared" ref="V9:V70" si="0">IF(K9&gt;0,1,0)</f>
        <v>0</v>
      </c>
      <c r="W9" s="80"/>
      <c r="X9" s="80"/>
      <c r="Y9" s="80"/>
      <c r="Z9" s="155">
        <f>D9*K9</f>
        <v>0</v>
      </c>
      <c r="AA9" s="80"/>
      <c r="AB9" s="80"/>
      <c r="AC9" s="80"/>
      <c r="AD9" s="80"/>
    </row>
    <row r="10" spans="1:30" ht="15" customHeight="1" x14ac:dyDescent="0.25">
      <c r="A10" s="2"/>
      <c r="B10" s="493" t="str">
        <f>Расчёт!B264</f>
        <v>ХЛЕБ ИЗ МУКИ ПШ. 1 С.</v>
      </c>
      <c r="C10" s="704" t="s">
        <v>163</v>
      </c>
      <c r="D10" s="640">
        <f>Цены!D10</f>
        <v>0</v>
      </c>
      <c r="E10" s="488">
        <v>0</v>
      </c>
      <c r="F10" s="488">
        <v>0</v>
      </c>
      <c r="G10" s="571">
        <v>0</v>
      </c>
      <c r="H10" s="494">
        <f>Расчёт!G264</f>
        <v>0</v>
      </c>
      <c r="I10" s="495">
        <f>Расчёт!H264</f>
        <v>0</v>
      </c>
      <c r="J10" s="496">
        <f>Расчёт!I264</f>
        <v>0</v>
      </c>
      <c r="K10" s="497">
        <f>SUM(E10:J10)-K67</f>
        <v>0</v>
      </c>
      <c r="L10" s="2"/>
      <c r="M10" s="253"/>
      <c r="N10" s="254"/>
      <c r="O10" s="2"/>
      <c r="P10" s="2"/>
      <c r="Q10" s="2"/>
      <c r="R10" s="80"/>
      <c r="S10" s="80"/>
      <c r="T10" s="80"/>
      <c r="U10" s="80" t="b">
        <v>1</v>
      </c>
      <c r="V10" s="154">
        <f t="shared" si="0"/>
        <v>0</v>
      </c>
      <c r="W10" s="80"/>
      <c r="X10" s="80"/>
      <c r="Y10" s="80"/>
      <c r="Z10" s="155">
        <f t="shared" ref="Z10:Z71" si="1">D10*K10</f>
        <v>0</v>
      </c>
      <c r="AA10" s="80"/>
      <c r="AB10" s="80"/>
      <c r="AC10" s="80"/>
      <c r="AD10" s="80"/>
    </row>
    <row r="11" spans="1:30" ht="15" customHeight="1" thickBot="1" x14ac:dyDescent="0.3">
      <c r="A11" s="2"/>
      <c r="B11" s="498" t="str">
        <f>Расчёт!B265</f>
        <v>СУХАРИ (ХЛЕБЦЫ) ИЗ ПШ. МУКИ 1 С.</v>
      </c>
      <c r="C11" s="705" t="s">
        <v>163</v>
      </c>
      <c r="D11" s="1244">
        <f>Цены!D11</f>
        <v>0</v>
      </c>
      <c r="E11" s="516">
        <v>0</v>
      </c>
      <c r="F11" s="516">
        <v>0</v>
      </c>
      <c r="G11" s="517">
        <v>0</v>
      </c>
      <c r="H11" s="501">
        <f>Расчёт!G265</f>
        <v>0</v>
      </c>
      <c r="I11" s="502">
        <f>Расчёт!H265</f>
        <v>0</v>
      </c>
      <c r="J11" s="503">
        <f>Расчёт!I265</f>
        <v>0</v>
      </c>
      <c r="K11" s="504">
        <f t="shared" ref="K11:K65" si="2">SUM(E11:J11)</f>
        <v>0</v>
      </c>
      <c r="L11" s="2"/>
      <c r="M11" s="253"/>
      <c r="N11" s="254"/>
      <c r="O11" s="2"/>
      <c r="P11" s="2"/>
      <c r="Q11" s="2"/>
      <c r="R11" s="80"/>
      <c r="S11" s="80"/>
      <c r="T11" s="80"/>
      <c r="U11" s="80"/>
      <c r="V11" s="154"/>
      <c r="W11" s="80"/>
      <c r="X11" s="80"/>
      <c r="Y11" s="80"/>
      <c r="Z11" s="155">
        <f t="shared" si="1"/>
        <v>0</v>
      </c>
      <c r="AA11" s="80"/>
      <c r="AB11" s="80"/>
      <c r="AC11" s="80"/>
      <c r="AD11" s="80"/>
    </row>
    <row r="12" spans="1:30" ht="15" customHeight="1" x14ac:dyDescent="0.2">
      <c r="A12" s="2"/>
      <c r="B12" s="505" t="s">
        <v>130</v>
      </c>
      <c r="C12" s="610" t="s">
        <v>163</v>
      </c>
      <c r="D12" s="506">
        <f>Цены!D12</f>
        <v>0</v>
      </c>
      <c r="E12" s="507">
        <v>0</v>
      </c>
      <c r="F12" s="507">
        <v>0</v>
      </c>
      <c r="G12" s="508">
        <v>0</v>
      </c>
      <c r="H12" s="509">
        <f>Расчёт!G266</f>
        <v>0</v>
      </c>
      <c r="I12" s="510">
        <f>Расчёт!H266</f>
        <v>0</v>
      </c>
      <c r="J12" s="511">
        <f>ROUND(Расчёт!I266,1)</f>
        <v>0</v>
      </c>
      <c r="K12" s="512">
        <f t="shared" si="2"/>
        <v>0</v>
      </c>
      <c r="L12" s="2"/>
      <c r="M12" s="2"/>
      <c r="N12" s="2"/>
      <c r="O12" s="2"/>
      <c r="P12" s="2"/>
      <c r="Q12" s="2"/>
      <c r="R12" s="80"/>
      <c r="S12" s="80"/>
      <c r="T12" s="80"/>
      <c r="U12" s="80"/>
      <c r="V12" s="154">
        <f t="shared" si="0"/>
        <v>0</v>
      </c>
      <c r="W12" s="80"/>
      <c r="X12" s="80"/>
      <c r="Y12" s="80"/>
      <c r="Z12" s="155">
        <f t="shared" si="1"/>
        <v>0</v>
      </c>
      <c r="AA12" s="80"/>
      <c r="AB12" s="80"/>
      <c r="AC12" s="80"/>
      <c r="AD12" s="80"/>
    </row>
    <row r="13" spans="1:30" ht="15" customHeight="1" thickBot="1" x14ac:dyDescent="0.25">
      <c r="A13" s="2"/>
      <c r="B13" s="513" t="s">
        <v>131</v>
      </c>
      <c r="C13" s="620" t="s">
        <v>163</v>
      </c>
      <c r="D13" s="1244">
        <f>Цены!D13</f>
        <v>0</v>
      </c>
      <c r="E13" s="516">
        <v>0</v>
      </c>
      <c r="F13" s="516">
        <v>0</v>
      </c>
      <c r="G13" s="517">
        <v>0</v>
      </c>
      <c r="H13" s="515">
        <f>Расчёт!G267</f>
        <v>0</v>
      </c>
      <c r="I13" s="518">
        <f>Расчёт!H267</f>
        <v>0</v>
      </c>
      <c r="J13" s="519">
        <f>ROUND(Расчёт!I267,1)</f>
        <v>0</v>
      </c>
      <c r="K13" s="520">
        <f t="shared" si="2"/>
        <v>0</v>
      </c>
      <c r="L13" s="2"/>
      <c r="M13" s="255"/>
      <c r="N13" s="2"/>
      <c r="O13" s="2"/>
      <c r="P13" s="2"/>
      <c r="Q13" s="2"/>
      <c r="R13" s="80"/>
      <c r="S13" s="80"/>
      <c r="T13" s="80"/>
      <c r="U13" s="80"/>
      <c r="V13" s="154">
        <f t="shared" si="0"/>
        <v>0</v>
      </c>
      <c r="W13" s="80"/>
      <c r="X13" s="80"/>
      <c r="Y13" s="80"/>
      <c r="Z13" s="155">
        <f t="shared" si="1"/>
        <v>0</v>
      </c>
      <c r="AA13" s="80"/>
      <c r="AB13" s="80"/>
      <c r="AC13" s="80"/>
      <c r="AD13" s="80"/>
    </row>
    <row r="14" spans="1:30" ht="15" customHeight="1" x14ac:dyDescent="0.2">
      <c r="A14" s="2"/>
      <c r="B14" s="521" t="str">
        <f>Расчёт!B268</f>
        <v>РИС</v>
      </c>
      <c r="C14" s="610"/>
      <c r="D14" s="506">
        <f>Цены!D14</f>
        <v>0</v>
      </c>
      <c r="E14" s="507">
        <v>0</v>
      </c>
      <c r="F14" s="507">
        <v>0</v>
      </c>
      <c r="G14" s="508">
        <v>0</v>
      </c>
      <c r="H14" s="489">
        <f>Расчёт!G268</f>
        <v>0</v>
      </c>
      <c r="I14" s="490">
        <f>Расчёт!H268</f>
        <v>0</v>
      </c>
      <c r="J14" s="491">
        <f>ROUND(Расчёт!I268,1)</f>
        <v>0</v>
      </c>
      <c r="K14" s="522">
        <f t="shared" si="2"/>
        <v>0</v>
      </c>
      <c r="L14" s="2"/>
      <c r="M14" s="2"/>
      <c r="N14" s="2"/>
      <c r="O14" s="2"/>
      <c r="P14" s="2"/>
      <c r="Q14" s="2"/>
      <c r="R14" s="80"/>
      <c r="S14" s="80"/>
      <c r="T14" s="2" t="str">
        <f>'Блок ввода'!O15</f>
        <v>Ю.АРТЕМОВ</v>
      </c>
      <c r="U14" s="80"/>
      <c r="V14" s="154">
        <f t="shared" si="0"/>
        <v>0</v>
      </c>
      <c r="W14" s="80"/>
      <c r="X14" s="80"/>
      <c r="Y14" s="80"/>
      <c r="Z14" s="155">
        <f t="shared" si="1"/>
        <v>0</v>
      </c>
      <c r="AA14" s="80"/>
      <c r="AB14" s="80"/>
      <c r="AC14" s="80"/>
      <c r="AD14" s="80"/>
    </row>
    <row r="15" spans="1:30" ht="15" customHeight="1" x14ac:dyDescent="0.2">
      <c r="A15" s="256"/>
      <c r="B15" s="523" t="str">
        <f>Расчёт!B269</f>
        <v>КРУПА ГРЕЧНЕВАЯ</v>
      </c>
      <c r="C15" s="613" t="s">
        <v>163</v>
      </c>
      <c r="D15" s="640">
        <f>Цены!D15</f>
        <v>0</v>
      </c>
      <c r="E15" s="488">
        <v>0</v>
      </c>
      <c r="F15" s="488">
        <v>0</v>
      </c>
      <c r="G15" s="571">
        <v>0</v>
      </c>
      <c r="H15" s="509">
        <f>Расчёт!G269</f>
        <v>0</v>
      </c>
      <c r="I15" s="510">
        <f>Расчёт!H269</f>
        <v>0</v>
      </c>
      <c r="J15" s="511">
        <f>ROUND(Расчёт!I269,1)</f>
        <v>0</v>
      </c>
      <c r="K15" s="512">
        <f t="shared" si="2"/>
        <v>0</v>
      </c>
      <c r="L15" s="2"/>
      <c r="M15" s="2"/>
      <c r="N15" s="2"/>
      <c r="O15" s="2"/>
      <c r="P15" s="2"/>
      <c r="Q15" s="2">
        <f>'Раскладка продуктов'!A37</f>
        <v>2075</v>
      </c>
      <c r="R15" s="80"/>
      <c r="S15" s="80"/>
      <c r="T15" s="2" t="str">
        <f>'Блок ввода'!O16</f>
        <v>Е.КАЛУГИН</v>
      </c>
      <c r="U15" s="80"/>
      <c r="V15" s="154">
        <f t="shared" si="0"/>
        <v>0</v>
      </c>
      <c r="W15" s="80"/>
      <c r="X15" s="80"/>
      <c r="Y15" s="80"/>
      <c r="Z15" s="155">
        <f t="shared" si="1"/>
        <v>0</v>
      </c>
      <c r="AA15" s="80"/>
      <c r="AB15" s="80"/>
      <c r="AC15" s="80"/>
      <c r="AD15" s="80"/>
    </row>
    <row r="16" spans="1:30" ht="15" customHeight="1" x14ac:dyDescent="0.2">
      <c r="A16" s="2"/>
      <c r="B16" s="523" t="str">
        <f>Расчёт!B270</f>
        <v>КРУПА ПЕРЛОВАЯ</v>
      </c>
      <c r="C16" s="613" t="s">
        <v>163</v>
      </c>
      <c r="D16" s="640">
        <f>Цены!D16</f>
        <v>0</v>
      </c>
      <c r="E16" s="488">
        <v>0</v>
      </c>
      <c r="F16" s="488">
        <v>0</v>
      </c>
      <c r="G16" s="571">
        <v>0</v>
      </c>
      <c r="H16" s="509">
        <f>Расчёт!G270</f>
        <v>0</v>
      </c>
      <c r="I16" s="510">
        <f>Расчёт!H270</f>
        <v>0</v>
      </c>
      <c r="J16" s="511">
        <f>ROUND(Расчёт!I270,1)</f>
        <v>0</v>
      </c>
      <c r="K16" s="512">
        <f t="shared" si="2"/>
        <v>0</v>
      </c>
      <c r="L16" s="2"/>
      <c r="M16" s="2"/>
      <c r="N16" s="2"/>
      <c r="O16" s="2"/>
      <c r="P16" s="2"/>
      <c r="Q16" s="239" t="str">
        <f>MID(B2,13,6)</f>
        <v/>
      </c>
      <c r="R16" s="80"/>
      <c r="S16" s="80"/>
      <c r="T16" s="80"/>
      <c r="U16" s="80"/>
      <c r="V16" s="154">
        <f t="shared" si="0"/>
        <v>0</v>
      </c>
      <c r="W16" s="80"/>
      <c r="X16" s="80"/>
      <c r="Y16" s="80"/>
      <c r="Z16" s="155">
        <f t="shared" si="1"/>
        <v>0</v>
      </c>
      <c r="AA16" s="80"/>
      <c r="AB16" s="80"/>
      <c r="AC16" s="80"/>
      <c r="AD16" s="80"/>
    </row>
    <row r="17" spans="1:30" ht="15" customHeight="1" x14ac:dyDescent="0.2">
      <c r="A17" s="2"/>
      <c r="B17" s="523" t="str">
        <f>Расчёт!B271</f>
        <v>КРУПА ГОРОХ</v>
      </c>
      <c r="C17" s="613" t="s">
        <v>163</v>
      </c>
      <c r="D17" s="640">
        <f>Цены!D17</f>
        <v>0</v>
      </c>
      <c r="E17" s="488">
        <v>0</v>
      </c>
      <c r="F17" s="488">
        <v>0</v>
      </c>
      <c r="G17" s="571">
        <v>0</v>
      </c>
      <c r="H17" s="568">
        <f>Расчёт!G271</f>
        <v>0</v>
      </c>
      <c r="I17" s="533">
        <f>Расчёт!H271</f>
        <v>0</v>
      </c>
      <c r="J17" s="511">
        <f>ROUND(Расчёт!I271,1)</f>
        <v>0</v>
      </c>
      <c r="K17" s="512">
        <f t="shared" si="2"/>
        <v>0</v>
      </c>
      <c r="L17" s="2"/>
      <c r="M17" s="2"/>
      <c r="N17" s="2"/>
      <c r="O17" s="2"/>
      <c r="P17" s="2"/>
      <c r="Q17" s="375" t="b">
        <v>1</v>
      </c>
      <c r="R17" s="80"/>
      <c r="S17" s="80"/>
      <c r="T17" s="80"/>
      <c r="U17" s="80"/>
      <c r="V17" s="154">
        <f t="shared" si="0"/>
        <v>0</v>
      </c>
      <c r="W17" s="80"/>
      <c r="X17" s="80"/>
      <c r="Y17" s="80"/>
      <c r="Z17" s="155">
        <f t="shared" si="1"/>
        <v>0</v>
      </c>
      <c r="AA17" s="80"/>
      <c r="AB17" s="80"/>
      <c r="AC17" s="80"/>
      <c r="AD17" s="80"/>
    </row>
    <row r="18" spans="1:30" ht="15" customHeight="1" x14ac:dyDescent="0.2">
      <c r="A18" s="2"/>
      <c r="B18" s="523" t="str">
        <f>Расчёт!B272</f>
        <v>КРУПА ПШЕНО</v>
      </c>
      <c r="C18" s="613" t="s">
        <v>163</v>
      </c>
      <c r="D18" s="640">
        <f>Цены!D18</f>
        <v>0</v>
      </c>
      <c r="E18" s="488">
        <v>0</v>
      </c>
      <c r="F18" s="488">
        <v>0</v>
      </c>
      <c r="G18" s="571">
        <v>0</v>
      </c>
      <c r="H18" s="568">
        <f>Расчёт!G272</f>
        <v>0</v>
      </c>
      <c r="I18" s="533">
        <f>Расчёт!H272</f>
        <v>0</v>
      </c>
      <c r="J18" s="511">
        <f>ROUND(Расчёт!I272,1)</f>
        <v>0</v>
      </c>
      <c r="K18" s="512">
        <f t="shared" si="2"/>
        <v>0</v>
      </c>
      <c r="L18" s="2"/>
      <c r="M18" s="2"/>
      <c r="N18" s="2"/>
      <c r="O18" s="2"/>
      <c r="P18" s="2"/>
      <c r="Q18" s="2"/>
      <c r="R18" s="80"/>
      <c r="S18" s="80"/>
      <c r="T18" s="80"/>
      <c r="U18" s="80"/>
      <c r="V18" s="154">
        <f t="shared" si="0"/>
        <v>0</v>
      </c>
      <c r="W18" s="80"/>
      <c r="X18" s="80"/>
      <c r="Y18" s="80"/>
      <c r="Z18" s="155">
        <f t="shared" si="1"/>
        <v>0</v>
      </c>
      <c r="AA18" s="80"/>
      <c r="AB18" s="80"/>
      <c r="AC18" s="80"/>
      <c r="AD18" s="80"/>
    </row>
    <row r="19" spans="1:30" ht="15" customHeight="1" x14ac:dyDescent="0.2">
      <c r="A19" s="2"/>
      <c r="B19" s="523" t="str">
        <f>Расчёт!B273</f>
        <v>КРУПА ПШЕНИЧНАЯ</v>
      </c>
      <c r="C19" s="613" t="s">
        <v>163</v>
      </c>
      <c r="D19" s="640">
        <f>Цены!D19</f>
        <v>0</v>
      </c>
      <c r="E19" s="488">
        <v>0</v>
      </c>
      <c r="F19" s="488">
        <v>0</v>
      </c>
      <c r="G19" s="571">
        <v>0</v>
      </c>
      <c r="H19" s="568">
        <f>Расчёт!G273</f>
        <v>0</v>
      </c>
      <c r="I19" s="533">
        <f>Расчёт!H273</f>
        <v>0</v>
      </c>
      <c r="J19" s="511">
        <f>ROUND(Расчёт!I273,1)</f>
        <v>0</v>
      </c>
      <c r="K19" s="512">
        <f t="shared" si="2"/>
        <v>0</v>
      </c>
      <c r="L19" s="2"/>
      <c r="M19" s="2"/>
      <c r="N19" s="2"/>
      <c r="O19" s="2"/>
      <c r="P19" s="2"/>
      <c r="Q19" s="2"/>
      <c r="R19" s="80"/>
      <c r="S19" s="80"/>
      <c r="T19" s="80"/>
      <c r="U19" s="80"/>
      <c r="V19" s="154">
        <f t="shared" si="0"/>
        <v>0</v>
      </c>
      <c r="W19" s="80"/>
      <c r="X19" s="80"/>
      <c r="Y19" s="80"/>
      <c r="Z19" s="155">
        <f t="shared" si="1"/>
        <v>0</v>
      </c>
      <c r="AA19" s="80"/>
      <c r="AB19" s="80"/>
      <c r="AC19" s="80"/>
      <c r="AD19" s="80"/>
    </row>
    <row r="20" spans="1:30" ht="15" customHeight="1" x14ac:dyDescent="0.2">
      <c r="A20" s="2"/>
      <c r="B20" s="523" t="str">
        <f>Расчёт!B274</f>
        <v>КРУПА ОВСЯНАЯ</v>
      </c>
      <c r="C20" s="613" t="s">
        <v>163</v>
      </c>
      <c r="D20" s="640">
        <f>Цены!D20</f>
        <v>0</v>
      </c>
      <c r="E20" s="488">
        <v>0</v>
      </c>
      <c r="F20" s="488">
        <v>0</v>
      </c>
      <c r="G20" s="571">
        <v>0</v>
      </c>
      <c r="H20" s="509">
        <f>Расчёт!G274</f>
        <v>0</v>
      </c>
      <c r="I20" s="533">
        <f>Расчёт!H274</f>
        <v>0</v>
      </c>
      <c r="J20" s="511">
        <f>ROUND(Расчёт!I274,1)</f>
        <v>0</v>
      </c>
      <c r="K20" s="512">
        <f t="shared" si="2"/>
        <v>0</v>
      </c>
      <c r="L20" s="2"/>
      <c r="M20" s="2"/>
      <c r="N20" s="2"/>
      <c r="O20" s="2"/>
      <c r="P20" s="2"/>
      <c r="Q20" s="2"/>
      <c r="R20" s="80"/>
      <c r="S20" s="80"/>
      <c r="T20" s="80"/>
      <c r="U20" s="80"/>
      <c r="V20" s="154">
        <f t="shared" si="0"/>
        <v>0</v>
      </c>
      <c r="W20" s="80"/>
      <c r="X20" s="80"/>
      <c r="Y20" s="80"/>
      <c r="Z20" s="155">
        <f t="shared" si="1"/>
        <v>0</v>
      </c>
      <c r="AA20" s="80"/>
      <c r="AB20" s="80"/>
      <c r="AC20" s="80"/>
      <c r="AD20" s="80"/>
    </row>
    <row r="21" spans="1:30" ht="15" customHeight="1" x14ac:dyDescent="0.2">
      <c r="A21" s="2"/>
      <c r="B21" s="523" t="str">
        <f>Расчёт!B275</f>
        <v>КРУПА ЯЧНЕВАЯ</v>
      </c>
      <c r="C21" s="613" t="s">
        <v>163</v>
      </c>
      <c r="D21" s="640">
        <f>Цены!D21</f>
        <v>0</v>
      </c>
      <c r="E21" s="488">
        <v>0</v>
      </c>
      <c r="F21" s="488">
        <v>0</v>
      </c>
      <c r="G21" s="571">
        <v>0</v>
      </c>
      <c r="H21" s="509">
        <f>Расчёт!G275</f>
        <v>0</v>
      </c>
      <c r="I21" s="533">
        <f>Расчёт!H275</f>
        <v>0</v>
      </c>
      <c r="J21" s="511">
        <f>ROUND(Расчёт!I275,1)</f>
        <v>0</v>
      </c>
      <c r="K21" s="512">
        <f t="shared" si="2"/>
        <v>0</v>
      </c>
      <c r="L21" s="1618"/>
      <c r="M21" s="1619"/>
      <c r="N21" s="1619"/>
      <c r="O21" s="2"/>
      <c r="P21" s="2"/>
      <c r="Q21" s="2"/>
      <c r="R21" s="80"/>
      <c r="S21" s="80"/>
      <c r="T21" s="80"/>
      <c r="U21" s="80"/>
      <c r="V21" s="154">
        <f t="shared" si="0"/>
        <v>0</v>
      </c>
      <c r="W21" s="80"/>
      <c r="X21" s="80"/>
      <c r="Y21" s="80"/>
      <c r="Z21" s="155">
        <f t="shared" si="1"/>
        <v>0</v>
      </c>
      <c r="AA21" s="80"/>
      <c r="AB21" s="80"/>
      <c r="AC21" s="80"/>
      <c r="AD21" s="80"/>
    </row>
    <row r="22" spans="1:30" ht="15" customHeight="1" thickBot="1" x14ac:dyDescent="0.25">
      <c r="A22" s="2"/>
      <c r="B22" s="525" t="str">
        <f>Расчёт!B276</f>
        <v>МАКАРОННЫЕ ИЗДЕЛИЯ</v>
      </c>
      <c r="C22" s="620" t="s">
        <v>163</v>
      </c>
      <c r="D22" s="1244">
        <f>Цены!D22</f>
        <v>0</v>
      </c>
      <c r="E22" s="516">
        <v>0</v>
      </c>
      <c r="F22" s="516">
        <v>0</v>
      </c>
      <c r="G22" s="517">
        <v>0</v>
      </c>
      <c r="H22" s="515">
        <f>Расчёт!G276</f>
        <v>0</v>
      </c>
      <c r="I22" s="518">
        <f>Расчёт!H276</f>
        <v>0</v>
      </c>
      <c r="J22" s="519">
        <f>ROUND(Расчёт!I276,1)</f>
        <v>0</v>
      </c>
      <c r="K22" s="520">
        <f t="shared" si="2"/>
        <v>0</v>
      </c>
      <c r="L22" s="2"/>
      <c r="M22" s="2"/>
      <c r="N22" s="2"/>
      <c r="O22" s="2"/>
      <c r="P22" s="2"/>
      <c r="Q22" s="2"/>
      <c r="R22" s="80"/>
      <c r="S22" s="80"/>
      <c r="T22" s="80"/>
      <c r="U22" s="80"/>
      <c r="V22" s="154">
        <f t="shared" si="0"/>
        <v>0</v>
      </c>
      <c r="W22" s="80"/>
      <c r="X22" s="80"/>
      <c r="Y22" s="80"/>
      <c r="Z22" s="155">
        <f t="shared" si="1"/>
        <v>0</v>
      </c>
      <c r="AA22" s="80"/>
      <c r="AB22" s="80"/>
      <c r="AC22" s="80"/>
      <c r="AD22" s="80"/>
    </row>
    <row r="23" spans="1:30" ht="15" customHeight="1" x14ac:dyDescent="0.2">
      <c r="A23" s="2"/>
      <c r="B23" s="486" t="str">
        <f>Расчёт!B277</f>
        <v>МЯСО  ГОВЯДИНА</v>
      </c>
      <c r="C23" s="613" t="s">
        <v>163</v>
      </c>
      <c r="D23" s="506">
        <f>Цены!D23</f>
        <v>0</v>
      </c>
      <c r="E23" s="488">
        <v>0</v>
      </c>
      <c r="F23" s="488">
        <v>0</v>
      </c>
      <c r="G23" s="488">
        <v>0</v>
      </c>
      <c r="H23" s="509">
        <f>Расчёт!G277</f>
        <v>0</v>
      </c>
      <c r="I23" s="510">
        <f>Расчёт!H277</f>
        <v>0</v>
      </c>
      <c r="J23" s="528">
        <f>ROUND(Расчёт!I277,1)</f>
        <v>0</v>
      </c>
      <c r="K23" s="522">
        <f t="shared" si="2"/>
        <v>0</v>
      </c>
      <c r="L23" s="2"/>
      <c r="M23" s="2"/>
      <c r="N23" s="2"/>
      <c r="O23" s="2"/>
      <c r="P23" s="2"/>
      <c r="Q23" s="2"/>
      <c r="R23" s="80"/>
      <c r="S23" s="80"/>
      <c r="T23" s="80"/>
      <c r="U23" s="80"/>
      <c r="V23" s="154">
        <f t="shared" si="0"/>
        <v>0</v>
      </c>
      <c r="W23" s="80"/>
      <c r="X23" s="80"/>
      <c r="Y23" s="80"/>
      <c r="Z23" s="155">
        <f t="shared" si="1"/>
        <v>0</v>
      </c>
      <c r="AA23" s="80"/>
      <c r="AB23" s="80"/>
      <c r="AC23" s="80"/>
      <c r="AD23" s="80"/>
    </row>
    <row r="24" spans="1:30" ht="15" customHeight="1" x14ac:dyDescent="0.2">
      <c r="A24" s="2"/>
      <c r="B24" s="493" t="str">
        <f>Расчёт!B278</f>
        <v>МЯСО ПТИЦЫ</v>
      </c>
      <c r="C24" s="613" t="s">
        <v>163</v>
      </c>
      <c r="D24" s="640">
        <f>Цены!D24</f>
        <v>0</v>
      </c>
      <c r="E24" s="488">
        <v>0</v>
      </c>
      <c r="F24" s="488">
        <v>0</v>
      </c>
      <c r="G24" s="488">
        <v>0</v>
      </c>
      <c r="H24" s="568">
        <f>Расчёт!G278</f>
        <v>0</v>
      </c>
      <c r="I24" s="510">
        <f>Расчёт!H278</f>
        <v>0</v>
      </c>
      <c r="J24" s="528">
        <f>ROUND(Расчёт!I278,1)</f>
        <v>0</v>
      </c>
      <c r="K24" s="512">
        <f t="shared" si="2"/>
        <v>0</v>
      </c>
      <c r="L24" s="2"/>
      <c r="M24" s="2"/>
      <c r="N24" s="2"/>
      <c r="O24" s="2"/>
      <c r="P24" s="2"/>
      <c r="Q24" s="2"/>
      <c r="R24" s="80"/>
      <c r="S24" s="80"/>
      <c r="T24" s="80"/>
      <c r="U24" s="80"/>
      <c r="V24" s="154">
        <f t="shared" si="0"/>
        <v>0</v>
      </c>
      <c r="W24" s="80"/>
      <c r="X24" s="80"/>
      <c r="Y24" s="80"/>
      <c r="Z24" s="155">
        <f t="shared" si="1"/>
        <v>0</v>
      </c>
      <c r="AA24" s="80"/>
      <c r="AB24" s="80"/>
      <c r="AC24" s="80"/>
      <c r="AD24" s="80"/>
    </row>
    <row r="25" spans="1:30" ht="15" customHeight="1" x14ac:dyDescent="0.2">
      <c r="A25" s="2"/>
      <c r="B25" s="493" t="str">
        <f>Расчёт!B279</f>
        <v>КОЛБАСА</v>
      </c>
      <c r="C25" s="613" t="s">
        <v>163</v>
      </c>
      <c r="D25" s="640">
        <f>Цены!D25</f>
        <v>0</v>
      </c>
      <c r="E25" s="488">
        <v>0</v>
      </c>
      <c r="F25" s="488">
        <v>0</v>
      </c>
      <c r="G25" s="488">
        <v>0</v>
      </c>
      <c r="H25" s="568">
        <f>Расчёт!G279</f>
        <v>0</v>
      </c>
      <c r="I25" s="510">
        <f>Расчёт!H279</f>
        <v>0</v>
      </c>
      <c r="J25" s="528">
        <f>ROUND(Расчёт!I279,1)</f>
        <v>0</v>
      </c>
      <c r="K25" s="512">
        <f t="shared" si="2"/>
        <v>0</v>
      </c>
      <c r="L25" s="2"/>
      <c r="M25" s="2"/>
      <c r="N25" s="2"/>
      <c r="O25" s="2"/>
      <c r="P25" s="2"/>
      <c r="Q25" s="2"/>
      <c r="R25" s="80"/>
      <c r="S25" s="80"/>
      <c r="T25" s="80"/>
      <c r="U25" s="80"/>
      <c r="V25" s="154">
        <f t="shared" si="0"/>
        <v>0</v>
      </c>
      <c r="W25" s="80"/>
      <c r="X25" s="80"/>
      <c r="Y25" s="80"/>
      <c r="Z25" s="155">
        <f t="shared" si="1"/>
        <v>0</v>
      </c>
      <c r="AA25" s="80"/>
      <c r="AB25" s="80"/>
      <c r="AC25" s="80"/>
      <c r="AD25" s="80"/>
    </row>
    <row r="26" spans="1:30" ht="15" customHeight="1" x14ac:dyDescent="0.2">
      <c r="A26" s="2"/>
      <c r="B26" s="493" t="str">
        <f>Расчёт!B280</f>
        <v>КОНСЕРВЫ МЯСНЫЕ</v>
      </c>
      <c r="C26" s="613" t="s">
        <v>163</v>
      </c>
      <c r="D26" s="640">
        <f>Цены!D26</f>
        <v>0</v>
      </c>
      <c r="E26" s="488">
        <v>0</v>
      </c>
      <c r="F26" s="488">
        <v>0</v>
      </c>
      <c r="G26" s="488">
        <v>0</v>
      </c>
      <c r="H26" s="509">
        <f>Расчёт!G280</f>
        <v>0</v>
      </c>
      <c r="I26" s="510">
        <f>Расчёт!H280</f>
        <v>0</v>
      </c>
      <c r="J26" s="528">
        <f>ROUND(Расчёт!I280,1)</f>
        <v>0</v>
      </c>
      <c r="K26" s="512">
        <f t="shared" si="2"/>
        <v>0</v>
      </c>
      <c r="L26" s="2"/>
      <c r="M26" s="2"/>
      <c r="N26" s="2"/>
      <c r="O26" s="2"/>
      <c r="P26" s="2"/>
      <c r="Q26" s="2"/>
      <c r="R26" s="80"/>
      <c r="S26" s="80"/>
      <c r="T26" s="80"/>
      <c r="U26" s="80"/>
      <c r="V26" s="154">
        <f t="shared" si="0"/>
        <v>0</v>
      </c>
      <c r="W26" s="80"/>
      <c r="X26" s="80"/>
      <c r="Y26" s="80"/>
      <c r="Z26" s="155">
        <f t="shared" si="1"/>
        <v>0</v>
      </c>
      <c r="AA26" s="80"/>
      <c r="AB26" s="80"/>
      <c r="AC26" s="80"/>
      <c r="AD26" s="80"/>
    </row>
    <row r="27" spans="1:30" ht="15" customHeight="1" x14ac:dyDescent="0.2">
      <c r="A27" s="2"/>
      <c r="B27" s="493" t="str">
        <f>Расчёт!B281</f>
        <v>РЫБА БЕЗ ГОЛОВЫ/СЕЛЬДЬ С ГОЛ.</v>
      </c>
      <c r="C27" s="613" t="s">
        <v>163</v>
      </c>
      <c r="D27" s="640">
        <f>Цены!D27</f>
        <v>0</v>
      </c>
      <c r="E27" s="488">
        <v>0</v>
      </c>
      <c r="F27" s="488">
        <v>0</v>
      </c>
      <c r="G27" s="488">
        <v>0</v>
      </c>
      <c r="H27" s="509">
        <f>Расчёт!G281</f>
        <v>0</v>
      </c>
      <c r="I27" s="510">
        <f>Расчёт!H281</f>
        <v>0</v>
      </c>
      <c r="J27" s="528">
        <f>ROUND(Расчёт!I281,1)</f>
        <v>0</v>
      </c>
      <c r="K27" s="512">
        <f t="shared" si="2"/>
        <v>0</v>
      </c>
      <c r="L27" s="2"/>
      <c r="M27" s="2"/>
      <c r="N27" s="2"/>
      <c r="O27" s="2"/>
      <c r="P27" s="2"/>
      <c r="Q27" s="2"/>
      <c r="R27" s="80"/>
      <c r="S27" s="80"/>
      <c r="T27" s="80"/>
      <c r="U27" s="80"/>
      <c r="V27" s="154">
        <f t="shared" si="0"/>
        <v>0</v>
      </c>
      <c r="W27" s="80"/>
      <c r="X27" s="80"/>
      <c r="Y27" s="80"/>
      <c r="Z27" s="155">
        <f t="shared" si="1"/>
        <v>0</v>
      </c>
      <c r="AA27" s="80"/>
      <c r="AB27" s="80"/>
      <c r="AC27" s="80"/>
      <c r="AD27" s="80"/>
    </row>
    <row r="28" spans="1:30" ht="15" customHeight="1" x14ac:dyDescent="0.2">
      <c r="A28" s="2"/>
      <c r="B28" s="531" t="str">
        <f>Расчёт!B282</f>
        <v xml:space="preserve">КОНС. РЫБНЫЕ - КИЛЬКА В ТОМ. СОУСЕ  </v>
      </c>
      <c r="C28" s="613" t="s">
        <v>163</v>
      </c>
      <c r="D28" s="640">
        <f>Цены!D28</f>
        <v>0</v>
      </c>
      <c r="E28" s="488">
        <v>0</v>
      </c>
      <c r="F28" s="488">
        <v>0</v>
      </c>
      <c r="G28" s="488">
        <v>0</v>
      </c>
      <c r="H28" s="568">
        <f>Расчёт!G282</f>
        <v>0</v>
      </c>
      <c r="I28" s="510">
        <f>Расчёт!H282</f>
        <v>0</v>
      </c>
      <c r="J28" s="528">
        <f>ROUND(Расчёт!I282,1)</f>
        <v>0</v>
      </c>
      <c r="K28" s="512">
        <f t="shared" si="2"/>
        <v>0</v>
      </c>
      <c r="L28" s="2"/>
      <c r="M28" s="2"/>
      <c r="N28" s="2"/>
      <c r="O28" s="2"/>
      <c r="P28" s="2"/>
      <c r="Q28" s="2"/>
      <c r="R28" s="80"/>
      <c r="S28" s="80"/>
      <c r="T28" s="80"/>
      <c r="U28" s="80"/>
      <c r="V28" s="154">
        <f t="shared" si="0"/>
        <v>0</v>
      </c>
      <c r="W28" s="80"/>
      <c r="X28" s="80"/>
      <c r="Y28" s="80"/>
      <c r="Z28" s="155">
        <f t="shared" si="1"/>
        <v>0</v>
      </c>
      <c r="AA28" s="80"/>
      <c r="AB28" s="80"/>
      <c r="AC28" s="80"/>
      <c r="AD28" s="80"/>
    </row>
    <row r="29" spans="1:30" ht="15" customHeight="1" x14ac:dyDescent="0.2">
      <c r="A29" s="2"/>
      <c r="B29" s="493" t="str">
        <f>Расчёт!B283</f>
        <v>МАСЛО РАСТИТЕЛЬНОЕ</v>
      </c>
      <c r="C29" s="613" t="s">
        <v>163</v>
      </c>
      <c r="D29" s="640">
        <f>Цены!D29</f>
        <v>0</v>
      </c>
      <c r="E29" s="488">
        <v>0</v>
      </c>
      <c r="F29" s="488">
        <v>0</v>
      </c>
      <c r="G29" s="488">
        <v>0</v>
      </c>
      <c r="H29" s="568">
        <f>Расчёт!G283</f>
        <v>0</v>
      </c>
      <c r="I29" s="510">
        <f>Расчёт!H283</f>
        <v>0</v>
      </c>
      <c r="J29" s="528">
        <f>ROUND(Расчёт!I283,1)</f>
        <v>0</v>
      </c>
      <c r="K29" s="512">
        <f t="shared" si="2"/>
        <v>0</v>
      </c>
      <c r="L29" s="2"/>
      <c r="M29" s="2"/>
      <c r="N29" s="2"/>
      <c r="O29" s="2"/>
      <c r="P29" s="2"/>
      <c r="Q29" s="2"/>
      <c r="R29" s="80"/>
      <c r="S29" s="80"/>
      <c r="T29" s="80"/>
      <c r="U29" s="80"/>
      <c r="V29" s="154">
        <f t="shared" si="0"/>
        <v>0</v>
      </c>
      <c r="W29" s="80"/>
      <c r="X29" s="80"/>
      <c r="Y29" s="80"/>
      <c r="Z29" s="155">
        <f t="shared" si="1"/>
        <v>0</v>
      </c>
      <c r="AA29" s="80"/>
      <c r="AB29" s="80"/>
      <c r="AC29" s="80"/>
      <c r="AD29" s="80"/>
    </row>
    <row r="30" spans="1:30" ht="15" customHeight="1" x14ac:dyDescent="0.2">
      <c r="A30" s="2"/>
      <c r="B30" s="493" t="str">
        <f>Расчёт!B284</f>
        <v>МАСЛО КОРОВЬЕ</v>
      </c>
      <c r="C30" s="613" t="s">
        <v>163</v>
      </c>
      <c r="D30" s="640">
        <f>Цены!D30</f>
        <v>0</v>
      </c>
      <c r="E30" s="488">
        <v>0</v>
      </c>
      <c r="F30" s="488">
        <v>0</v>
      </c>
      <c r="G30" s="488">
        <v>0</v>
      </c>
      <c r="H30" s="509">
        <f>Расчёт!G284</f>
        <v>0</v>
      </c>
      <c r="I30" s="510">
        <f>Расчёт!H284</f>
        <v>0</v>
      </c>
      <c r="J30" s="528">
        <f>ROUND(Расчёт!I284,1)</f>
        <v>0</v>
      </c>
      <c r="K30" s="512">
        <f t="shared" si="2"/>
        <v>0</v>
      </c>
      <c r="L30" s="2"/>
      <c r="M30" s="2"/>
      <c r="N30" s="2"/>
      <c r="O30" s="2"/>
      <c r="P30" s="2"/>
      <c r="Q30" s="2"/>
      <c r="R30" s="80"/>
      <c r="S30" s="80"/>
      <c r="T30" s="80"/>
      <c r="U30" s="80"/>
      <c r="V30" s="154">
        <f t="shared" si="0"/>
        <v>0</v>
      </c>
      <c r="W30" s="80"/>
      <c r="X30" s="80"/>
      <c r="Y30" s="80"/>
      <c r="Z30" s="155">
        <f t="shared" si="1"/>
        <v>0</v>
      </c>
      <c r="AA30" s="80"/>
      <c r="AB30" s="80"/>
      <c r="AC30" s="80"/>
      <c r="AD30" s="80"/>
    </row>
    <row r="31" spans="1:30" ht="15" customHeight="1" x14ac:dyDescent="0.2">
      <c r="A31" s="2"/>
      <c r="B31" s="493" t="str">
        <f>Расчёт!B285</f>
        <v>ЖИРЫ ЖИВОТНЫЕ</v>
      </c>
      <c r="C31" s="613" t="s">
        <v>163</v>
      </c>
      <c r="D31" s="640">
        <f>Цены!D31</f>
        <v>0</v>
      </c>
      <c r="E31" s="488">
        <v>0</v>
      </c>
      <c r="F31" s="488">
        <v>0</v>
      </c>
      <c r="G31" s="488">
        <v>0</v>
      </c>
      <c r="H31" s="509">
        <f>Расчёт!G285</f>
        <v>0</v>
      </c>
      <c r="I31" s="510">
        <f>Расчёт!H285</f>
        <v>0</v>
      </c>
      <c r="J31" s="528">
        <f>ROUND(Расчёт!I285,1)</f>
        <v>0</v>
      </c>
      <c r="K31" s="512">
        <f t="shared" si="2"/>
        <v>0</v>
      </c>
      <c r="L31" s="2"/>
      <c r="M31" s="2"/>
      <c r="N31" s="2"/>
      <c r="O31" s="2"/>
      <c r="P31" s="2"/>
      <c r="Q31" s="2"/>
      <c r="R31" s="80"/>
      <c r="S31" s="80"/>
      <c r="T31" s="80"/>
      <c r="U31" s="80"/>
      <c r="V31" s="154">
        <f t="shared" si="0"/>
        <v>0</v>
      </c>
      <c r="W31" s="80"/>
      <c r="X31" s="80"/>
      <c r="Y31" s="80"/>
      <c r="Z31" s="155">
        <f t="shared" si="1"/>
        <v>0</v>
      </c>
      <c r="AA31" s="80"/>
      <c r="AB31" s="80"/>
      <c r="AC31" s="80"/>
      <c r="AD31" s="80"/>
    </row>
    <row r="32" spans="1:30" ht="15" customHeight="1" x14ac:dyDescent="0.2">
      <c r="A32" s="2"/>
      <c r="B32" s="493" t="str">
        <f>Расчёт!B286</f>
        <v>МОЛОКО СВЕЖЕЕ</v>
      </c>
      <c r="C32" s="613" t="s">
        <v>163</v>
      </c>
      <c r="D32" s="640">
        <f>Цены!D32</f>
        <v>0</v>
      </c>
      <c r="E32" s="488">
        <v>0</v>
      </c>
      <c r="F32" s="488">
        <v>0</v>
      </c>
      <c r="G32" s="488">
        <v>0</v>
      </c>
      <c r="H32" s="509">
        <f>Расчёт!G286</f>
        <v>0</v>
      </c>
      <c r="I32" s="510">
        <f>Расчёт!H286</f>
        <v>0</v>
      </c>
      <c r="J32" s="528">
        <f>ROUND(Расчёт!I286,1)</f>
        <v>0</v>
      </c>
      <c r="K32" s="512">
        <f t="shared" si="2"/>
        <v>0</v>
      </c>
      <c r="L32" s="2"/>
      <c r="M32" s="2"/>
      <c r="N32" s="2"/>
      <c r="O32" s="2"/>
      <c r="P32" s="2"/>
      <c r="Q32" s="2"/>
      <c r="R32" s="80"/>
      <c r="S32" s="80"/>
      <c r="T32" s="80"/>
      <c r="U32" s="80"/>
      <c r="V32" s="154">
        <f t="shared" si="0"/>
        <v>0</v>
      </c>
      <c r="W32" s="80"/>
      <c r="X32" s="80"/>
      <c r="Y32" s="80"/>
      <c r="Z32" s="155">
        <f t="shared" si="1"/>
        <v>0</v>
      </c>
      <c r="AA32" s="80"/>
      <c r="AB32" s="80"/>
      <c r="AC32" s="80"/>
      <c r="AD32" s="80"/>
    </row>
    <row r="33" spans="1:30" ht="15" customHeight="1" x14ac:dyDescent="0.2">
      <c r="A33" s="2"/>
      <c r="B33" s="493" t="str">
        <f>Расчёт!B287</f>
        <v>СМЕТАНА</v>
      </c>
      <c r="C33" s="613" t="s">
        <v>163</v>
      </c>
      <c r="D33" s="640">
        <f>Цены!D33</f>
        <v>0</v>
      </c>
      <c r="E33" s="488">
        <v>0</v>
      </c>
      <c r="F33" s="488">
        <v>0</v>
      </c>
      <c r="G33" s="488">
        <v>0</v>
      </c>
      <c r="H33" s="509">
        <f>Расчёт!G287</f>
        <v>0</v>
      </c>
      <c r="I33" s="510">
        <f>Расчёт!H287</f>
        <v>0</v>
      </c>
      <c r="J33" s="528">
        <f>ROUND(Расчёт!I287,1)</f>
        <v>0</v>
      </c>
      <c r="K33" s="512">
        <f t="shared" si="2"/>
        <v>0</v>
      </c>
      <c r="L33" s="2"/>
      <c r="M33" s="2"/>
      <c r="N33" s="2"/>
      <c r="O33" s="2"/>
      <c r="P33" s="2"/>
      <c r="Q33" s="2"/>
      <c r="R33" s="80"/>
      <c r="S33" s="80"/>
      <c r="T33" s="80"/>
      <c r="U33" s="80"/>
      <c r="V33" s="154">
        <f t="shared" si="0"/>
        <v>0</v>
      </c>
      <c r="W33" s="80"/>
      <c r="X33" s="80"/>
      <c r="Y33" s="80"/>
      <c r="Z33" s="155">
        <f t="shared" si="1"/>
        <v>0</v>
      </c>
      <c r="AA33" s="80"/>
      <c r="AB33" s="80"/>
      <c r="AC33" s="80"/>
      <c r="AD33" s="80"/>
    </row>
    <row r="34" spans="1:30" ht="15" customHeight="1" x14ac:dyDescent="0.2">
      <c r="A34" s="2"/>
      <c r="B34" s="493" t="str">
        <f>Расчёт!B288</f>
        <v>ТВОРОГ</v>
      </c>
      <c r="C34" s="613" t="s">
        <v>163</v>
      </c>
      <c r="D34" s="640">
        <f>Цены!D34</f>
        <v>0</v>
      </c>
      <c r="E34" s="488">
        <v>0</v>
      </c>
      <c r="F34" s="488">
        <v>0</v>
      </c>
      <c r="G34" s="488">
        <v>0</v>
      </c>
      <c r="H34" s="509">
        <f>Расчёт!G288</f>
        <v>0</v>
      </c>
      <c r="I34" s="510">
        <f>Расчёт!H288</f>
        <v>0</v>
      </c>
      <c r="J34" s="528">
        <f>ROUND(Расчёт!I288,1)</f>
        <v>0</v>
      </c>
      <c r="K34" s="512">
        <f t="shared" si="2"/>
        <v>0</v>
      </c>
      <c r="L34" s="2"/>
      <c r="M34" s="2"/>
      <c r="N34" s="2"/>
      <c r="O34" s="2"/>
      <c r="P34" s="2"/>
      <c r="Q34" s="2"/>
      <c r="R34" s="80"/>
      <c r="S34" s="80"/>
      <c r="T34" s="80"/>
      <c r="U34" s="80"/>
      <c r="V34" s="154">
        <f t="shared" si="0"/>
        <v>0</v>
      </c>
      <c r="W34" s="80"/>
      <c r="X34" s="80"/>
      <c r="Y34" s="80"/>
      <c r="Z34" s="155">
        <f t="shared" si="1"/>
        <v>0</v>
      </c>
      <c r="AA34" s="80"/>
      <c r="AB34" s="80"/>
      <c r="AC34" s="80"/>
      <c r="AD34" s="80"/>
    </row>
    <row r="35" spans="1:30" ht="15" customHeight="1" x14ac:dyDescent="0.2">
      <c r="A35" s="2"/>
      <c r="B35" s="493" t="str">
        <f>Расчёт!B289</f>
        <v>МОЛОКО СУХОЕ</v>
      </c>
      <c r="C35" s="613" t="s">
        <v>164</v>
      </c>
      <c r="D35" s="640">
        <f>Цены!D35</f>
        <v>0</v>
      </c>
      <c r="E35" s="488">
        <v>0</v>
      </c>
      <c r="F35" s="488">
        <v>0</v>
      </c>
      <c r="G35" s="488">
        <v>0</v>
      </c>
      <c r="H35" s="509">
        <f>Расчёт!G289</f>
        <v>0</v>
      </c>
      <c r="I35" s="510">
        <f>Расчёт!H289</f>
        <v>0</v>
      </c>
      <c r="J35" s="528">
        <f>ROUND(Расчёт!I289,1)</f>
        <v>0</v>
      </c>
      <c r="K35" s="512">
        <f t="shared" si="2"/>
        <v>0</v>
      </c>
      <c r="L35" s="2"/>
      <c r="M35" s="2"/>
      <c r="N35" s="2"/>
      <c r="O35" s="2"/>
      <c r="P35" s="2"/>
      <c r="Q35" s="2"/>
      <c r="R35" s="80"/>
      <c r="S35" s="80"/>
      <c r="T35" s="80"/>
      <c r="U35" s="80"/>
      <c r="V35" s="154">
        <f t="shared" si="0"/>
        <v>0</v>
      </c>
      <c r="W35" s="80"/>
      <c r="X35" s="80"/>
      <c r="Y35" s="80"/>
      <c r="Z35" s="155">
        <f t="shared" si="1"/>
        <v>0</v>
      </c>
      <c r="AA35" s="80"/>
      <c r="AB35" s="80"/>
      <c r="AC35" s="80"/>
      <c r="AD35" s="80"/>
    </row>
    <row r="36" spans="1:30" ht="15" customHeight="1" x14ac:dyDescent="0.2">
      <c r="A36" s="2"/>
      <c r="B36" s="493" t="str">
        <f>Расчёт!B290</f>
        <v>СЫР ПЛАВЛЕНЫЙ</v>
      </c>
      <c r="C36" s="613" t="s">
        <v>163</v>
      </c>
      <c r="D36" s="640">
        <f>Цены!D36</f>
        <v>0</v>
      </c>
      <c r="E36" s="488">
        <v>0</v>
      </c>
      <c r="F36" s="488">
        <v>0</v>
      </c>
      <c r="G36" s="488">
        <v>0</v>
      </c>
      <c r="H36" s="509">
        <f>Расчёт!G290</f>
        <v>0</v>
      </c>
      <c r="I36" s="510">
        <f>Расчёт!H290</f>
        <v>0</v>
      </c>
      <c r="J36" s="528">
        <f>ROUND(Расчёт!I290,1)</f>
        <v>0</v>
      </c>
      <c r="K36" s="512">
        <f t="shared" si="2"/>
        <v>0</v>
      </c>
      <c r="L36" s="2"/>
      <c r="M36" s="2"/>
      <c r="N36" s="2"/>
      <c r="O36" s="2"/>
      <c r="P36" s="2"/>
      <c r="Q36" s="2"/>
      <c r="R36" s="80"/>
      <c r="S36" s="80"/>
      <c r="T36" s="80"/>
      <c r="U36" s="80"/>
      <c r="V36" s="154">
        <f t="shared" si="0"/>
        <v>0</v>
      </c>
      <c r="W36" s="80"/>
      <c r="X36" s="80"/>
      <c r="Y36" s="80"/>
      <c r="Z36" s="155">
        <f t="shared" si="1"/>
        <v>0</v>
      </c>
      <c r="AA36" s="80"/>
      <c r="AB36" s="80"/>
      <c r="AC36" s="80"/>
      <c r="AD36" s="80"/>
    </row>
    <row r="37" spans="1:30" ht="15" customHeight="1" x14ac:dyDescent="0.2">
      <c r="A37" s="239"/>
      <c r="B37" s="493" t="str">
        <f>Расчёт!B291</f>
        <v>ЯЙЦА КУРИНЫЕ</v>
      </c>
      <c r="C37" s="613" t="str">
        <f>IF('Блок ввода'!G32=TRUE,"кг.","шт.")</f>
        <v>шт.</v>
      </c>
      <c r="D37" s="640">
        <f>Цены!D37</f>
        <v>0</v>
      </c>
      <c r="E37" s="488">
        <v>0</v>
      </c>
      <c r="F37" s="488">
        <v>0</v>
      </c>
      <c r="G37" s="488">
        <v>0</v>
      </c>
      <c r="H37" s="641">
        <f>Расчёт!G291</f>
        <v>0</v>
      </c>
      <c r="I37" s="536">
        <f>Расчёт!H291</f>
        <v>0</v>
      </c>
      <c r="J37" s="537">
        <f>Расчёт!I291</f>
        <v>0</v>
      </c>
      <c r="K37" s="642">
        <f t="shared" si="2"/>
        <v>0</v>
      </c>
      <c r="L37" s="2"/>
      <c r="M37" s="2"/>
      <c r="N37" s="2"/>
      <c r="O37" s="2"/>
      <c r="P37" s="2"/>
      <c r="Q37" s="2"/>
      <c r="R37" s="80"/>
      <c r="S37" s="80"/>
      <c r="T37" s="80"/>
      <c r="U37" s="80"/>
      <c r="V37" s="154">
        <f t="shared" si="0"/>
        <v>0</v>
      </c>
      <c r="W37" s="80"/>
      <c r="X37" s="80"/>
      <c r="Y37" s="80"/>
      <c r="Z37" s="155">
        <f t="shared" si="1"/>
        <v>0</v>
      </c>
      <c r="AA37" s="80"/>
      <c r="AB37" s="80"/>
      <c r="AC37" s="80"/>
      <c r="AD37" s="80"/>
    </row>
    <row r="38" spans="1:30" ht="15" customHeight="1" x14ac:dyDescent="0.2">
      <c r="A38" s="2"/>
      <c r="B38" s="493" t="str">
        <f>Расчёт!B292</f>
        <v>САХАР</v>
      </c>
      <c r="C38" s="613" t="s">
        <v>163</v>
      </c>
      <c r="D38" s="640">
        <f>Цены!D38</f>
        <v>0</v>
      </c>
      <c r="E38" s="488">
        <v>0</v>
      </c>
      <c r="F38" s="488">
        <v>0</v>
      </c>
      <c r="G38" s="488">
        <v>0</v>
      </c>
      <c r="H38" s="509">
        <f>Расчёт!G292</f>
        <v>0</v>
      </c>
      <c r="I38" s="510">
        <f>Расчёт!H292</f>
        <v>0</v>
      </c>
      <c r="J38" s="528">
        <f>ROUND(Расчёт!I292,1)</f>
        <v>0</v>
      </c>
      <c r="K38" s="512">
        <f t="shared" si="2"/>
        <v>0</v>
      </c>
      <c r="L38" s="2"/>
      <c r="M38" s="2"/>
      <c r="N38" s="2"/>
      <c r="O38" s="2"/>
      <c r="P38" s="2"/>
      <c r="Q38" s="2"/>
      <c r="R38" s="80"/>
      <c r="S38" s="80"/>
      <c r="T38" s="80"/>
      <c r="U38" s="80"/>
      <c r="V38" s="154">
        <f t="shared" si="0"/>
        <v>0</v>
      </c>
      <c r="W38" s="80"/>
      <c r="X38" s="80"/>
      <c r="Y38" s="80"/>
      <c r="Z38" s="155">
        <f t="shared" si="1"/>
        <v>0</v>
      </c>
      <c r="AA38" s="80"/>
      <c r="AB38" s="80"/>
      <c r="AC38" s="80"/>
      <c r="AD38" s="80"/>
    </row>
    <row r="39" spans="1:30" ht="15" customHeight="1" x14ac:dyDescent="0.2">
      <c r="A39" s="2"/>
      <c r="B39" s="493" t="str">
        <f>Расчёт!B293</f>
        <v>СОЛЬ ПИЩЕВАЯ</v>
      </c>
      <c r="C39" s="613" t="s">
        <v>163</v>
      </c>
      <c r="D39" s="640">
        <f>Цены!D39</f>
        <v>0</v>
      </c>
      <c r="E39" s="488">
        <v>0</v>
      </c>
      <c r="F39" s="488">
        <v>0</v>
      </c>
      <c r="G39" s="488">
        <v>0</v>
      </c>
      <c r="H39" s="509">
        <f>Расчёт!G293</f>
        <v>0</v>
      </c>
      <c r="I39" s="510">
        <f>Расчёт!H293</f>
        <v>0</v>
      </c>
      <c r="J39" s="528">
        <f>ROUND(Расчёт!I293,1)</f>
        <v>0</v>
      </c>
      <c r="K39" s="512">
        <f t="shared" si="2"/>
        <v>0</v>
      </c>
      <c r="L39" s="2"/>
      <c r="M39" s="2"/>
      <c r="N39" s="2"/>
      <c r="O39" s="2"/>
      <c r="P39" s="2"/>
      <c r="Q39" s="2"/>
      <c r="R39" s="80"/>
      <c r="S39" s="80"/>
      <c r="T39" s="80"/>
      <c r="U39" s="80"/>
      <c r="V39" s="154">
        <f t="shared" si="0"/>
        <v>0</v>
      </c>
      <c r="W39" s="80"/>
      <c r="X39" s="80"/>
      <c r="Y39" s="80"/>
      <c r="Z39" s="155">
        <f t="shared" si="1"/>
        <v>0</v>
      </c>
      <c r="AA39" s="80"/>
      <c r="AB39" s="80"/>
      <c r="AC39" s="80"/>
      <c r="AD39" s="80"/>
    </row>
    <row r="40" spans="1:30" ht="15" customHeight="1" x14ac:dyDescent="0.2">
      <c r="A40" s="2"/>
      <c r="B40" s="493" t="str">
        <f>Расчёт!B294</f>
        <v>ЧАЙ</v>
      </c>
      <c r="C40" s="613" t="s">
        <v>163</v>
      </c>
      <c r="D40" s="640">
        <f>Цены!D40</f>
        <v>0</v>
      </c>
      <c r="E40" s="488">
        <v>0</v>
      </c>
      <c r="F40" s="488">
        <v>0</v>
      </c>
      <c r="G40" s="488">
        <v>0</v>
      </c>
      <c r="H40" s="643">
        <f>Расчёт!G294</f>
        <v>0</v>
      </c>
      <c r="I40" s="540">
        <f>Расчёт!H294</f>
        <v>0</v>
      </c>
      <c r="J40" s="541">
        <f>Расчёт!I294</f>
        <v>0</v>
      </c>
      <c r="K40" s="644">
        <f t="shared" si="2"/>
        <v>0</v>
      </c>
      <c r="L40" s="2"/>
      <c r="M40" s="2"/>
      <c r="N40" s="2"/>
      <c r="O40" s="2"/>
      <c r="P40" s="2"/>
      <c r="Q40" s="2"/>
      <c r="R40" s="80"/>
      <c r="S40" s="80"/>
      <c r="T40" s="80"/>
      <c r="U40" s="80"/>
      <c r="V40" s="154">
        <f t="shared" si="0"/>
        <v>0</v>
      </c>
      <c r="W40" s="80"/>
      <c r="X40" s="80"/>
      <c r="Y40" s="80"/>
      <c r="Z40" s="155">
        <f t="shared" si="1"/>
        <v>0</v>
      </c>
      <c r="AA40" s="80"/>
      <c r="AB40" s="80"/>
      <c r="AC40" s="80"/>
      <c r="AD40" s="80"/>
    </row>
    <row r="41" spans="1:30" ht="15" customHeight="1" x14ac:dyDescent="0.2">
      <c r="A41" s="2"/>
      <c r="B41" s="493" t="str">
        <f>Расчёт!B295</f>
        <v>КОФЕ НАТУРАЛЬНЫЙ</v>
      </c>
      <c r="C41" s="613" t="s">
        <v>163</v>
      </c>
      <c r="D41" s="640">
        <f>Цены!D41</f>
        <v>0</v>
      </c>
      <c r="E41" s="488">
        <v>0</v>
      </c>
      <c r="F41" s="488">
        <v>0</v>
      </c>
      <c r="G41" s="488">
        <v>0</v>
      </c>
      <c r="H41" s="643">
        <f>Расчёт!G295</f>
        <v>0</v>
      </c>
      <c r="I41" s="540">
        <f>Расчёт!H295</f>
        <v>0</v>
      </c>
      <c r="J41" s="541">
        <f>Расчёт!I295</f>
        <v>0</v>
      </c>
      <c r="K41" s="644">
        <f t="shared" si="2"/>
        <v>0</v>
      </c>
      <c r="L41" s="2"/>
      <c r="M41" s="2"/>
      <c r="N41" s="2"/>
      <c r="O41" s="2"/>
      <c r="P41" s="2"/>
      <c r="Q41" s="2"/>
      <c r="R41" s="80"/>
      <c r="S41" s="80"/>
      <c r="T41" s="80"/>
      <c r="U41" s="80"/>
      <c r="V41" s="154">
        <f t="shared" si="0"/>
        <v>0</v>
      </c>
      <c r="W41" s="80"/>
      <c r="X41" s="80"/>
      <c r="Y41" s="80"/>
      <c r="Z41" s="155">
        <f t="shared" si="1"/>
        <v>0</v>
      </c>
      <c r="AA41" s="80"/>
      <c r="AB41" s="80"/>
      <c r="AC41" s="80"/>
      <c r="AD41" s="80"/>
    </row>
    <row r="42" spans="1:30" ht="15" customHeight="1" x14ac:dyDescent="0.2">
      <c r="A42" s="2"/>
      <c r="B42" s="493" t="str">
        <f>Расчёт!B296</f>
        <v>КОФЕЙНЫЙ НАПИТОК</v>
      </c>
      <c r="C42" s="613" t="s">
        <v>163</v>
      </c>
      <c r="D42" s="640">
        <f>Цены!D42</f>
        <v>0</v>
      </c>
      <c r="E42" s="488">
        <v>0</v>
      </c>
      <c r="F42" s="488">
        <v>0</v>
      </c>
      <c r="G42" s="488">
        <v>0</v>
      </c>
      <c r="H42" s="643">
        <f>Расчёт!G296</f>
        <v>0</v>
      </c>
      <c r="I42" s="540">
        <f>Расчёт!H296</f>
        <v>0</v>
      </c>
      <c r="J42" s="541">
        <f>Расчёт!I296</f>
        <v>0</v>
      </c>
      <c r="K42" s="644">
        <f>SUM(E42:J42)</f>
        <v>0</v>
      </c>
      <c r="L42" s="2"/>
      <c r="M42" s="2"/>
      <c r="N42" s="2"/>
      <c r="O42" s="2"/>
      <c r="P42" s="2"/>
      <c r="Q42" s="2"/>
      <c r="R42" s="80"/>
      <c r="S42" s="80"/>
      <c r="T42" s="80"/>
      <c r="U42" s="80"/>
      <c r="V42" s="154"/>
      <c r="W42" s="80"/>
      <c r="X42" s="80"/>
      <c r="Y42" s="80"/>
      <c r="Z42" s="155">
        <f t="shared" si="1"/>
        <v>0</v>
      </c>
      <c r="AA42" s="80"/>
      <c r="AB42" s="80"/>
      <c r="AC42" s="80"/>
      <c r="AD42" s="80"/>
    </row>
    <row r="43" spans="1:30" ht="15" customHeight="1" x14ac:dyDescent="0.2">
      <c r="A43" s="2"/>
      <c r="B43" s="493" t="str">
        <f>Расчёт!B297</f>
        <v>ЛАВРОВЫЙ ЛИСТ</v>
      </c>
      <c r="C43" s="613" t="s">
        <v>163</v>
      </c>
      <c r="D43" s="640">
        <f>Цены!D43</f>
        <v>0</v>
      </c>
      <c r="E43" s="488">
        <v>0</v>
      </c>
      <c r="F43" s="488">
        <v>0</v>
      </c>
      <c r="G43" s="488">
        <v>0</v>
      </c>
      <c r="H43" s="643">
        <f>Расчёт!G297</f>
        <v>0</v>
      </c>
      <c r="I43" s="540">
        <f>Расчёт!H297</f>
        <v>0</v>
      </c>
      <c r="J43" s="541">
        <f>Расчёт!I297</f>
        <v>0</v>
      </c>
      <c r="K43" s="644">
        <f t="shared" si="2"/>
        <v>0</v>
      </c>
      <c r="L43" s="2"/>
      <c r="M43" s="2"/>
      <c r="N43" s="2"/>
      <c r="O43" s="2"/>
      <c r="P43" s="2"/>
      <c r="Q43" s="2"/>
      <c r="R43" s="80"/>
      <c r="S43" s="80"/>
      <c r="T43" s="80"/>
      <c r="U43" s="80"/>
      <c r="V43" s="154">
        <f t="shared" si="0"/>
        <v>0</v>
      </c>
      <c r="W43" s="80"/>
      <c r="X43" s="80"/>
      <c r="Y43" s="80"/>
      <c r="Z43" s="155">
        <f t="shared" si="1"/>
        <v>0</v>
      </c>
      <c r="AA43" s="80"/>
      <c r="AB43" s="80"/>
      <c r="AC43" s="80"/>
      <c r="AD43" s="80"/>
    </row>
    <row r="44" spans="1:30" ht="15" customHeight="1" x14ac:dyDescent="0.2">
      <c r="A44" s="2"/>
      <c r="B44" s="493" t="str">
        <f>Расчёт!B298</f>
        <v>ПЕРЕЦ</v>
      </c>
      <c r="C44" s="618" t="s">
        <v>163</v>
      </c>
      <c r="D44" s="640">
        <f>Цены!D44</f>
        <v>0</v>
      </c>
      <c r="E44" s="488">
        <v>0</v>
      </c>
      <c r="F44" s="488">
        <v>0</v>
      </c>
      <c r="G44" s="488">
        <v>0</v>
      </c>
      <c r="H44" s="645">
        <f>Расчёт!G298</f>
        <v>0</v>
      </c>
      <c r="I44" s="545">
        <f>Расчёт!H298</f>
        <v>0</v>
      </c>
      <c r="J44" s="546">
        <f>Расчёт!I298</f>
        <v>0</v>
      </c>
      <c r="K44" s="646">
        <f t="shared" si="2"/>
        <v>0</v>
      </c>
      <c r="L44" s="2"/>
      <c r="M44" s="2"/>
      <c r="N44" s="2"/>
      <c r="O44" s="2"/>
      <c r="P44" s="2"/>
      <c r="Q44" s="2"/>
      <c r="R44" s="80"/>
      <c r="S44" s="80"/>
      <c r="T44" s="80"/>
      <c r="U44" s="80"/>
      <c r="V44" s="154">
        <f t="shared" si="0"/>
        <v>0</v>
      </c>
      <c r="W44" s="80"/>
      <c r="X44" s="80"/>
      <c r="Y44" s="80"/>
      <c r="Z44" s="155">
        <f t="shared" si="1"/>
        <v>0</v>
      </c>
      <c r="AA44" s="80"/>
      <c r="AB44" s="80"/>
      <c r="AC44" s="80"/>
      <c r="AD44" s="80"/>
    </row>
    <row r="45" spans="1:30" ht="15" customHeight="1" x14ac:dyDescent="0.2">
      <c r="A45" s="2"/>
      <c r="B45" s="493" t="str">
        <f>Расчёт!B299</f>
        <v>ГОРЧИЧНЫЙ ПОРОШОК</v>
      </c>
      <c r="C45" s="618" t="s">
        <v>163</v>
      </c>
      <c r="D45" s="640">
        <f>Цены!D45</f>
        <v>0</v>
      </c>
      <c r="E45" s="488">
        <v>0</v>
      </c>
      <c r="F45" s="488">
        <v>0</v>
      </c>
      <c r="G45" s="488">
        <v>0</v>
      </c>
      <c r="H45" s="645">
        <f>Расчёт!G299</f>
        <v>0</v>
      </c>
      <c r="I45" s="545">
        <f>Расчёт!H299</f>
        <v>0</v>
      </c>
      <c r="J45" s="546">
        <f>Расчёт!I299</f>
        <v>0</v>
      </c>
      <c r="K45" s="646">
        <f t="shared" si="2"/>
        <v>0</v>
      </c>
      <c r="L45" s="2"/>
      <c r="M45" s="2"/>
      <c r="N45" s="2"/>
      <c r="O45" s="2"/>
      <c r="P45" s="2"/>
      <c r="Q45" s="2"/>
      <c r="R45" s="80"/>
      <c r="S45" s="80"/>
      <c r="T45" s="80"/>
      <c r="U45" s="80"/>
      <c r="V45" s="154">
        <f t="shared" si="0"/>
        <v>0</v>
      </c>
      <c r="W45" s="80"/>
      <c r="X45" s="80"/>
      <c r="Y45" s="80"/>
      <c r="Z45" s="155">
        <f t="shared" si="1"/>
        <v>0</v>
      </c>
      <c r="AA45" s="80"/>
      <c r="AB45" s="80"/>
      <c r="AC45" s="80"/>
      <c r="AD45" s="80"/>
    </row>
    <row r="46" spans="1:30" ht="15" customHeight="1" x14ac:dyDescent="0.2">
      <c r="A46" s="2"/>
      <c r="B46" s="493" t="str">
        <f>Расчёт!B300</f>
        <v>УКСУС</v>
      </c>
      <c r="C46" s="618" t="s">
        <v>163</v>
      </c>
      <c r="D46" s="640">
        <f>Цены!D46</f>
        <v>0</v>
      </c>
      <c r="E46" s="488">
        <v>0</v>
      </c>
      <c r="F46" s="488">
        <v>0</v>
      </c>
      <c r="G46" s="488">
        <v>0</v>
      </c>
      <c r="H46" s="645">
        <f>Расчёт!G300</f>
        <v>0</v>
      </c>
      <c r="I46" s="545">
        <f>Расчёт!H300</f>
        <v>0</v>
      </c>
      <c r="J46" s="546">
        <f>Расчёт!I300</f>
        <v>0</v>
      </c>
      <c r="K46" s="646">
        <f t="shared" si="2"/>
        <v>0</v>
      </c>
      <c r="L46" s="2"/>
      <c r="M46" s="2"/>
      <c r="N46" s="2"/>
      <c r="O46" s="2"/>
      <c r="P46" s="2"/>
      <c r="Q46" s="2"/>
      <c r="R46" s="80"/>
      <c r="S46" s="80"/>
      <c r="T46" s="80"/>
      <c r="U46" s="80"/>
      <c r="V46" s="154">
        <f t="shared" si="0"/>
        <v>0</v>
      </c>
      <c r="W46" s="80"/>
      <c r="X46" s="80"/>
      <c r="Y46" s="80"/>
      <c r="Z46" s="155">
        <f t="shared" si="1"/>
        <v>0</v>
      </c>
      <c r="AA46" s="80"/>
      <c r="AB46" s="80"/>
      <c r="AC46" s="80"/>
      <c r="AD46" s="80"/>
    </row>
    <row r="47" spans="1:30" ht="15" customHeight="1" x14ac:dyDescent="0.2">
      <c r="A47" s="2"/>
      <c r="B47" s="493" t="str">
        <f>Расчёт!B301</f>
        <v>ТОМАТНАЯ ПАСТА</v>
      </c>
      <c r="C47" s="613" t="s">
        <v>163</v>
      </c>
      <c r="D47" s="640">
        <f>Цены!D47</f>
        <v>0</v>
      </c>
      <c r="E47" s="488">
        <v>0</v>
      </c>
      <c r="F47" s="488">
        <v>0</v>
      </c>
      <c r="G47" s="488">
        <v>0</v>
      </c>
      <c r="H47" s="643">
        <f>Расчёт!G301+IF(AND(X1=7,'Блок ввода'!Z26=1),X2,0)</f>
        <v>0</v>
      </c>
      <c r="I47" s="540">
        <f>Расчёт!H301</f>
        <v>0</v>
      </c>
      <c r="J47" s="541">
        <f>Расчёт!I301</f>
        <v>0</v>
      </c>
      <c r="K47" s="644">
        <f t="shared" si="2"/>
        <v>0</v>
      </c>
      <c r="L47" s="2"/>
      <c r="M47" s="2"/>
      <c r="N47" s="2"/>
      <c r="O47" s="2"/>
      <c r="P47" s="2"/>
      <c r="Q47" s="2"/>
      <c r="R47" s="80"/>
      <c r="S47" s="80"/>
      <c r="T47" s="80"/>
      <c r="U47" s="80"/>
      <c r="V47" s="154">
        <f t="shared" si="0"/>
        <v>0</v>
      </c>
      <c r="W47" s="80"/>
      <c r="X47" s="80"/>
      <c r="Y47" s="80"/>
      <c r="Z47" s="155">
        <f t="shared" si="1"/>
        <v>0</v>
      </c>
      <c r="AA47" s="80"/>
      <c r="AB47" s="80"/>
      <c r="AC47" s="80"/>
      <c r="AD47" s="80"/>
    </row>
    <row r="48" spans="1:30" ht="15" customHeight="1" x14ac:dyDescent="0.2">
      <c r="A48" s="2"/>
      <c r="B48" s="493" t="str">
        <f>Расчёт!B302</f>
        <v>КАРАМЕЛЬ</v>
      </c>
      <c r="C48" s="613" t="s">
        <v>163</v>
      </c>
      <c r="D48" s="640">
        <f>Цены!D48</f>
        <v>0</v>
      </c>
      <c r="E48" s="488">
        <v>0</v>
      </c>
      <c r="F48" s="488">
        <v>0</v>
      </c>
      <c r="G48" s="488">
        <v>0</v>
      </c>
      <c r="H48" s="643">
        <f>Расчёт!G302</f>
        <v>0</v>
      </c>
      <c r="I48" s="540">
        <f>Расчёт!H302</f>
        <v>0</v>
      </c>
      <c r="J48" s="541">
        <f>Расчёт!I302+IF(AND(X1=8,'Блок ввода'!Z26=1),X2,0)</f>
        <v>0</v>
      </c>
      <c r="K48" s="644">
        <f t="shared" si="2"/>
        <v>0</v>
      </c>
      <c r="L48" s="2"/>
      <c r="M48" s="2"/>
      <c r="N48" s="2"/>
      <c r="O48" s="2"/>
      <c r="P48" s="2"/>
      <c r="Q48" s="2"/>
      <c r="R48" s="80"/>
      <c r="S48" s="80"/>
      <c r="T48" s="80"/>
      <c r="U48" s="80"/>
      <c r="V48" s="154">
        <f t="shared" si="0"/>
        <v>0</v>
      </c>
      <c r="W48" s="80"/>
      <c r="X48" s="80"/>
      <c r="Y48" s="80"/>
      <c r="Z48" s="155">
        <f t="shared" si="1"/>
        <v>0</v>
      </c>
      <c r="AA48" s="80"/>
      <c r="AB48" s="80"/>
      <c r="AC48" s="80"/>
      <c r="AD48" s="80"/>
    </row>
    <row r="49" spans="1:30" ht="15" customHeight="1" x14ac:dyDescent="0.2">
      <c r="A49" s="2"/>
      <c r="B49" s="493" t="str">
        <f>Расчёт!B303</f>
        <v>ЖЕЛАТИН</v>
      </c>
      <c r="C49" s="618" t="s">
        <v>163</v>
      </c>
      <c r="D49" s="640">
        <f>Цены!D49</f>
        <v>0</v>
      </c>
      <c r="E49" s="488">
        <v>0</v>
      </c>
      <c r="F49" s="488">
        <v>0</v>
      </c>
      <c r="G49" s="488">
        <v>0</v>
      </c>
      <c r="H49" s="643">
        <f>Расчёт!G303</f>
        <v>0</v>
      </c>
      <c r="I49" s="540">
        <f>Расчёт!H303</f>
        <v>0</v>
      </c>
      <c r="J49" s="541">
        <f>Расчёт!I303</f>
        <v>0</v>
      </c>
      <c r="K49" s="644">
        <f t="shared" si="2"/>
        <v>0</v>
      </c>
      <c r="L49" s="2"/>
      <c r="M49" s="2"/>
      <c r="N49" s="2"/>
      <c r="O49" s="2"/>
      <c r="P49" s="2"/>
      <c r="Q49" s="2"/>
      <c r="R49" s="80"/>
      <c r="S49" s="80"/>
      <c r="T49" s="80"/>
      <c r="U49" s="80"/>
      <c r="V49" s="154">
        <f t="shared" si="0"/>
        <v>0</v>
      </c>
      <c r="W49" s="80"/>
      <c r="X49" s="80"/>
      <c r="Y49" s="80"/>
      <c r="Z49" s="155">
        <f t="shared" si="1"/>
        <v>0</v>
      </c>
      <c r="AA49" s="80"/>
      <c r="AB49" s="80"/>
      <c r="AC49" s="80"/>
      <c r="AD49" s="80"/>
    </row>
    <row r="50" spans="1:30" ht="15" customHeight="1" thickBot="1" x14ac:dyDescent="0.25">
      <c r="A50" s="2"/>
      <c r="B50" s="548" t="str">
        <f>Расчёт!B304</f>
        <v>ДРОЖЖИ ПРЕСОВАННЫЕ</v>
      </c>
      <c r="C50" s="647" t="s">
        <v>163</v>
      </c>
      <c r="D50" s="1244">
        <f>Цены!D50</f>
        <v>0</v>
      </c>
      <c r="E50" s="500">
        <v>0</v>
      </c>
      <c r="F50" s="500">
        <v>0</v>
      </c>
      <c r="G50" s="500">
        <v>0</v>
      </c>
      <c r="H50" s="649">
        <f>Расчёт!G304</f>
        <v>0</v>
      </c>
      <c r="I50" s="650">
        <f>Расчёт!H304</f>
        <v>0</v>
      </c>
      <c r="J50" s="552">
        <f>Расчёт!I304</f>
        <v>0</v>
      </c>
      <c r="K50" s="651">
        <f t="shared" si="2"/>
        <v>0</v>
      </c>
      <c r="L50" s="2"/>
      <c r="M50" s="2"/>
      <c r="N50" s="2"/>
      <c r="O50" s="2"/>
      <c r="P50" s="2"/>
      <c r="Q50" s="2"/>
      <c r="R50" s="80"/>
      <c r="S50" s="80"/>
      <c r="T50" s="80"/>
      <c r="U50" s="80"/>
      <c r="V50" s="154">
        <f t="shared" si="0"/>
        <v>0</v>
      </c>
      <c r="W50" s="80"/>
      <c r="X50" s="80"/>
      <c r="Y50" s="80"/>
      <c r="Z50" s="155">
        <f t="shared" si="1"/>
        <v>0</v>
      </c>
      <c r="AA50" s="80"/>
      <c r="AB50" s="80"/>
      <c r="AC50" s="80"/>
      <c r="AD50" s="80"/>
    </row>
    <row r="51" spans="1:30" ht="15" customHeight="1" x14ac:dyDescent="0.2">
      <c r="A51" s="2"/>
      <c r="B51" s="521" t="str">
        <f>Расчёт!B305</f>
        <v>КАРТОФЕЛЬ</v>
      </c>
      <c r="C51" s="610" t="s">
        <v>163</v>
      </c>
      <c r="D51" s="506">
        <f>Цены!D51</f>
        <v>0</v>
      </c>
      <c r="E51" s="507">
        <v>0</v>
      </c>
      <c r="F51" s="507">
        <v>0</v>
      </c>
      <c r="G51" s="508">
        <v>0</v>
      </c>
      <c r="H51" s="554">
        <f>Расчёт!G305</f>
        <v>0</v>
      </c>
      <c r="I51" s="628">
        <f>Расчёт!H305</f>
        <v>0</v>
      </c>
      <c r="J51" s="629">
        <f>Расчёт!I305</f>
        <v>0</v>
      </c>
      <c r="K51" s="652">
        <f t="shared" si="2"/>
        <v>0</v>
      </c>
      <c r="L51" s="2"/>
      <c r="M51" s="2"/>
      <c r="N51" s="2"/>
      <c r="O51" s="2"/>
      <c r="P51" s="2"/>
      <c r="Q51" s="2"/>
      <c r="R51" s="80"/>
      <c r="S51" s="80"/>
      <c r="T51" s="80"/>
      <c r="U51" s="80"/>
      <c r="V51" s="154">
        <f t="shared" si="0"/>
        <v>0</v>
      </c>
      <c r="W51" s="80"/>
      <c r="X51" s="80"/>
      <c r="Y51" s="80"/>
      <c r="Z51" s="155">
        <f t="shared" si="1"/>
        <v>0</v>
      </c>
      <c r="AA51" s="80"/>
      <c r="AB51" s="80"/>
      <c r="AC51" s="80"/>
      <c r="AD51" s="80"/>
    </row>
    <row r="52" spans="1:30" ht="15" customHeight="1" x14ac:dyDescent="0.2">
      <c r="A52" s="2"/>
      <c r="B52" s="523" t="str">
        <f>Расчёт!B306</f>
        <v xml:space="preserve">КАПУСТА  </v>
      </c>
      <c r="C52" s="613" t="s">
        <v>163</v>
      </c>
      <c r="D52" s="640">
        <f>Цены!D52</f>
        <v>0</v>
      </c>
      <c r="E52" s="488">
        <v>0</v>
      </c>
      <c r="F52" s="488">
        <v>0</v>
      </c>
      <c r="G52" s="571">
        <v>0</v>
      </c>
      <c r="H52" s="558">
        <f>Расчёт!G306</f>
        <v>0</v>
      </c>
      <c r="I52" s="562">
        <f>Расчёт!H306</f>
        <v>0</v>
      </c>
      <c r="J52" s="630">
        <f>Расчёт!I306</f>
        <v>0</v>
      </c>
      <c r="K52" s="653">
        <f t="shared" si="2"/>
        <v>0</v>
      </c>
      <c r="L52" s="2"/>
      <c r="M52" s="2"/>
      <c r="N52" s="2"/>
      <c r="O52" s="2"/>
      <c r="P52" s="2"/>
      <c r="Q52" s="2"/>
      <c r="R52" s="80"/>
      <c r="S52" s="80"/>
      <c r="T52" s="80"/>
      <c r="U52" s="80"/>
      <c r="V52" s="154">
        <f t="shared" si="0"/>
        <v>0</v>
      </c>
      <c r="W52" s="80"/>
      <c r="X52" s="80"/>
      <c r="Y52" s="80"/>
      <c r="Z52" s="155">
        <f t="shared" si="1"/>
        <v>0</v>
      </c>
      <c r="AA52" s="80"/>
      <c r="AB52" s="80"/>
      <c r="AC52" s="80"/>
      <c r="AD52" s="80"/>
    </row>
    <row r="53" spans="1:30" ht="15" customHeight="1" x14ac:dyDescent="0.2">
      <c r="A53" s="2"/>
      <c r="B53" s="523" t="str">
        <f>Расчёт!B307</f>
        <v>СВЕКЛА</v>
      </c>
      <c r="C53" s="613" t="s">
        <v>163</v>
      </c>
      <c r="D53" s="640">
        <f>Цены!D53</f>
        <v>0</v>
      </c>
      <c r="E53" s="488">
        <v>0</v>
      </c>
      <c r="F53" s="488">
        <v>0</v>
      </c>
      <c r="G53" s="571">
        <v>0</v>
      </c>
      <c r="H53" s="558">
        <f>Расчёт!G307</f>
        <v>0</v>
      </c>
      <c r="I53" s="562">
        <f>Расчёт!H307</f>
        <v>0</v>
      </c>
      <c r="J53" s="630">
        <f>Расчёт!I307</f>
        <v>0</v>
      </c>
      <c r="K53" s="653">
        <f t="shared" si="2"/>
        <v>0</v>
      </c>
      <c r="L53" s="2"/>
      <c r="M53" s="2"/>
      <c r="N53" s="2"/>
      <c r="O53" s="2"/>
      <c r="P53" s="2"/>
      <c r="Q53" s="2"/>
      <c r="R53" s="80"/>
      <c r="S53" s="80"/>
      <c r="T53" s="80"/>
      <c r="U53" s="80"/>
      <c r="V53" s="154">
        <f t="shared" si="0"/>
        <v>0</v>
      </c>
      <c r="W53" s="80"/>
      <c r="X53" s="80"/>
      <c r="Y53" s="80"/>
      <c r="Z53" s="155">
        <f t="shared" si="1"/>
        <v>0</v>
      </c>
      <c r="AA53" s="80"/>
      <c r="AB53" s="80"/>
      <c r="AC53" s="80"/>
      <c r="AD53" s="80"/>
    </row>
    <row r="54" spans="1:30" ht="15" customHeight="1" x14ac:dyDescent="0.2">
      <c r="A54" s="2"/>
      <c r="B54" s="523" t="str">
        <f>Расчёт!B308</f>
        <v>МОРКОВЬ</v>
      </c>
      <c r="C54" s="613" t="s">
        <v>163</v>
      </c>
      <c r="D54" s="640">
        <f>Цены!D54</f>
        <v>0</v>
      </c>
      <c r="E54" s="488">
        <v>0</v>
      </c>
      <c r="F54" s="488">
        <v>0</v>
      </c>
      <c r="G54" s="571">
        <v>0</v>
      </c>
      <c r="H54" s="558">
        <f>Расчёт!G308</f>
        <v>0</v>
      </c>
      <c r="I54" s="562">
        <f>Расчёт!H308</f>
        <v>0</v>
      </c>
      <c r="J54" s="630">
        <f>Расчёт!I308</f>
        <v>0</v>
      </c>
      <c r="K54" s="653">
        <f t="shared" si="2"/>
        <v>0</v>
      </c>
      <c r="L54" s="2"/>
      <c r="M54" s="2"/>
      <c r="N54" s="2"/>
      <c r="O54" s="2"/>
      <c r="P54" s="2"/>
      <c r="Q54" s="2"/>
      <c r="R54" s="80"/>
      <c r="S54" s="80"/>
      <c r="T54" s="80"/>
      <c r="U54" s="80"/>
      <c r="V54" s="154">
        <f t="shared" si="0"/>
        <v>0</v>
      </c>
      <c r="W54" s="80"/>
      <c r="X54" s="80"/>
      <c r="Y54" s="80"/>
      <c r="Z54" s="155">
        <f t="shared" si="1"/>
        <v>0</v>
      </c>
      <c r="AA54" s="80"/>
      <c r="AB54" s="80"/>
      <c r="AC54" s="80"/>
      <c r="AD54" s="80"/>
    </row>
    <row r="55" spans="1:30" ht="15" customHeight="1" x14ac:dyDescent="0.2">
      <c r="A55" s="2"/>
      <c r="B55" s="523" t="str">
        <f>Расчёт!B309</f>
        <v>ЛУК РЕПЧАТЫЙ</v>
      </c>
      <c r="C55" s="613" t="s">
        <v>163</v>
      </c>
      <c r="D55" s="640">
        <f>Цены!D55</f>
        <v>0</v>
      </c>
      <c r="E55" s="488">
        <v>0</v>
      </c>
      <c r="F55" s="488">
        <v>0</v>
      </c>
      <c r="G55" s="571">
        <v>0</v>
      </c>
      <c r="H55" s="558">
        <f>Расчёт!G309</f>
        <v>0</v>
      </c>
      <c r="I55" s="562">
        <f>Расчёт!H309</f>
        <v>0</v>
      </c>
      <c r="J55" s="630">
        <f>Расчёт!I309</f>
        <v>0</v>
      </c>
      <c r="K55" s="653">
        <f t="shared" si="2"/>
        <v>0</v>
      </c>
      <c r="L55" s="2"/>
      <c r="M55" s="2"/>
      <c r="N55" s="2"/>
      <c r="O55" s="2"/>
      <c r="P55" s="2"/>
      <c r="Q55" s="2"/>
      <c r="R55" s="80"/>
      <c r="S55" s="80"/>
      <c r="T55" s="80"/>
      <c r="U55" s="80"/>
      <c r="V55" s="154">
        <f t="shared" si="0"/>
        <v>0</v>
      </c>
      <c r="W55" s="80"/>
      <c r="X55" s="80"/>
      <c r="Y55" s="80"/>
      <c r="Z55" s="155">
        <f t="shared" si="1"/>
        <v>0</v>
      </c>
      <c r="AA55" s="80"/>
      <c r="AB55" s="80"/>
      <c r="AC55" s="80"/>
      <c r="AD55" s="80"/>
    </row>
    <row r="56" spans="1:30" ht="15" customHeight="1" x14ac:dyDescent="0.2">
      <c r="A56" s="2"/>
      <c r="B56" s="523" t="str">
        <f>Расчёт!B310</f>
        <v>ОГУРЦЫ СОЛЕНЫЕ</v>
      </c>
      <c r="C56" s="613" t="s">
        <v>163</v>
      </c>
      <c r="D56" s="640">
        <f>Цены!D56</f>
        <v>0</v>
      </c>
      <c r="E56" s="488">
        <v>0</v>
      </c>
      <c r="F56" s="488">
        <v>0</v>
      </c>
      <c r="G56" s="571">
        <v>0</v>
      </c>
      <c r="H56" s="558">
        <f>Расчёт!G310</f>
        <v>0</v>
      </c>
      <c r="I56" s="510">
        <f>Расчёт!H310</f>
        <v>0</v>
      </c>
      <c r="J56" s="511">
        <f>Расчёт!I310</f>
        <v>0</v>
      </c>
      <c r="K56" s="512">
        <f t="shared" si="2"/>
        <v>0</v>
      </c>
      <c r="L56" s="2"/>
      <c r="M56" s="2"/>
      <c r="N56" s="2"/>
      <c r="O56" s="2"/>
      <c r="P56" s="2"/>
      <c r="Q56" s="2"/>
      <c r="R56" s="80"/>
      <c r="S56" s="80"/>
      <c r="T56" s="80"/>
      <c r="U56" s="80"/>
      <c r="V56" s="154">
        <f t="shared" si="0"/>
        <v>0</v>
      </c>
      <c r="W56" s="80"/>
      <c r="X56" s="80"/>
      <c r="Y56" s="80"/>
      <c r="Z56" s="155">
        <f t="shared" si="1"/>
        <v>0</v>
      </c>
      <c r="AA56" s="80"/>
      <c r="AB56" s="80"/>
      <c r="AC56" s="80"/>
      <c r="AD56" s="80"/>
    </row>
    <row r="57" spans="1:30" ht="15" customHeight="1" x14ac:dyDescent="0.2">
      <c r="A57" s="2"/>
      <c r="B57" s="523" t="str">
        <f>Расчёт!B311</f>
        <v>ПОМИДОРЫ СОЛЁНЫЕ</v>
      </c>
      <c r="C57" s="613" t="s">
        <v>163</v>
      </c>
      <c r="D57" s="640">
        <f>Цены!D57</f>
        <v>0</v>
      </c>
      <c r="E57" s="488">
        <v>0</v>
      </c>
      <c r="F57" s="488">
        <v>0</v>
      </c>
      <c r="G57" s="571">
        <v>0</v>
      </c>
      <c r="H57" s="558">
        <f>Расчёт!G311</f>
        <v>0</v>
      </c>
      <c r="I57" s="510">
        <f>Расчёт!H311</f>
        <v>0</v>
      </c>
      <c r="J57" s="511">
        <f>Расчёт!I311</f>
        <v>0</v>
      </c>
      <c r="K57" s="512">
        <f t="shared" si="2"/>
        <v>0</v>
      </c>
      <c r="L57" s="2"/>
      <c r="M57" s="2"/>
      <c r="N57" s="2"/>
      <c r="O57" s="2"/>
      <c r="P57" s="2"/>
      <c r="Q57" s="2"/>
      <c r="R57" s="80"/>
      <c r="S57" s="80"/>
      <c r="T57" s="80"/>
      <c r="U57" s="80"/>
      <c r="V57" s="154">
        <f t="shared" si="0"/>
        <v>0</v>
      </c>
      <c r="W57" s="80"/>
      <c r="X57" s="80"/>
      <c r="Y57" s="80"/>
      <c r="Z57" s="155">
        <f t="shared" si="1"/>
        <v>0</v>
      </c>
      <c r="AA57" s="80"/>
      <c r="AB57" s="80"/>
      <c r="AC57" s="80"/>
      <c r="AD57" s="80"/>
    </row>
    <row r="58" spans="1:30" ht="15" customHeight="1" thickBot="1" x14ac:dyDescent="0.25">
      <c r="A58" s="2"/>
      <c r="B58" s="525" t="str">
        <f>Расчёт!B312</f>
        <v>КАБАЧКИ</v>
      </c>
      <c r="C58" s="620" t="s">
        <v>163</v>
      </c>
      <c r="D58" s="1244">
        <f>Цены!D58</f>
        <v>0</v>
      </c>
      <c r="E58" s="516">
        <v>0</v>
      </c>
      <c r="F58" s="516">
        <v>0</v>
      </c>
      <c r="G58" s="517">
        <v>0</v>
      </c>
      <c r="H58" s="564">
        <f>Расчёт!G312</f>
        <v>0</v>
      </c>
      <c r="I58" s="565">
        <f>Расчёт!H312</f>
        <v>0</v>
      </c>
      <c r="J58" s="632">
        <f>Расчёт!I312</f>
        <v>0</v>
      </c>
      <c r="K58" s="654">
        <f>SUM(E58:J58)</f>
        <v>0</v>
      </c>
      <c r="L58" s="2"/>
      <c r="M58" s="2"/>
      <c r="N58" s="2"/>
      <c r="O58" s="2"/>
      <c r="P58" s="2"/>
      <c r="Q58" s="2"/>
      <c r="R58" s="80"/>
      <c r="S58" s="80"/>
      <c r="T58" s="80"/>
      <c r="U58" s="80"/>
      <c r="V58" s="154"/>
      <c r="W58" s="80"/>
      <c r="X58" s="80"/>
      <c r="Y58" s="80"/>
      <c r="Z58" s="155">
        <f t="shared" si="1"/>
        <v>0</v>
      </c>
      <c r="AA58" s="80"/>
      <c r="AB58" s="80"/>
      <c r="AC58" s="80"/>
      <c r="AD58" s="80"/>
    </row>
    <row r="59" spans="1:30" ht="15" customHeight="1" x14ac:dyDescent="0.2">
      <c r="A59" s="2"/>
      <c r="B59" s="505" t="str">
        <f>Расчёт!B313</f>
        <v>ФРУКТЫ СУШЁНЫЕ</v>
      </c>
      <c r="C59" s="610" t="s">
        <v>163</v>
      </c>
      <c r="D59" s="506">
        <f>Цены!D59</f>
        <v>0</v>
      </c>
      <c r="E59" s="507">
        <v>0</v>
      </c>
      <c r="F59" s="507">
        <v>0</v>
      </c>
      <c r="G59" s="507">
        <v>0</v>
      </c>
      <c r="H59" s="489">
        <f>Расчёт!G313</f>
        <v>0</v>
      </c>
      <c r="I59" s="490">
        <f>Расчёт!H313</f>
        <v>0</v>
      </c>
      <c r="J59" s="491">
        <f>ROUND(Расчёт!I313,1)</f>
        <v>0</v>
      </c>
      <c r="K59" s="522">
        <f t="shared" si="2"/>
        <v>0</v>
      </c>
      <c r="L59" s="2"/>
      <c r="M59" s="2"/>
      <c r="N59" s="2"/>
      <c r="O59" s="2"/>
      <c r="P59" s="2"/>
      <c r="Q59" s="2"/>
      <c r="R59" s="80"/>
      <c r="S59" s="80"/>
      <c r="T59" s="80"/>
      <c r="U59" s="80"/>
      <c r="V59" s="154">
        <f t="shared" si="0"/>
        <v>0</v>
      </c>
      <c r="W59" s="80"/>
      <c r="X59" s="80"/>
      <c r="Y59" s="80"/>
      <c r="Z59" s="155">
        <f t="shared" si="1"/>
        <v>0</v>
      </c>
      <c r="AA59" s="80"/>
      <c r="AB59" s="80"/>
      <c r="AC59" s="80"/>
      <c r="AD59" s="80"/>
    </row>
    <row r="60" spans="1:30" ht="15" customHeight="1" x14ac:dyDescent="0.2">
      <c r="A60" s="2"/>
      <c r="B60" s="570" t="str">
        <f>Расчёт!B314</f>
        <v>КИСЕЛЬ ПЛОДОВЫЙ ИЛИ ЯГОДНЫЙ</v>
      </c>
      <c r="C60" s="613" t="s">
        <v>163</v>
      </c>
      <c r="D60" s="640">
        <f>Цены!D60</f>
        <v>0</v>
      </c>
      <c r="E60" s="488">
        <v>0</v>
      </c>
      <c r="F60" s="488">
        <v>0</v>
      </c>
      <c r="G60" s="488">
        <v>0</v>
      </c>
      <c r="H60" s="509">
        <f>Расчёт!G314</f>
        <v>0</v>
      </c>
      <c r="I60" s="510">
        <f>Расчёт!H314</f>
        <v>0</v>
      </c>
      <c r="J60" s="511">
        <f>ROUND(Расчёт!I314,1)</f>
        <v>0</v>
      </c>
      <c r="K60" s="512">
        <f t="shared" si="2"/>
        <v>0</v>
      </c>
      <c r="L60" s="2"/>
      <c r="M60" s="2"/>
      <c r="N60" s="2"/>
      <c r="O60" s="2"/>
      <c r="P60" s="2"/>
      <c r="Q60" s="2"/>
      <c r="R60" s="80"/>
      <c r="S60" s="80"/>
      <c r="T60" s="80"/>
      <c r="U60" s="80"/>
      <c r="V60" s="154">
        <f t="shared" si="0"/>
        <v>0</v>
      </c>
      <c r="W60" s="80"/>
      <c r="X60" s="80"/>
      <c r="Y60" s="80"/>
      <c r="Z60" s="155">
        <f t="shared" si="1"/>
        <v>0</v>
      </c>
      <c r="AA60" s="80"/>
      <c r="AB60" s="80"/>
      <c r="AC60" s="80"/>
      <c r="AD60" s="80"/>
    </row>
    <row r="61" spans="1:30" ht="15" customHeight="1" x14ac:dyDescent="0.2">
      <c r="A61" s="2"/>
      <c r="B61" s="570" t="str">
        <f>Расчёт!B315</f>
        <v>АПЕЛЬСИНЫ</v>
      </c>
      <c r="C61" s="613" t="s">
        <v>163</v>
      </c>
      <c r="D61" s="640">
        <f>Цены!D61</f>
        <v>0</v>
      </c>
      <c r="E61" s="488">
        <v>0</v>
      </c>
      <c r="F61" s="488">
        <v>0</v>
      </c>
      <c r="G61" s="488">
        <v>0</v>
      </c>
      <c r="H61" s="509">
        <f>Расчёт!G315</f>
        <v>0</v>
      </c>
      <c r="I61" s="510">
        <f>Расчёт!H315</f>
        <v>0</v>
      </c>
      <c r="J61" s="511">
        <f>ROUND(Расчёт!I315,1)</f>
        <v>0</v>
      </c>
      <c r="K61" s="512">
        <f t="shared" si="2"/>
        <v>0</v>
      </c>
      <c r="L61" s="2"/>
      <c r="M61" s="2"/>
      <c r="N61" s="2"/>
      <c r="O61" s="2"/>
      <c r="P61" s="2"/>
      <c r="Q61" s="2"/>
      <c r="R61" s="80"/>
      <c r="S61" s="80"/>
      <c r="T61" s="80"/>
      <c r="U61" s="80"/>
      <c r="V61" s="154">
        <f t="shared" si="0"/>
        <v>0</v>
      </c>
      <c r="W61" s="80"/>
      <c r="X61" s="80"/>
      <c r="Y61" s="80"/>
      <c r="Z61" s="155">
        <f t="shared" si="1"/>
        <v>0</v>
      </c>
      <c r="AA61" s="80"/>
      <c r="AB61" s="80"/>
      <c r="AC61" s="80"/>
      <c r="AD61" s="80"/>
    </row>
    <row r="62" spans="1:30" ht="15" customHeight="1" x14ac:dyDescent="0.2">
      <c r="A62" s="2"/>
      <c r="B62" s="570" t="str">
        <f>Расчёт!B316</f>
        <v>СОК</v>
      </c>
      <c r="C62" s="613" t="s">
        <v>163</v>
      </c>
      <c r="D62" s="640">
        <f>Цены!D62</f>
        <v>0</v>
      </c>
      <c r="E62" s="488">
        <v>0</v>
      </c>
      <c r="F62" s="488">
        <v>0</v>
      </c>
      <c r="G62" s="488">
        <v>0</v>
      </c>
      <c r="H62" s="509">
        <f>Расчёт!G316</f>
        <v>0</v>
      </c>
      <c r="I62" s="510">
        <f>Расчёт!H316</f>
        <v>0</v>
      </c>
      <c r="J62" s="511">
        <f>ROUND(Расчёт!I316,1)</f>
        <v>0</v>
      </c>
      <c r="K62" s="512">
        <f t="shared" si="2"/>
        <v>0</v>
      </c>
      <c r="L62" s="2"/>
      <c r="M62" s="2"/>
      <c r="N62" s="2"/>
      <c r="O62" s="2"/>
      <c r="P62" s="2"/>
      <c r="Q62" s="2"/>
      <c r="R62" s="80"/>
      <c r="S62" s="80"/>
      <c r="T62" s="80"/>
      <c r="U62" s="80"/>
      <c r="V62" s="154">
        <f t="shared" si="0"/>
        <v>0</v>
      </c>
      <c r="W62" s="80"/>
      <c r="X62" s="80"/>
      <c r="Y62" s="80"/>
      <c r="Z62" s="155">
        <f t="shared" si="1"/>
        <v>0</v>
      </c>
      <c r="AA62" s="80"/>
      <c r="AB62" s="80"/>
      <c r="AC62" s="80"/>
      <c r="AD62" s="80"/>
    </row>
    <row r="63" spans="1:30" ht="15" customHeight="1" x14ac:dyDescent="0.2">
      <c r="A63" s="2"/>
      <c r="B63" s="570" t="str">
        <f>Расчёт!B317</f>
        <v>ПОВИДЛО, ВАРЕНЬЕ</v>
      </c>
      <c r="C63" s="613" t="s">
        <v>163</v>
      </c>
      <c r="D63" s="640">
        <f>Цены!D63</f>
        <v>0</v>
      </c>
      <c r="E63" s="488">
        <v>0</v>
      </c>
      <c r="F63" s="488">
        <v>0</v>
      </c>
      <c r="G63" s="488">
        <v>0</v>
      </c>
      <c r="H63" s="509">
        <f>Расчёт!G317</f>
        <v>0</v>
      </c>
      <c r="I63" s="510">
        <f>Расчёт!H317</f>
        <v>0</v>
      </c>
      <c r="J63" s="511">
        <f>ROUND(Расчёт!I317,1)</f>
        <v>0</v>
      </c>
      <c r="K63" s="512">
        <f t="shared" si="2"/>
        <v>0</v>
      </c>
      <c r="L63" s="2"/>
      <c r="M63" s="2"/>
      <c r="N63" s="2"/>
      <c r="O63" s="2"/>
      <c r="P63" s="2"/>
      <c r="Q63" s="2"/>
      <c r="R63" s="80"/>
      <c r="S63" s="80"/>
      <c r="T63" s="80"/>
      <c r="U63" s="80"/>
      <c r="V63" s="154">
        <f t="shared" si="0"/>
        <v>0</v>
      </c>
      <c r="W63" s="80"/>
      <c r="X63" s="80"/>
      <c r="Y63" s="80"/>
      <c r="Z63" s="155">
        <f t="shared" si="1"/>
        <v>0</v>
      </c>
      <c r="AA63" s="80"/>
      <c r="AB63" s="80"/>
      <c r="AC63" s="80"/>
      <c r="AD63" s="80"/>
    </row>
    <row r="64" spans="1:30" ht="15" customHeight="1" x14ac:dyDescent="0.2">
      <c r="A64" s="2"/>
      <c r="B64" s="570" t="str">
        <f>Расчёт!B318</f>
        <v>КОМПОТ КОНС.</v>
      </c>
      <c r="C64" s="613" t="s">
        <v>163</v>
      </c>
      <c r="D64" s="640">
        <f>Цены!D64</f>
        <v>0</v>
      </c>
      <c r="E64" s="488">
        <v>0</v>
      </c>
      <c r="F64" s="488">
        <v>0</v>
      </c>
      <c r="G64" s="488">
        <v>0</v>
      </c>
      <c r="H64" s="509">
        <f>Расчёт!G318</f>
        <v>0</v>
      </c>
      <c r="I64" s="510">
        <f>Расчёт!H318</f>
        <v>0</v>
      </c>
      <c r="J64" s="511">
        <f>ROUND(Расчёт!I318,1)</f>
        <v>0</v>
      </c>
      <c r="K64" s="512">
        <f t="shared" si="2"/>
        <v>0</v>
      </c>
      <c r="L64" s="2"/>
      <c r="M64" s="2"/>
      <c r="N64" s="2"/>
      <c r="O64" s="2"/>
      <c r="P64" s="2"/>
      <c r="Q64" s="2"/>
      <c r="R64" s="80"/>
      <c r="S64" s="80"/>
      <c r="T64" s="80"/>
      <c r="U64" s="80"/>
      <c r="V64" s="154">
        <f t="shared" si="0"/>
        <v>0</v>
      </c>
      <c r="W64" s="80"/>
      <c r="X64" s="80"/>
      <c r="Y64" s="80"/>
      <c r="Z64" s="155">
        <f t="shared" si="1"/>
        <v>0</v>
      </c>
      <c r="AA64" s="80"/>
      <c r="AB64" s="80"/>
      <c r="AC64" s="80"/>
      <c r="AD64" s="80"/>
    </row>
    <row r="65" spans="1:30" ht="15" customHeight="1" thickBot="1" x14ac:dyDescent="0.25">
      <c r="A65" s="2"/>
      <c r="B65" s="513" t="str">
        <f>Расчёт!B319</f>
        <v>КОНСЕРВЫ ОВ. ЗАКУС.</v>
      </c>
      <c r="C65" s="620" t="s">
        <v>163</v>
      </c>
      <c r="D65" s="1244">
        <f>Цены!D65</f>
        <v>0</v>
      </c>
      <c r="E65" s="516">
        <v>0</v>
      </c>
      <c r="F65" s="516">
        <v>0</v>
      </c>
      <c r="G65" s="516">
        <v>0</v>
      </c>
      <c r="H65" s="515">
        <f>Расчёт!G319</f>
        <v>0</v>
      </c>
      <c r="I65" s="518">
        <f>Расчёт!H319</f>
        <v>0</v>
      </c>
      <c r="J65" s="519">
        <f>ROUND(Расчёт!I319,1)</f>
        <v>0</v>
      </c>
      <c r="K65" s="520">
        <f t="shared" si="2"/>
        <v>0</v>
      </c>
      <c r="L65" s="2"/>
      <c r="M65" s="2"/>
      <c r="N65" s="2"/>
      <c r="O65" s="2"/>
      <c r="P65" s="2"/>
      <c r="Q65" s="2"/>
      <c r="R65" s="80"/>
      <c r="S65" s="80"/>
      <c r="T65" s="80"/>
      <c r="U65" s="80"/>
      <c r="V65" s="154">
        <f t="shared" si="0"/>
        <v>0</v>
      </c>
      <c r="W65" s="80"/>
      <c r="X65" s="80"/>
      <c r="Y65" s="80"/>
      <c r="Z65" s="155">
        <f t="shared" si="1"/>
        <v>0</v>
      </c>
      <c r="AA65" s="80"/>
      <c r="AB65" s="80"/>
      <c r="AC65" s="80"/>
      <c r="AD65" s="80"/>
    </row>
    <row r="66" spans="1:30" ht="15" customHeight="1" x14ac:dyDescent="0.2">
      <c r="A66" s="2"/>
      <c r="B66" s="575" t="str">
        <f>IF(K66&gt;0,B9,"")</f>
        <v/>
      </c>
      <c r="C66" s="610" t="s">
        <v>163</v>
      </c>
      <c r="D66" s="506">
        <f>Цены!D66</f>
        <v>0</v>
      </c>
      <c r="E66" s="1561" t="str">
        <f>IF(K66&gt;0,"ЭКОНОМИЯ","")</f>
        <v/>
      </c>
      <c r="F66" s="1561"/>
      <c r="G66" s="1561"/>
      <c r="H66" s="1561"/>
      <c r="I66" s="1561"/>
      <c r="J66" s="1609"/>
      <c r="K66" s="655">
        <v>0</v>
      </c>
      <c r="L66" s="2"/>
      <c r="M66" s="2"/>
      <c r="N66" s="2"/>
      <c r="O66" s="2"/>
      <c r="P66" s="2"/>
      <c r="Q66" s="2"/>
      <c r="R66" s="80"/>
      <c r="S66" s="80"/>
      <c r="T66" s="80"/>
      <c r="U66" s="80"/>
      <c r="V66" s="154">
        <f t="shared" si="0"/>
        <v>0</v>
      </c>
      <c r="W66" s="80"/>
      <c r="X66" s="80"/>
      <c r="Y66" s="80"/>
      <c r="Z66" s="155">
        <f t="shared" si="1"/>
        <v>0</v>
      </c>
      <c r="AA66" s="80"/>
      <c r="AB66" s="80"/>
      <c r="AC66" s="80"/>
      <c r="AD66" s="80"/>
    </row>
    <row r="67" spans="1:30" ht="15" customHeight="1" thickBot="1" x14ac:dyDescent="0.25">
      <c r="A67" s="2"/>
      <c r="B67" s="577" t="str">
        <f>IF(K67&gt;0,B10,"")</f>
        <v/>
      </c>
      <c r="C67" s="647" t="s">
        <v>163</v>
      </c>
      <c r="D67" s="1244">
        <f>Цены!D67</f>
        <v>0</v>
      </c>
      <c r="E67" s="1564" t="str">
        <f>IF(K67&gt;0,"ЭКОНОМИЯ","")</f>
        <v/>
      </c>
      <c r="F67" s="1564"/>
      <c r="G67" s="1564"/>
      <c r="H67" s="1565"/>
      <c r="I67" s="1565"/>
      <c r="J67" s="1566"/>
      <c r="K67" s="656">
        <v>0</v>
      </c>
      <c r="L67" s="2"/>
      <c r="M67" s="2"/>
      <c r="N67" s="2"/>
      <c r="O67" s="2"/>
      <c r="P67" s="2"/>
      <c r="Q67" s="2"/>
      <c r="R67" s="80"/>
      <c r="S67" s="80"/>
      <c r="T67" s="80"/>
      <c r="U67" s="80"/>
      <c r="V67" s="154">
        <f t="shared" si="0"/>
        <v>0</v>
      </c>
      <c r="W67" s="80"/>
      <c r="X67" s="80"/>
      <c r="Y67" s="80"/>
      <c r="Z67" s="155">
        <f t="shared" si="1"/>
        <v>0</v>
      </c>
      <c r="AA67" s="80"/>
      <c r="AB67" s="80"/>
      <c r="AC67" s="80"/>
      <c r="AD67" s="80"/>
    </row>
    <row r="68" spans="1:30" ht="15" customHeight="1" x14ac:dyDescent="0.2">
      <c r="A68" s="2"/>
      <c r="B68" s="505" t="str">
        <f>Расчёт!B322</f>
        <v>ЧЕСНОК</v>
      </c>
      <c r="C68" s="610" t="s">
        <v>163</v>
      </c>
      <c r="D68" s="506">
        <f>Цены!D68</f>
        <v>0</v>
      </c>
      <c r="E68" s="507">
        <v>0</v>
      </c>
      <c r="F68" s="490">
        <v>0</v>
      </c>
      <c r="G68" s="657">
        <v>0</v>
      </c>
      <c r="H68" s="582">
        <f>Расчёт!G319</f>
        <v>0</v>
      </c>
      <c r="I68" s="490">
        <f>Расчёт!H322</f>
        <v>0</v>
      </c>
      <c r="J68" s="584">
        <f>Расчёт!I319</f>
        <v>0</v>
      </c>
      <c r="K68" s="492">
        <f>SUM(E68:J68)</f>
        <v>0</v>
      </c>
      <c r="L68" s="2"/>
      <c r="M68" s="2"/>
      <c r="N68" s="2"/>
      <c r="O68" s="2"/>
      <c r="P68" s="2"/>
      <c r="Q68" s="2"/>
      <c r="R68" s="80"/>
      <c r="S68" s="80"/>
      <c r="T68" s="80"/>
      <c r="U68" s="80"/>
      <c r="V68" s="154">
        <f t="shared" si="0"/>
        <v>0</v>
      </c>
      <c r="W68" s="80"/>
      <c r="X68" s="80"/>
      <c r="Y68" s="80"/>
      <c r="Z68" s="155">
        <f t="shared" si="1"/>
        <v>0</v>
      </c>
      <c r="AA68" s="80"/>
      <c r="AB68" s="80"/>
      <c r="AC68" s="80"/>
      <c r="AD68" s="80"/>
    </row>
    <row r="69" spans="1:30" ht="15" customHeight="1" x14ac:dyDescent="0.2">
      <c r="A69" s="2"/>
      <c r="B69" s="570" t="str">
        <f>Расчёт!B323</f>
        <v>ДРАЖЕ "ГЕКСАВИТ"</v>
      </c>
      <c r="C69" s="618" t="s">
        <v>163</v>
      </c>
      <c r="D69" s="640">
        <f>Цены!D69</f>
        <v>0</v>
      </c>
      <c r="E69" s="586"/>
      <c r="F69" s="545">
        <v>0</v>
      </c>
      <c r="G69" s="588"/>
      <c r="H69" s="589">
        <f>Расчёт!G320</f>
        <v>0</v>
      </c>
      <c r="I69" s="495">
        <f>Расчёт!H323</f>
        <v>0</v>
      </c>
      <c r="J69" s="591">
        <f>Расчёт!I320</f>
        <v>0</v>
      </c>
      <c r="K69" s="592">
        <f>SUM(E69:J69)</f>
        <v>0</v>
      </c>
      <c r="L69" s="2"/>
      <c r="M69" s="2"/>
      <c r="N69" s="2"/>
      <c r="O69" s="2"/>
      <c r="P69" s="2"/>
      <c r="Q69" s="2"/>
      <c r="R69" s="80"/>
      <c r="S69" s="80"/>
      <c r="T69" s="80"/>
      <c r="U69" s="80"/>
      <c r="V69" s="154">
        <f t="shared" si="0"/>
        <v>0</v>
      </c>
      <c r="W69" s="80"/>
      <c r="X69" s="80"/>
      <c r="Y69" s="80"/>
      <c r="Z69" s="155">
        <f t="shared" si="1"/>
        <v>0</v>
      </c>
      <c r="AA69" s="80"/>
      <c r="AB69" s="80"/>
      <c r="AC69" s="80"/>
      <c r="AD69" s="80"/>
    </row>
    <row r="70" spans="1:30" ht="15" customHeight="1" x14ac:dyDescent="0.2">
      <c r="A70" s="2"/>
      <c r="B70" s="570" t="str">
        <f>Расчёт!B324</f>
        <v>КОНСЕРВЫ МЯСОРАСТИТЕЛЬНЫЕ</v>
      </c>
      <c r="C70" s="618" t="s">
        <v>163</v>
      </c>
      <c r="D70" s="640">
        <f>Цены!D70</f>
        <v>0</v>
      </c>
      <c r="E70" s="586">
        <v>0</v>
      </c>
      <c r="F70" s="545">
        <v>0</v>
      </c>
      <c r="G70" s="588"/>
      <c r="H70" s="589">
        <f>Расчёт!G321</f>
        <v>0</v>
      </c>
      <c r="I70" s="495">
        <f>Расчёт!H324</f>
        <v>0</v>
      </c>
      <c r="J70" s="591">
        <f>Расчёт!I321</f>
        <v>0</v>
      </c>
      <c r="K70" s="497">
        <f>SUM(E70:J70)</f>
        <v>0</v>
      </c>
      <c r="L70" s="2"/>
      <c r="M70" s="2"/>
      <c r="N70" s="2"/>
      <c r="O70" s="2"/>
      <c r="P70" s="2"/>
      <c r="Q70" s="2"/>
      <c r="R70" s="80"/>
      <c r="S70" s="80"/>
      <c r="T70" s="80"/>
      <c r="U70" s="80"/>
      <c r="V70" s="154">
        <f t="shared" si="0"/>
        <v>0</v>
      </c>
      <c r="W70" s="80"/>
      <c r="X70" s="80"/>
      <c r="Y70" s="80"/>
      <c r="Z70" s="155">
        <f t="shared" si="1"/>
        <v>0</v>
      </c>
      <c r="AA70" s="80"/>
      <c r="AB70" s="80"/>
      <c r="AC70" s="80"/>
      <c r="AD70" s="80"/>
    </row>
    <row r="71" spans="1:30" ht="15" customHeight="1" thickBot="1" x14ac:dyDescent="0.25">
      <c r="A71" s="2"/>
      <c r="B71" s="513" t="str">
        <f>Расчёт!B325</f>
        <v>КОНСЕРВЫ 1 ОБ. БЛЮДА</v>
      </c>
      <c r="C71" s="719" t="s">
        <v>163</v>
      </c>
      <c r="D71" s="648">
        <f>Цены!D71</f>
        <v>0</v>
      </c>
      <c r="E71" s="593">
        <v>0</v>
      </c>
      <c r="F71" s="502">
        <v>0</v>
      </c>
      <c r="G71" s="594"/>
      <c r="H71" s="595">
        <f>Расчёт!G322</f>
        <v>0</v>
      </c>
      <c r="I71" s="502">
        <f>Расчёт!H325</f>
        <v>0</v>
      </c>
      <c r="J71" s="597">
        <f>Расчёт!I322</f>
        <v>0</v>
      </c>
      <c r="K71" s="504">
        <f>SUM(E71:J71)</f>
        <v>0</v>
      </c>
      <c r="L71" s="2"/>
      <c r="M71" s="2"/>
      <c r="N71" s="2"/>
      <c r="O71" s="2"/>
      <c r="P71" s="2"/>
      <c r="Q71" s="2"/>
      <c r="R71" s="80"/>
      <c r="S71" s="80"/>
      <c r="T71" s="80"/>
      <c r="U71" s="80"/>
      <c r="V71" s="10">
        <f>SUM(V9:V70)</f>
        <v>0</v>
      </c>
      <c r="W71" s="80"/>
      <c r="X71" s="80"/>
      <c r="Y71" s="80"/>
      <c r="Z71" s="155">
        <f t="shared" si="1"/>
        <v>0</v>
      </c>
      <c r="AA71" s="80"/>
      <c r="AB71" s="80"/>
      <c r="AC71" s="80"/>
      <c r="AD71" s="80"/>
    </row>
    <row r="72" spans="1:30" ht="18" x14ac:dyDescent="0.25">
      <c r="A72" s="2"/>
      <c r="B72" s="185" t="s">
        <v>280</v>
      </c>
      <c r="C72" s="269"/>
      <c r="D72" s="187">
        <f>V71</f>
        <v>0</v>
      </c>
      <c r="E72" s="1595" t="str">
        <f>IF(Пт!$C$72&lt;&gt;31,CONCATENATE("(",Примеры!A126),CONCATENATE("(",Примеры!D22))</f>
        <v>( Ноль ) наименований</v>
      </c>
      <c r="F72" s="1595"/>
      <c r="G72" s="1595"/>
      <c r="H72" s="1595"/>
      <c r="I72" s="1595"/>
      <c r="J72" s="1568" t="str">
        <f>CONCATENATE("на сумму ",ROUND(Z72,2)," р.")</f>
        <v>на сумму 0 р.</v>
      </c>
      <c r="K72" s="1568"/>
      <c r="L72" s="2"/>
      <c r="M72" s="2"/>
      <c r="N72" s="2"/>
      <c r="O72" s="2"/>
      <c r="P72" s="2"/>
      <c r="Q72" s="2"/>
      <c r="R72" s="80"/>
      <c r="S72" s="80"/>
      <c r="T72" s="80"/>
      <c r="U72" s="80"/>
      <c r="V72" s="80"/>
      <c r="W72" s="80"/>
      <c r="X72" s="80"/>
      <c r="Y72" s="80"/>
      <c r="Z72" s="188">
        <f>SUM(Z9:Z71)</f>
        <v>0</v>
      </c>
      <c r="AA72" s="80"/>
      <c r="AB72" s="80"/>
      <c r="AC72" s="80"/>
      <c r="AD72" s="80"/>
    </row>
    <row r="73" spans="1:30" ht="18" x14ac:dyDescent="0.25">
      <c r="A73" s="2"/>
      <c r="B73" s="1560" t="s">
        <v>364</v>
      </c>
      <c r="C73" s="1560"/>
      <c r="D73" s="1560"/>
      <c r="E73" s="1560"/>
      <c r="F73" s="1560"/>
      <c r="G73" s="1560"/>
      <c r="H73" s="1560"/>
      <c r="I73" s="1560"/>
      <c r="J73" s="1560"/>
      <c r="K73" s="1560"/>
      <c r="L73" s="2"/>
      <c r="M73" s="2"/>
      <c r="N73" s="2"/>
      <c r="O73" s="2"/>
      <c r="P73" s="2"/>
      <c r="Q73" s="2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</row>
    <row r="74" spans="1:30" ht="18" x14ac:dyDescent="0.25">
      <c r="A74" s="2"/>
      <c r="B74" s="1567" t="str">
        <f>'Блок ввода'!M10</f>
        <v>ст. лейтенант</v>
      </c>
      <c r="C74" s="1567"/>
      <c r="D74" s="1567"/>
      <c r="E74" s="191"/>
      <c r="F74" s="191"/>
      <c r="G74" s="191"/>
      <c r="H74" s="191"/>
      <c r="J74" s="191" t="str">
        <f>'Блок ввода'!O10</f>
        <v>А. Демидов11111111</v>
      </c>
      <c r="K74" s="191"/>
      <c r="L74" s="2"/>
      <c r="M74" s="2"/>
      <c r="N74" s="2"/>
      <c r="O74" s="2"/>
      <c r="P74" s="2"/>
      <c r="Q74" s="2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</row>
    <row r="75" spans="1:30" ht="17.45" customHeight="1" x14ac:dyDescent="0.25">
      <c r="A75" s="2"/>
      <c r="B75" s="1218" t="str">
        <f>CONCATENATE("ДЕЛОПРОИЗВОДИТЕЛЬ: ",'Блок ввода'!M13)</f>
        <v>ДЕЛОПРОИЗВОДИТЕЛЬ: служащая РА</v>
      </c>
      <c r="C75" s="1218"/>
      <c r="D75" s="1218"/>
      <c r="E75" s="189"/>
      <c r="F75" s="189"/>
      <c r="G75" s="189"/>
      <c r="I75" s="189"/>
      <c r="J75" s="258" t="str">
        <f>'Блок ввода'!O13</f>
        <v>С.ФЕДОРОВА</v>
      </c>
      <c r="K75" s="189"/>
      <c r="L75" s="2"/>
      <c r="M75" s="2"/>
      <c r="N75" s="2"/>
      <c r="O75" s="2"/>
      <c r="P75" s="2"/>
      <c r="Q75" s="2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</row>
    <row r="76" spans="1:30" ht="18" x14ac:dyDescent="0.25">
      <c r="A76" s="2"/>
      <c r="B76" s="1559">
        <f>C4-1</f>
        <v>40094</v>
      </c>
      <c r="C76" s="1559"/>
      <c r="D76" s="1559"/>
      <c r="E76" s="1559"/>
      <c r="F76" s="1559"/>
      <c r="G76" s="1559"/>
      <c r="H76" s="1559"/>
      <c r="I76" s="1559"/>
      <c r="J76" s="1559"/>
      <c r="K76" s="1559"/>
      <c r="L76" s="2"/>
      <c r="M76" s="2"/>
      <c r="N76" s="2"/>
      <c r="O76" s="2"/>
      <c r="P76" s="2"/>
      <c r="Q76" s="2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</row>
    <row r="77" spans="1:30" ht="15.75" thickBot="1" x14ac:dyDescent="0.25">
      <c r="A77" s="2"/>
      <c r="B77" s="80"/>
      <c r="C77" s="80"/>
      <c r="D77" s="80"/>
      <c r="E77" s="80"/>
      <c r="F77" s="80"/>
      <c r="G77" s="80"/>
      <c r="H77" s="80"/>
      <c r="I77" s="80"/>
      <c r="J77" s="261"/>
      <c r="K77" s="261"/>
      <c r="L77" s="2"/>
      <c r="M77" s="2"/>
      <c r="N77" s="2"/>
      <c r="O77" s="2"/>
      <c r="P77" s="2"/>
      <c r="Q77" s="2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</row>
    <row r="78" spans="1:30" ht="15.75" thickBot="1" x14ac:dyDescent="0.25">
      <c r="A78" s="2"/>
      <c r="B78" s="262"/>
      <c r="C78" s="263"/>
      <c r="D78" s="263"/>
      <c r="E78" s="263"/>
      <c r="F78" s="263"/>
      <c r="G78" s="264"/>
      <c r="H78" s="192" t="s">
        <v>203</v>
      </c>
      <c r="I78" s="192" t="s">
        <v>204</v>
      </c>
      <c r="J78" s="193" t="s">
        <v>205</v>
      </c>
      <c r="K78" s="192" t="s">
        <v>276</v>
      </c>
      <c r="L78" s="2"/>
      <c r="M78" s="2"/>
      <c r="N78" s="2"/>
      <c r="O78" s="2"/>
      <c r="P78" s="2"/>
      <c r="Q78" s="2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</row>
    <row r="79" spans="1:30" ht="15" x14ac:dyDescent="0.2">
      <c r="A79" s="2"/>
      <c r="B79" s="194" t="s">
        <v>165</v>
      </c>
      <c r="C79" s="195"/>
      <c r="D79" s="195"/>
      <c r="E79" s="195"/>
      <c r="F79" s="195"/>
      <c r="G79" s="195"/>
      <c r="H79" s="1556"/>
      <c r="I79" s="1556"/>
      <c r="J79" s="1556"/>
      <c r="K79" s="1548"/>
      <c r="L79" s="2"/>
      <c r="M79" s="2"/>
      <c r="N79" s="2"/>
      <c r="O79" s="2"/>
      <c r="P79" s="2"/>
      <c r="Q79" s="2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</row>
    <row r="80" spans="1:30" ht="15" x14ac:dyDescent="0.2">
      <c r="A80" s="2"/>
      <c r="B80" s="196" t="str">
        <f>CONCATENATE('Блок ввода'!M12,'Блок ввода'!O12)</f>
        <v>прапорщик  К.МИХАЙЛОВА</v>
      </c>
      <c r="C80" s="197"/>
      <c r="D80" s="195"/>
      <c r="E80" s="195"/>
      <c r="F80" s="195"/>
      <c r="G80" s="195"/>
      <c r="H80" s="1546"/>
      <c r="I80" s="1546"/>
      <c r="J80" s="1546"/>
      <c r="K80" s="1549"/>
      <c r="L80" s="2"/>
      <c r="M80" s="2"/>
      <c r="N80" s="2"/>
      <c r="O80" s="2"/>
      <c r="P80" s="2"/>
      <c r="Q80" s="2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</row>
    <row r="81" spans="1:30" ht="15" x14ac:dyDescent="0.2">
      <c r="A81" s="2"/>
      <c r="B81" s="198" t="s">
        <v>166</v>
      </c>
      <c r="C81" s="199"/>
      <c r="D81" s="199"/>
      <c r="E81" s="199"/>
      <c r="F81" s="199"/>
      <c r="G81" s="199"/>
      <c r="H81" s="1545"/>
      <c r="I81" s="1545"/>
      <c r="J81" s="1545"/>
      <c r="K81" s="1550"/>
      <c r="L81" s="2"/>
      <c r="M81" s="2" t="s">
        <v>213</v>
      </c>
      <c r="N81" s="2"/>
      <c r="O81" s="2"/>
      <c r="P81" s="2"/>
      <c r="Q81" s="2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</row>
    <row r="82" spans="1:30" ht="15" x14ac:dyDescent="0.2">
      <c r="A82" s="2"/>
      <c r="B82" s="225" t="s">
        <v>449</v>
      </c>
      <c r="C82" s="195"/>
      <c r="D82" s="195"/>
      <c r="E82" s="195"/>
      <c r="F82" s="195"/>
      <c r="G82" s="195"/>
      <c r="H82" s="1546"/>
      <c r="I82" s="1546"/>
      <c r="J82" s="1546"/>
      <c r="K82" s="1551"/>
      <c r="L82" s="2"/>
      <c r="M82" s="2"/>
      <c r="N82" s="2"/>
      <c r="O82" s="2"/>
      <c r="P82" s="2"/>
      <c r="Q82" s="2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</row>
    <row r="83" spans="1:30" ht="15" x14ac:dyDescent="0.2">
      <c r="A83" s="200"/>
      <c r="B83" s="201" t="s">
        <v>275</v>
      </c>
      <c r="C83" s="199"/>
      <c r="D83" s="199"/>
      <c r="E83" s="199"/>
      <c r="F83" s="199"/>
      <c r="G83" s="199"/>
      <c r="H83" s="1545"/>
      <c r="I83" s="1545"/>
      <c r="J83" s="1545"/>
      <c r="K83" s="1550"/>
      <c r="L83" s="2"/>
      <c r="M83" s="2"/>
      <c r="N83" s="2"/>
      <c r="O83" s="2"/>
      <c r="P83" s="2"/>
      <c r="Q83" s="2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</row>
    <row r="84" spans="1:30" ht="15.75" thickBot="1" x14ac:dyDescent="0.25">
      <c r="A84" s="200"/>
      <c r="B84" s="202" t="str">
        <f>CONCATENATE('Блок ввода'!M11," ",'Блок ввода'!O11)</f>
        <v>ст. лейтенант М.СОКОЛОВ</v>
      </c>
      <c r="C84" s="203"/>
      <c r="D84" s="203"/>
      <c r="E84" s="203"/>
      <c r="F84" s="203"/>
      <c r="G84" s="203"/>
      <c r="H84" s="1557"/>
      <c r="I84" s="1557"/>
      <c r="J84" s="1557"/>
      <c r="K84" s="1552"/>
      <c r="L84" s="2"/>
      <c r="M84" s="2"/>
      <c r="N84" s="2"/>
      <c r="O84" s="2"/>
      <c r="P84" s="2"/>
      <c r="Q84" s="2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</row>
    <row r="85" spans="1:30" x14ac:dyDescent="0.2">
      <c r="A85" s="200"/>
      <c r="B85" s="259"/>
      <c r="C85" s="80"/>
      <c r="D85" s="80"/>
      <c r="E85" s="80"/>
      <c r="F85" s="80"/>
      <c r="G85" s="80"/>
      <c r="H85" s="80"/>
      <c r="I85" s="80"/>
      <c r="J85" s="80"/>
      <c r="K85" s="206">
        <f>M2</f>
        <v>0</v>
      </c>
      <c r="L85" s="2"/>
      <c r="M85" s="2"/>
      <c r="N85" s="2"/>
      <c r="O85" s="2"/>
      <c r="P85" s="2"/>
      <c r="Q85" s="2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</row>
    <row r="86" spans="1:30" x14ac:dyDescent="0.2">
      <c r="A86" s="200"/>
      <c r="B86" s="207" t="s">
        <v>354</v>
      </c>
      <c r="C86" s="208"/>
      <c r="D86" s="207" t="s">
        <v>355</v>
      </c>
      <c r="E86" s="207" t="s">
        <v>356</v>
      </c>
      <c r="F86" s="207" t="s">
        <v>357</v>
      </c>
      <c r="G86" s="80"/>
      <c r="H86" s="80"/>
      <c r="I86" s="80"/>
      <c r="J86" s="80"/>
      <c r="K86" s="206">
        <f>M4</f>
        <v>0</v>
      </c>
      <c r="L86" s="2"/>
      <c r="M86" s="2"/>
      <c r="N86" s="2"/>
      <c r="O86" s="2"/>
      <c r="P86" s="2"/>
      <c r="Q86" s="2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</row>
    <row r="87" spans="1:30" x14ac:dyDescent="0.2">
      <c r="A87" s="2"/>
      <c r="B87" s="789" t="str">
        <f>'Блок ввода'!AI4</f>
        <v>ПОДРАЗДЕЛЕНИЕ № 1</v>
      </c>
      <c r="C87" s="790" t="s">
        <v>546</v>
      </c>
      <c r="D87" s="224"/>
      <c r="E87" s="224"/>
      <c r="F87" s="224"/>
      <c r="G87" s="80"/>
      <c r="H87" s="80"/>
      <c r="I87" s="80"/>
      <c r="J87" s="1600" t="str">
        <f>CONCATENATE("ОКГ = ",'Раскладка продуктов'!A106)</f>
        <v>ОКГ = 1650</v>
      </c>
      <c r="K87" s="1600"/>
      <c r="L87" s="2"/>
      <c r="M87" s="2"/>
      <c r="N87" s="2"/>
      <c r="O87" s="2"/>
      <c r="P87" s="2"/>
      <c r="Q87" s="2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</row>
    <row r="88" spans="1:30" x14ac:dyDescent="0.2">
      <c r="A88" s="2"/>
      <c r="B88" s="789" t="str">
        <f>'Блок ввода'!AI5</f>
        <v>ПОДРАЗДЕЛЕНИЕ № 2</v>
      </c>
      <c r="C88" s="790" t="s">
        <v>546</v>
      </c>
      <c r="D88" s="224"/>
      <c r="E88" s="224"/>
      <c r="F88" s="224"/>
      <c r="G88" s="80"/>
      <c r="H88" s="80"/>
      <c r="I88" s="80"/>
      <c r="J88" s="80"/>
      <c r="K88" s="80"/>
      <c r="L88" s="2"/>
      <c r="M88" s="2"/>
      <c r="N88" s="2"/>
      <c r="O88" s="2"/>
      <c r="P88" s="2"/>
      <c r="Q88" s="2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</row>
    <row r="89" spans="1:30" x14ac:dyDescent="0.2">
      <c r="A89" s="2"/>
      <c r="B89" s="789" t="str">
        <f>'Блок ввода'!AI6</f>
        <v>ПОДРАЗДЕЛЕНИЕ № 3</v>
      </c>
      <c r="C89" s="790" t="s">
        <v>546</v>
      </c>
      <c r="D89" s="224"/>
      <c r="E89" s="224"/>
      <c r="F89" s="224"/>
      <c r="G89" s="80"/>
      <c r="H89" s="80"/>
      <c r="I89" s="80"/>
      <c r="J89" s="80"/>
      <c r="K89" s="80"/>
      <c r="L89" s="2"/>
      <c r="M89" s="2"/>
      <c r="N89" s="2"/>
      <c r="O89" s="2"/>
      <c r="P89" s="2"/>
      <c r="Q89" s="2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</row>
    <row r="90" spans="1:30" x14ac:dyDescent="0.2">
      <c r="A90" s="2"/>
      <c r="B90" s="789" t="str">
        <f>'Блок ввода'!AI7</f>
        <v>ПОДРАЗДЕЛЕНИЕ № 4</v>
      </c>
      <c r="C90" s="790" t="s">
        <v>546</v>
      </c>
      <c r="D90" s="224"/>
      <c r="E90" s="224"/>
      <c r="F90" s="224"/>
      <c r="G90" s="80"/>
      <c r="H90" s="80"/>
      <c r="I90" s="80"/>
      <c r="J90" s="80"/>
      <c r="K90" s="80"/>
      <c r="L90" s="2"/>
      <c r="M90" s="2"/>
      <c r="N90" s="2"/>
      <c r="O90" s="2"/>
      <c r="P90" s="2"/>
      <c r="Q90" s="2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</row>
    <row r="91" spans="1:30" x14ac:dyDescent="0.2">
      <c r="A91" s="2"/>
      <c r="B91" s="789" t="str">
        <f>'Блок ввода'!AI8</f>
        <v>ПОДРАЗДЕЛЕНИЕ № 5</v>
      </c>
      <c r="C91" s="790" t="s">
        <v>546</v>
      </c>
      <c r="D91" s="224"/>
      <c r="E91" s="224"/>
      <c r="F91" s="224"/>
      <c r="G91" s="80"/>
      <c r="H91" s="80"/>
      <c r="I91" s="80"/>
      <c r="J91" s="80"/>
      <c r="K91" s="80"/>
      <c r="L91" s="2"/>
      <c r="M91" s="2"/>
      <c r="N91" s="2"/>
      <c r="O91" s="2"/>
      <c r="P91" s="2"/>
      <c r="Q91" s="2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</row>
    <row r="92" spans="1:30" x14ac:dyDescent="0.2">
      <c r="A92" s="2"/>
      <c r="B92" s="789" t="str">
        <f>'Блок ввода'!AI9</f>
        <v>ПОДРАЗДЕЛЕНИЕ № 6</v>
      </c>
      <c r="C92" s="790" t="s">
        <v>546</v>
      </c>
      <c r="D92" s="224"/>
      <c r="E92" s="224"/>
      <c r="F92" s="224"/>
      <c r="G92" s="80"/>
      <c r="H92" s="80"/>
      <c r="I92" s="80"/>
      <c r="J92" s="80"/>
      <c r="K92" s="80"/>
      <c r="L92" s="2"/>
      <c r="M92" s="2"/>
      <c r="N92" s="2"/>
      <c r="O92" s="2"/>
      <c r="P92" s="2"/>
      <c r="Q92" s="2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</row>
    <row r="93" spans="1:30" x14ac:dyDescent="0.2">
      <c r="A93" s="2"/>
      <c r="B93" s="789" t="str">
        <f>'Блок ввода'!AI10</f>
        <v>ПОДРАЗДЕЛЕНИЕ № 7</v>
      </c>
      <c r="C93" s="790" t="s">
        <v>546</v>
      </c>
      <c r="D93" s="224"/>
      <c r="E93" s="224"/>
      <c r="F93" s="224"/>
      <c r="G93" s="80"/>
      <c r="H93" s="80"/>
      <c r="I93" s="80"/>
      <c r="J93" s="80"/>
      <c r="K93" s="80"/>
      <c r="L93" s="2"/>
      <c r="M93" s="2"/>
      <c r="N93" s="2"/>
      <c r="O93" s="2"/>
      <c r="P93" s="2"/>
      <c r="Q93" s="2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</row>
    <row r="94" spans="1:30" x14ac:dyDescent="0.2">
      <c r="A94" s="2"/>
      <c r="B94" s="789" t="str">
        <f>'Блок ввода'!AI11</f>
        <v>ПОДРАЗДЕЛЕНИЕ № 8</v>
      </c>
      <c r="C94" s="790" t="s">
        <v>546</v>
      </c>
      <c r="D94" s="224"/>
      <c r="E94" s="224"/>
      <c r="F94" s="224"/>
      <c r="G94" s="80"/>
      <c r="H94" s="80"/>
      <c r="I94" s="80"/>
      <c r="J94" s="80"/>
      <c r="K94" s="80"/>
      <c r="L94" s="2"/>
      <c r="M94" s="2"/>
      <c r="N94" s="2"/>
      <c r="O94" s="2"/>
      <c r="P94" s="2"/>
      <c r="Q94" s="2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</row>
    <row r="95" spans="1:30" x14ac:dyDescent="0.2">
      <c r="A95" s="2"/>
      <c r="B95" s="789" t="str">
        <f>'Блок ввода'!AI12</f>
        <v>ПОДРАЗДЕЛЕНИЕ № 9</v>
      </c>
      <c r="C95" s="790" t="s">
        <v>546</v>
      </c>
      <c r="D95" s="5"/>
      <c r="E95" s="5"/>
      <c r="F95" s="5"/>
      <c r="G95" s="80"/>
      <c r="H95" s="80"/>
      <c r="I95" s="80"/>
      <c r="J95" s="80"/>
      <c r="K95" s="80"/>
      <c r="L95" s="2"/>
      <c r="M95" s="2"/>
      <c r="N95" s="2"/>
      <c r="O95" s="2"/>
      <c r="P95" s="2"/>
      <c r="Q95" s="2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</row>
    <row r="96" spans="1:30" x14ac:dyDescent="0.2">
      <c r="A96" s="2"/>
      <c r="B96" s="789" t="str">
        <f>'Блок ввода'!AI13</f>
        <v>ПОДРАЗДЕЛЕНИЕ № 10</v>
      </c>
      <c r="C96" s="790" t="s">
        <v>546</v>
      </c>
      <c r="D96" s="5"/>
      <c r="E96" s="5"/>
      <c r="F96" s="5"/>
      <c r="G96" s="80"/>
      <c r="H96" s="80"/>
      <c r="I96" s="80"/>
      <c r="J96" s="80"/>
      <c r="K96" s="80"/>
      <c r="L96" s="2"/>
      <c r="M96" s="2"/>
      <c r="N96" s="2"/>
      <c r="O96" s="2"/>
      <c r="P96" s="2"/>
      <c r="Q96" s="2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</row>
    <row r="97" spans="1:30" x14ac:dyDescent="0.2">
      <c r="A97" s="2"/>
      <c r="B97" s="132" t="s">
        <v>358</v>
      </c>
      <c r="C97" s="790" t="s">
        <v>546</v>
      </c>
      <c r="D97" s="209">
        <f>SUM(D87:D96)</f>
        <v>0</v>
      </c>
      <c r="E97" s="209">
        <f>SUM(E87:E96)</f>
        <v>0</v>
      </c>
      <c r="F97" s="209">
        <f>SUM(F87:F96)</f>
        <v>0</v>
      </c>
      <c r="G97" s="80"/>
      <c r="H97" s="80"/>
      <c r="I97" s="80"/>
      <c r="J97" s="80"/>
      <c r="K97" s="80"/>
      <c r="L97" s="2"/>
      <c r="M97" s="2"/>
      <c r="N97" s="2"/>
      <c r="O97" s="2"/>
      <c r="P97" s="2"/>
      <c r="Q97" s="2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</row>
    <row r="98" spans="1:30" ht="13.5" thickBot="1" x14ac:dyDescent="0.25">
      <c r="A98" s="2"/>
      <c r="B98" s="1554" t="s">
        <v>236</v>
      </c>
      <c r="C98" s="1554"/>
      <c r="D98" s="1554"/>
      <c r="E98" s="1554"/>
      <c r="F98" s="1554"/>
      <c r="G98" s="1554"/>
      <c r="H98" s="1554"/>
      <c r="I98" s="1554"/>
      <c r="J98" s="1554"/>
      <c r="K98" s="1554"/>
      <c r="L98" s="2"/>
      <c r="M98" s="2"/>
      <c r="N98" s="2"/>
      <c r="O98" s="2"/>
      <c r="P98" s="2"/>
      <c r="Q98" s="2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</row>
    <row r="99" spans="1:30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</row>
    <row r="100" spans="1:30" x14ac:dyDescent="0.2">
      <c r="A100" s="2"/>
      <c r="B100" s="210" t="s">
        <v>235</v>
      </c>
      <c r="C100" s="210"/>
      <c r="D100" s="210"/>
      <c r="E100" s="1555">
        <f>C4</f>
        <v>40095</v>
      </c>
      <c r="F100" s="1555"/>
      <c r="G100" s="1555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</row>
    <row r="101" spans="1:30" ht="13.5" thickBo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80"/>
      <c r="S101" s="80"/>
      <c r="T101" s="80"/>
      <c r="U101" s="302">
        <v>2</v>
      </c>
      <c r="V101" s="479">
        <v>100</v>
      </c>
      <c r="W101" s="80"/>
      <c r="X101" s="80"/>
      <c r="Y101" s="80"/>
      <c r="Z101" s="80"/>
      <c r="AA101" s="80"/>
      <c r="AB101" s="80"/>
      <c r="AC101" s="80"/>
      <c r="AD101" s="80"/>
    </row>
    <row r="102" spans="1:30" ht="16.5" thickBot="1" x14ac:dyDescent="0.3">
      <c r="A102" s="2"/>
      <c r="B102" s="211" t="s">
        <v>162</v>
      </c>
      <c r="C102" s="212" t="s">
        <v>163</v>
      </c>
      <c r="D102" s="213"/>
      <c r="E102" s="214"/>
      <c r="F102" s="215"/>
      <c r="G102" s="216">
        <f>J102/('Блок ввода'!$H$22/1000)</f>
        <v>0</v>
      </c>
      <c r="H102" s="215" t="s">
        <v>545</v>
      </c>
      <c r="I102" s="217"/>
      <c r="J102" s="218">
        <f>IF(U101=1,U102,K9)</f>
        <v>0</v>
      </c>
      <c r="K102" s="219" t="s">
        <v>163</v>
      </c>
      <c r="L102" s="2"/>
      <c r="M102" s="2"/>
      <c r="N102" s="2"/>
      <c r="O102" s="2"/>
      <c r="P102" s="2"/>
      <c r="Q102" s="2"/>
      <c r="R102" s="80"/>
      <c r="S102" s="80"/>
      <c r="T102" s="80"/>
      <c r="U102" s="302">
        <f>0</f>
        <v>0</v>
      </c>
      <c r="V102" s="479">
        <v>0</v>
      </c>
      <c r="W102" s="80"/>
      <c r="X102" s="80"/>
      <c r="Y102" s="80"/>
      <c r="Z102" s="80"/>
      <c r="AA102" s="80"/>
      <c r="AB102" s="80"/>
      <c r="AC102" s="80"/>
      <c r="AD102" s="80"/>
    </row>
    <row r="103" spans="1:30" ht="16.5" thickBot="1" x14ac:dyDescent="0.3">
      <c r="A103" s="2"/>
      <c r="B103" s="220" t="str">
        <f>IF('Блок ввода'!H120=TRUE,"ХЛЕБ ИЗ ПШЕНИЧНОЙ МУКИ В\С","ХЛЕБ ПШЕНИЧНЫЙ ИЗ МУКИ 1 С.")</f>
        <v>ХЛЕБ ПШЕНИЧНЫЙ ИЗ МУКИ 1 С.</v>
      </c>
      <c r="C103" s="212" t="s">
        <v>163</v>
      </c>
      <c r="D103" s="221"/>
      <c r="E103" s="214"/>
      <c r="F103" s="215"/>
      <c r="G103" s="216">
        <f>J103/('Блок ввода'!$H$23/1000)</f>
        <v>0</v>
      </c>
      <c r="H103" s="215" t="s">
        <v>545</v>
      </c>
      <c r="I103" s="217"/>
      <c r="J103" s="218">
        <f>IF(U101=1,U103,K10)</f>
        <v>0</v>
      </c>
      <c r="K103" s="219" t="s">
        <v>163</v>
      </c>
      <c r="L103" s="2"/>
      <c r="M103" s="2"/>
      <c r="N103" s="2"/>
      <c r="O103" s="2"/>
      <c r="P103" s="2"/>
      <c r="Q103" s="2"/>
      <c r="R103" s="80"/>
      <c r="S103" s="80"/>
      <c r="T103" s="80"/>
      <c r="U103" s="302">
        <f>0</f>
        <v>0</v>
      </c>
      <c r="V103" s="302">
        <v>2</v>
      </c>
      <c r="W103" s="80"/>
      <c r="X103" s="80"/>
      <c r="Y103" s="80"/>
      <c r="Z103" s="80"/>
      <c r="AA103" s="80"/>
      <c r="AB103" s="80"/>
      <c r="AC103" s="80"/>
      <c r="AD103" s="80"/>
    </row>
    <row r="104" spans="1:30" ht="15" x14ac:dyDescent="0.2">
      <c r="A104" s="2"/>
      <c r="B104" s="222" t="s">
        <v>237</v>
      </c>
      <c r="C104" s="80"/>
      <c r="D104" s="80"/>
      <c r="E104" s="223"/>
      <c r="F104" s="223"/>
      <c r="G104" s="1553" t="str">
        <f>J75</f>
        <v>С.ФЕДОРОВА</v>
      </c>
      <c r="H104" s="1553"/>
      <c r="I104" s="1553"/>
      <c r="J104" s="80"/>
      <c r="K104" s="80"/>
      <c r="L104" s="2"/>
      <c r="M104" s="2"/>
      <c r="N104" s="2"/>
      <c r="O104" s="2"/>
      <c r="P104" s="2"/>
      <c r="Q104" s="2"/>
      <c r="R104" s="80"/>
      <c r="S104" s="80"/>
      <c r="T104" s="80"/>
      <c r="U104" s="302"/>
      <c r="V104" s="302">
        <v>2</v>
      </c>
      <c r="W104" s="80"/>
      <c r="X104" s="80"/>
      <c r="Y104" s="80"/>
      <c r="Z104" s="80"/>
      <c r="AA104" s="80"/>
      <c r="AB104" s="80"/>
      <c r="AC104" s="80"/>
      <c r="AD104" s="80"/>
    </row>
    <row r="105" spans="1:30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</row>
    <row r="106" spans="1:30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</row>
    <row r="107" spans="1:30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</row>
    <row r="108" spans="1:30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</row>
    <row r="109" spans="1:30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</row>
    <row r="110" spans="1:30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</row>
    <row r="111" spans="1:30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</row>
    <row r="112" spans="1:30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</row>
    <row r="113" spans="1:30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</row>
    <row r="114" spans="1:30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</row>
    <row r="115" spans="1:30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</row>
    <row r="116" spans="1:30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</row>
    <row r="117" spans="1:30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</row>
    <row r="118" spans="1:30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</row>
    <row r="119" spans="1:30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</row>
    <row r="120" spans="1:30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</row>
    <row r="121" spans="1:30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</row>
    <row r="122" spans="1:30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</row>
    <row r="123" spans="1:30" x14ac:dyDescent="0.2">
      <c r="A123" s="2"/>
      <c r="B123" s="80"/>
      <c r="C123" s="80"/>
      <c r="D123" s="80"/>
      <c r="E123" s="80"/>
      <c r="F123" s="80"/>
      <c r="G123" s="80"/>
      <c r="H123" s="80"/>
      <c r="I123" s="80"/>
      <c r="J123" s="80"/>
      <c r="K123" s="80"/>
      <c r="L123" s="2"/>
      <c r="M123" s="2"/>
      <c r="N123" s="2"/>
      <c r="O123" s="2"/>
      <c r="P123" s="2"/>
      <c r="Q123" s="2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</row>
    <row r="124" spans="1:30" x14ac:dyDescent="0.2">
      <c r="A124" s="2"/>
      <c r="B124" s="80"/>
      <c r="C124" s="80"/>
      <c r="D124" s="80"/>
      <c r="E124" s="80"/>
      <c r="F124" s="80"/>
      <c r="G124" s="80"/>
      <c r="H124" s="80"/>
      <c r="I124" s="80"/>
      <c r="J124" s="80"/>
      <c r="K124" s="80"/>
      <c r="L124" s="2"/>
      <c r="M124" s="2"/>
      <c r="N124" s="2"/>
      <c r="O124" s="2"/>
      <c r="P124" s="2"/>
      <c r="Q124" s="2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</row>
    <row r="125" spans="1:30" x14ac:dyDescent="0.2">
      <c r="A125" s="2"/>
      <c r="B125" s="80"/>
      <c r="C125" s="80"/>
      <c r="D125" s="80"/>
      <c r="E125" s="80"/>
      <c r="F125" s="80"/>
      <c r="G125" s="80"/>
      <c r="H125" s="80"/>
      <c r="I125" s="80"/>
      <c r="J125" s="80"/>
      <c r="K125" s="80"/>
      <c r="L125" s="2"/>
      <c r="M125" s="2"/>
      <c r="N125" s="2"/>
      <c r="O125" s="2"/>
      <c r="P125" s="2"/>
      <c r="Q125" s="2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</row>
    <row r="126" spans="1:30" x14ac:dyDescent="0.2">
      <c r="A126" s="2"/>
      <c r="B126" s="80"/>
      <c r="C126" s="80"/>
      <c r="D126" s="80"/>
      <c r="E126" s="80"/>
      <c r="F126" s="80"/>
      <c r="G126" s="80"/>
      <c r="H126" s="80"/>
      <c r="I126" s="80"/>
      <c r="J126" s="80"/>
      <c r="K126" s="80"/>
      <c r="L126" s="2"/>
      <c r="M126" s="2"/>
      <c r="N126" s="2"/>
      <c r="O126" s="2"/>
      <c r="P126" s="2"/>
      <c r="Q126" s="2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</row>
    <row r="127" spans="1:30" x14ac:dyDescent="0.2">
      <c r="A127" s="2"/>
      <c r="B127" s="80"/>
      <c r="C127" s="80"/>
      <c r="D127" s="80"/>
      <c r="E127" s="80"/>
      <c r="F127" s="80"/>
      <c r="G127" s="80"/>
      <c r="H127" s="80"/>
      <c r="I127" s="80"/>
      <c r="J127" s="80"/>
      <c r="K127" s="80"/>
      <c r="L127" s="2"/>
      <c r="M127" s="2"/>
      <c r="N127" s="2"/>
      <c r="O127" s="2"/>
      <c r="P127" s="2"/>
      <c r="Q127" s="2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</row>
    <row r="128" spans="1:30" x14ac:dyDescent="0.2">
      <c r="A128" s="2"/>
      <c r="B128" s="80"/>
      <c r="C128" s="80"/>
      <c r="D128" s="80"/>
      <c r="E128" s="80"/>
      <c r="F128" s="80"/>
      <c r="G128" s="80"/>
      <c r="H128" s="80"/>
      <c r="I128" s="80"/>
      <c r="J128" s="80"/>
      <c r="K128" s="80"/>
      <c r="L128" s="2"/>
      <c r="M128" s="2"/>
      <c r="N128" s="2"/>
      <c r="O128" s="2"/>
      <c r="P128" s="2"/>
      <c r="Q128" s="2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</row>
  </sheetData>
  <sheetProtection password="C4B7" sheet="1" objects="1" scenarios="1" selectLockedCells="1"/>
  <customSheetViews>
    <customSheetView guid="{4DE99834-7080-40E5-9A2F-2BF27F7EDEBF}" scale="75" showPageBreaks="1" showGridLines="0" zeroValues="0" printArea="1" view="pageBreakPreview" showRuler="0">
      <selection activeCell="M9" sqref="M9"/>
      <rowBreaks count="1" manualBreakCount="1">
        <brk id="41" min="1" max="9" man="1"/>
      </rowBreaks>
      <pageMargins left="0.19685039370078741" right="0.19685039370078741" top="0.98425196850393704" bottom="0.98425196850393704" header="0.51181102362204722" footer="0.51181102362204722"/>
      <printOptions horizontalCentered="1"/>
      <pageSetup paperSize="9" scale="88" orientation="portrait" horizontalDpi="120" verticalDpi="144" r:id="rId1"/>
      <headerFooter alignWithMargins="0"/>
    </customSheetView>
  </customSheetViews>
  <mergeCells count="34">
    <mergeCell ref="B2:K2"/>
    <mergeCell ref="B3:K3"/>
    <mergeCell ref="B7:B8"/>
    <mergeCell ref="C7:C8"/>
    <mergeCell ref="E7:G7"/>
    <mergeCell ref="H7:J7"/>
    <mergeCell ref="C6:K6"/>
    <mergeCell ref="B5:K5"/>
    <mergeCell ref="D7:D8"/>
    <mergeCell ref="C4:H4"/>
    <mergeCell ref="G104:I104"/>
    <mergeCell ref="I81:I82"/>
    <mergeCell ref="B98:K98"/>
    <mergeCell ref="K81:K82"/>
    <mergeCell ref="H83:H84"/>
    <mergeCell ref="I83:I84"/>
    <mergeCell ref="J83:J84"/>
    <mergeCell ref="H81:H82"/>
    <mergeCell ref="B76:K76"/>
    <mergeCell ref="J81:J82"/>
    <mergeCell ref="B74:D74"/>
    <mergeCell ref="B73:K73"/>
    <mergeCell ref="J72:K72"/>
    <mergeCell ref="E72:I72"/>
    <mergeCell ref="L21:N21"/>
    <mergeCell ref="E100:G100"/>
    <mergeCell ref="K83:K84"/>
    <mergeCell ref="E67:J67"/>
    <mergeCell ref="J87:K87"/>
    <mergeCell ref="H79:H80"/>
    <mergeCell ref="I79:I80"/>
    <mergeCell ref="J79:J80"/>
    <mergeCell ref="K79:K80"/>
    <mergeCell ref="E66:J66"/>
  </mergeCells>
  <phoneticPr fontId="38" type="noConversion"/>
  <conditionalFormatting sqref="B98:K104">
    <cfRule type="expression" dxfId="17" priority="1" stopIfTrue="1">
      <formula>$Q$17=FALSE</formula>
    </cfRule>
  </conditionalFormatting>
  <conditionalFormatting sqref="B7:K71">
    <cfRule type="expression" dxfId="16" priority="2" stopIfTrue="1">
      <formula>$Y$1=0</formula>
    </cfRule>
  </conditionalFormatting>
  <conditionalFormatting sqref="M2">
    <cfRule type="cellIs" dxfId="15" priority="3" stopIfTrue="1" operator="equal">
      <formula>0</formula>
    </cfRule>
  </conditionalFormatting>
  <conditionalFormatting sqref="M4">
    <cfRule type="cellIs" dxfId="14" priority="4" stopIfTrue="1" operator="equal">
      <formula>0</formula>
    </cfRule>
  </conditionalFormatting>
  <dataValidations xWindow="1110" yWindow="92" count="1">
    <dataValidation type="decimal" allowBlank="1" showInputMessage="1" showErrorMessage="1" promptTitle="ВНИМАНИЕ" prompt="Введите количество личного состава по общевойсковому пайку!" sqref="M2">
      <formula1>0</formula1>
      <formula2>5000</formula2>
    </dataValidation>
  </dataValidations>
  <hyperlinks>
    <hyperlink ref="A2" location="'Раскладка продуктов'!B94" tooltip="Переход в раскладку продуктов" display="ПЯТНИЦА"/>
  </hyperlinks>
  <pageMargins left="0.78740157480314965" right="0.19685039370078741" top="0.59055118110236227" bottom="0.59055118110236227" header="0.51181102362204722" footer="0.51181102362204722"/>
  <pageSetup paperSize="9" scale="69" orientation="portrait" horizontalDpi="120" verticalDpi="144" r:id="rId2"/>
  <headerFooter alignWithMargins="0"/>
  <rowBreaks count="1" manualBreakCount="1">
    <brk id="58" min="1" max="10" man="1"/>
  </rowBreaks>
  <drawing r:id="rId3"/>
  <legacyDrawing r:id="rId4"/>
  <controls>
    <mc:AlternateContent xmlns:mc="http://schemas.openxmlformats.org/markup-compatibility/2006">
      <mc:Choice Requires="x14">
        <control shapeId="17456" r:id="rId5" name="CommandButton1">
          <controlPr locked="0" defaultSize="0" autoLine="0" r:id="rId6">
            <anchor moveWithCells="1">
              <from>
                <xdr:col>11</xdr:col>
                <xdr:colOff>323850</xdr:colOff>
                <xdr:row>3</xdr:row>
                <xdr:rowOff>0</xdr:rowOff>
              </from>
              <to>
                <xdr:col>13</xdr:col>
                <xdr:colOff>523875</xdr:colOff>
                <xdr:row>4</xdr:row>
                <xdr:rowOff>76200</xdr:rowOff>
              </to>
            </anchor>
          </controlPr>
        </control>
      </mc:Choice>
      <mc:Fallback>
        <control shapeId="17456" r:id="rId5" name="CommandButton1"/>
      </mc:Fallback>
    </mc:AlternateContent>
    <mc:AlternateContent xmlns:mc="http://schemas.openxmlformats.org/markup-compatibility/2006">
      <mc:Choice Requires="x14">
        <control shapeId="17410" r:id="rId7" name="Spinner 2">
          <controlPr defaultSize="0" autoPict="0">
            <anchor moveWithCells="1" sizeWithCells="1">
              <from>
                <xdr:col>13</xdr:col>
                <xdr:colOff>28575</xdr:colOff>
                <xdr:row>0</xdr:row>
                <xdr:rowOff>95250</xdr:rowOff>
              </from>
              <to>
                <xdr:col>13</xdr:col>
                <xdr:colOff>466725</xdr:colOff>
                <xdr:row>2</xdr:row>
                <xdr:rowOff>85725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Сб">
    <tabColor indexed="62"/>
  </sheetPr>
  <dimension ref="A1:AG2249"/>
  <sheetViews>
    <sheetView showGridLines="0" showZeros="0" showOutlineSymbols="0" view="pageBreakPreview" zoomScale="65" zoomScaleNormal="75" workbookViewId="0">
      <selection activeCell="M2" sqref="M2"/>
    </sheetView>
  </sheetViews>
  <sheetFormatPr defaultRowHeight="12.75" x14ac:dyDescent="0.2"/>
  <cols>
    <col min="1" max="1" width="5.7109375" style="4" customWidth="1"/>
    <col min="2" max="2" width="51.42578125" customWidth="1"/>
    <col min="3" max="3" width="4.7109375" customWidth="1"/>
    <col min="4" max="4" width="9.5703125" customWidth="1"/>
    <col min="5" max="7" width="9.5703125" hidden="1" customWidth="1"/>
    <col min="8" max="11" width="17.5703125" customWidth="1"/>
    <col min="12" max="12" width="9.140625" style="4"/>
    <col min="13" max="13" width="8.7109375" style="4" customWidth="1"/>
    <col min="14" max="14" width="9.28515625" style="4" bestFit="1" customWidth="1"/>
    <col min="15" max="16" width="10.7109375" style="4" customWidth="1"/>
    <col min="17" max="17" width="9.5703125" style="4" hidden="1" customWidth="1"/>
    <col min="18" max="18" width="0" hidden="1" customWidth="1"/>
    <col min="19" max="19" width="10.140625" hidden="1" customWidth="1"/>
    <col min="20" max="20" width="6.28515625" hidden="1" customWidth="1"/>
    <col min="21" max="21" width="11.140625" hidden="1" customWidth="1"/>
    <col min="22" max="22" width="8.140625" hidden="1" customWidth="1"/>
    <col min="23" max="26" width="0" hidden="1" customWidth="1"/>
  </cols>
  <sheetData>
    <row r="1" spans="1:33" ht="13.9" customHeight="1" thickBot="1" x14ac:dyDescent="0.25">
      <c r="B1" s="80"/>
      <c r="C1" s="80"/>
      <c r="D1" s="80"/>
      <c r="E1" s="80"/>
      <c r="F1" s="80"/>
      <c r="G1" s="80"/>
      <c r="H1" s="80"/>
      <c r="I1" s="80"/>
      <c r="J1" s="80"/>
      <c r="K1" s="244" t="s">
        <v>160</v>
      </c>
      <c r="L1" s="2"/>
      <c r="M1" s="2"/>
      <c r="N1" s="2"/>
      <c r="O1" s="2"/>
      <c r="P1" s="2"/>
      <c r="Q1" s="2"/>
      <c r="R1" s="80"/>
      <c r="S1" s="80"/>
      <c r="T1" s="80"/>
      <c r="U1" s="80"/>
      <c r="V1" s="80"/>
      <c r="W1" s="80">
        <v>6</v>
      </c>
      <c r="X1" s="302">
        <v>2</v>
      </c>
      <c r="Y1" s="2">
        <f>'Блок ввода'!G4</f>
        <v>0</v>
      </c>
      <c r="Z1" s="80"/>
      <c r="AA1" s="80"/>
      <c r="AB1" s="80"/>
      <c r="AC1" s="80"/>
      <c r="AD1" s="80"/>
      <c r="AE1" s="80"/>
      <c r="AF1" s="80"/>
      <c r="AG1" s="80"/>
    </row>
    <row r="2" spans="1:33" ht="21" customHeight="1" thickTop="1" thickBot="1" x14ac:dyDescent="0.25">
      <c r="A2" s="485" t="s">
        <v>523</v>
      </c>
      <c r="B2" s="1601" t="s">
        <v>511</v>
      </c>
      <c r="C2" s="1601"/>
      <c r="D2" s="1601"/>
      <c r="E2" s="1601"/>
      <c r="F2" s="1601"/>
      <c r="G2" s="1601"/>
      <c r="H2" s="1601"/>
      <c r="I2" s="1601"/>
      <c r="J2" s="1601"/>
      <c r="K2" s="1601"/>
      <c r="L2" s="137"/>
      <c r="M2" s="139">
        <v>0</v>
      </c>
      <c r="N2" s="2"/>
      <c r="O2" s="2"/>
      <c r="P2" s="2"/>
      <c r="Q2" s="2"/>
      <c r="R2" s="80"/>
      <c r="S2" s="80"/>
      <c r="T2" s="80"/>
      <c r="U2" s="80"/>
      <c r="V2" s="80"/>
      <c r="W2" s="80"/>
      <c r="X2" s="302">
        <v>0</v>
      </c>
      <c r="Y2" s="80"/>
      <c r="Z2" s="80"/>
      <c r="AA2" s="80"/>
      <c r="AB2" s="80"/>
      <c r="AC2" s="80"/>
      <c r="AD2" s="80"/>
      <c r="AE2" s="80"/>
      <c r="AF2" s="80"/>
      <c r="AG2" s="80"/>
    </row>
    <row r="3" spans="1:33" ht="18.95" customHeight="1" thickTop="1" x14ac:dyDescent="0.25">
      <c r="B3" s="1602" t="str">
        <f>CONCATENATE(" на выдачу продовольствия в столовую ",'Блок ввода'!G8," ",'Блок ввода'!I2)</f>
        <v xml:space="preserve"> на выдачу продовольствия в столовую войсковой части 00000</v>
      </c>
      <c r="C3" s="1602"/>
      <c r="D3" s="1602"/>
      <c r="E3" s="1602"/>
      <c r="F3" s="1602"/>
      <c r="G3" s="1602"/>
      <c r="H3" s="1602"/>
      <c r="I3" s="1602"/>
      <c r="J3" s="1602"/>
      <c r="K3" s="1602"/>
      <c r="L3" s="2"/>
      <c r="M3" s="137"/>
      <c r="N3" s="2"/>
      <c r="O3" s="2"/>
      <c r="P3" s="2"/>
      <c r="Q3" s="2"/>
      <c r="R3" s="80"/>
      <c r="S3" s="80"/>
      <c r="T3" s="80"/>
      <c r="U3" s="80"/>
      <c r="V3" s="80"/>
      <c r="W3" s="80"/>
      <c r="X3" s="302">
        <v>0</v>
      </c>
      <c r="Y3" s="80"/>
      <c r="Z3" s="80"/>
      <c r="AA3" s="80"/>
      <c r="AB3" s="80"/>
      <c r="AC3" s="80"/>
      <c r="AD3" s="80"/>
      <c r="AE3" s="80"/>
      <c r="AF3" s="80"/>
      <c r="AG3" s="80"/>
    </row>
    <row r="4" spans="1:33" ht="21" customHeight="1" x14ac:dyDescent="0.25">
      <c r="A4" s="2"/>
      <c r="B4" s="245" t="s">
        <v>214</v>
      </c>
      <c r="C4" s="1599">
        <f>'Блок ввода'!$I$4+5</f>
        <v>40096</v>
      </c>
      <c r="D4" s="1599"/>
      <c r="E4" s="1599"/>
      <c r="F4" s="1599"/>
      <c r="G4" s="1599"/>
      <c r="H4" s="1599"/>
      <c r="I4" s="1219"/>
      <c r="J4" s="1219"/>
      <c r="K4" s="1219"/>
      <c r="L4" s="2"/>
      <c r="M4" s="1232">
        <v>0</v>
      </c>
      <c r="N4" s="2"/>
      <c r="O4" s="2"/>
      <c r="P4" s="2"/>
      <c r="Q4" s="2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</row>
    <row r="5" spans="1:33" ht="17.100000000000001" customHeight="1" x14ac:dyDescent="0.25">
      <c r="A5" s="144"/>
      <c r="B5" s="1582" t="s">
        <v>375</v>
      </c>
      <c r="C5" s="1582"/>
      <c r="D5" s="1582"/>
      <c r="E5" s="1582"/>
      <c r="F5" s="1582"/>
      <c r="G5" s="1582"/>
      <c r="H5" s="1582"/>
      <c r="I5" s="1582"/>
      <c r="J5" s="1582"/>
      <c r="K5" s="1583"/>
      <c r="L5" s="137"/>
      <c r="M5" s="2"/>
      <c r="N5" s="2"/>
      <c r="O5" s="2"/>
      <c r="P5" s="2"/>
      <c r="Q5" s="2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</row>
    <row r="6" spans="1:33" ht="19.899999999999999" customHeight="1" thickBot="1" x14ac:dyDescent="0.3">
      <c r="A6" s="144"/>
      <c r="B6" s="245" t="s">
        <v>234</v>
      </c>
      <c r="C6" s="1611" t="s">
        <v>449</v>
      </c>
      <c r="D6" s="1611"/>
      <c r="E6" s="1611"/>
      <c r="F6" s="1611"/>
      <c r="G6" s="1611"/>
      <c r="H6" s="1611"/>
      <c r="I6" s="1611"/>
      <c r="J6" s="1611"/>
      <c r="K6" s="1611"/>
      <c r="L6" s="2"/>
      <c r="M6" s="246"/>
      <c r="N6" s="2"/>
      <c r="O6" s="2"/>
      <c r="P6" s="2"/>
      <c r="Q6" s="2"/>
      <c r="R6" s="80"/>
      <c r="S6" s="80"/>
      <c r="T6" s="80"/>
      <c r="U6" s="142" t="b">
        <f>IF(OR('Раскладка продуктов'!A119=1750,'Раскладка продуктов'!A119=1745),0,FALSE)</f>
        <v>0</v>
      </c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</row>
    <row r="7" spans="1:33" ht="13.5" customHeight="1" thickBot="1" x14ac:dyDescent="0.25">
      <c r="A7" s="2"/>
      <c r="B7" s="1574" t="s">
        <v>222</v>
      </c>
      <c r="C7" s="1614" t="s">
        <v>167</v>
      </c>
      <c r="D7" s="1578" t="s">
        <v>284</v>
      </c>
      <c r="E7" s="1604" t="s">
        <v>261</v>
      </c>
      <c r="F7" s="1605"/>
      <c r="G7" s="1606"/>
      <c r="H7" s="1604" t="s">
        <v>262</v>
      </c>
      <c r="I7" s="1605"/>
      <c r="J7" s="1606"/>
      <c r="K7" s="248"/>
      <c r="L7" s="2"/>
      <c r="M7" s="2"/>
      <c r="N7" s="2"/>
      <c r="O7" s="2"/>
      <c r="P7" s="2"/>
      <c r="Q7" s="2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</row>
    <row r="8" spans="1:33" ht="58.15" customHeight="1" thickBot="1" x14ac:dyDescent="0.25">
      <c r="A8" s="2"/>
      <c r="B8" s="1613"/>
      <c r="C8" s="1615"/>
      <c r="D8" s="1579"/>
      <c r="E8" s="271" t="s">
        <v>123</v>
      </c>
      <c r="F8" s="270" t="s">
        <v>124</v>
      </c>
      <c r="G8" s="270" t="s">
        <v>125</v>
      </c>
      <c r="H8" s="250" t="s">
        <v>123</v>
      </c>
      <c r="I8" s="250" t="s">
        <v>124</v>
      </c>
      <c r="J8" s="250" t="s">
        <v>125</v>
      </c>
      <c r="K8" s="252" t="s">
        <v>161</v>
      </c>
      <c r="L8" s="2"/>
      <c r="M8" s="2"/>
      <c r="N8" s="2"/>
      <c r="O8" s="2"/>
      <c r="P8" s="2"/>
      <c r="Q8" s="2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</row>
    <row r="9" spans="1:33" ht="15" customHeight="1" x14ac:dyDescent="0.25">
      <c r="A9" s="2"/>
      <c r="B9" s="598" t="str">
        <f>Расчёт!B328</f>
        <v>ХЛЕБ ИЗ СМЕСИ МУКИ РЖАНОЙ</v>
      </c>
      <c r="C9" s="1235" t="s">
        <v>163</v>
      </c>
      <c r="D9" s="506">
        <f>Цены!D9</f>
        <v>0</v>
      </c>
      <c r="E9" s="600">
        <v>0</v>
      </c>
      <c r="F9" s="600">
        <v>0</v>
      </c>
      <c r="G9" s="600">
        <v>0</v>
      </c>
      <c r="H9" s="489">
        <f>Расчёт!G328</f>
        <v>0</v>
      </c>
      <c r="I9" s="490">
        <f>Расчёт!H328</f>
        <v>0</v>
      </c>
      <c r="J9" s="491">
        <f>Расчёт!I328</f>
        <v>0</v>
      </c>
      <c r="K9" s="492">
        <f>SUM(E9:J9)-K66</f>
        <v>0</v>
      </c>
      <c r="L9" s="2"/>
      <c r="M9" s="253"/>
      <c r="N9" s="254"/>
      <c r="O9" s="2"/>
      <c r="P9" s="2"/>
      <c r="Q9" s="2"/>
      <c r="R9" s="80"/>
      <c r="S9" s="80"/>
      <c r="T9" s="80"/>
      <c r="U9" s="80"/>
      <c r="V9" s="154">
        <f t="shared" ref="V9:V70" si="0">IF(K9&gt;0,1,0)</f>
        <v>0</v>
      </c>
      <c r="W9" s="80"/>
      <c r="X9" s="80"/>
      <c r="Y9" s="80"/>
      <c r="Z9" s="155">
        <f>D9*K9</f>
        <v>0</v>
      </c>
      <c r="AA9" s="80"/>
      <c r="AB9" s="80"/>
      <c r="AC9" s="80"/>
      <c r="AD9" s="80"/>
      <c r="AE9" s="80"/>
      <c r="AF9" s="80"/>
      <c r="AG9" s="80"/>
    </row>
    <row r="10" spans="1:33" ht="15" customHeight="1" x14ac:dyDescent="0.25">
      <c r="A10" s="2"/>
      <c r="B10" s="493" t="str">
        <f>Расчёт!B329</f>
        <v>ХЛЕБ ИЗ МУКИ ПШ. 1 С.</v>
      </c>
      <c r="C10" s="704" t="s">
        <v>163</v>
      </c>
      <c r="D10" s="640">
        <f>Цены!D10</f>
        <v>0</v>
      </c>
      <c r="E10" s="600">
        <v>0</v>
      </c>
      <c r="F10" s="600">
        <v>0</v>
      </c>
      <c r="G10" s="600"/>
      <c r="H10" s="494">
        <f>Расчёт!G329</f>
        <v>0</v>
      </c>
      <c r="I10" s="495">
        <f>Расчёт!H329</f>
        <v>0</v>
      </c>
      <c r="J10" s="496">
        <f>Расчёт!I329</f>
        <v>0</v>
      </c>
      <c r="K10" s="497">
        <f>E10+F10+G10+H10+I10+J10-K67</f>
        <v>0</v>
      </c>
      <c r="L10" s="2"/>
      <c r="M10" s="253"/>
      <c r="N10" s="254"/>
      <c r="O10" s="2"/>
      <c r="P10" s="2"/>
      <c r="Q10" s="2"/>
      <c r="R10" s="80"/>
      <c r="S10" s="80"/>
      <c r="T10" s="80"/>
      <c r="U10" s="80"/>
      <c r="V10" s="154">
        <f t="shared" si="0"/>
        <v>0</v>
      </c>
      <c r="W10" s="80"/>
      <c r="X10" s="80"/>
      <c r="Y10" s="80"/>
      <c r="Z10" s="155">
        <f t="shared" ref="Z10:Z71" si="1">D10*K10</f>
        <v>0</v>
      </c>
      <c r="AA10" s="80"/>
      <c r="AB10" s="80"/>
      <c r="AC10" s="80"/>
      <c r="AD10" s="80"/>
      <c r="AE10" s="80"/>
      <c r="AF10" s="80"/>
      <c r="AG10" s="80"/>
    </row>
    <row r="11" spans="1:33" ht="15" customHeight="1" thickBot="1" x14ac:dyDescent="0.3">
      <c r="A11" s="2"/>
      <c r="B11" s="498" t="str">
        <f>Расчёт!B330</f>
        <v>СУХАРИ (ХЛЕБЦЫ) ИЗ ПШ. МУКИ 1 С.</v>
      </c>
      <c r="C11" s="705" t="s">
        <v>163</v>
      </c>
      <c r="D11" s="1244">
        <f>Цены!D11</f>
        <v>0</v>
      </c>
      <c r="E11" s="602">
        <v>0</v>
      </c>
      <c r="F11" s="602">
        <v>0</v>
      </c>
      <c r="G11" s="602">
        <v>0</v>
      </c>
      <c r="H11" s="501">
        <f>Расчёт!G330</f>
        <v>0</v>
      </c>
      <c r="I11" s="502">
        <f>Расчёт!H330</f>
        <v>0</v>
      </c>
      <c r="J11" s="503">
        <f>Расчёт!I330</f>
        <v>0</v>
      </c>
      <c r="K11" s="504">
        <f>E11+F11+G11+H11+I11+J11</f>
        <v>0</v>
      </c>
      <c r="L11" s="2"/>
      <c r="M11" s="253"/>
      <c r="N11" s="254"/>
      <c r="O11" s="2"/>
      <c r="P11" s="2"/>
      <c r="Q11" s="2"/>
      <c r="R11" s="80"/>
      <c r="S11" s="80"/>
      <c r="T11" s="80"/>
      <c r="U11" s="80"/>
      <c r="V11" s="154"/>
      <c r="W11" s="80"/>
      <c r="X11" s="80"/>
      <c r="Y11" s="80"/>
      <c r="Z11" s="155">
        <f t="shared" si="1"/>
        <v>0</v>
      </c>
      <c r="AA11" s="80"/>
      <c r="AB11" s="80"/>
      <c r="AC11" s="80"/>
      <c r="AD11" s="80"/>
      <c r="AE11" s="80"/>
      <c r="AF11" s="80"/>
      <c r="AG11" s="80"/>
    </row>
    <row r="12" spans="1:33" ht="15" customHeight="1" x14ac:dyDescent="0.2">
      <c r="A12" s="2"/>
      <c r="B12" s="505" t="s">
        <v>130</v>
      </c>
      <c r="C12" s="610" t="s">
        <v>163</v>
      </c>
      <c r="D12" s="506">
        <f>Цены!D12</f>
        <v>0</v>
      </c>
      <c r="E12" s="604">
        <v>0</v>
      </c>
      <c r="F12" s="604">
        <v>0</v>
      </c>
      <c r="G12" s="605">
        <v>0</v>
      </c>
      <c r="H12" s="509">
        <f>Расчёт!G331</f>
        <v>0</v>
      </c>
      <c r="I12" s="510">
        <f>Расчёт!H331</f>
        <v>0</v>
      </c>
      <c r="J12" s="511">
        <f>Расчёт!I331</f>
        <v>0</v>
      </c>
      <c r="K12" s="512">
        <f>E12+F12+G12+H12+I12+J12</f>
        <v>0</v>
      </c>
      <c r="L12" s="2"/>
      <c r="M12" s="2"/>
      <c r="N12" s="2"/>
      <c r="O12" s="2"/>
      <c r="P12" s="2"/>
      <c r="Q12" s="2"/>
      <c r="R12" s="80"/>
      <c r="S12" s="80"/>
      <c r="T12" s="80"/>
      <c r="U12" s="80"/>
      <c r="V12" s="154">
        <f t="shared" si="0"/>
        <v>0</v>
      </c>
      <c r="W12" s="80"/>
      <c r="X12" s="80"/>
      <c r="Y12" s="80"/>
      <c r="Z12" s="155">
        <f t="shared" si="1"/>
        <v>0</v>
      </c>
      <c r="AA12" s="80"/>
      <c r="AB12" s="80"/>
      <c r="AC12" s="80"/>
      <c r="AD12" s="80"/>
      <c r="AE12" s="80"/>
      <c r="AF12" s="80"/>
      <c r="AG12" s="80"/>
    </row>
    <row r="13" spans="1:33" ht="15" customHeight="1" thickBot="1" x14ac:dyDescent="0.25">
      <c r="A13" s="2"/>
      <c r="B13" s="513" t="s">
        <v>131</v>
      </c>
      <c r="C13" s="620" t="s">
        <v>163</v>
      </c>
      <c r="D13" s="1244">
        <f>Цены!D13</f>
        <v>0</v>
      </c>
      <c r="E13" s="607">
        <v>0</v>
      </c>
      <c r="F13" s="607">
        <v>0</v>
      </c>
      <c r="G13" s="608">
        <v>0</v>
      </c>
      <c r="H13" s="515">
        <f>Расчёт!G332</f>
        <v>0</v>
      </c>
      <c r="I13" s="518">
        <f>Расчёт!H332</f>
        <v>0</v>
      </c>
      <c r="J13" s="519">
        <f>Расчёт!I332</f>
        <v>0</v>
      </c>
      <c r="K13" s="520">
        <f t="shared" ref="K13:K68" si="2">E13+F13+G13+H13+I13+J13</f>
        <v>0</v>
      </c>
      <c r="L13" s="2"/>
      <c r="M13" s="255"/>
      <c r="N13" s="2"/>
      <c r="O13" s="2"/>
      <c r="P13" s="2"/>
      <c r="Q13" s="2"/>
      <c r="R13" s="80"/>
      <c r="S13" s="80"/>
      <c r="T13" s="80"/>
      <c r="U13" s="80"/>
      <c r="V13" s="154">
        <f t="shared" si="0"/>
        <v>0</v>
      </c>
      <c r="W13" s="80"/>
      <c r="X13" s="80"/>
      <c r="Y13" s="80"/>
      <c r="Z13" s="155">
        <f t="shared" si="1"/>
        <v>0</v>
      </c>
      <c r="AA13" s="80"/>
      <c r="AB13" s="80"/>
      <c r="AC13" s="80"/>
      <c r="AD13" s="80"/>
      <c r="AE13" s="80"/>
      <c r="AF13" s="80"/>
      <c r="AG13" s="80"/>
    </row>
    <row r="14" spans="1:33" ht="15" customHeight="1" x14ac:dyDescent="0.2">
      <c r="A14" s="2"/>
      <c r="B14" s="521" t="str">
        <f>Расчёт!B333</f>
        <v>РИС</v>
      </c>
      <c r="C14" s="610" t="s">
        <v>163</v>
      </c>
      <c r="D14" s="506">
        <f>Цены!D14</f>
        <v>0</v>
      </c>
      <c r="E14" s="600">
        <v>0</v>
      </c>
      <c r="F14" s="600">
        <v>0</v>
      </c>
      <c r="G14" s="600">
        <v>0</v>
      </c>
      <c r="H14" s="489">
        <f>Расчёт!G333</f>
        <v>0</v>
      </c>
      <c r="I14" s="490">
        <f>Расчёт!H333</f>
        <v>0</v>
      </c>
      <c r="J14" s="491">
        <f>Расчёт!I333</f>
        <v>0</v>
      </c>
      <c r="K14" s="522">
        <f t="shared" si="2"/>
        <v>0</v>
      </c>
      <c r="L14" s="2"/>
      <c r="M14" s="2"/>
      <c r="N14" s="2"/>
      <c r="O14" s="2"/>
      <c r="P14" s="2"/>
      <c r="Q14" s="2"/>
      <c r="R14" s="80"/>
      <c r="S14" s="80"/>
      <c r="T14" s="2" t="str">
        <f>'Блок ввода'!O15</f>
        <v>Ю.АРТЕМОВ</v>
      </c>
      <c r="U14" s="80"/>
      <c r="V14" s="154">
        <f t="shared" si="0"/>
        <v>0</v>
      </c>
      <c r="W14" s="80"/>
      <c r="X14" s="80"/>
      <c r="Y14" s="80"/>
      <c r="Z14" s="155">
        <f t="shared" si="1"/>
        <v>0</v>
      </c>
      <c r="AA14" s="80"/>
      <c r="AB14" s="80"/>
      <c r="AC14" s="80"/>
      <c r="AD14" s="80"/>
      <c r="AE14" s="80"/>
      <c r="AF14" s="80"/>
      <c r="AG14" s="80"/>
    </row>
    <row r="15" spans="1:33" ht="15" customHeight="1" x14ac:dyDescent="0.2">
      <c r="A15" s="256"/>
      <c r="B15" s="523" t="str">
        <f>Расчёт!B334</f>
        <v>КРУПА ГРЕЧНЕВАЯ</v>
      </c>
      <c r="C15" s="613" t="s">
        <v>163</v>
      </c>
      <c r="D15" s="640">
        <f>Цены!D15</f>
        <v>0</v>
      </c>
      <c r="E15" s="600">
        <v>0</v>
      </c>
      <c r="F15" s="600">
        <v>0</v>
      </c>
      <c r="G15" s="600">
        <v>0</v>
      </c>
      <c r="H15" s="509">
        <f>Расчёт!G334</f>
        <v>0</v>
      </c>
      <c r="I15" s="510">
        <f>Расчёт!H334</f>
        <v>0</v>
      </c>
      <c r="J15" s="511">
        <f>Расчёт!I334</f>
        <v>0</v>
      </c>
      <c r="K15" s="512">
        <f t="shared" si="2"/>
        <v>0</v>
      </c>
      <c r="L15" s="2"/>
      <c r="M15" s="2"/>
      <c r="N15" s="2"/>
      <c r="O15" s="2"/>
      <c r="P15" s="2"/>
      <c r="Q15" s="2">
        <f>'Раскладка продуктов'!A37</f>
        <v>2075</v>
      </c>
      <c r="R15" s="80"/>
      <c r="S15" s="80"/>
      <c r="T15" s="2" t="str">
        <f>'Блок ввода'!O16</f>
        <v>Е.КАЛУГИН</v>
      </c>
      <c r="U15" s="80"/>
      <c r="V15" s="154">
        <f t="shared" si="0"/>
        <v>0</v>
      </c>
      <c r="W15" s="80"/>
      <c r="X15" s="80"/>
      <c r="Y15" s="80"/>
      <c r="Z15" s="155">
        <f t="shared" si="1"/>
        <v>0</v>
      </c>
      <c r="AA15" s="80"/>
      <c r="AB15" s="80"/>
      <c r="AC15" s="80"/>
      <c r="AD15" s="80"/>
      <c r="AE15" s="80"/>
      <c r="AF15" s="80"/>
      <c r="AG15" s="80"/>
    </row>
    <row r="16" spans="1:33" ht="15" customHeight="1" x14ac:dyDescent="0.2">
      <c r="A16" s="2"/>
      <c r="B16" s="523" t="str">
        <f>Расчёт!B335</f>
        <v>КРУПА ПЕРЛОВАЯ</v>
      </c>
      <c r="C16" s="613" t="s">
        <v>163</v>
      </c>
      <c r="D16" s="640">
        <f>Цены!D16</f>
        <v>0</v>
      </c>
      <c r="E16" s="600">
        <v>0</v>
      </c>
      <c r="F16" s="600">
        <v>0</v>
      </c>
      <c r="G16" s="600">
        <v>0</v>
      </c>
      <c r="H16" s="509">
        <f>Расчёт!G335</f>
        <v>0</v>
      </c>
      <c r="I16" s="510">
        <f>Расчёт!H335</f>
        <v>0</v>
      </c>
      <c r="J16" s="511">
        <f>Расчёт!I335</f>
        <v>0</v>
      </c>
      <c r="K16" s="512">
        <f t="shared" si="2"/>
        <v>0</v>
      </c>
      <c r="L16" s="2"/>
      <c r="M16" s="2"/>
      <c r="N16" s="2"/>
      <c r="O16" s="2"/>
      <c r="P16" s="2"/>
      <c r="Q16" s="239" t="str">
        <f>MID(B2,13,6)</f>
        <v/>
      </c>
      <c r="R16" s="80"/>
      <c r="S16" s="80"/>
      <c r="T16" s="80"/>
      <c r="U16" s="80"/>
      <c r="V16" s="154">
        <f t="shared" si="0"/>
        <v>0</v>
      </c>
      <c r="W16" s="80"/>
      <c r="X16" s="80"/>
      <c r="Y16" s="80"/>
      <c r="Z16" s="155">
        <f t="shared" si="1"/>
        <v>0</v>
      </c>
      <c r="AA16" s="80"/>
      <c r="AB16" s="80"/>
      <c r="AC16" s="80"/>
      <c r="AD16" s="80"/>
      <c r="AE16" s="80"/>
      <c r="AF16" s="80"/>
      <c r="AG16" s="80"/>
    </row>
    <row r="17" spans="1:33" ht="15" customHeight="1" x14ac:dyDescent="0.2">
      <c r="A17" s="2"/>
      <c r="B17" s="523" t="str">
        <f>Расчёт!B336</f>
        <v>КРУПА ГОРОХ</v>
      </c>
      <c r="C17" s="613" t="s">
        <v>163</v>
      </c>
      <c r="D17" s="640">
        <f>Цены!D17</f>
        <v>0</v>
      </c>
      <c r="E17" s="600">
        <v>0</v>
      </c>
      <c r="F17" s="600">
        <v>0</v>
      </c>
      <c r="G17" s="600">
        <v>0</v>
      </c>
      <c r="H17" s="509">
        <f>Расчёт!G336</f>
        <v>0</v>
      </c>
      <c r="I17" s="510">
        <f>Расчёт!H336</f>
        <v>0</v>
      </c>
      <c r="J17" s="511">
        <f>Расчёт!I336</f>
        <v>0</v>
      </c>
      <c r="K17" s="512">
        <f t="shared" si="2"/>
        <v>0</v>
      </c>
      <c r="L17" s="2"/>
      <c r="M17" s="2" t="s">
        <v>197</v>
      </c>
      <c r="N17" s="2"/>
      <c r="O17" s="2"/>
      <c r="P17" s="2"/>
      <c r="Q17" s="374" t="b">
        <v>1</v>
      </c>
      <c r="R17" s="80"/>
      <c r="S17" s="80"/>
      <c r="T17" s="80"/>
      <c r="U17" s="80"/>
      <c r="V17" s="154">
        <f t="shared" si="0"/>
        <v>0</v>
      </c>
      <c r="W17" s="80"/>
      <c r="X17" s="80"/>
      <c r="Y17" s="80"/>
      <c r="Z17" s="155">
        <f t="shared" si="1"/>
        <v>0</v>
      </c>
      <c r="AA17" s="80"/>
      <c r="AB17" s="80"/>
      <c r="AC17" s="80"/>
      <c r="AD17" s="80"/>
      <c r="AE17" s="80"/>
      <c r="AF17" s="80"/>
      <c r="AG17" s="80"/>
    </row>
    <row r="18" spans="1:33" ht="15" customHeight="1" x14ac:dyDescent="0.2">
      <c r="A18" s="2"/>
      <c r="B18" s="523" t="str">
        <f>Расчёт!B337</f>
        <v>КРУПА ПШЕНО</v>
      </c>
      <c r="C18" s="613" t="s">
        <v>163</v>
      </c>
      <c r="D18" s="640">
        <f>Цены!D18</f>
        <v>0</v>
      </c>
      <c r="E18" s="600">
        <v>0</v>
      </c>
      <c r="F18" s="600">
        <v>0</v>
      </c>
      <c r="G18" s="600">
        <v>0</v>
      </c>
      <c r="H18" s="509">
        <f>Расчёт!G337</f>
        <v>0</v>
      </c>
      <c r="I18" s="510">
        <f>Расчёт!H337</f>
        <v>0</v>
      </c>
      <c r="J18" s="511">
        <f>Расчёт!I337</f>
        <v>0</v>
      </c>
      <c r="K18" s="512">
        <f t="shared" si="2"/>
        <v>0</v>
      </c>
      <c r="L18" s="2"/>
      <c r="M18" s="2"/>
      <c r="N18" s="2"/>
      <c r="O18" s="2"/>
      <c r="P18" s="2"/>
      <c r="Q18" s="2"/>
      <c r="R18" s="80"/>
      <c r="S18" s="80"/>
      <c r="T18" s="80"/>
      <c r="U18" s="80"/>
      <c r="V18" s="154">
        <f t="shared" si="0"/>
        <v>0</v>
      </c>
      <c r="W18" s="80"/>
      <c r="X18" s="80"/>
      <c r="Y18" s="80"/>
      <c r="Z18" s="155">
        <f t="shared" si="1"/>
        <v>0</v>
      </c>
      <c r="AA18" s="80"/>
      <c r="AB18" s="80"/>
      <c r="AC18" s="80"/>
      <c r="AD18" s="80"/>
      <c r="AE18" s="80"/>
      <c r="AF18" s="80"/>
      <c r="AG18" s="80"/>
    </row>
    <row r="19" spans="1:33" ht="15" customHeight="1" x14ac:dyDescent="0.2">
      <c r="A19" s="2"/>
      <c r="B19" s="523" t="str">
        <f>Расчёт!B338</f>
        <v>КРУПА ПШЕНИЧНАЯ</v>
      </c>
      <c r="C19" s="613" t="s">
        <v>163</v>
      </c>
      <c r="D19" s="640">
        <f>Цены!D19</f>
        <v>0</v>
      </c>
      <c r="E19" s="600">
        <v>0</v>
      </c>
      <c r="F19" s="600">
        <v>0</v>
      </c>
      <c r="G19" s="600">
        <v>0</v>
      </c>
      <c r="H19" s="509">
        <f>Расчёт!G338</f>
        <v>0</v>
      </c>
      <c r="I19" s="510">
        <f>Расчёт!H338</f>
        <v>0</v>
      </c>
      <c r="J19" s="511">
        <f>Расчёт!I338</f>
        <v>0</v>
      </c>
      <c r="K19" s="512">
        <f t="shared" si="2"/>
        <v>0</v>
      </c>
      <c r="L19" s="2"/>
      <c r="M19" s="2"/>
      <c r="N19" s="2"/>
      <c r="O19" s="2"/>
      <c r="P19" s="2"/>
      <c r="Q19" s="2"/>
      <c r="R19" s="80"/>
      <c r="S19" s="80"/>
      <c r="T19" s="80"/>
      <c r="U19" s="80"/>
      <c r="V19" s="154">
        <f t="shared" si="0"/>
        <v>0</v>
      </c>
      <c r="W19" s="80"/>
      <c r="X19" s="80"/>
      <c r="Y19" s="80"/>
      <c r="Z19" s="155">
        <f t="shared" si="1"/>
        <v>0</v>
      </c>
      <c r="AA19" s="80"/>
      <c r="AB19" s="80"/>
      <c r="AC19" s="80"/>
      <c r="AD19" s="80"/>
      <c r="AE19" s="80"/>
      <c r="AF19" s="80"/>
      <c r="AG19" s="80"/>
    </row>
    <row r="20" spans="1:33" ht="15" customHeight="1" x14ac:dyDescent="0.2">
      <c r="A20" s="2"/>
      <c r="B20" s="523" t="str">
        <f>Расчёт!B339</f>
        <v>КРУПА ОВСЯНАЯ</v>
      </c>
      <c r="C20" s="613" t="s">
        <v>163</v>
      </c>
      <c r="D20" s="640">
        <f>Цены!D20</f>
        <v>0</v>
      </c>
      <c r="E20" s="600">
        <v>0</v>
      </c>
      <c r="F20" s="600">
        <v>0</v>
      </c>
      <c r="G20" s="600">
        <v>0</v>
      </c>
      <c r="H20" s="509">
        <f>Расчёт!G339</f>
        <v>0</v>
      </c>
      <c r="I20" s="510">
        <f>Расчёт!H339</f>
        <v>0</v>
      </c>
      <c r="J20" s="511">
        <f>Расчёт!I339</f>
        <v>0</v>
      </c>
      <c r="K20" s="512">
        <f t="shared" si="2"/>
        <v>0</v>
      </c>
      <c r="L20" s="2"/>
      <c r="M20" s="2"/>
      <c r="N20" s="2"/>
      <c r="O20" s="2"/>
      <c r="P20" s="2"/>
      <c r="Q20" s="2"/>
      <c r="R20" s="80"/>
      <c r="S20" s="80"/>
      <c r="T20" s="80"/>
      <c r="U20" s="80"/>
      <c r="V20" s="154">
        <f t="shared" si="0"/>
        <v>0</v>
      </c>
      <c r="W20" s="80"/>
      <c r="X20" s="80"/>
      <c r="Y20" s="80"/>
      <c r="Z20" s="155">
        <f t="shared" si="1"/>
        <v>0</v>
      </c>
      <c r="AA20" s="80"/>
      <c r="AB20" s="80"/>
      <c r="AC20" s="80"/>
      <c r="AD20" s="80"/>
      <c r="AE20" s="80"/>
      <c r="AF20" s="80"/>
      <c r="AG20" s="80"/>
    </row>
    <row r="21" spans="1:33" ht="15" customHeight="1" x14ac:dyDescent="0.2">
      <c r="A21" s="2"/>
      <c r="B21" s="523" t="str">
        <f>Расчёт!B340</f>
        <v>КРУПА ЯЧНЕВАЯ</v>
      </c>
      <c r="C21" s="613" t="s">
        <v>163</v>
      </c>
      <c r="D21" s="640">
        <f>Цены!D21</f>
        <v>0</v>
      </c>
      <c r="E21" s="600">
        <v>0</v>
      </c>
      <c r="F21" s="600">
        <v>0</v>
      </c>
      <c r="G21" s="600">
        <v>0</v>
      </c>
      <c r="H21" s="509">
        <f>Расчёт!G340</f>
        <v>0</v>
      </c>
      <c r="I21" s="510">
        <f>Расчёт!H340</f>
        <v>0</v>
      </c>
      <c r="J21" s="511">
        <f>Расчёт!I340</f>
        <v>0</v>
      </c>
      <c r="K21" s="512">
        <f t="shared" si="2"/>
        <v>0</v>
      </c>
      <c r="L21" s="2"/>
      <c r="M21" s="2"/>
      <c r="N21" s="2"/>
      <c r="O21" s="2"/>
      <c r="P21" s="2"/>
      <c r="Q21" s="2"/>
      <c r="R21" s="80"/>
      <c r="S21" s="80"/>
      <c r="T21" s="80"/>
      <c r="U21" s="80"/>
      <c r="V21" s="154">
        <f t="shared" si="0"/>
        <v>0</v>
      </c>
      <c r="W21" s="80"/>
      <c r="X21" s="80"/>
      <c r="Y21" s="80"/>
      <c r="Z21" s="155">
        <f t="shared" si="1"/>
        <v>0</v>
      </c>
      <c r="AA21" s="80"/>
      <c r="AB21" s="80"/>
      <c r="AC21" s="80"/>
      <c r="AD21" s="80"/>
      <c r="AE21" s="80"/>
      <c r="AF21" s="80"/>
      <c r="AG21" s="80"/>
    </row>
    <row r="22" spans="1:33" ht="15" customHeight="1" thickBot="1" x14ac:dyDescent="0.25">
      <c r="A22" s="2"/>
      <c r="B22" s="525" t="str">
        <f>Расчёт!B341</f>
        <v>МАКАРОННЫЕ ИЗДЕЛИЯ</v>
      </c>
      <c r="C22" s="620" t="s">
        <v>163</v>
      </c>
      <c r="D22" s="1244">
        <f>Цены!D22</f>
        <v>0</v>
      </c>
      <c r="E22" s="602">
        <v>0</v>
      </c>
      <c r="F22" s="602">
        <v>0</v>
      </c>
      <c r="G22" s="602">
        <v>0</v>
      </c>
      <c r="H22" s="515">
        <f>Расчёт!G341</f>
        <v>0</v>
      </c>
      <c r="I22" s="518">
        <f>Расчёт!H341</f>
        <v>0</v>
      </c>
      <c r="J22" s="519">
        <f>Расчёт!I341</f>
        <v>0</v>
      </c>
      <c r="K22" s="520">
        <f t="shared" si="2"/>
        <v>0</v>
      </c>
      <c r="L22" s="2"/>
      <c r="M22" s="2"/>
      <c r="N22" s="2"/>
      <c r="O22" s="2"/>
      <c r="P22" s="2"/>
      <c r="Q22" s="2"/>
      <c r="R22" s="80"/>
      <c r="S22" s="80"/>
      <c r="T22" s="80"/>
      <c r="U22" s="80"/>
      <c r="V22" s="154">
        <f t="shared" si="0"/>
        <v>0</v>
      </c>
      <c r="W22" s="80"/>
      <c r="X22" s="80"/>
      <c r="Y22" s="80"/>
      <c r="Z22" s="155">
        <f t="shared" si="1"/>
        <v>0</v>
      </c>
      <c r="AA22" s="80"/>
      <c r="AB22" s="80"/>
      <c r="AC22" s="80"/>
      <c r="AD22" s="80"/>
      <c r="AE22" s="80"/>
      <c r="AF22" s="80"/>
      <c r="AG22" s="80"/>
    </row>
    <row r="23" spans="1:33" ht="15" customHeight="1" x14ac:dyDescent="0.2">
      <c r="A23" s="2"/>
      <c r="B23" s="486" t="str">
        <f>Расчёт!B342</f>
        <v>МЯСО  ГОВЯДИНА</v>
      </c>
      <c r="C23" s="610" t="s">
        <v>163</v>
      </c>
      <c r="D23" s="506">
        <f>Цены!D23</f>
        <v>0</v>
      </c>
      <c r="E23" s="604">
        <v>0</v>
      </c>
      <c r="F23" s="611">
        <v>0</v>
      </c>
      <c r="G23" s="612">
        <v>0</v>
      </c>
      <c r="H23" s="507">
        <f>Расчёт!G342</f>
        <v>0</v>
      </c>
      <c r="I23" s="490">
        <f>Расчёт!H342</f>
        <v>0</v>
      </c>
      <c r="J23" s="491">
        <f>Расчёт!I342</f>
        <v>0</v>
      </c>
      <c r="K23" s="522">
        <f t="shared" si="2"/>
        <v>0</v>
      </c>
      <c r="L23" s="2"/>
      <c r="M23" s="2"/>
      <c r="N23" s="2"/>
      <c r="O23" s="2"/>
      <c r="P23" s="2"/>
      <c r="Q23" s="2"/>
      <c r="R23" s="80"/>
      <c r="S23" s="80"/>
      <c r="T23" s="80"/>
      <c r="U23" s="80"/>
      <c r="V23" s="154">
        <f t="shared" si="0"/>
        <v>0</v>
      </c>
      <c r="W23" s="80"/>
      <c r="X23" s="80"/>
      <c r="Y23" s="80"/>
      <c r="Z23" s="155">
        <f t="shared" si="1"/>
        <v>0</v>
      </c>
      <c r="AA23" s="80"/>
      <c r="AB23" s="80"/>
      <c r="AC23" s="80"/>
      <c r="AD23" s="80"/>
      <c r="AE23" s="80"/>
      <c r="AF23" s="80"/>
      <c r="AG23" s="80"/>
    </row>
    <row r="24" spans="1:33" ht="15" customHeight="1" x14ac:dyDescent="0.2">
      <c r="A24" s="2"/>
      <c r="B24" s="493" t="str">
        <f>Расчёт!B343</f>
        <v>МЯСО ПТИЦЫ</v>
      </c>
      <c r="C24" s="613" t="s">
        <v>163</v>
      </c>
      <c r="D24" s="640">
        <f>Цены!D24</f>
        <v>0</v>
      </c>
      <c r="E24" s="662">
        <v>0</v>
      </c>
      <c r="F24" s="614">
        <v>0</v>
      </c>
      <c r="G24" s="615">
        <v>0</v>
      </c>
      <c r="H24" s="488">
        <f>Расчёт!G343</f>
        <v>0</v>
      </c>
      <c r="I24" s="510">
        <f>Расчёт!H343</f>
        <v>0</v>
      </c>
      <c r="J24" s="511">
        <f>Расчёт!I343</f>
        <v>0</v>
      </c>
      <c r="K24" s="512">
        <f t="shared" si="2"/>
        <v>0</v>
      </c>
      <c r="L24" s="2"/>
      <c r="M24" s="2"/>
      <c r="N24" s="2"/>
      <c r="O24" s="2"/>
      <c r="P24" s="2"/>
      <c r="Q24" s="2"/>
      <c r="R24" s="80"/>
      <c r="S24" s="80"/>
      <c r="T24" s="80"/>
      <c r="U24" s="80"/>
      <c r="V24" s="154">
        <f t="shared" si="0"/>
        <v>0</v>
      </c>
      <c r="W24" s="80"/>
      <c r="X24" s="80"/>
      <c r="Y24" s="80"/>
      <c r="Z24" s="155">
        <f t="shared" si="1"/>
        <v>0</v>
      </c>
      <c r="AA24" s="80"/>
      <c r="AB24" s="80"/>
      <c r="AC24" s="80"/>
      <c r="AD24" s="80"/>
      <c r="AE24" s="80"/>
      <c r="AF24" s="80"/>
      <c r="AG24" s="80"/>
    </row>
    <row r="25" spans="1:33" ht="15" customHeight="1" x14ac:dyDescent="0.2">
      <c r="A25" s="2"/>
      <c r="B25" s="493" t="str">
        <f>Расчёт!B344</f>
        <v>КОЛБАСА</v>
      </c>
      <c r="C25" s="613" t="s">
        <v>163</v>
      </c>
      <c r="D25" s="640">
        <f>Цены!D25</f>
        <v>0</v>
      </c>
      <c r="E25" s="662">
        <v>0</v>
      </c>
      <c r="F25" s="614">
        <v>0</v>
      </c>
      <c r="G25" s="615">
        <v>0</v>
      </c>
      <c r="H25" s="488">
        <f>Расчёт!G344</f>
        <v>0</v>
      </c>
      <c r="I25" s="510">
        <f>Расчёт!H344</f>
        <v>0</v>
      </c>
      <c r="J25" s="511">
        <f>Расчёт!I344</f>
        <v>0</v>
      </c>
      <c r="K25" s="512">
        <f t="shared" si="2"/>
        <v>0</v>
      </c>
      <c r="L25" s="2"/>
      <c r="M25" s="2"/>
      <c r="N25" s="2"/>
      <c r="O25" s="2"/>
      <c r="P25" s="2"/>
      <c r="Q25" s="2"/>
      <c r="R25" s="80"/>
      <c r="S25" s="80"/>
      <c r="T25" s="80"/>
      <c r="U25" s="80"/>
      <c r="V25" s="154">
        <f t="shared" si="0"/>
        <v>0</v>
      </c>
      <c r="W25" s="80"/>
      <c r="X25" s="80"/>
      <c r="Y25" s="80"/>
      <c r="Z25" s="155">
        <f t="shared" si="1"/>
        <v>0</v>
      </c>
      <c r="AA25" s="80"/>
      <c r="AB25" s="80"/>
      <c r="AC25" s="80"/>
      <c r="AD25" s="80"/>
      <c r="AE25" s="80"/>
      <c r="AF25" s="80"/>
      <c r="AG25" s="80"/>
    </row>
    <row r="26" spans="1:33" ht="15" customHeight="1" x14ac:dyDescent="0.2">
      <c r="A26" s="2"/>
      <c r="B26" s="493" t="str">
        <f>Расчёт!B345</f>
        <v>КОНСЕРВЫ МЯСНЫЕ</v>
      </c>
      <c r="C26" s="613" t="s">
        <v>163</v>
      </c>
      <c r="D26" s="640">
        <f>Цены!D26</f>
        <v>0</v>
      </c>
      <c r="E26" s="662">
        <v>0</v>
      </c>
      <c r="F26" s="614">
        <v>0</v>
      </c>
      <c r="G26" s="615">
        <v>0</v>
      </c>
      <c r="H26" s="488">
        <f>Расчёт!G345</f>
        <v>0</v>
      </c>
      <c r="I26" s="510">
        <f>Расчёт!H345</f>
        <v>0</v>
      </c>
      <c r="J26" s="511">
        <f>Расчёт!I345</f>
        <v>0</v>
      </c>
      <c r="K26" s="512">
        <f t="shared" si="2"/>
        <v>0</v>
      </c>
      <c r="L26" s="2"/>
      <c r="M26" s="2"/>
      <c r="N26" s="2"/>
      <c r="O26" s="2"/>
      <c r="P26" s="2"/>
      <c r="Q26" s="2"/>
      <c r="R26" s="80"/>
      <c r="S26" s="80"/>
      <c r="T26" s="80"/>
      <c r="U26" s="80"/>
      <c r="V26" s="154">
        <f t="shared" si="0"/>
        <v>0</v>
      </c>
      <c r="W26" s="80"/>
      <c r="X26" s="80"/>
      <c r="Y26" s="80"/>
      <c r="Z26" s="155">
        <f t="shared" si="1"/>
        <v>0</v>
      </c>
      <c r="AA26" s="80"/>
      <c r="AB26" s="80"/>
      <c r="AC26" s="80"/>
      <c r="AD26" s="80"/>
      <c r="AE26" s="80"/>
      <c r="AF26" s="80"/>
      <c r="AG26" s="80"/>
    </row>
    <row r="27" spans="1:33" ht="15" customHeight="1" x14ac:dyDescent="0.2">
      <c r="A27" s="2"/>
      <c r="B27" s="493" t="str">
        <f>Расчёт!B346</f>
        <v>РЫБА БЕЗ ГОЛОВЫ/СЕЛЬДЬ С ГОЛ.</v>
      </c>
      <c r="C27" s="613" t="s">
        <v>163</v>
      </c>
      <c r="D27" s="640">
        <f>Цены!D27</f>
        <v>0</v>
      </c>
      <c r="E27" s="662">
        <v>0</v>
      </c>
      <c r="F27" s="614">
        <v>0</v>
      </c>
      <c r="G27" s="615">
        <v>0</v>
      </c>
      <c r="H27" s="488">
        <f>Расчёт!G346</f>
        <v>0</v>
      </c>
      <c r="I27" s="510">
        <f>Расчёт!H346</f>
        <v>0</v>
      </c>
      <c r="J27" s="511">
        <f>Расчёт!I346</f>
        <v>0</v>
      </c>
      <c r="K27" s="512">
        <f t="shared" si="2"/>
        <v>0</v>
      </c>
      <c r="L27" s="2"/>
      <c r="M27" s="2"/>
      <c r="N27" s="2"/>
      <c r="O27" s="2"/>
      <c r="P27" s="2"/>
      <c r="Q27" s="2"/>
      <c r="R27" s="80"/>
      <c r="S27" s="80"/>
      <c r="T27" s="80"/>
      <c r="U27" s="80"/>
      <c r="V27" s="154">
        <f t="shared" si="0"/>
        <v>0</v>
      </c>
      <c r="W27" s="80"/>
      <c r="X27" s="80"/>
      <c r="Y27" s="80"/>
      <c r="Z27" s="155">
        <f t="shared" si="1"/>
        <v>0</v>
      </c>
      <c r="AA27" s="80"/>
      <c r="AB27" s="80"/>
      <c r="AC27" s="80"/>
      <c r="AD27" s="80"/>
      <c r="AE27" s="80"/>
      <c r="AF27" s="80"/>
      <c r="AG27" s="80"/>
    </row>
    <row r="28" spans="1:33" ht="15" customHeight="1" x14ac:dyDescent="0.2">
      <c r="A28" s="2"/>
      <c r="B28" s="531" t="str">
        <f>Расчёт!B347</f>
        <v xml:space="preserve">КОНС. РЫБНЫЕ - КИЛЬКА В ТОМ. СОУСЕ  </v>
      </c>
      <c r="C28" s="613" t="s">
        <v>163</v>
      </c>
      <c r="D28" s="640">
        <f>Цены!D28</f>
        <v>0</v>
      </c>
      <c r="E28" s="662">
        <v>0</v>
      </c>
      <c r="F28" s="614">
        <v>0</v>
      </c>
      <c r="G28" s="615">
        <v>0</v>
      </c>
      <c r="H28" s="488">
        <f>Расчёт!G347</f>
        <v>0</v>
      </c>
      <c r="I28" s="510">
        <f>Расчёт!H347</f>
        <v>0</v>
      </c>
      <c r="J28" s="511">
        <f>Расчёт!I347</f>
        <v>0</v>
      </c>
      <c r="K28" s="512">
        <f t="shared" si="2"/>
        <v>0</v>
      </c>
      <c r="L28" s="2"/>
      <c r="M28" s="2"/>
      <c r="N28" s="2"/>
      <c r="O28" s="2"/>
      <c r="P28" s="2"/>
      <c r="Q28" s="2"/>
      <c r="R28" s="80"/>
      <c r="S28" s="80"/>
      <c r="T28" s="80"/>
      <c r="U28" s="80"/>
      <c r="V28" s="154">
        <f t="shared" si="0"/>
        <v>0</v>
      </c>
      <c r="W28" s="80"/>
      <c r="X28" s="80"/>
      <c r="Y28" s="80"/>
      <c r="Z28" s="155">
        <f t="shared" si="1"/>
        <v>0</v>
      </c>
      <c r="AA28" s="80"/>
      <c r="AB28" s="80"/>
      <c r="AC28" s="80"/>
      <c r="AD28" s="80"/>
      <c r="AE28" s="80"/>
      <c r="AF28" s="80"/>
      <c r="AG28" s="80"/>
    </row>
    <row r="29" spans="1:33" ht="15" customHeight="1" x14ac:dyDescent="0.2">
      <c r="A29" s="2"/>
      <c r="B29" s="493" t="str">
        <f>Расчёт!B348</f>
        <v>МАСЛО РАСТИТЕЛЬНОЕ</v>
      </c>
      <c r="C29" s="613" t="s">
        <v>163</v>
      </c>
      <c r="D29" s="640">
        <f>Цены!D29</f>
        <v>0</v>
      </c>
      <c r="E29" s="662">
        <v>0</v>
      </c>
      <c r="F29" s="614">
        <v>0</v>
      </c>
      <c r="G29" s="615">
        <v>0</v>
      </c>
      <c r="H29" s="488">
        <f>Расчёт!G348</f>
        <v>0</v>
      </c>
      <c r="I29" s="510">
        <f>Расчёт!H348</f>
        <v>0</v>
      </c>
      <c r="J29" s="511">
        <f>Расчёт!I348</f>
        <v>0</v>
      </c>
      <c r="K29" s="512">
        <f t="shared" si="2"/>
        <v>0</v>
      </c>
      <c r="L29" s="2"/>
      <c r="M29" s="2"/>
      <c r="N29" s="2"/>
      <c r="O29" s="2"/>
      <c r="P29" s="2"/>
      <c r="Q29" s="2"/>
      <c r="R29" s="80"/>
      <c r="S29" s="80"/>
      <c r="T29" s="80"/>
      <c r="U29" s="80"/>
      <c r="V29" s="154">
        <f t="shared" si="0"/>
        <v>0</v>
      </c>
      <c r="W29" s="80"/>
      <c r="X29" s="80"/>
      <c r="Y29" s="80"/>
      <c r="Z29" s="155">
        <f t="shared" si="1"/>
        <v>0</v>
      </c>
      <c r="AA29" s="80"/>
      <c r="AB29" s="80"/>
      <c r="AC29" s="80"/>
      <c r="AD29" s="80"/>
      <c r="AE29" s="80"/>
      <c r="AF29" s="80"/>
      <c r="AG29" s="80"/>
    </row>
    <row r="30" spans="1:33" ht="15" customHeight="1" x14ac:dyDescent="0.2">
      <c r="A30" s="2"/>
      <c r="B30" s="493" t="str">
        <f>Расчёт!B349</f>
        <v>МАСЛО КОРОВЬЕ</v>
      </c>
      <c r="C30" s="613" t="s">
        <v>163</v>
      </c>
      <c r="D30" s="640">
        <f>Цены!D30</f>
        <v>0</v>
      </c>
      <c r="E30" s="662">
        <v>0</v>
      </c>
      <c r="F30" s="614">
        <v>0</v>
      </c>
      <c r="G30" s="615">
        <v>0</v>
      </c>
      <c r="H30" s="488">
        <f>Расчёт!G349</f>
        <v>0</v>
      </c>
      <c r="I30" s="510">
        <f>Расчёт!H349</f>
        <v>0</v>
      </c>
      <c r="J30" s="511">
        <f>Расчёт!I349</f>
        <v>0</v>
      </c>
      <c r="K30" s="524">
        <f t="shared" si="2"/>
        <v>0</v>
      </c>
      <c r="L30" s="2"/>
      <c r="M30" s="2"/>
      <c r="N30" s="2"/>
      <c r="O30" s="2"/>
      <c r="P30" s="2"/>
      <c r="Q30" s="2"/>
      <c r="R30" s="80"/>
      <c r="S30" s="80"/>
      <c r="T30" s="80"/>
      <c r="U30" s="80"/>
      <c r="V30" s="154">
        <f t="shared" si="0"/>
        <v>0</v>
      </c>
      <c r="W30" s="80"/>
      <c r="X30" s="80"/>
      <c r="Y30" s="80"/>
      <c r="Z30" s="155">
        <f t="shared" si="1"/>
        <v>0</v>
      </c>
      <c r="AA30" s="80"/>
      <c r="AB30" s="80"/>
      <c r="AC30" s="80"/>
      <c r="AD30" s="80"/>
      <c r="AE30" s="80"/>
      <c r="AF30" s="80"/>
      <c r="AG30" s="80"/>
    </row>
    <row r="31" spans="1:33" ht="15" customHeight="1" x14ac:dyDescent="0.2">
      <c r="A31" s="2"/>
      <c r="B31" s="493" t="str">
        <f>Расчёт!B350</f>
        <v>ЖИРЫ ЖИВОТНЫЕ</v>
      </c>
      <c r="C31" s="613" t="s">
        <v>163</v>
      </c>
      <c r="D31" s="640">
        <f>Цены!D31</f>
        <v>0</v>
      </c>
      <c r="E31" s="662">
        <v>0</v>
      </c>
      <c r="F31" s="614">
        <v>0</v>
      </c>
      <c r="G31" s="615">
        <v>0</v>
      </c>
      <c r="H31" s="488">
        <f>Расчёт!G350</f>
        <v>0</v>
      </c>
      <c r="I31" s="510">
        <f>Расчёт!H350</f>
        <v>0</v>
      </c>
      <c r="J31" s="511">
        <f>Расчёт!I350</f>
        <v>0</v>
      </c>
      <c r="K31" s="524">
        <f t="shared" si="2"/>
        <v>0</v>
      </c>
      <c r="L31" s="2"/>
      <c r="M31" s="2"/>
      <c r="N31" s="2"/>
      <c r="O31" s="2"/>
      <c r="P31" s="2"/>
      <c r="Q31" s="2"/>
      <c r="R31" s="80"/>
      <c r="S31" s="80"/>
      <c r="T31" s="80"/>
      <c r="U31" s="80"/>
      <c r="V31" s="154">
        <f t="shared" si="0"/>
        <v>0</v>
      </c>
      <c r="W31" s="80"/>
      <c r="X31" s="80"/>
      <c r="Y31" s="80"/>
      <c r="Z31" s="155">
        <f t="shared" si="1"/>
        <v>0</v>
      </c>
      <c r="AA31" s="80"/>
      <c r="AB31" s="80"/>
      <c r="AC31" s="80"/>
      <c r="AD31" s="80"/>
      <c r="AE31" s="80"/>
      <c r="AF31" s="80"/>
      <c r="AG31" s="80"/>
    </row>
    <row r="32" spans="1:33" ht="15" customHeight="1" x14ac:dyDescent="0.2">
      <c r="A32" s="2"/>
      <c r="B32" s="493" t="str">
        <f>Расчёт!B351</f>
        <v>МОЛОКО СВЕЖЕЕ</v>
      </c>
      <c r="C32" s="613" t="s">
        <v>163</v>
      </c>
      <c r="D32" s="640">
        <f>Цены!D32</f>
        <v>0</v>
      </c>
      <c r="E32" s="662">
        <v>0</v>
      </c>
      <c r="F32" s="614">
        <v>0</v>
      </c>
      <c r="G32" s="615">
        <v>0</v>
      </c>
      <c r="H32" s="488">
        <f>Расчёт!G351</f>
        <v>0</v>
      </c>
      <c r="I32" s="510">
        <f>Расчёт!H351</f>
        <v>0</v>
      </c>
      <c r="J32" s="511">
        <f>Расчёт!I351</f>
        <v>0</v>
      </c>
      <c r="K32" s="524">
        <f t="shared" si="2"/>
        <v>0</v>
      </c>
      <c r="L32" s="2"/>
      <c r="M32" s="2"/>
      <c r="N32" s="2"/>
      <c r="O32" s="2"/>
      <c r="P32" s="2"/>
      <c r="Q32" s="2"/>
      <c r="R32" s="80"/>
      <c r="S32" s="80"/>
      <c r="T32" s="80"/>
      <c r="U32" s="80"/>
      <c r="V32" s="154">
        <f t="shared" si="0"/>
        <v>0</v>
      </c>
      <c r="W32" s="80"/>
      <c r="X32" s="80"/>
      <c r="Y32" s="80"/>
      <c r="Z32" s="155">
        <f t="shared" si="1"/>
        <v>0</v>
      </c>
      <c r="AA32" s="80"/>
      <c r="AB32" s="80"/>
      <c r="AC32" s="80"/>
      <c r="AD32" s="80"/>
      <c r="AE32" s="80"/>
      <c r="AF32" s="80"/>
      <c r="AG32" s="80"/>
    </row>
    <row r="33" spans="1:33" ht="15" customHeight="1" x14ac:dyDescent="0.2">
      <c r="A33" s="2"/>
      <c r="B33" s="493" t="str">
        <f>Расчёт!B352</f>
        <v>СМЕТАНА</v>
      </c>
      <c r="C33" s="613" t="s">
        <v>163</v>
      </c>
      <c r="D33" s="640">
        <f>Цены!D33</f>
        <v>0</v>
      </c>
      <c r="E33" s="662">
        <v>0</v>
      </c>
      <c r="F33" s="614">
        <v>0</v>
      </c>
      <c r="G33" s="615">
        <v>0</v>
      </c>
      <c r="H33" s="488">
        <f>Расчёт!G352</f>
        <v>0</v>
      </c>
      <c r="I33" s="510">
        <f>Расчёт!H352</f>
        <v>0</v>
      </c>
      <c r="J33" s="511">
        <f>Расчёт!I352</f>
        <v>0</v>
      </c>
      <c r="K33" s="524">
        <f t="shared" si="2"/>
        <v>0</v>
      </c>
      <c r="L33" s="2"/>
      <c r="M33" s="2"/>
      <c r="N33" s="2"/>
      <c r="O33" s="2"/>
      <c r="P33" s="2"/>
      <c r="Q33" s="2"/>
      <c r="R33" s="80"/>
      <c r="S33" s="80"/>
      <c r="T33" s="80"/>
      <c r="U33" s="80"/>
      <c r="V33" s="154">
        <f t="shared" si="0"/>
        <v>0</v>
      </c>
      <c r="W33" s="80"/>
      <c r="X33" s="80"/>
      <c r="Y33" s="80"/>
      <c r="Z33" s="155">
        <f t="shared" si="1"/>
        <v>0</v>
      </c>
      <c r="AA33" s="80"/>
      <c r="AB33" s="80"/>
      <c r="AC33" s="80"/>
      <c r="AD33" s="80"/>
      <c r="AE33" s="80"/>
      <c r="AF33" s="80"/>
      <c r="AG33" s="80"/>
    </row>
    <row r="34" spans="1:33" ht="15" customHeight="1" x14ac:dyDescent="0.2">
      <c r="A34" s="2"/>
      <c r="B34" s="493" t="str">
        <f>Расчёт!B353</f>
        <v>ТВОРОГ</v>
      </c>
      <c r="C34" s="613" t="s">
        <v>163</v>
      </c>
      <c r="D34" s="640">
        <f>Цены!D34</f>
        <v>0</v>
      </c>
      <c r="E34" s="662">
        <v>0</v>
      </c>
      <c r="F34" s="614">
        <v>0</v>
      </c>
      <c r="G34" s="615">
        <v>0</v>
      </c>
      <c r="H34" s="488">
        <f>Расчёт!G353</f>
        <v>0</v>
      </c>
      <c r="I34" s="510">
        <f>Расчёт!H353</f>
        <v>0</v>
      </c>
      <c r="J34" s="511">
        <f>Расчёт!I353</f>
        <v>0</v>
      </c>
      <c r="K34" s="524">
        <f t="shared" si="2"/>
        <v>0</v>
      </c>
      <c r="L34" s="2"/>
      <c r="M34" s="2"/>
      <c r="N34" s="2"/>
      <c r="O34" s="2"/>
      <c r="P34" s="2"/>
      <c r="Q34" s="2"/>
      <c r="R34" s="80"/>
      <c r="S34" s="80"/>
      <c r="T34" s="80"/>
      <c r="U34" s="80"/>
      <c r="V34" s="154">
        <f t="shared" si="0"/>
        <v>0</v>
      </c>
      <c r="W34" s="80"/>
      <c r="X34" s="80"/>
      <c r="Y34" s="80"/>
      <c r="Z34" s="155">
        <f t="shared" si="1"/>
        <v>0</v>
      </c>
      <c r="AA34" s="80"/>
      <c r="AB34" s="80"/>
      <c r="AC34" s="80"/>
      <c r="AD34" s="80"/>
      <c r="AE34" s="80"/>
      <c r="AF34" s="80"/>
      <c r="AG34" s="80"/>
    </row>
    <row r="35" spans="1:33" ht="15" customHeight="1" x14ac:dyDescent="0.2">
      <c r="A35" s="2"/>
      <c r="B35" s="493" t="str">
        <f>Расчёт!B354</f>
        <v>МОЛОКО СУХОЕ</v>
      </c>
      <c r="C35" s="613" t="s">
        <v>164</v>
      </c>
      <c r="D35" s="640">
        <f>Цены!D35</f>
        <v>0</v>
      </c>
      <c r="E35" s="662">
        <v>0</v>
      </c>
      <c r="F35" s="614">
        <v>0</v>
      </c>
      <c r="G35" s="615">
        <v>0</v>
      </c>
      <c r="H35" s="488">
        <f>Расчёт!G354</f>
        <v>0</v>
      </c>
      <c r="I35" s="510">
        <f>Расчёт!H354</f>
        <v>0</v>
      </c>
      <c r="J35" s="511">
        <f>Расчёт!I354</f>
        <v>0</v>
      </c>
      <c r="K35" s="524">
        <f t="shared" si="2"/>
        <v>0</v>
      </c>
      <c r="L35" s="2"/>
      <c r="M35" s="2"/>
      <c r="N35" s="2"/>
      <c r="O35" s="2"/>
      <c r="P35" s="2"/>
      <c r="Q35" s="2"/>
      <c r="R35" s="80"/>
      <c r="S35" s="80"/>
      <c r="T35" s="80"/>
      <c r="U35" s="80"/>
      <c r="V35" s="154">
        <f t="shared" si="0"/>
        <v>0</v>
      </c>
      <c r="W35" s="80"/>
      <c r="X35" s="80"/>
      <c r="Y35" s="80"/>
      <c r="Z35" s="155">
        <f t="shared" si="1"/>
        <v>0</v>
      </c>
      <c r="AA35" s="80"/>
      <c r="AB35" s="80"/>
      <c r="AC35" s="80"/>
      <c r="AD35" s="80"/>
      <c r="AE35" s="80"/>
      <c r="AF35" s="80"/>
      <c r="AG35" s="80"/>
    </row>
    <row r="36" spans="1:33" ht="15" customHeight="1" x14ac:dyDescent="0.2">
      <c r="A36" s="2"/>
      <c r="B36" s="493" t="str">
        <f>Расчёт!B355</f>
        <v>СЫР ПЛАВЛЕНЫЙ</v>
      </c>
      <c r="C36" s="613" t="s">
        <v>163</v>
      </c>
      <c r="D36" s="640">
        <f>Цены!D36</f>
        <v>0</v>
      </c>
      <c r="E36" s="662">
        <v>0</v>
      </c>
      <c r="F36" s="614">
        <v>0</v>
      </c>
      <c r="G36" s="615">
        <v>0</v>
      </c>
      <c r="H36" s="488">
        <f>Расчёт!G355</f>
        <v>0</v>
      </c>
      <c r="I36" s="510">
        <f>Расчёт!H355</f>
        <v>0</v>
      </c>
      <c r="J36" s="511">
        <f>Расчёт!I355</f>
        <v>0</v>
      </c>
      <c r="K36" s="524">
        <f t="shared" si="2"/>
        <v>0</v>
      </c>
      <c r="L36" s="2"/>
      <c r="M36" s="2"/>
      <c r="N36" s="2"/>
      <c r="O36" s="2"/>
      <c r="P36" s="2"/>
      <c r="Q36" s="2"/>
      <c r="R36" s="80"/>
      <c r="S36" s="80"/>
      <c r="T36" s="80"/>
      <c r="U36" s="80"/>
      <c r="V36" s="154">
        <f t="shared" si="0"/>
        <v>0</v>
      </c>
      <c r="W36" s="80"/>
      <c r="X36" s="80"/>
      <c r="Y36" s="80"/>
      <c r="Z36" s="155">
        <f t="shared" si="1"/>
        <v>0</v>
      </c>
      <c r="AA36" s="80"/>
      <c r="AB36" s="80"/>
      <c r="AC36" s="80"/>
      <c r="AD36" s="80"/>
      <c r="AE36" s="80"/>
      <c r="AF36" s="80"/>
      <c r="AG36" s="80"/>
    </row>
    <row r="37" spans="1:33" ht="15" customHeight="1" x14ac:dyDescent="0.2">
      <c r="A37" s="239"/>
      <c r="B37" s="493" t="str">
        <f>Расчёт!B356</f>
        <v>ЯЙЦА КУРИНЫЕ</v>
      </c>
      <c r="C37" s="613" t="str">
        <f>IF('Блок ввода'!G32=TRUE,"кг.","шт.")</f>
        <v>шт.</v>
      </c>
      <c r="D37" s="640">
        <f>Цены!D37</f>
        <v>0</v>
      </c>
      <c r="E37" s="662">
        <v>0</v>
      </c>
      <c r="F37" s="614">
        <v>0</v>
      </c>
      <c r="G37" s="615">
        <v>0</v>
      </c>
      <c r="H37" s="535">
        <f>Расчёт!G356</f>
        <v>0</v>
      </c>
      <c r="I37" s="536">
        <f>Расчёт!H356</f>
        <v>0</v>
      </c>
      <c r="J37" s="616">
        <f>Расчёт!I356</f>
        <v>0</v>
      </c>
      <c r="K37" s="538">
        <f t="shared" si="2"/>
        <v>0</v>
      </c>
      <c r="L37" s="2"/>
      <c r="M37" s="2"/>
      <c r="N37" s="2"/>
      <c r="O37" s="2"/>
      <c r="P37" s="2"/>
      <c r="Q37" s="2"/>
      <c r="R37" s="80"/>
      <c r="S37" s="80"/>
      <c r="T37" s="80"/>
      <c r="U37" s="80"/>
      <c r="V37" s="154">
        <f t="shared" si="0"/>
        <v>0</v>
      </c>
      <c r="W37" s="80"/>
      <c r="X37" s="80"/>
      <c r="Y37" s="80"/>
      <c r="Z37" s="155">
        <f t="shared" si="1"/>
        <v>0</v>
      </c>
      <c r="AA37" s="80"/>
      <c r="AB37" s="80"/>
      <c r="AC37" s="80"/>
      <c r="AD37" s="80"/>
      <c r="AE37" s="80"/>
      <c r="AF37" s="80"/>
      <c r="AG37" s="80"/>
    </row>
    <row r="38" spans="1:33" ht="15" customHeight="1" x14ac:dyDescent="0.2">
      <c r="A38" s="2"/>
      <c r="B38" s="493" t="str">
        <f>Расчёт!B357</f>
        <v>САХАР</v>
      </c>
      <c r="C38" s="613" t="s">
        <v>163</v>
      </c>
      <c r="D38" s="640">
        <f>Цены!D38</f>
        <v>0</v>
      </c>
      <c r="E38" s="662">
        <v>0</v>
      </c>
      <c r="F38" s="614">
        <v>0</v>
      </c>
      <c r="G38" s="615">
        <v>0</v>
      </c>
      <c r="H38" s="488">
        <f>Расчёт!G357</f>
        <v>0</v>
      </c>
      <c r="I38" s="510">
        <f>Расчёт!H357</f>
        <v>0</v>
      </c>
      <c r="J38" s="511">
        <f>Расчёт!I357</f>
        <v>0</v>
      </c>
      <c r="K38" s="524">
        <f t="shared" si="2"/>
        <v>0</v>
      </c>
      <c r="L38" s="2"/>
      <c r="M38" s="2"/>
      <c r="N38" s="2"/>
      <c r="O38" s="2"/>
      <c r="P38" s="2"/>
      <c r="Q38" s="2"/>
      <c r="R38" s="80"/>
      <c r="S38" s="80"/>
      <c r="T38" s="80"/>
      <c r="U38" s="80"/>
      <c r="V38" s="154">
        <f t="shared" si="0"/>
        <v>0</v>
      </c>
      <c r="W38" s="80"/>
      <c r="X38" s="80"/>
      <c r="Y38" s="80"/>
      <c r="Z38" s="155">
        <f t="shared" si="1"/>
        <v>0</v>
      </c>
      <c r="AA38" s="80"/>
      <c r="AB38" s="80"/>
      <c r="AC38" s="80"/>
      <c r="AD38" s="80"/>
      <c r="AE38" s="80"/>
      <c r="AF38" s="80"/>
      <c r="AG38" s="80"/>
    </row>
    <row r="39" spans="1:33" ht="15" customHeight="1" x14ac:dyDescent="0.2">
      <c r="A39" s="2"/>
      <c r="B39" s="493" t="str">
        <f>Расчёт!B358</f>
        <v>СОЛЬ ПИЩЕВАЯ</v>
      </c>
      <c r="C39" s="613" t="s">
        <v>163</v>
      </c>
      <c r="D39" s="640">
        <f>Цены!D39</f>
        <v>0</v>
      </c>
      <c r="E39" s="662">
        <v>0</v>
      </c>
      <c r="F39" s="614">
        <v>0</v>
      </c>
      <c r="G39" s="615">
        <v>0</v>
      </c>
      <c r="H39" s="488">
        <f>Расчёт!G358</f>
        <v>0</v>
      </c>
      <c r="I39" s="510">
        <f>Расчёт!H358</f>
        <v>0</v>
      </c>
      <c r="J39" s="511">
        <f>Расчёт!I358</f>
        <v>0</v>
      </c>
      <c r="K39" s="524">
        <f t="shared" si="2"/>
        <v>0</v>
      </c>
      <c r="L39" s="2"/>
      <c r="M39" s="2"/>
      <c r="N39" s="2"/>
      <c r="O39" s="2"/>
      <c r="P39" s="2"/>
      <c r="Q39" s="2"/>
      <c r="R39" s="80"/>
      <c r="S39" s="80"/>
      <c r="T39" s="80"/>
      <c r="U39" s="80"/>
      <c r="V39" s="154">
        <f t="shared" si="0"/>
        <v>0</v>
      </c>
      <c r="W39" s="80"/>
      <c r="X39" s="80"/>
      <c r="Y39" s="80"/>
      <c r="Z39" s="155">
        <f t="shared" si="1"/>
        <v>0</v>
      </c>
      <c r="AA39" s="80"/>
      <c r="AB39" s="80"/>
      <c r="AC39" s="80"/>
      <c r="AD39" s="80"/>
      <c r="AE39" s="80"/>
      <c r="AF39" s="80"/>
      <c r="AG39" s="80"/>
    </row>
    <row r="40" spans="1:33" ht="15" customHeight="1" x14ac:dyDescent="0.2">
      <c r="A40" s="2"/>
      <c r="B40" s="493" t="str">
        <f>Расчёт!B359</f>
        <v>ЧАЙ</v>
      </c>
      <c r="C40" s="613" t="s">
        <v>163</v>
      </c>
      <c r="D40" s="640">
        <f>Цены!D40</f>
        <v>0</v>
      </c>
      <c r="E40" s="662">
        <v>0</v>
      </c>
      <c r="F40" s="614">
        <v>0</v>
      </c>
      <c r="G40" s="615">
        <v>0</v>
      </c>
      <c r="H40" s="539">
        <f>Расчёт!G359</f>
        <v>0</v>
      </c>
      <c r="I40" s="540">
        <f>Расчёт!H359</f>
        <v>0</v>
      </c>
      <c r="J40" s="617">
        <f>Расчёт!I359</f>
        <v>0</v>
      </c>
      <c r="K40" s="542">
        <f>ROUND(SUM(E40:J40),3)</f>
        <v>0</v>
      </c>
      <c r="L40" s="2"/>
      <c r="M40" s="2"/>
      <c r="N40" s="2"/>
      <c r="O40" s="2"/>
      <c r="P40" s="2"/>
      <c r="Q40" s="2"/>
      <c r="R40" s="80"/>
      <c r="S40" s="80"/>
      <c r="T40" s="80"/>
      <c r="U40" s="80"/>
      <c r="V40" s="154">
        <f t="shared" si="0"/>
        <v>0</v>
      </c>
      <c r="W40" s="80"/>
      <c r="X40" s="80"/>
      <c r="Y40" s="80"/>
      <c r="Z40" s="155">
        <f t="shared" si="1"/>
        <v>0</v>
      </c>
      <c r="AA40" s="80"/>
      <c r="AB40" s="80"/>
      <c r="AC40" s="80"/>
      <c r="AD40" s="80"/>
      <c r="AE40" s="80"/>
      <c r="AF40" s="80"/>
      <c r="AG40" s="80"/>
    </row>
    <row r="41" spans="1:33" ht="15" customHeight="1" x14ac:dyDescent="0.2">
      <c r="A41" s="2"/>
      <c r="B41" s="493" t="str">
        <f>Расчёт!B360</f>
        <v>КОФЕ НАТУРАЛЬНЫЙ</v>
      </c>
      <c r="C41" s="618" t="s">
        <v>163</v>
      </c>
      <c r="D41" s="640">
        <f>Цены!D41</f>
        <v>0</v>
      </c>
      <c r="E41" s="662">
        <v>0</v>
      </c>
      <c r="F41" s="614">
        <v>0</v>
      </c>
      <c r="G41" s="615">
        <v>0</v>
      </c>
      <c r="H41" s="544">
        <f>Расчёт!G360</f>
        <v>0</v>
      </c>
      <c r="I41" s="545">
        <f>Расчёт!H360</f>
        <v>0</v>
      </c>
      <c r="J41" s="619">
        <f>Расчёт!I360</f>
        <v>0</v>
      </c>
      <c r="K41" s="547">
        <f t="shared" ref="K41:K50" si="3">ROUND(SUM(E41:J41),3)</f>
        <v>0</v>
      </c>
      <c r="L41" s="2"/>
      <c r="M41" s="2"/>
      <c r="N41" s="2"/>
      <c r="O41" s="2"/>
      <c r="P41" s="2"/>
      <c r="Q41" s="2"/>
      <c r="R41" s="80"/>
      <c r="S41" s="80"/>
      <c r="T41" s="80"/>
      <c r="U41" s="80"/>
      <c r="V41" s="154">
        <f t="shared" si="0"/>
        <v>0</v>
      </c>
      <c r="W41" s="80"/>
      <c r="X41" s="80"/>
      <c r="Y41" s="80"/>
      <c r="Z41" s="155">
        <f t="shared" si="1"/>
        <v>0</v>
      </c>
      <c r="AA41" s="80"/>
      <c r="AB41" s="80"/>
      <c r="AC41" s="80"/>
      <c r="AD41" s="80"/>
      <c r="AE41" s="80"/>
      <c r="AF41" s="80"/>
      <c r="AG41" s="80"/>
    </row>
    <row r="42" spans="1:33" ht="15" customHeight="1" x14ac:dyDescent="0.2">
      <c r="A42" s="2"/>
      <c r="B42" s="493" t="str">
        <f>Расчёт!B361</f>
        <v>КОФЕЙНЫЙ НАПИТОК</v>
      </c>
      <c r="C42" s="618" t="s">
        <v>163</v>
      </c>
      <c r="D42" s="640">
        <f>Цены!D42</f>
        <v>0</v>
      </c>
      <c r="E42" s="662">
        <v>0</v>
      </c>
      <c r="F42" s="614">
        <v>0</v>
      </c>
      <c r="G42" s="615">
        <v>0</v>
      </c>
      <c r="H42" s="544">
        <f>Расчёт!G361</f>
        <v>0</v>
      </c>
      <c r="I42" s="545">
        <f>Расчёт!H361</f>
        <v>0</v>
      </c>
      <c r="J42" s="619">
        <f>Расчёт!I361</f>
        <v>0</v>
      </c>
      <c r="K42" s="547">
        <f>ROUND(SUM(E42:J42),3)</f>
        <v>0</v>
      </c>
      <c r="L42" s="2"/>
      <c r="M42" s="2"/>
      <c r="N42" s="2"/>
      <c r="O42" s="2"/>
      <c r="P42" s="2"/>
      <c r="Q42" s="2"/>
      <c r="R42" s="80"/>
      <c r="S42" s="80"/>
      <c r="T42" s="80"/>
      <c r="U42" s="80"/>
      <c r="V42" s="154"/>
      <c r="W42" s="80"/>
      <c r="X42" s="80"/>
      <c r="Y42" s="80"/>
      <c r="Z42" s="155">
        <f t="shared" si="1"/>
        <v>0</v>
      </c>
      <c r="AA42" s="80"/>
      <c r="AB42" s="80"/>
      <c r="AC42" s="80"/>
      <c r="AD42" s="80"/>
      <c r="AE42" s="80"/>
      <c r="AF42" s="80"/>
      <c r="AG42" s="80"/>
    </row>
    <row r="43" spans="1:33" ht="15" customHeight="1" x14ac:dyDescent="0.2">
      <c r="A43" s="2"/>
      <c r="B43" s="493" t="str">
        <f>Расчёт!B362</f>
        <v>ЛАВРОВЫЙ ЛИСТ</v>
      </c>
      <c r="C43" s="613" t="s">
        <v>163</v>
      </c>
      <c r="D43" s="640">
        <f>Цены!D43</f>
        <v>0</v>
      </c>
      <c r="E43" s="662">
        <v>0</v>
      </c>
      <c r="F43" s="614">
        <v>0</v>
      </c>
      <c r="G43" s="615">
        <v>0</v>
      </c>
      <c r="H43" s="544">
        <f>Расчёт!G362</f>
        <v>0</v>
      </c>
      <c r="I43" s="545">
        <f>Расчёт!H362</f>
        <v>0</v>
      </c>
      <c r="J43" s="619">
        <f>Расчёт!I362</f>
        <v>0</v>
      </c>
      <c r="K43" s="547">
        <f t="shared" si="3"/>
        <v>0</v>
      </c>
      <c r="L43" s="2"/>
      <c r="M43" s="2"/>
      <c r="N43" s="2"/>
      <c r="O43" s="2"/>
      <c r="P43" s="2"/>
      <c r="Q43" s="2"/>
      <c r="R43" s="80"/>
      <c r="S43" s="80"/>
      <c r="T43" s="80"/>
      <c r="U43" s="80"/>
      <c r="V43" s="154">
        <f t="shared" si="0"/>
        <v>0</v>
      </c>
      <c r="W43" s="80"/>
      <c r="X43" s="80"/>
      <c r="Y43" s="80"/>
      <c r="Z43" s="155">
        <f t="shared" si="1"/>
        <v>0</v>
      </c>
      <c r="AA43" s="80"/>
      <c r="AB43" s="80"/>
      <c r="AC43" s="80"/>
      <c r="AD43" s="80"/>
      <c r="AE43" s="80"/>
      <c r="AF43" s="80"/>
      <c r="AG43" s="80"/>
    </row>
    <row r="44" spans="1:33" ht="15" customHeight="1" x14ac:dyDescent="0.2">
      <c r="A44" s="2"/>
      <c r="B44" s="493" t="str">
        <f>Расчёт!B363</f>
        <v>ПЕРЕЦ</v>
      </c>
      <c r="C44" s="618" t="s">
        <v>163</v>
      </c>
      <c r="D44" s="640">
        <f>Цены!D44</f>
        <v>0</v>
      </c>
      <c r="E44" s="662">
        <v>0</v>
      </c>
      <c r="F44" s="614">
        <v>0</v>
      </c>
      <c r="G44" s="615">
        <v>0</v>
      </c>
      <c r="H44" s="544">
        <f>Расчёт!G363</f>
        <v>0</v>
      </c>
      <c r="I44" s="545">
        <f>Расчёт!H363</f>
        <v>0</v>
      </c>
      <c r="J44" s="619">
        <f>Расчёт!I363</f>
        <v>0</v>
      </c>
      <c r="K44" s="547">
        <f t="shared" si="3"/>
        <v>0</v>
      </c>
      <c r="L44" s="2"/>
      <c r="M44" s="2"/>
      <c r="N44" s="2"/>
      <c r="O44" s="2"/>
      <c r="P44" s="2"/>
      <c r="Q44" s="2"/>
      <c r="R44" s="80"/>
      <c r="S44" s="80"/>
      <c r="T44" s="80"/>
      <c r="U44" s="80"/>
      <c r="V44" s="154">
        <f t="shared" si="0"/>
        <v>0</v>
      </c>
      <c r="W44" s="80"/>
      <c r="X44" s="80"/>
      <c r="Y44" s="80"/>
      <c r="Z44" s="155">
        <f t="shared" si="1"/>
        <v>0</v>
      </c>
      <c r="AA44" s="80"/>
      <c r="AB44" s="80"/>
      <c r="AC44" s="80"/>
      <c r="AD44" s="80"/>
      <c r="AE44" s="80"/>
      <c r="AF44" s="80"/>
      <c r="AG44" s="80"/>
    </row>
    <row r="45" spans="1:33" ht="15" customHeight="1" x14ac:dyDescent="0.2">
      <c r="A45" s="2"/>
      <c r="B45" s="493" t="str">
        <f>Расчёт!B364</f>
        <v>ГОРЧИЧНЫЙ ПОРОШОК</v>
      </c>
      <c r="C45" s="613" t="s">
        <v>163</v>
      </c>
      <c r="D45" s="640">
        <f>Цены!D45</f>
        <v>0</v>
      </c>
      <c r="E45" s="662">
        <v>0</v>
      </c>
      <c r="F45" s="614">
        <v>0</v>
      </c>
      <c r="G45" s="615">
        <v>0</v>
      </c>
      <c r="H45" s="544">
        <f>Расчёт!G364</f>
        <v>0</v>
      </c>
      <c r="I45" s="545">
        <f>Расчёт!H364</f>
        <v>0</v>
      </c>
      <c r="J45" s="619">
        <f>Расчёт!I364</f>
        <v>0</v>
      </c>
      <c r="K45" s="547">
        <f t="shared" si="3"/>
        <v>0</v>
      </c>
      <c r="L45" s="2"/>
      <c r="M45" s="2"/>
      <c r="N45" s="2"/>
      <c r="O45" s="2"/>
      <c r="P45" s="2"/>
      <c r="Q45" s="2"/>
      <c r="R45" s="80"/>
      <c r="S45" s="80"/>
      <c r="T45" s="80"/>
      <c r="U45" s="80"/>
      <c r="V45" s="154">
        <f t="shared" si="0"/>
        <v>0</v>
      </c>
      <c r="W45" s="80"/>
      <c r="X45" s="80"/>
      <c r="Y45" s="80"/>
      <c r="Z45" s="155">
        <f t="shared" si="1"/>
        <v>0</v>
      </c>
      <c r="AA45" s="80"/>
      <c r="AB45" s="80"/>
      <c r="AC45" s="80"/>
      <c r="AD45" s="80"/>
      <c r="AE45" s="80"/>
      <c r="AF45" s="80"/>
      <c r="AG45" s="80"/>
    </row>
    <row r="46" spans="1:33" ht="15" customHeight="1" x14ac:dyDescent="0.2">
      <c r="A46" s="2"/>
      <c r="B46" s="493" t="str">
        <f>Расчёт!B365</f>
        <v>УКСУС</v>
      </c>
      <c r="C46" s="618" t="s">
        <v>163</v>
      </c>
      <c r="D46" s="640">
        <f>Цены!D46</f>
        <v>0</v>
      </c>
      <c r="E46" s="662">
        <v>0</v>
      </c>
      <c r="F46" s="614">
        <v>0</v>
      </c>
      <c r="G46" s="615">
        <v>0</v>
      </c>
      <c r="H46" s="544">
        <f>Расчёт!G365</f>
        <v>0</v>
      </c>
      <c r="I46" s="545">
        <f>Расчёт!H365</f>
        <v>0</v>
      </c>
      <c r="J46" s="619">
        <f>Расчёт!I365</f>
        <v>0</v>
      </c>
      <c r="K46" s="547">
        <f t="shared" si="3"/>
        <v>0</v>
      </c>
      <c r="L46" s="2"/>
      <c r="M46" s="2"/>
      <c r="N46" s="2"/>
      <c r="O46" s="2"/>
      <c r="P46" s="2"/>
      <c r="Q46" s="2"/>
      <c r="R46" s="80"/>
      <c r="S46" s="80"/>
      <c r="T46" s="80"/>
      <c r="U46" s="80"/>
      <c r="V46" s="154">
        <f t="shared" si="0"/>
        <v>0</v>
      </c>
      <c r="W46" s="80"/>
      <c r="X46" s="80"/>
      <c r="Y46" s="80"/>
      <c r="Z46" s="155">
        <f t="shared" si="1"/>
        <v>0</v>
      </c>
      <c r="AA46" s="80"/>
      <c r="AB46" s="80"/>
      <c r="AC46" s="80"/>
      <c r="AD46" s="80"/>
      <c r="AE46" s="80"/>
      <c r="AF46" s="80"/>
      <c r="AG46" s="80"/>
    </row>
    <row r="47" spans="1:33" ht="15" customHeight="1" x14ac:dyDescent="0.2">
      <c r="A47" s="2"/>
      <c r="B47" s="493" t="str">
        <f>Расчёт!B366</f>
        <v>ТОМАТНАЯ ПАСТА</v>
      </c>
      <c r="C47" s="613" t="s">
        <v>163</v>
      </c>
      <c r="D47" s="640">
        <f>Цены!D47</f>
        <v>0</v>
      </c>
      <c r="E47" s="662">
        <v>0</v>
      </c>
      <c r="F47" s="614">
        <v>0</v>
      </c>
      <c r="G47" s="615">
        <v>0</v>
      </c>
      <c r="H47" s="539">
        <f>Расчёт!G366</f>
        <v>0</v>
      </c>
      <c r="I47" s="540">
        <f>Расчёт!H366</f>
        <v>0</v>
      </c>
      <c r="J47" s="617">
        <f>Расчёт!I366</f>
        <v>0</v>
      </c>
      <c r="K47" s="542">
        <f t="shared" si="3"/>
        <v>0</v>
      </c>
      <c r="L47" s="2"/>
      <c r="M47" s="2"/>
      <c r="N47" s="2"/>
      <c r="O47" s="2"/>
      <c r="P47" s="2"/>
      <c r="Q47" s="2"/>
      <c r="R47" s="80"/>
      <c r="S47" s="80"/>
      <c r="T47" s="80"/>
      <c r="U47" s="80"/>
      <c r="V47" s="154">
        <f t="shared" si="0"/>
        <v>0</v>
      </c>
      <c r="W47" s="80"/>
      <c r="X47" s="80"/>
      <c r="Y47" s="80"/>
      <c r="Z47" s="155">
        <f t="shared" si="1"/>
        <v>0</v>
      </c>
      <c r="AA47" s="80"/>
      <c r="AB47" s="80"/>
      <c r="AC47" s="80"/>
      <c r="AD47" s="80"/>
      <c r="AE47" s="80"/>
      <c r="AF47" s="80"/>
      <c r="AG47" s="80"/>
    </row>
    <row r="48" spans="1:33" ht="15" customHeight="1" x14ac:dyDescent="0.2">
      <c r="A48" s="2"/>
      <c r="B48" s="493" t="str">
        <f>Расчёт!B367</f>
        <v>КАРАМЕЛЬ</v>
      </c>
      <c r="C48" s="613" t="s">
        <v>163</v>
      </c>
      <c r="D48" s="640">
        <f>Цены!D48</f>
        <v>0</v>
      </c>
      <c r="E48" s="662">
        <v>0</v>
      </c>
      <c r="F48" s="614">
        <v>0</v>
      </c>
      <c r="G48" s="615">
        <v>0</v>
      </c>
      <c r="H48" s="539">
        <f>Расчёт!G367+IF(AND(X1=7,'Блок ввода'!Z26=1),X2,0)</f>
        <v>0</v>
      </c>
      <c r="I48" s="540">
        <f>Расчёт!H367</f>
        <v>0</v>
      </c>
      <c r="J48" s="617">
        <f>Расчёт!I367+IF(AND(X1=8,'Блок ввода'!Z26=1),X2,0)</f>
        <v>0</v>
      </c>
      <c r="K48" s="542">
        <f t="shared" si="3"/>
        <v>0</v>
      </c>
      <c r="L48" s="2"/>
      <c r="M48" s="2"/>
      <c r="N48" s="2"/>
      <c r="O48" s="2"/>
      <c r="P48" s="2"/>
      <c r="Q48" s="2"/>
      <c r="R48" s="80"/>
      <c r="S48" s="80"/>
      <c r="T48" s="80"/>
      <c r="U48" s="80"/>
      <c r="V48" s="154">
        <f t="shared" si="0"/>
        <v>0</v>
      </c>
      <c r="W48" s="80"/>
      <c r="X48" s="80"/>
      <c r="Y48" s="80"/>
      <c r="Z48" s="155">
        <f t="shared" si="1"/>
        <v>0</v>
      </c>
      <c r="AA48" s="80"/>
      <c r="AB48" s="80"/>
      <c r="AC48" s="80"/>
      <c r="AD48" s="80"/>
      <c r="AE48" s="80"/>
      <c r="AF48" s="80"/>
      <c r="AG48" s="80"/>
    </row>
    <row r="49" spans="1:33" ht="15" customHeight="1" x14ac:dyDescent="0.2">
      <c r="A49" s="2"/>
      <c r="B49" s="493" t="str">
        <f>Расчёт!B368</f>
        <v>ЖЕЛАТИН</v>
      </c>
      <c r="C49" s="618" t="s">
        <v>163</v>
      </c>
      <c r="D49" s="640">
        <f>Цены!D49</f>
        <v>0</v>
      </c>
      <c r="E49" s="662">
        <v>0</v>
      </c>
      <c r="F49" s="614">
        <v>0</v>
      </c>
      <c r="G49" s="615">
        <v>0</v>
      </c>
      <c r="H49" s="539">
        <f>Расчёт!G368</f>
        <v>0</v>
      </c>
      <c r="I49" s="540">
        <f>Расчёт!H368</f>
        <v>0</v>
      </c>
      <c r="J49" s="617">
        <f>Расчёт!I368</f>
        <v>0</v>
      </c>
      <c r="K49" s="542">
        <f t="shared" si="3"/>
        <v>0</v>
      </c>
      <c r="L49" s="2"/>
      <c r="M49" s="2"/>
      <c r="N49" s="2"/>
      <c r="O49" s="2"/>
      <c r="P49" s="2"/>
      <c r="Q49" s="2"/>
      <c r="R49" s="80"/>
      <c r="S49" s="80"/>
      <c r="T49" s="80"/>
      <c r="U49" s="80"/>
      <c r="V49" s="154">
        <f t="shared" si="0"/>
        <v>0</v>
      </c>
      <c r="W49" s="80"/>
      <c r="X49" s="80"/>
      <c r="Y49" s="80"/>
      <c r="Z49" s="155">
        <f t="shared" si="1"/>
        <v>0</v>
      </c>
      <c r="AA49" s="80"/>
      <c r="AB49" s="80"/>
      <c r="AC49" s="80"/>
      <c r="AD49" s="80"/>
      <c r="AE49" s="80"/>
      <c r="AF49" s="80"/>
      <c r="AG49" s="80"/>
    </row>
    <row r="50" spans="1:33" ht="15" customHeight="1" thickBot="1" x14ac:dyDescent="0.25">
      <c r="A50" s="2"/>
      <c r="B50" s="548" t="str">
        <f>Расчёт!B369</f>
        <v>ДРОЖЖИ ПРЕСОВАННЫЕ</v>
      </c>
      <c r="C50" s="620" t="s">
        <v>163</v>
      </c>
      <c r="D50" s="1244">
        <f>Цены!D50</f>
        <v>0</v>
      </c>
      <c r="E50" s="663">
        <v>0</v>
      </c>
      <c r="F50" s="621">
        <v>0</v>
      </c>
      <c r="G50" s="622">
        <v>0</v>
      </c>
      <c r="H50" s="623">
        <f>Расчёт!G369</f>
        <v>0</v>
      </c>
      <c r="I50" s="624">
        <f>Расчёт!H369</f>
        <v>0</v>
      </c>
      <c r="J50" s="625">
        <f>Расчёт!I369</f>
        <v>0</v>
      </c>
      <c r="K50" s="626">
        <f t="shared" si="3"/>
        <v>0</v>
      </c>
      <c r="L50" s="2"/>
      <c r="M50" s="2"/>
      <c r="N50" s="2"/>
      <c r="O50" s="2"/>
      <c r="P50" s="2"/>
      <c r="Q50" s="2"/>
      <c r="R50" s="80"/>
      <c r="S50" s="80"/>
      <c r="T50" s="80"/>
      <c r="U50" s="80"/>
      <c r="V50" s="154">
        <f t="shared" si="0"/>
        <v>0</v>
      </c>
      <c r="W50" s="80"/>
      <c r="X50" s="80"/>
      <c r="Y50" s="80"/>
      <c r="Z50" s="155">
        <f t="shared" si="1"/>
        <v>0</v>
      </c>
      <c r="AA50" s="80"/>
      <c r="AB50" s="80"/>
      <c r="AC50" s="80"/>
      <c r="AD50" s="80"/>
      <c r="AE50" s="80"/>
      <c r="AF50" s="80"/>
      <c r="AG50" s="80"/>
    </row>
    <row r="51" spans="1:33" ht="15" customHeight="1" x14ac:dyDescent="0.2">
      <c r="A51" s="2"/>
      <c r="B51" s="521" t="str">
        <f>Расчёт!B370</f>
        <v>КАРТОФЕЛЬ</v>
      </c>
      <c r="C51" s="610" t="s">
        <v>163</v>
      </c>
      <c r="D51" s="506">
        <f>Цены!D51</f>
        <v>0</v>
      </c>
      <c r="E51" s="604">
        <v>0</v>
      </c>
      <c r="F51" s="604">
        <v>0</v>
      </c>
      <c r="G51" s="605">
        <v>0</v>
      </c>
      <c r="H51" s="554">
        <f>Расчёт!G370</f>
        <v>0</v>
      </c>
      <c r="I51" s="628">
        <f>Расчёт!H370</f>
        <v>0</v>
      </c>
      <c r="J51" s="629">
        <f>Расчёт!I370</f>
        <v>0</v>
      </c>
      <c r="K51" s="557">
        <f t="shared" si="2"/>
        <v>0</v>
      </c>
      <c r="L51" s="2"/>
      <c r="M51" s="2"/>
      <c r="N51" s="2"/>
      <c r="O51" s="2"/>
      <c r="P51" s="2"/>
      <c r="Q51" s="2"/>
      <c r="R51" s="80"/>
      <c r="S51" s="80"/>
      <c r="T51" s="80"/>
      <c r="U51" s="80"/>
      <c r="V51" s="154">
        <f t="shared" si="0"/>
        <v>0</v>
      </c>
      <c r="W51" s="80"/>
      <c r="X51" s="80"/>
      <c r="Y51" s="80"/>
      <c r="Z51" s="155">
        <f t="shared" si="1"/>
        <v>0</v>
      </c>
      <c r="AA51" s="80"/>
      <c r="AB51" s="80"/>
      <c r="AC51" s="80"/>
      <c r="AD51" s="80"/>
      <c r="AE51" s="80"/>
      <c r="AF51" s="80"/>
      <c r="AG51" s="80"/>
    </row>
    <row r="52" spans="1:33" ht="15" customHeight="1" x14ac:dyDescent="0.2">
      <c r="A52" s="2"/>
      <c r="B52" s="523" t="str">
        <f>Расчёт!B371</f>
        <v xml:space="preserve">КАПУСТА  </v>
      </c>
      <c r="C52" s="613" t="s">
        <v>163</v>
      </c>
      <c r="D52" s="640">
        <f>Цены!D52</f>
        <v>0</v>
      </c>
      <c r="E52" s="600">
        <v>0</v>
      </c>
      <c r="F52" s="600">
        <v>0</v>
      </c>
      <c r="G52" s="627">
        <v>0</v>
      </c>
      <c r="H52" s="558">
        <f>Расчёт!G371</f>
        <v>0</v>
      </c>
      <c r="I52" s="562">
        <f>Расчёт!H371</f>
        <v>0</v>
      </c>
      <c r="J52" s="630">
        <f>Расчёт!I371</f>
        <v>0</v>
      </c>
      <c r="K52" s="631">
        <f t="shared" si="2"/>
        <v>0</v>
      </c>
      <c r="L52" s="2"/>
      <c r="M52" s="2"/>
      <c r="N52" s="2"/>
      <c r="O52" s="2"/>
      <c r="P52" s="2"/>
      <c r="Q52" s="2"/>
      <c r="R52" s="80"/>
      <c r="S52" s="80"/>
      <c r="T52" s="80"/>
      <c r="U52" s="80"/>
      <c r="V52" s="154">
        <f t="shared" si="0"/>
        <v>0</v>
      </c>
      <c r="W52" s="80"/>
      <c r="X52" s="80"/>
      <c r="Y52" s="80"/>
      <c r="Z52" s="155">
        <f t="shared" si="1"/>
        <v>0</v>
      </c>
      <c r="AA52" s="80"/>
      <c r="AB52" s="80"/>
      <c r="AC52" s="80"/>
      <c r="AD52" s="80"/>
      <c r="AE52" s="80"/>
      <c r="AF52" s="80"/>
      <c r="AG52" s="80"/>
    </row>
    <row r="53" spans="1:33" ht="15" customHeight="1" x14ac:dyDescent="0.2">
      <c r="A53" s="2"/>
      <c r="B53" s="523" t="str">
        <f>Расчёт!B372</f>
        <v>СВЕКЛА</v>
      </c>
      <c r="C53" s="613" t="s">
        <v>163</v>
      </c>
      <c r="D53" s="640">
        <f>Цены!D53</f>
        <v>0</v>
      </c>
      <c r="E53" s="600">
        <v>0</v>
      </c>
      <c r="F53" s="600">
        <v>0</v>
      </c>
      <c r="G53" s="627">
        <v>0</v>
      </c>
      <c r="H53" s="558">
        <f>Расчёт!G372</f>
        <v>0</v>
      </c>
      <c r="I53" s="562">
        <f>Расчёт!H372</f>
        <v>0</v>
      </c>
      <c r="J53" s="630">
        <f>Расчёт!I372</f>
        <v>0</v>
      </c>
      <c r="K53" s="631">
        <f t="shared" si="2"/>
        <v>0</v>
      </c>
      <c r="L53" s="2"/>
      <c r="M53" s="2"/>
      <c r="N53" s="2"/>
      <c r="O53" s="2"/>
      <c r="P53" s="2"/>
      <c r="Q53" s="2"/>
      <c r="R53" s="80"/>
      <c r="S53" s="80"/>
      <c r="T53" s="80"/>
      <c r="U53" s="80"/>
      <c r="V53" s="154">
        <f t="shared" si="0"/>
        <v>0</v>
      </c>
      <c r="W53" s="80"/>
      <c r="X53" s="80"/>
      <c r="Y53" s="80"/>
      <c r="Z53" s="155">
        <f t="shared" si="1"/>
        <v>0</v>
      </c>
      <c r="AA53" s="80"/>
      <c r="AB53" s="80"/>
      <c r="AC53" s="80"/>
      <c r="AD53" s="80"/>
      <c r="AE53" s="80"/>
      <c r="AF53" s="80"/>
      <c r="AG53" s="80"/>
    </row>
    <row r="54" spans="1:33" ht="15" customHeight="1" x14ac:dyDescent="0.2">
      <c r="A54" s="2"/>
      <c r="B54" s="523" t="str">
        <f>Расчёт!B373</f>
        <v>МОРКОВЬ</v>
      </c>
      <c r="C54" s="613" t="s">
        <v>163</v>
      </c>
      <c r="D54" s="640">
        <f>Цены!D54</f>
        <v>0</v>
      </c>
      <c r="E54" s="600">
        <v>0</v>
      </c>
      <c r="F54" s="600">
        <v>0</v>
      </c>
      <c r="G54" s="627">
        <v>0</v>
      </c>
      <c r="H54" s="558">
        <f>Расчёт!G373</f>
        <v>0</v>
      </c>
      <c r="I54" s="562">
        <f>Расчёт!H373</f>
        <v>0</v>
      </c>
      <c r="J54" s="630">
        <f>Расчёт!I373</f>
        <v>0</v>
      </c>
      <c r="K54" s="631">
        <f t="shared" si="2"/>
        <v>0</v>
      </c>
      <c r="L54" s="2"/>
      <c r="M54" s="2"/>
      <c r="N54" s="2"/>
      <c r="O54" s="2"/>
      <c r="P54" s="2"/>
      <c r="Q54" s="2"/>
      <c r="R54" s="80"/>
      <c r="S54" s="80"/>
      <c r="T54" s="80"/>
      <c r="U54" s="80"/>
      <c r="V54" s="154">
        <f t="shared" si="0"/>
        <v>0</v>
      </c>
      <c r="W54" s="80"/>
      <c r="X54" s="80"/>
      <c r="Y54" s="80"/>
      <c r="Z54" s="155">
        <f t="shared" si="1"/>
        <v>0</v>
      </c>
      <c r="AA54" s="80"/>
      <c r="AB54" s="80"/>
      <c r="AC54" s="80"/>
      <c r="AD54" s="80"/>
      <c r="AE54" s="80"/>
      <c r="AF54" s="80"/>
      <c r="AG54" s="80"/>
    </row>
    <row r="55" spans="1:33" ht="15" customHeight="1" x14ac:dyDescent="0.2">
      <c r="A55" s="2"/>
      <c r="B55" s="523" t="str">
        <f>Расчёт!B374</f>
        <v>ЛУК РЕПЧАТЫЙ</v>
      </c>
      <c r="C55" s="613" t="s">
        <v>163</v>
      </c>
      <c r="D55" s="640">
        <f>Цены!D55</f>
        <v>0</v>
      </c>
      <c r="E55" s="600">
        <v>0</v>
      </c>
      <c r="F55" s="600">
        <v>0</v>
      </c>
      <c r="G55" s="627">
        <v>0</v>
      </c>
      <c r="H55" s="558">
        <f>Расчёт!G374</f>
        <v>0</v>
      </c>
      <c r="I55" s="562">
        <f>Расчёт!H374</f>
        <v>0</v>
      </c>
      <c r="J55" s="630">
        <f>Расчёт!I374</f>
        <v>0</v>
      </c>
      <c r="K55" s="631">
        <f t="shared" si="2"/>
        <v>0</v>
      </c>
      <c r="L55" s="2"/>
      <c r="M55" s="2"/>
      <c r="N55" s="2"/>
      <c r="O55" s="2"/>
      <c r="P55" s="2"/>
      <c r="Q55" s="2"/>
      <c r="R55" s="80"/>
      <c r="S55" s="80"/>
      <c r="T55" s="80"/>
      <c r="U55" s="80"/>
      <c r="V55" s="154">
        <f t="shared" si="0"/>
        <v>0</v>
      </c>
      <c r="W55" s="80"/>
      <c r="X55" s="80"/>
      <c r="Y55" s="80"/>
      <c r="Z55" s="155">
        <f t="shared" si="1"/>
        <v>0</v>
      </c>
      <c r="AA55" s="80"/>
      <c r="AB55" s="80"/>
      <c r="AC55" s="80"/>
      <c r="AD55" s="80"/>
      <c r="AE55" s="80"/>
      <c r="AF55" s="80"/>
      <c r="AG55" s="80"/>
    </row>
    <row r="56" spans="1:33" ht="15" customHeight="1" x14ac:dyDescent="0.2">
      <c r="A56" s="2"/>
      <c r="B56" s="523" t="str">
        <f>Расчёт!B375</f>
        <v>ОГУРЦЫ СОЛЕНЫЕ</v>
      </c>
      <c r="C56" s="613" t="s">
        <v>163</v>
      </c>
      <c r="D56" s="640">
        <f>Цены!D56</f>
        <v>0</v>
      </c>
      <c r="E56" s="600">
        <v>0</v>
      </c>
      <c r="F56" s="600">
        <v>0</v>
      </c>
      <c r="G56" s="627">
        <v>0</v>
      </c>
      <c r="H56" s="558">
        <f>Расчёт!G375</f>
        <v>0</v>
      </c>
      <c r="I56" s="510">
        <f>Расчёт!H375</f>
        <v>0</v>
      </c>
      <c r="J56" s="511">
        <f>Расчёт!I375</f>
        <v>0</v>
      </c>
      <c r="K56" s="524">
        <f t="shared" si="2"/>
        <v>0</v>
      </c>
      <c r="L56" s="2"/>
      <c r="M56" s="2"/>
      <c r="N56" s="2"/>
      <c r="O56" s="2"/>
      <c r="P56" s="2"/>
      <c r="Q56" s="2"/>
      <c r="R56" s="80"/>
      <c r="S56" s="80"/>
      <c r="T56" s="80"/>
      <c r="U56" s="80"/>
      <c r="V56" s="154">
        <f t="shared" si="0"/>
        <v>0</v>
      </c>
      <c r="W56" s="80"/>
      <c r="X56" s="80"/>
      <c r="Y56" s="80"/>
      <c r="Z56" s="155">
        <f t="shared" si="1"/>
        <v>0</v>
      </c>
      <c r="AA56" s="80"/>
      <c r="AB56" s="80"/>
      <c r="AC56" s="80"/>
      <c r="AD56" s="80"/>
      <c r="AE56" s="80"/>
      <c r="AF56" s="80"/>
      <c r="AG56" s="80"/>
    </row>
    <row r="57" spans="1:33" ht="15" customHeight="1" x14ac:dyDescent="0.2">
      <c r="A57" s="2"/>
      <c r="B57" s="523" t="str">
        <f>Расчёт!B376</f>
        <v>ПОМИДОРЫ СВЕЖИЕ</v>
      </c>
      <c r="C57" s="613" t="s">
        <v>163</v>
      </c>
      <c r="D57" s="640">
        <f>Цены!D57</f>
        <v>0</v>
      </c>
      <c r="E57" s="600">
        <v>0</v>
      </c>
      <c r="F57" s="600">
        <v>0</v>
      </c>
      <c r="G57" s="627">
        <v>0</v>
      </c>
      <c r="H57" s="558">
        <f>Расчёт!G376</f>
        <v>0</v>
      </c>
      <c r="I57" s="510">
        <f>Расчёт!H376</f>
        <v>0</v>
      </c>
      <c r="J57" s="511">
        <f>Расчёт!I376</f>
        <v>0</v>
      </c>
      <c r="K57" s="524">
        <f t="shared" si="2"/>
        <v>0</v>
      </c>
      <c r="L57" s="2"/>
      <c r="M57" s="2"/>
      <c r="N57" s="2"/>
      <c r="O57" s="2"/>
      <c r="P57" s="2"/>
      <c r="Q57" s="2"/>
      <c r="R57" s="80"/>
      <c r="S57" s="80"/>
      <c r="T57" s="80"/>
      <c r="U57" s="80"/>
      <c r="V57" s="154">
        <f t="shared" si="0"/>
        <v>0</v>
      </c>
      <c r="W57" s="80"/>
      <c r="X57" s="80"/>
      <c r="Y57" s="80"/>
      <c r="Z57" s="155">
        <f t="shared" si="1"/>
        <v>0</v>
      </c>
      <c r="AA57" s="80"/>
      <c r="AB57" s="80"/>
      <c r="AC57" s="80"/>
      <c r="AD57" s="80"/>
      <c r="AE57" s="80"/>
      <c r="AF57" s="80"/>
      <c r="AG57" s="80"/>
    </row>
    <row r="58" spans="1:33" ht="15" customHeight="1" thickBot="1" x14ac:dyDescent="0.25">
      <c r="A58" s="2"/>
      <c r="B58" s="525" t="str">
        <f>Расчёт!B377</f>
        <v>КАБАЧКИ</v>
      </c>
      <c r="C58" s="620" t="s">
        <v>163</v>
      </c>
      <c r="D58" s="1244">
        <f>Цены!D58</f>
        <v>0</v>
      </c>
      <c r="E58" s="607">
        <v>0</v>
      </c>
      <c r="F58" s="607">
        <v>0</v>
      </c>
      <c r="G58" s="608">
        <v>0</v>
      </c>
      <c r="H58" s="564">
        <f>Расчёт!G377</f>
        <v>0</v>
      </c>
      <c r="I58" s="565">
        <f>Расчёт!H377</f>
        <v>0</v>
      </c>
      <c r="J58" s="632">
        <f>Расчёт!I377</f>
        <v>0</v>
      </c>
      <c r="K58" s="633">
        <f>E58+F58+G58+H58+I58+J58</f>
        <v>0</v>
      </c>
      <c r="L58" s="2"/>
      <c r="M58" s="2"/>
      <c r="N58" s="2"/>
      <c r="O58" s="2"/>
      <c r="P58" s="2"/>
      <c r="Q58" s="2"/>
      <c r="R58" s="80"/>
      <c r="S58" s="80"/>
      <c r="T58" s="80"/>
      <c r="U58" s="80"/>
      <c r="V58" s="154"/>
      <c r="W58" s="80"/>
      <c r="X58" s="80"/>
      <c r="Y58" s="80"/>
      <c r="Z58" s="155">
        <f t="shared" si="1"/>
        <v>0</v>
      </c>
      <c r="AA58" s="80"/>
      <c r="AB58" s="80"/>
      <c r="AC58" s="80"/>
      <c r="AD58" s="80"/>
      <c r="AE58" s="80"/>
      <c r="AF58" s="80"/>
      <c r="AG58" s="80"/>
    </row>
    <row r="59" spans="1:33" ht="15" customHeight="1" x14ac:dyDescent="0.2">
      <c r="A59" s="2"/>
      <c r="B59" s="505" t="str">
        <f>Расчёт!B378</f>
        <v>ФРУКТЫ СУШЁНЫЕ</v>
      </c>
      <c r="C59" s="610" t="s">
        <v>163</v>
      </c>
      <c r="D59" s="506">
        <f>Цены!D59</f>
        <v>0</v>
      </c>
      <c r="E59" s="604">
        <v>0</v>
      </c>
      <c r="F59" s="604">
        <v>0</v>
      </c>
      <c r="G59" s="605">
        <v>0</v>
      </c>
      <c r="H59" s="489">
        <f>Расчёт!G378</f>
        <v>0</v>
      </c>
      <c r="I59" s="490">
        <f>Расчёт!H378</f>
        <v>0</v>
      </c>
      <c r="J59" s="491">
        <f>Расчёт!I378</f>
        <v>0</v>
      </c>
      <c r="K59" s="529">
        <f t="shared" si="2"/>
        <v>0</v>
      </c>
      <c r="L59" s="2"/>
      <c r="M59" s="2"/>
      <c r="N59" s="2"/>
      <c r="O59" s="2"/>
      <c r="P59" s="2"/>
      <c r="Q59" s="2"/>
      <c r="R59" s="80"/>
      <c r="S59" s="80"/>
      <c r="T59" s="80"/>
      <c r="U59" s="80"/>
      <c r="V59" s="154">
        <f t="shared" si="0"/>
        <v>0</v>
      </c>
      <c r="W59" s="80"/>
      <c r="X59" s="80"/>
      <c r="Y59" s="80"/>
      <c r="Z59" s="155">
        <f t="shared" si="1"/>
        <v>0</v>
      </c>
      <c r="AA59" s="80"/>
      <c r="AB59" s="80"/>
      <c r="AC59" s="80"/>
      <c r="AD59" s="80"/>
      <c r="AE59" s="80"/>
      <c r="AF59" s="80"/>
      <c r="AG59" s="80"/>
    </row>
    <row r="60" spans="1:33" ht="15" customHeight="1" x14ac:dyDescent="0.2">
      <c r="A60" s="2"/>
      <c r="B60" s="570" t="str">
        <f>Расчёт!B379</f>
        <v>КИСЕЛЬ ПЛОДОВЫЙ ИЛИ ЯГОДНЫЙ</v>
      </c>
      <c r="C60" s="613" t="s">
        <v>163</v>
      </c>
      <c r="D60" s="640">
        <f>Цены!D60</f>
        <v>0</v>
      </c>
      <c r="E60" s="600">
        <v>0</v>
      </c>
      <c r="F60" s="600">
        <v>0</v>
      </c>
      <c r="G60" s="627">
        <v>0</v>
      </c>
      <c r="H60" s="509">
        <f>Расчёт!G379</f>
        <v>0</v>
      </c>
      <c r="I60" s="510">
        <f>Расчёт!H379</f>
        <v>0</v>
      </c>
      <c r="J60" s="511">
        <f>Расчёт!I379</f>
        <v>0</v>
      </c>
      <c r="K60" s="524">
        <f t="shared" si="2"/>
        <v>0</v>
      </c>
      <c r="L60" s="2"/>
      <c r="M60" s="2"/>
      <c r="N60" s="2"/>
      <c r="O60" s="2"/>
      <c r="P60" s="2"/>
      <c r="Q60" s="2"/>
      <c r="R60" s="80"/>
      <c r="S60" s="80"/>
      <c r="T60" s="80"/>
      <c r="U60" s="80"/>
      <c r="V60" s="154">
        <f t="shared" si="0"/>
        <v>0</v>
      </c>
      <c r="W60" s="80"/>
      <c r="X60" s="80"/>
      <c r="Y60" s="80"/>
      <c r="Z60" s="155">
        <f t="shared" si="1"/>
        <v>0</v>
      </c>
      <c r="AA60" s="80"/>
      <c r="AB60" s="80"/>
      <c r="AC60" s="80"/>
      <c r="AD60" s="80"/>
      <c r="AE60" s="80"/>
      <c r="AF60" s="80"/>
      <c r="AG60" s="80"/>
    </row>
    <row r="61" spans="1:33" ht="15" customHeight="1" x14ac:dyDescent="0.2">
      <c r="A61" s="2"/>
      <c r="B61" s="570" t="str">
        <f>Расчёт!B380</f>
        <v>АПЕЛЬСИНЫ</v>
      </c>
      <c r="C61" s="613" t="s">
        <v>163</v>
      </c>
      <c r="D61" s="640">
        <f>Цены!D61</f>
        <v>0</v>
      </c>
      <c r="E61" s="600">
        <v>0</v>
      </c>
      <c r="F61" s="600">
        <v>0</v>
      </c>
      <c r="G61" s="627">
        <v>0</v>
      </c>
      <c r="H61" s="509">
        <f>Расчёт!G380</f>
        <v>0</v>
      </c>
      <c r="I61" s="510">
        <f>Расчёт!H380</f>
        <v>0</v>
      </c>
      <c r="J61" s="511">
        <f>Расчёт!I380</f>
        <v>0</v>
      </c>
      <c r="K61" s="524">
        <f t="shared" si="2"/>
        <v>0</v>
      </c>
      <c r="L61" s="2"/>
      <c r="M61" s="2"/>
      <c r="N61" s="2"/>
      <c r="O61" s="2"/>
      <c r="P61" s="2"/>
      <c r="Q61" s="2"/>
      <c r="R61" s="80"/>
      <c r="S61" s="80"/>
      <c r="T61" s="80"/>
      <c r="U61" s="80"/>
      <c r="V61" s="154">
        <f t="shared" si="0"/>
        <v>0</v>
      </c>
      <c r="W61" s="80"/>
      <c r="X61" s="80"/>
      <c r="Y61" s="80"/>
      <c r="Z61" s="155">
        <f t="shared" si="1"/>
        <v>0</v>
      </c>
      <c r="AA61" s="80"/>
      <c r="AB61" s="80"/>
      <c r="AC61" s="80"/>
      <c r="AD61" s="80"/>
      <c r="AE61" s="80"/>
      <c r="AF61" s="80"/>
      <c r="AG61" s="80"/>
    </row>
    <row r="62" spans="1:33" ht="15" customHeight="1" x14ac:dyDescent="0.2">
      <c r="A62" s="2"/>
      <c r="B62" s="570" t="str">
        <f>Расчёт!B381</f>
        <v>СОК</v>
      </c>
      <c r="C62" s="613" t="s">
        <v>163</v>
      </c>
      <c r="D62" s="640">
        <f>Цены!D62</f>
        <v>0</v>
      </c>
      <c r="E62" s="600">
        <v>0</v>
      </c>
      <c r="F62" s="600">
        <v>0</v>
      </c>
      <c r="G62" s="627">
        <v>0</v>
      </c>
      <c r="H62" s="509">
        <f>Расчёт!G381</f>
        <v>0</v>
      </c>
      <c r="I62" s="510">
        <f>Расчёт!H381</f>
        <v>0</v>
      </c>
      <c r="J62" s="511">
        <f>Расчёт!I381</f>
        <v>0</v>
      </c>
      <c r="K62" s="524">
        <f t="shared" si="2"/>
        <v>0</v>
      </c>
      <c r="L62" s="2"/>
      <c r="M62" s="2"/>
      <c r="N62" s="2"/>
      <c r="O62" s="2"/>
      <c r="P62" s="2"/>
      <c r="Q62" s="2"/>
      <c r="R62" s="80"/>
      <c r="S62" s="80"/>
      <c r="T62" s="80"/>
      <c r="U62" s="80"/>
      <c r="V62" s="154">
        <f t="shared" si="0"/>
        <v>0</v>
      </c>
      <c r="W62" s="80"/>
      <c r="X62" s="80"/>
      <c r="Y62" s="80"/>
      <c r="Z62" s="155">
        <f t="shared" si="1"/>
        <v>0</v>
      </c>
      <c r="AA62" s="80"/>
      <c r="AB62" s="80"/>
      <c r="AC62" s="80"/>
      <c r="AD62" s="80"/>
      <c r="AE62" s="80"/>
      <c r="AF62" s="80"/>
      <c r="AG62" s="80"/>
    </row>
    <row r="63" spans="1:33" ht="15" customHeight="1" x14ac:dyDescent="0.2">
      <c r="A63" s="2"/>
      <c r="B63" s="570" t="str">
        <f>Расчёт!B382</f>
        <v>ПОВИДЛО, ВАРЕНЬЕ</v>
      </c>
      <c r="C63" s="613" t="s">
        <v>163</v>
      </c>
      <c r="D63" s="640">
        <f>Цены!D63</f>
        <v>0</v>
      </c>
      <c r="E63" s="600">
        <v>0</v>
      </c>
      <c r="F63" s="600">
        <v>0</v>
      </c>
      <c r="G63" s="627">
        <v>0</v>
      </c>
      <c r="H63" s="509">
        <f>Расчёт!G382</f>
        <v>0</v>
      </c>
      <c r="I63" s="510">
        <f>Расчёт!H382</f>
        <v>0</v>
      </c>
      <c r="J63" s="511">
        <f>Расчёт!I382</f>
        <v>0</v>
      </c>
      <c r="K63" s="524">
        <f t="shared" si="2"/>
        <v>0</v>
      </c>
      <c r="L63" s="2"/>
      <c r="M63" s="2"/>
      <c r="N63" s="2"/>
      <c r="O63" s="2"/>
      <c r="P63" s="2"/>
      <c r="Q63" s="2"/>
      <c r="R63" s="80"/>
      <c r="S63" s="80"/>
      <c r="T63" s="80"/>
      <c r="U63" s="80"/>
      <c r="V63" s="154">
        <f t="shared" si="0"/>
        <v>0</v>
      </c>
      <c r="W63" s="80"/>
      <c r="X63" s="80"/>
      <c r="Y63" s="80"/>
      <c r="Z63" s="155">
        <f t="shared" si="1"/>
        <v>0</v>
      </c>
      <c r="AA63" s="80"/>
      <c r="AB63" s="80"/>
      <c r="AC63" s="80"/>
      <c r="AD63" s="80"/>
      <c r="AE63" s="80"/>
      <c r="AF63" s="80"/>
      <c r="AG63" s="80"/>
    </row>
    <row r="64" spans="1:33" ht="15" customHeight="1" x14ac:dyDescent="0.2">
      <c r="A64" s="2"/>
      <c r="B64" s="570" t="str">
        <f>Расчёт!B383</f>
        <v>КОМПОТ КОНС.</v>
      </c>
      <c r="C64" s="613" t="s">
        <v>163</v>
      </c>
      <c r="D64" s="640">
        <f>Цены!D64</f>
        <v>0</v>
      </c>
      <c r="E64" s="600">
        <v>0</v>
      </c>
      <c r="F64" s="600">
        <v>0</v>
      </c>
      <c r="G64" s="627">
        <v>0</v>
      </c>
      <c r="H64" s="509">
        <f>Расчёт!G383</f>
        <v>0</v>
      </c>
      <c r="I64" s="510">
        <f>Расчёт!H383</f>
        <v>0</v>
      </c>
      <c r="J64" s="511">
        <f>Расчёт!I383</f>
        <v>0</v>
      </c>
      <c r="K64" s="524">
        <f>E64+F64+G64+H64+I64+J64</f>
        <v>0</v>
      </c>
      <c r="L64" s="2"/>
      <c r="M64" s="2"/>
      <c r="N64" s="2"/>
      <c r="O64" s="2"/>
      <c r="P64" s="2"/>
      <c r="Q64" s="2"/>
      <c r="R64" s="80"/>
      <c r="S64" s="80"/>
      <c r="T64" s="80"/>
      <c r="U64" s="80"/>
      <c r="V64" s="154">
        <f t="shared" si="0"/>
        <v>0</v>
      </c>
      <c r="W64" s="80"/>
      <c r="X64" s="80"/>
      <c r="Y64" s="80"/>
      <c r="Z64" s="155">
        <f t="shared" si="1"/>
        <v>0</v>
      </c>
      <c r="AA64" s="80"/>
      <c r="AB64" s="80"/>
      <c r="AC64" s="80"/>
      <c r="AD64" s="80"/>
      <c r="AE64" s="80"/>
      <c r="AF64" s="80"/>
      <c r="AG64" s="80"/>
    </row>
    <row r="65" spans="1:33" ht="15" customHeight="1" thickBot="1" x14ac:dyDescent="0.25">
      <c r="A65" s="2"/>
      <c r="B65" s="513" t="str">
        <f>Расчёт!B384</f>
        <v>КОНСЕРВЫ ОВ. ЗАКУС.</v>
      </c>
      <c r="C65" s="620" t="s">
        <v>163</v>
      </c>
      <c r="D65" s="1244">
        <f>Цены!D65</f>
        <v>0</v>
      </c>
      <c r="E65" s="607">
        <v>0</v>
      </c>
      <c r="F65" s="607">
        <v>0</v>
      </c>
      <c r="G65" s="608">
        <v>0</v>
      </c>
      <c r="H65" s="515">
        <f>Расчёт!G384</f>
        <v>0</v>
      </c>
      <c r="I65" s="518">
        <f>Расчёт!H384</f>
        <v>0</v>
      </c>
      <c r="J65" s="519">
        <f>Расчёт!I384</f>
        <v>0</v>
      </c>
      <c r="K65" s="526">
        <f>E65+F65+G65+H65+I65+J65</f>
        <v>0</v>
      </c>
      <c r="L65" s="2"/>
      <c r="M65" s="2"/>
      <c r="N65" s="2"/>
      <c r="O65" s="2"/>
      <c r="P65" s="2"/>
      <c r="Q65" s="2"/>
      <c r="R65" s="80"/>
      <c r="S65" s="80"/>
      <c r="T65" s="80"/>
      <c r="U65" s="80"/>
      <c r="V65" s="154">
        <f t="shared" si="0"/>
        <v>0</v>
      </c>
      <c r="W65" s="80"/>
      <c r="X65" s="80"/>
      <c r="Y65" s="80"/>
      <c r="Z65" s="155">
        <f t="shared" si="1"/>
        <v>0</v>
      </c>
      <c r="AA65" s="80"/>
      <c r="AB65" s="80"/>
      <c r="AC65" s="80"/>
      <c r="AD65" s="80"/>
      <c r="AE65" s="80"/>
      <c r="AF65" s="80"/>
      <c r="AG65" s="80"/>
    </row>
    <row r="66" spans="1:33" ht="15" customHeight="1" x14ac:dyDescent="0.2">
      <c r="A66" s="2"/>
      <c r="B66" s="575" t="str">
        <f>IF(K66&gt;0,B9,"")</f>
        <v/>
      </c>
      <c r="C66" s="610" t="s">
        <v>163</v>
      </c>
      <c r="D66" s="506">
        <f>Цены!D66</f>
        <v>0</v>
      </c>
      <c r="E66" s="1561" t="str">
        <f>IF(K66&gt;0,"ЭКОНОМИЯ","")</f>
        <v/>
      </c>
      <c r="F66" s="1561"/>
      <c r="G66" s="1561"/>
      <c r="H66" s="1561"/>
      <c r="I66" s="1561"/>
      <c r="J66" s="1609"/>
      <c r="K66" s="576">
        <v>0</v>
      </c>
      <c r="L66" s="2"/>
      <c r="M66" s="2"/>
      <c r="N66" s="2"/>
      <c r="O66" s="2"/>
      <c r="P66" s="2"/>
      <c r="Q66" s="2"/>
      <c r="R66" s="80"/>
      <c r="S66" s="80"/>
      <c r="T66" s="80"/>
      <c r="U66" s="80"/>
      <c r="V66" s="154">
        <f t="shared" si="0"/>
        <v>0</v>
      </c>
      <c r="W66" s="80"/>
      <c r="X66" s="80"/>
      <c r="Y66" s="80"/>
      <c r="Z66" s="155">
        <f t="shared" si="1"/>
        <v>0</v>
      </c>
      <c r="AA66" s="80"/>
      <c r="AB66" s="80"/>
      <c r="AC66" s="80"/>
      <c r="AD66" s="80"/>
      <c r="AE66" s="80"/>
      <c r="AF66" s="80"/>
      <c r="AG66" s="80"/>
    </row>
    <row r="67" spans="1:33" ht="15" customHeight="1" thickBot="1" x14ac:dyDescent="0.25">
      <c r="A67" s="2"/>
      <c r="B67" s="577" t="str">
        <f>IF(K67&gt;0,B10,"")</f>
        <v/>
      </c>
      <c r="C67" s="647" t="s">
        <v>163</v>
      </c>
      <c r="D67" s="1244">
        <f>Цены!D67</f>
        <v>0</v>
      </c>
      <c r="E67" s="1564" t="str">
        <f>IF(K67&gt;0,"ЭКОНОМИЯ","")</f>
        <v/>
      </c>
      <c r="F67" s="1564"/>
      <c r="G67" s="1564"/>
      <c r="H67" s="1565"/>
      <c r="I67" s="1565"/>
      <c r="J67" s="1566"/>
      <c r="K67" s="578">
        <v>0</v>
      </c>
      <c r="L67" s="2"/>
      <c r="M67" s="2"/>
      <c r="N67" s="2"/>
      <c r="O67" s="2"/>
      <c r="P67" s="2"/>
      <c r="Q67" s="2"/>
      <c r="R67" s="80"/>
      <c r="S67" s="80"/>
      <c r="T67" s="80"/>
      <c r="U67" s="80"/>
      <c r="V67" s="154">
        <f t="shared" si="0"/>
        <v>0</v>
      </c>
      <c r="W67" s="80"/>
      <c r="X67" s="80"/>
      <c r="Y67" s="80"/>
      <c r="Z67" s="155">
        <f t="shared" si="1"/>
        <v>0</v>
      </c>
      <c r="AA67" s="80"/>
      <c r="AB67" s="80"/>
      <c r="AC67" s="80"/>
      <c r="AD67" s="80"/>
      <c r="AE67" s="80"/>
      <c r="AF67" s="80"/>
      <c r="AG67" s="80"/>
    </row>
    <row r="68" spans="1:33" ht="15" customHeight="1" x14ac:dyDescent="0.2">
      <c r="A68" s="2"/>
      <c r="B68" s="505" t="str">
        <f>Расчёт!B387</f>
        <v>ЧЕСНОК</v>
      </c>
      <c r="C68" s="610" t="s">
        <v>163</v>
      </c>
      <c r="D68" s="506">
        <f>Цены!D68</f>
        <v>0</v>
      </c>
      <c r="E68" s="635">
        <v>0</v>
      </c>
      <c r="F68" s="636">
        <v>0</v>
      </c>
      <c r="G68" s="637">
        <v>0</v>
      </c>
      <c r="H68" s="582">
        <f>Расчёт!G384</f>
        <v>0</v>
      </c>
      <c r="I68" s="490">
        <f>Расчёт!H387</f>
        <v>0</v>
      </c>
      <c r="J68" s="584">
        <f>Расчёт!I384</f>
        <v>0</v>
      </c>
      <c r="K68" s="585">
        <f t="shared" si="2"/>
        <v>0</v>
      </c>
      <c r="L68" s="2"/>
      <c r="M68" s="2"/>
      <c r="N68" s="2"/>
      <c r="O68" s="2"/>
      <c r="P68" s="2"/>
      <c r="Q68" s="2"/>
      <c r="R68" s="80"/>
      <c r="S68" s="80"/>
      <c r="T68" s="80"/>
      <c r="U68" s="80"/>
      <c r="V68" s="154">
        <f t="shared" si="0"/>
        <v>0</v>
      </c>
      <c r="W68" s="80"/>
      <c r="X68" s="80"/>
      <c r="Y68" s="80"/>
      <c r="Z68" s="155">
        <f t="shared" si="1"/>
        <v>0</v>
      </c>
      <c r="AA68" s="80"/>
      <c r="AB68" s="80"/>
      <c r="AC68" s="80"/>
      <c r="AD68" s="80"/>
      <c r="AE68" s="80"/>
      <c r="AF68" s="80"/>
      <c r="AG68" s="80"/>
    </row>
    <row r="69" spans="1:33" ht="15" customHeight="1" x14ac:dyDescent="0.2">
      <c r="A69" s="2"/>
      <c r="B69" s="570" t="str">
        <f>Расчёт!B388</f>
        <v>ДРАЖЕ "ГЕКСАВИТ"</v>
      </c>
      <c r="C69" s="618" t="s">
        <v>163</v>
      </c>
      <c r="D69" s="640">
        <f>Цены!D69</f>
        <v>0</v>
      </c>
      <c r="E69" s="586"/>
      <c r="F69" s="639">
        <v>0</v>
      </c>
      <c r="G69" s="588"/>
      <c r="H69" s="589">
        <f>Расчёт!G385</f>
        <v>0</v>
      </c>
      <c r="I69" s="495">
        <f>Расчёт!H388</f>
        <v>0</v>
      </c>
      <c r="J69" s="591">
        <f>Расчёт!I385</f>
        <v>0</v>
      </c>
      <c r="K69" s="592">
        <f>SUM(E69:J69)</f>
        <v>0</v>
      </c>
      <c r="L69" s="2"/>
      <c r="M69" s="2"/>
      <c r="N69" s="2"/>
      <c r="O69" s="2"/>
      <c r="P69" s="2"/>
      <c r="Q69" s="2"/>
      <c r="R69" s="80"/>
      <c r="S69" s="80"/>
      <c r="T69" s="80"/>
      <c r="U69" s="80"/>
      <c r="V69" s="154">
        <f t="shared" si="0"/>
        <v>0</v>
      </c>
      <c r="W69" s="80"/>
      <c r="X69" s="80"/>
      <c r="Y69" s="80"/>
      <c r="Z69" s="155">
        <f t="shared" si="1"/>
        <v>0</v>
      </c>
      <c r="AA69" s="80"/>
      <c r="AB69" s="80"/>
      <c r="AC69" s="80"/>
      <c r="AD69" s="80"/>
      <c r="AE69" s="80"/>
      <c r="AF69" s="80"/>
      <c r="AG69" s="80"/>
    </row>
    <row r="70" spans="1:33" ht="15" customHeight="1" x14ac:dyDescent="0.2">
      <c r="A70" s="2"/>
      <c r="B70" s="570" t="str">
        <f>Расчёт!B389</f>
        <v>КОНСЕРВЫ МЯСОРАСТИТЕЛЬНЫЕ</v>
      </c>
      <c r="C70" s="618" t="s">
        <v>163</v>
      </c>
      <c r="D70" s="640">
        <f>Цены!D70</f>
        <v>0</v>
      </c>
      <c r="E70" s="586">
        <v>0</v>
      </c>
      <c r="F70" s="639">
        <v>0</v>
      </c>
      <c r="G70" s="588"/>
      <c r="H70" s="589">
        <f>Расчёт!G386</f>
        <v>0</v>
      </c>
      <c r="I70" s="495">
        <f>Расчёт!H389</f>
        <v>0</v>
      </c>
      <c r="J70" s="591">
        <f>Расчёт!I386</f>
        <v>0</v>
      </c>
      <c r="K70" s="497">
        <f>SUM(E70:J70)</f>
        <v>0</v>
      </c>
      <c r="L70" s="2"/>
      <c r="M70" s="2"/>
      <c r="N70" s="2"/>
      <c r="O70" s="2"/>
      <c r="P70" s="2"/>
      <c r="Q70" s="2"/>
      <c r="R70" s="80"/>
      <c r="S70" s="80"/>
      <c r="T70" s="80"/>
      <c r="U70" s="80"/>
      <c r="V70" s="154">
        <f t="shared" si="0"/>
        <v>0</v>
      </c>
      <c r="W70" s="80"/>
      <c r="X70" s="80"/>
      <c r="Y70" s="80"/>
      <c r="Z70" s="155">
        <f t="shared" si="1"/>
        <v>0</v>
      </c>
      <c r="AA70" s="80"/>
      <c r="AB70" s="80"/>
      <c r="AC70" s="80"/>
      <c r="AD70" s="80"/>
      <c r="AE70" s="80"/>
      <c r="AF70" s="80"/>
      <c r="AG70" s="80"/>
    </row>
    <row r="71" spans="1:33" ht="15" customHeight="1" thickBot="1" x14ac:dyDescent="0.25">
      <c r="A71" s="2"/>
      <c r="B71" s="513" t="str">
        <f>Расчёт!B390</f>
        <v>КОНСЕРВЫ 1 ОБ. БЛЮДА</v>
      </c>
      <c r="C71" s="719" t="s">
        <v>163</v>
      </c>
      <c r="D71" s="648">
        <f>Цены!D71</f>
        <v>0</v>
      </c>
      <c r="E71" s="593">
        <v>0</v>
      </c>
      <c r="F71" s="621">
        <v>0</v>
      </c>
      <c r="G71" s="594"/>
      <c r="H71" s="595">
        <f>Расчёт!G387</f>
        <v>0</v>
      </c>
      <c r="I71" s="502">
        <f>Расчёт!H390</f>
        <v>0</v>
      </c>
      <c r="J71" s="597">
        <f>Расчёт!I387</f>
        <v>0</v>
      </c>
      <c r="K71" s="504">
        <f>SUM(E71:J71)</f>
        <v>0</v>
      </c>
      <c r="L71" s="2"/>
      <c r="M71" s="2"/>
      <c r="N71" s="2"/>
      <c r="O71" s="2"/>
      <c r="P71" s="2"/>
      <c r="Q71" s="2"/>
      <c r="R71" s="80"/>
      <c r="S71" s="80"/>
      <c r="T71" s="80"/>
      <c r="U71" s="80"/>
      <c r="V71" s="10">
        <f>SUM(V9:V70)</f>
        <v>0</v>
      </c>
      <c r="W71" s="80"/>
      <c r="X71" s="80"/>
      <c r="Y71" s="80"/>
      <c r="Z71" s="155">
        <f t="shared" si="1"/>
        <v>0</v>
      </c>
      <c r="AA71" s="80"/>
      <c r="AB71" s="80"/>
      <c r="AC71" s="80"/>
      <c r="AD71" s="80"/>
      <c r="AE71" s="80"/>
      <c r="AF71" s="80"/>
      <c r="AG71" s="80"/>
    </row>
    <row r="72" spans="1:33" ht="18" x14ac:dyDescent="0.25">
      <c r="A72" s="2"/>
      <c r="B72" s="185" t="s">
        <v>280</v>
      </c>
      <c r="C72" s="257"/>
      <c r="D72" s="187">
        <f>V71</f>
        <v>0</v>
      </c>
      <c r="E72" s="1595" t="str">
        <f>IF(Сб!$C$72&lt;&gt;31,CONCATENATE("(",Примеры!A156),CONCATENATE("(",Примеры!D23))</f>
        <v>( Ноль ) наименований</v>
      </c>
      <c r="F72" s="1595"/>
      <c r="G72" s="1595"/>
      <c r="H72" s="1595"/>
      <c r="I72" s="1595"/>
      <c r="J72" s="1568" t="str">
        <f>CONCATENATE("на сумму ",ROUND(Z72,2)," р.")</f>
        <v>на сумму 0 р.</v>
      </c>
      <c r="K72" s="1568"/>
      <c r="L72" s="2"/>
      <c r="M72" s="2"/>
      <c r="N72" s="2"/>
      <c r="O72" s="2"/>
      <c r="P72" s="2"/>
      <c r="Q72" s="2"/>
      <c r="R72" s="80"/>
      <c r="S72" s="80"/>
      <c r="T72" s="80"/>
      <c r="U72" s="80"/>
      <c r="V72" s="80"/>
      <c r="W72" s="80"/>
      <c r="X72" s="80"/>
      <c r="Y72" s="80"/>
      <c r="Z72" s="188">
        <f>SUM(Z9:Z71)</f>
        <v>0</v>
      </c>
      <c r="AA72" s="80"/>
      <c r="AB72" s="80"/>
      <c r="AC72" s="80"/>
      <c r="AD72" s="80"/>
      <c r="AE72" s="80"/>
      <c r="AF72" s="80"/>
      <c r="AG72" s="80"/>
    </row>
    <row r="73" spans="1:33" ht="18" x14ac:dyDescent="0.25">
      <c r="A73" s="2"/>
      <c r="B73" s="1560" t="s">
        <v>364</v>
      </c>
      <c r="C73" s="1560"/>
      <c r="D73" s="1560"/>
      <c r="E73" s="1560"/>
      <c r="F73" s="1560"/>
      <c r="G73" s="1560"/>
      <c r="H73" s="1560"/>
      <c r="I73" s="1560"/>
      <c r="J73" s="1560"/>
      <c r="K73" s="1560"/>
      <c r="L73" s="2"/>
      <c r="M73" s="2"/>
      <c r="N73" s="2"/>
      <c r="O73" s="2"/>
      <c r="P73" s="2"/>
      <c r="Q73" s="2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</row>
    <row r="74" spans="1:33" ht="18" x14ac:dyDescent="0.25">
      <c r="A74" s="2"/>
      <c r="B74" s="1567" t="str">
        <f>'Блок ввода'!M10</f>
        <v>ст. лейтенант</v>
      </c>
      <c r="C74" s="1567"/>
      <c r="D74" s="1567"/>
      <c r="E74" s="191"/>
      <c r="F74" s="191"/>
      <c r="G74" s="191"/>
      <c r="H74" s="191"/>
      <c r="J74" s="191" t="str">
        <f>'Блок ввода'!O10</f>
        <v>А. Демидов11111111</v>
      </c>
      <c r="K74" s="191"/>
      <c r="L74" s="2"/>
      <c r="M74" s="2"/>
      <c r="N74" s="2"/>
      <c r="O74" s="2"/>
      <c r="P74" s="2"/>
      <c r="Q74" s="2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</row>
    <row r="75" spans="1:33" ht="17.45" customHeight="1" x14ac:dyDescent="0.25">
      <c r="A75" s="2"/>
      <c r="B75" s="1218" t="str">
        <f>CONCATENATE("ДЕЛОПРОИЗВОДИТЕЛЬ: ",'Блок ввода'!M13)</f>
        <v>ДЕЛОПРОИЗВОДИТЕЛЬ: служащая РА</v>
      </c>
      <c r="C75" s="1218"/>
      <c r="D75" s="1218"/>
      <c r="E75" s="189"/>
      <c r="F75" s="189"/>
      <c r="G75" s="189"/>
      <c r="I75" s="189"/>
      <c r="J75" s="258" t="str">
        <f>'Блок ввода'!O13</f>
        <v>С.ФЕДОРОВА</v>
      </c>
      <c r="K75" s="189"/>
      <c r="L75" s="2"/>
      <c r="M75" s="2"/>
      <c r="N75" s="2"/>
      <c r="O75" s="2"/>
      <c r="P75" s="2"/>
      <c r="Q75" s="2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</row>
    <row r="76" spans="1:33" ht="18" x14ac:dyDescent="0.25">
      <c r="A76" s="2"/>
      <c r="B76" s="1559">
        <f>C4-1</f>
        <v>40095</v>
      </c>
      <c r="C76" s="1559"/>
      <c r="D76" s="1559"/>
      <c r="E76" s="1559"/>
      <c r="F76" s="1559"/>
      <c r="G76" s="1559"/>
      <c r="H76" s="1559"/>
      <c r="I76" s="1559"/>
      <c r="J76" s="1559"/>
      <c r="K76" s="1559"/>
      <c r="L76" s="2"/>
      <c r="M76" s="2"/>
      <c r="N76" s="2"/>
      <c r="O76" s="2"/>
      <c r="P76" s="2"/>
      <c r="Q76" s="2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</row>
    <row r="77" spans="1:33" ht="15.75" thickBot="1" x14ac:dyDescent="0.25">
      <c r="A77" s="2"/>
      <c r="B77" s="80"/>
      <c r="C77" s="80"/>
      <c r="D77" s="80"/>
      <c r="E77" s="80"/>
      <c r="F77" s="80"/>
      <c r="G77" s="80"/>
      <c r="H77" s="80"/>
      <c r="I77" s="80"/>
      <c r="J77" s="261"/>
      <c r="K77" s="261"/>
      <c r="L77" s="2"/>
      <c r="M77" s="2"/>
      <c r="N77" s="2"/>
      <c r="O77" s="2"/>
      <c r="P77" s="2"/>
      <c r="Q77" s="2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</row>
    <row r="78" spans="1:33" ht="15.75" thickBot="1" x14ac:dyDescent="0.25">
      <c r="A78" s="2"/>
      <c r="B78" s="262"/>
      <c r="C78" s="263"/>
      <c r="D78" s="263"/>
      <c r="E78" s="263"/>
      <c r="F78" s="263"/>
      <c r="G78" s="264"/>
      <c r="H78" s="192" t="s">
        <v>203</v>
      </c>
      <c r="I78" s="192" t="s">
        <v>204</v>
      </c>
      <c r="J78" s="193" t="s">
        <v>205</v>
      </c>
      <c r="K78" s="192" t="s">
        <v>276</v>
      </c>
      <c r="L78" s="2"/>
      <c r="M78" s="2"/>
      <c r="N78" s="2"/>
      <c r="O78" s="2"/>
      <c r="P78" s="2"/>
      <c r="Q78" s="2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</row>
    <row r="79" spans="1:33" ht="15" x14ac:dyDescent="0.2">
      <c r="A79" s="2"/>
      <c r="B79" s="194" t="s">
        <v>165</v>
      </c>
      <c r="C79" s="195"/>
      <c r="D79" s="195"/>
      <c r="E79" s="195"/>
      <c r="F79" s="195"/>
      <c r="G79" s="195"/>
      <c r="H79" s="1556"/>
      <c r="I79" s="1556"/>
      <c r="J79" s="1556"/>
      <c r="K79" s="1548"/>
      <c r="L79" s="2"/>
      <c r="M79" s="2"/>
      <c r="N79" s="2"/>
      <c r="O79" s="2"/>
      <c r="P79" s="2"/>
      <c r="Q79" s="2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</row>
    <row r="80" spans="1:33" ht="15" x14ac:dyDescent="0.2">
      <c r="A80" s="2"/>
      <c r="B80" s="196" t="str">
        <f>CONCATENATE('Блок ввода'!M12,'Блок ввода'!O12)</f>
        <v>прапорщик  К.МИХАЙЛОВА</v>
      </c>
      <c r="C80" s="197"/>
      <c r="D80" s="195"/>
      <c r="E80" s="195"/>
      <c r="F80" s="195"/>
      <c r="G80" s="195"/>
      <c r="H80" s="1546"/>
      <c r="I80" s="1546"/>
      <c r="J80" s="1546"/>
      <c r="K80" s="1549"/>
      <c r="L80" s="2"/>
      <c r="M80" s="2"/>
      <c r="N80" s="2"/>
      <c r="O80" s="2"/>
      <c r="P80" s="2"/>
      <c r="Q80" s="2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</row>
    <row r="81" spans="1:33" ht="15" x14ac:dyDescent="0.2">
      <c r="A81" s="2"/>
      <c r="B81" s="198" t="s">
        <v>166</v>
      </c>
      <c r="C81" s="199"/>
      <c r="D81" s="199"/>
      <c r="E81" s="199"/>
      <c r="F81" s="199"/>
      <c r="G81" s="199"/>
      <c r="H81" s="1545"/>
      <c r="I81" s="1545"/>
      <c r="J81" s="1545"/>
      <c r="K81" s="1550"/>
      <c r="L81" s="2"/>
      <c r="M81" s="2"/>
      <c r="N81" s="2"/>
      <c r="O81" s="2"/>
      <c r="P81" s="2"/>
      <c r="Q81" s="2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</row>
    <row r="82" spans="1:33" ht="15" x14ac:dyDescent="0.2">
      <c r="A82" s="2"/>
      <c r="B82" s="273" t="s">
        <v>449</v>
      </c>
      <c r="C82" s="195"/>
      <c r="D82" s="195"/>
      <c r="E82" s="195"/>
      <c r="F82" s="195"/>
      <c r="G82" s="195"/>
      <c r="H82" s="1546"/>
      <c r="I82" s="1546"/>
      <c r="J82" s="1546"/>
      <c r="K82" s="1551"/>
      <c r="L82" s="2"/>
      <c r="M82" s="2"/>
      <c r="N82" s="2"/>
      <c r="O82" s="2"/>
      <c r="P82" s="2"/>
      <c r="Q82" s="2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</row>
    <row r="83" spans="1:33" ht="15" x14ac:dyDescent="0.2">
      <c r="A83" s="200"/>
      <c r="B83" s="201" t="s">
        <v>275</v>
      </c>
      <c r="C83" s="199"/>
      <c r="D83" s="199"/>
      <c r="E83" s="199"/>
      <c r="F83" s="199"/>
      <c r="G83" s="199"/>
      <c r="H83" s="1545"/>
      <c r="I83" s="1545"/>
      <c r="J83" s="1545"/>
      <c r="K83" s="1550"/>
      <c r="L83" s="2"/>
      <c r="M83" s="2"/>
      <c r="N83" s="2"/>
      <c r="O83" s="2"/>
      <c r="P83" s="2"/>
      <c r="Q83" s="2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</row>
    <row r="84" spans="1:33" ht="15.75" thickBot="1" x14ac:dyDescent="0.25">
      <c r="A84" s="200"/>
      <c r="B84" s="272" t="str">
        <f>CONCATENATE('Блок ввода'!M11," ",'Блок ввода'!O11)</f>
        <v>ст. лейтенант М.СОКОЛОВ</v>
      </c>
      <c r="C84" s="203"/>
      <c r="D84" s="203"/>
      <c r="E84" s="203"/>
      <c r="F84" s="203"/>
      <c r="G84" s="203"/>
      <c r="H84" s="1557"/>
      <c r="I84" s="1557"/>
      <c r="J84" s="1557"/>
      <c r="K84" s="1552"/>
      <c r="L84" s="2"/>
      <c r="M84" s="2"/>
      <c r="N84" s="2"/>
      <c r="O84" s="2"/>
      <c r="P84" s="2"/>
      <c r="Q84" s="2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</row>
    <row r="85" spans="1:33" x14ac:dyDescent="0.2">
      <c r="A85" s="200"/>
      <c r="B85" s="259"/>
      <c r="C85" s="80"/>
      <c r="D85" s="80"/>
      <c r="E85" s="80"/>
      <c r="F85" s="80"/>
      <c r="G85" s="80"/>
      <c r="H85" s="80"/>
      <c r="I85" s="80"/>
      <c r="J85" s="80"/>
      <c r="K85" s="206">
        <f>M2</f>
        <v>0</v>
      </c>
      <c r="L85" s="2"/>
      <c r="M85" s="2"/>
      <c r="N85" s="2"/>
      <c r="O85" s="2"/>
      <c r="P85" s="2"/>
      <c r="Q85" s="2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</row>
    <row r="86" spans="1:33" x14ac:dyDescent="0.2">
      <c r="A86" s="200"/>
      <c r="B86" s="207" t="s">
        <v>354</v>
      </c>
      <c r="C86" s="208"/>
      <c r="D86" s="207" t="s">
        <v>355</v>
      </c>
      <c r="E86" s="207" t="s">
        <v>356</v>
      </c>
      <c r="F86" s="207" t="s">
        <v>357</v>
      </c>
      <c r="G86" s="80"/>
      <c r="H86" s="80"/>
      <c r="I86" s="80"/>
      <c r="J86" s="80"/>
      <c r="K86" s="206">
        <f>M4</f>
        <v>0</v>
      </c>
      <c r="L86" s="2"/>
      <c r="M86" s="2"/>
      <c r="N86" s="2"/>
      <c r="O86" s="2"/>
      <c r="P86" s="2"/>
      <c r="Q86" s="2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</row>
    <row r="87" spans="1:33" x14ac:dyDescent="0.2">
      <c r="A87" s="2"/>
      <c r="B87" s="789" t="str">
        <f>'Блок ввода'!AI4</f>
        <v>ПОДРАЗДЕЛЕНИЕ № 1</v>
      </c>
      <c r="C87" s="790" t="s">
        <v>546</v>
      </c>
      <c r="D87" s="224"/>
      <c r="E87" s="224"/>
      <c r="F87" s="224"/>
      <c r="G87" s="80"/>
      <c r="H87" s="80"/>
      <c r="I87" s="80"/>
      <c r="J87" s="1600" t="str">
        <f>CONCATENATE("ОКГ = ",'Раскладка продуктов'!A119)</f>
        <v>ОКГ = 1650</v>
      </c>
      <c r="K87" s="1600"/>
      <c r="L87" s="2"/>
      <c r="M87" s="2"/>
      <c r="N87" s="2"/>
      <c r="O87" s="2"/>
      <c r="P87" s="2"/>
      <c r="Q87" s="2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</row>
    <row r="88" spans="1:33" x14ac:dyDescent="0.2">
      <c r="A88" s="2"/>
      <c r="B88" s="789" t="str">
        <f>'Блок ввода'!AI5</f>
        <v>ПОДРАЗДЕЛЕНИЕ № 2</v>
      </c>
      <c r="C88" s="790" t="s">
        <v>546</v>
      </c>
      <c r="D88" s="224"/>
      <c r="E88" s="224"/>
      <c r="F88" s="224"/>
      <c r="G88" s="80"/>
      <c r="H88" s="80"/>
      <c r="I88" s="80"/>
      <c r="J88" s="80"/>
      <c r="K88" s="80"/>
      <c r="L88" s="2"/>
      <c r="M88" s="2"/>
      <c r="N88" s="2"/>
      <c r="O88" s="2"/>
      <c r="P88" s="2"/>
      <c r="Q88" s="2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</row>
    <row r="89" spans="1:33" x14ac:dyDescent="0.2">
      <c r="A89" s="2"/>
      <c r="B89" s="789" t="str">
        <f>'Блок ввода'!AI6</f>
        <v>ПОДРАЗДЕЛЕНИЕ № 3</v>
      </c>
      <c r="C89" s="790" t="s">
        <v>546</v>
      </c>
      <c r="D89" s="224"/>
      <c r="E89" s="224"/>
      <c r="F89" s="224"/>
      <c r="G89" s="80"/>
      <c r="H89" s="80"/>
      <c r="I89" s="80"/>
      <c r="J89" s="80"/>
      <c r="K89" s="80"/>
      <c r="L89" s="2"/>
      <c r="M89" s="2"/>
      <c r="N89" s="2"/>
      <c r="O89" s="2"/>
      <c r="P89" s="2"/>
      <c r="Q89" s="2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</row>
    <row r="90" spans="1:33" x14ac:dyDescent="0.2">
      <c r="A90" s="2"/>
      <c r="B90" s="789" t="str">
        <f>'Блок ввода'!AI7</f>
        <v>ПОДРАЗДЕЛЕНИЕ № 4</v>
      </c>
      <c r="C90" s="790" t="s">
        <v>546</v>
      </c>
      <c r="D90" s="224"/>
      <c r="E90" s="224"/>
      <c r="F90" s="224"/>
      <c r="G90" s="80"/>
      <c r="H90" s="80"/>
      <c r="I90" s="80"/>
      <c r="J90" s="80"/>
      <c r="K90" s="80"/>
      <c r="L90" s="2"/>
      <c r="M90" s="2"/>
      <c r="N90" s="2"/>
      <c r="O90" s="2"/>
      <c r="P90" s="2"/>
      <c r="Q90" s="2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</row>
    <row r="91" spans="1:33" x14ac:dyDescent="0.2">
      <c r="A91" s="2"/>
      <c r="B91" s="789" t="str">
        <f>'Блок ввода'!AI8</f>
        <v>ПОДРАЗДЕЛЕНИЕ № 5</v>
      </c>
      <c r="C91" s="790" t="s">
        <v>546</v>
      </c>
      <c r="D91" s="224"/>
      <c r="E91" s="224"/>
      <c r="F91" s="224"/>
      <c r="G91" s="80"/>
      <c r="H91" s="80"/>
      <c r="I91" s="80"/>
      <c r="J91" s="80"/>
      <c r="K91" s="80"/>
      <c r="L91" s="2"/>
      <c r="M91" s="2"/>
      <c r="N91" s="2"/>
      <c r="O91" s="2"/>
      <c r="P91" s="2"/>
      <c r="Q91" s="2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</row>
    <row r="92" spans="1:33" x14ac:dyDescent="0.2">
      <c r="A92" s="2"/>
      <c r="B92" s="789" t="str">
        <f>'Блок ввода'!AI9</f>
        <v>ПОДРАЗДЕЛЕНИЕ № 6</v>
      </c>
      <c r="C92" s="790" t="s">
        <v>546</v>
      </c>
      <c r="D92" s="224"/>
      <c r="E92" s="224"/>
      <c r="F92" s="224"/>
      <c r="G92" s="80"/>
      <c r="H92" s="80"/>
      <c r="I92" s="80"/>
      <c r="J92" s="80"/>
      <c r="K92" s="80"/>
      <c r="L92" s="2"/>
      <c r="M92" s="2"/>
      <c r="N92" s="2"/>
      <c r="O92" s="2"/>
      <c r="P92" s="2"/>
      <c r="Q92" s="2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</row>
    <row r="93" spans="1:33" x14ac:dyDescent="0.2">
      <c r="A93" s="2"/>
      <c r="B93" s="789" t="str">
        <f>'Блок ввода'!AI10</f>
        <v>ПОДРАЗДЕЛЕНИЕ № 7</v>
      </c>
      <c r="C93" s="790" t="s">
        <v>546</v>
      </c>
      <c r="D93" s="224"/>
      <c r="E93" s="224"/>
      <c r="F93" s="224"/>
      <c r="G93" s="80"/>
      <c r="H93" s="80"/>
      <c r="I93" s="80"/>
      <c r="J93" s="80"/>
      <c r="K93" s="80"/>
      <c r="L93" s="2"/>
      <c r="M93" s="2"/>
      <c r="N93" s="2"/>
      <c r="O93" s="2"/>
      <c r="P93" s="2"/>
      <c r="Q93" s="2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</row>
    <row r="94" spans="1:33" x14ac:dyDescent="0.2">
      <c r="A94" s="2"/>
      <c r="B94" s="789" t="str">
        <f>'Блок ввода'!AI11</f>
        <v>ПОДРАЗДЕЛЕНИЕ № 8</v>
      </c>
      <c r="C94" s="790" t="s">
        <v>546</v>
      </c>
      <c r="D94" s="224"/>
      <c r="E94" s="224"/>
      <c r="F94" s="224"/>
      <c r="G94" s="80"/>
      <c r="H94" s="80"/>
      <c r="I94" s="80"/>
      <c r="J94" s="80"/>
      <c r="K94" s="80"/>
      <c r="L94" s="2"/>
      <c r="M94" s="2"/>
      <c r="N94" s="2"/>
      <c r="O94" s="2"/>
      <c r="P94" s="2"/>
      <c r="Q94" s="2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</row>
    <row r="95" spans="1:33" x14ac:dyDescent="0.2">
      <c r="A95" s="2"/>
      <c r="B95" s="789" t="str">
        <f>'Блок ввода'!AI12</f>
        <v>ПОДРАЗДЕЛЕНИЕ № 9</v>
      </c>
      <c r="C95" s="790" t="s">
        <v>546</v>
      </c>
      <c r="D95" s="5"/>
      <c r="E95" s="5"/>
      <c r="F95" s="5"/>
      <c r="G95" s="80"/>
      <c r="H95" s="80"/>
      <c r="I95" s="80"/>
      <c r="J95" s="80"/>
      <c r="K95" s="80"/>
      <c r="L95" s="2"/>
      <c r="M95" s="2"/>
      <c r="N95" s="2"/>
      <c r="O95" s="2"/>
      <c r="P95" s="2"/>
      <c r="Q95" s="2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</row>
    <row r="96" spans="1:33" x14ac:dyDescent="0.2">
      <c r="A96" s="2"/>
      <c r="B96" s="789" t="str">
        <f>'Блок ввода'!AI13</f>
        <v>ПОДРАЗДЕЛЕНИЕ № 10</v>
      </c>
      <c r="C96" s="790" t="s">
        <v>546</v>
      </c>
      <c r="D96" s="5"/>
      <c r="E96" s="5"/>
      <c r="F96" s="5"/>
      <c r="G96" s="80"/>
      <c r="H96" s="80"/>
      <c r="I96" s="80"/>
      <c r="J96" s="80"/>
      <c r="K96" s="80"/>
      <c r="L96" s="2"/>
      <c r="M96" s="2"/>
      <c r="N96" s="2"/>
      <c r="O96" s="2"/>
      <c r="P96" s="2"/>
      <c r="Q96" s="2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</row>
    <row r="97" spans="1:33" x14ac:dyDescent="0.2">
      <c r="A97" s="2"/>
      <c r="B97" s="132" t="s">
        <v>358</v>
      </c>
      <c r="C97" s="790" t="s">
        <v>546</v>
      </c>
      <c r="D97" s="209">
        <f>SUM(D87:D96)</f>
        <v>0</v>
      </c>
      <c r="E97" s="209">
        <f>SUM(E87:E96)</f>
        <v>0</v>
      </c>
      <c r="F97" s="209">
        <f>SUM(F87:F96)</f>
        <v>0</v>
      </c>
      <c r="G97" s="80"/>
      <c r="H97" s="80"/>
      <c r="I97" s="80"/>
      <c r="J97" s="80"/>
      <c r="K97" s="80"/>
      <c r="L97" s="2"/>
      <c r="M97" s="2"/>
      <c r="N97" s="2"/>
      <c r="O97" s="2"/>
      <c r="P97" s="2"/>
      <c r="Q97" s="2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</row>
    <row r="98" spans="1:33" ht="13.5" thickBot="1" x14ac:dyDescent="0.25">
      <c r="A98" s="2"/>
      <c r="B98" s="1554" t="s">
        <v>236</v>
      </c>
      <c r="C98" s="1554"/>
      <c r="D98" s="1554"/>
      <c r="E98" s="1554"/>
      <c r="F98" s="1554"/>
      <c r="G98" s="1554"/>
      <c r="H98" s="1554"/>
      <c r="I98" s="1554"/>
      <c r="J98" s="1554"/>
      <c r="K98" s="1554"/>
      <c r="L98" s="2"/>
      <c r="M98" s="2"/>
      <c r="N98" s="2"/>
      <c r="O98" s="2"/>
      <c r="P98" s="2"/>
      <c r="Q98" s="2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</row>
    <row r="99" spans="1:33" x14ac:dyDescent="0.2">
      <c r="A99" s="2"/>
      <c r="B99" s="2"/>
      <c r="C99" s="137"/>
      <c r="D99" s="137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</row>
    <row r="100" spans="1:33" x14ac:dyDescent="0.2">
      <c r="A100" s="2"/>
      <c r="B100" s="210" t="s">
        <v>235</v>
      </c>
      <c r="C100" s="210"/>
      <c r="D100" s="210"/>
      <c r="E100" s="1555">
        <f>C4</f>
        <v>40096</v>
      </c>
      <c r="F100" s="1555"/>
      <c r="G100" s="1555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</row>
    <row r="101" spans="1:33" ht="13.5" thickBo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80"/>
      <c r="S101" s="80"/>
      <c r="T101" s="80"/>
      <c r="U101" s="302">
        <v>2</v>
      </c>
      <c r="V101" s="479">
        <v>100</v>
      </c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</row>
    <row r="102" spans="1:33" ht="16.5" thickBot="1" x14ac:dyDescent="0.3">
      <c r="A102" s="2"/>
      <c r="B102" s="211" t="s">
        <v>162</v>
      </c>
      <c r="C102" s="212" t="s">
        <v>163</v>
      </c>
      <c r="D102" s="213"/>
      <c r="E102" s="214"/>
      <c r="F102" s="215"/>
      <c r="G102" s="216">
        <f>J102/('Блок ввода'!$H$22/1000)</f>
        <v>0</v>
      </c>
      <c r="H102" s="215" t="s">
        <v>545</v>
      </c>
      <c r="I102" s="217"/>
      <c r="J102" s="218">
        <f>IF(U101=1,U102,K9)</f>
        <v>0</v>
      </c>
      <c r="K102" s="219" t="s">
        <v>163</v>
      </c>
      <c r="L102" s="2"/>
      <c r="M102" s="2"/>
      <c r="N102" s="2"/>
      <c r="O102" s="2"/>
      <c r="P102" s="2"/>
      <c r="Q102" s="2"/>
      <c r="R102" s="80"/>
      <c r="S102" s="80"/>
      <c r="T102" s="80"/>
      <c r="U102" s="302">
        <f>0</f>
        <v>0</v>
      </c>
      <c r="V102" s="479">
        <v>0</v>
      </c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</row>
    <row r="103" spans="1:33" ht="16.5" thickBot="1" x14ac:dyDescent="0.3">
      <c r="A103" s="2"/>
      <c r="B103" s="220" t="str">
        <f>IF('Блок ввода'!H120=TRUE,"ХЛЕБ ИЗ ПШЕНИЧНОЙ МУКИ В\С","ХЛЕБ ПШЕНИЧНЫЙ ИЗ МУКИ 1 С.")</f>
        <v>ХЛЕБ ПШЕНИЧНЫЙ ИЗ МУКИ 1 С.</v>
      </c>
      <c r="C103" s="212" t="s">
        <v>163</v>
      </c>
      <c r="D103" s="221"/>
      <c r="E103" s="214"/>
      <c r="F103" s="215"/>
      <c r="G103" s="216">
        <f>J103/('Блок ввода'!$H$23/1000)</f>
        <v>0</v>
      </c>
      <c r="H103" s="215" t="s">
        <v>545</v>
      </c>
      <c r="I103" s="217"/>
      <c r="J103" s="218">
        <f>IF(U101=1,U103,K10)</f>
        <v>0</v>
      </c>
      <c r="K103" s="219" t="s">
        <v>163</v>
      </c>
      <c r="L103" s="2"/>
      <c r="M103" s="2"/>
      <c r="N103" s="2"/>
      <c r="O103" s="2"/>
      <c r="P103" s="2"/>
      <c r="Q103" s="2"/>
      <c r="R103" s="80"/>
      <c r="S103" s="80"/>
      <c r="T103" s="80"/>
      <c r="U103" s="302">
        <f>0</f>
        <v>0</v>
      </c>
      <c r="V103" s="302">
        <v>2</v>
      </c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</row>
    <row r="104" spans="1:33" ht="15" x14ac:dyDescent="0.2">
      <c r="A104" s="2"/>
      <c r="B104" s="222" t="s">
        <v>237</v>
      </c>
      <c r="C104" s="80"/>
      <c r="D104" s="80"/>
      <c r="E104" s="223"/>
      <c r="F104" s="223"/>
      <c r="G104" s="1553" t="str">
        <f>J75</f>
        <v>С.ФЕДОРОВА</v>
      </c>
      <c r="H104" s="1553"/>
      <c r="I104" s="1553"/>
      <c r="J104" s="80"/>
      <c r="K104" s="80"/>
      <c r="L104" s="2"/>
      <c r="M104" s="2"/>
      <c r="N104" s="2"/>
      <c r="O104" s="2"/>
      <c r="P104" s="2"/>
      <c r="Q104" s="2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</row>
    <row r="105" spans="1:33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</row>
    <row r="106" spans="1:33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</row>
    <row r="107" spans="1:33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</row>
    <row r="108" spans="1:33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</row>
    <row r="109" spans="1:33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</row>
    <row r="110" spans="1:33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</row>
    <row r="111" spans="1:33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</row>
    <row r="112" spans="1:33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</row>
    <row r="113" spans="1:33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</row>
    <row r="114" spans="1:33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</row>
    <row r="115" spans="1:33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</row>
    <row r="116" spans="1:33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</row>
    <row r="117" spans="1:33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</row>
    <row r="118" spans="1:33" x14ac:dyDescent="0.2">
      <c r="A118" s="2"/>
      <c r="B118" s="80"/>
      <c r="C118" s="80"/>
      <c r="D118" s="80"/>
      <c r="E118" s="80"/>
      <c r="F118" s="80"/>
      <c r="G118" s="80"/>
      <c r="H118" s="80"/>
      <c r="I118" s="80"/>
      <c r="J118" s="80"/>
      <c r="K118" s="80"/>
      <c r="L118" s="2"/>
      <c r="M118" s="2"/>
      <c r="N118" s="2"/>
      <c r="O118" s="2"/>
      <c r="P118" s="2"/>
      <c r="Q118" s="2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</row>
    <row r="119" spans="1:33" x14ac:dyDescent="0.2">
      <c r="A119" s="2"/>
      <c r="B119" s="80"/>
      <c r="C119" s="80"/>
      <c r="D119" s="80"/>
      <c r="E119" s="80"/>
      <c r="F119" s="80"/>
      <c r="G119" s="80"/>
      <c r="H119" s="80"/>
      <c r="I119" s="80"/>
      <c r="J119" s="80"/>
      <c r="K119" s="80"/>
      <c r="L119" s="2"/>
      <c r="M119" s="2"/>
      <c r="N119" s="2"/>
      <c r="O119" s="2"/>
      <c r="P119" s="2"/>
      <c r="Q119" s="2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</row>
    <row r="120" spans="1:33" x14ac:dyDescent="0.2">
      <c r="A120" s="2"/>
      <c r="B120" s="80"/>
      <c r="C120" s="80"/>
      <c r="D120" s="80"/>
      <c r="E120" s="80"/>
      <c r="F120" s="80"/>
      <c r="G120" s="80"/>
      <c r="H120" s="80"/>
      <c r="I120" s="80"/>
      <c r="J120" s="80"/>
      <c r="K120" s="80"/>
      <c r="L120" s="2"/>
      <c r="M120" s="2"/>
      <c r="N120" s="2"/>
      <c r="O120" s="2"/>
      <c r="P120" s="2"/>
      <c r="Q120" s="2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</row>
    <row r="121" spans="1:33" x14ac:dyDescent="0.2">
      <c r="A121" s="2"/>
      <c r="B121" s="80"/>
      <c r="C121" s="80"/>
      <c r="D121" s="80"/>
      <c r="E121" s="80"/>
      <c r="F121" s="80"/>
      <c r="G121" s="80"/>
      <c r="H121" s="80"/>
      <c r="I121" s="80"/>
      <c r="J121" s="80"/>
      <c r="K121" s="80"/>
      <c r="L121" s="2"/>
      <c r="M121" s="2"/>
      <c r="N121" s="2"/>
      <c r="O121" s="2"/>
      <c r="P121" s="2"/>
      <c r="Q121" s="2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</row>
    <row r="122" spans="1:33" x14ac:dyDescent="0.2">
      <c r="A122" s="2"/>
      <c r="B122" s="80"/>
      <c r="C122" s="80"/>
      <c r="D122" s="80"/>
      <c r="E122" s="80"/>
      <c r="F122" s="80"/>
      <c r="G122" s="80"/>
      <c r="H122" s="80"/>
      <c r="I122" s="80"/>
      <c r="J122" s="80"/>
      <c r="K122" s="80"/>
      <c r="L122" s="2"/>
      <c r="M122" s="2"/>
      <c r="N122" s="2"/>
      <c r="O122" s="2"/>
      <c r="P122" s="2"/>
      <c r="Q122" s="2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</row>
    <row r="123" spans="1:33" x14ac:dyDescent="0.2">
      <c r="A123" s="2"/>
      <c r="B123" s="80"/>
      <c r="C123" s="80"/>
      <c r="D123" s="80"/>
      <c r="E123" s="80"/>
      <c r="F123" s="80"/>
      <c r="G123" s="80"/>
      <c r="H123" s="80"/>
      <c r="I123" s="80"/>
      <c r="J123" s="80"/>
      <c r="K123" s="80"/>
      <c r="L123" s="2"/>
      <c r="M123" s="2"/>
      <c r="N123" s="2"/>
      <c r="O123" s="2"/>
      <c r="P123" s="2"/>
      <c r="Q123" s="2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</row>
    <row r="124" spans="1:33" x14ac:dyDescent="0.2">
      <c r="A124" s="2"/>
      <c r="B124" s="80"/>
      <c r="C124" s="80"/>
      <c r="D124" s="80"/>
      <c r="E124" s="80"/>
      <c r="F124" s="80"/>
      <c r="G124" s="80"/>
      <c r="H124" s="80"/>
      <c r="I124" s="80"/>
      <c r="J124" s="80"/>
      <c r="K124" s="80"/>
      <c r="L124" s="2"/>
      <c r="M124" s="2"/>
      <c r="N124" s="2"/>
      <c r="O124" s="2"/>
      <c r="P124" s="2"/>
      <c r="Q124" s="2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</row>
    <row r="125" spans="1:33" x14ac:dyDescent="0.2">
      <c r="A125" s="2"/>
      <c r="B125" s="80"/>
      <c r="C125" s="80"/>
      <c r="D125" s="80"/>
      <c r="E125" s="80"/>
      <c r="F125" s="80"/>
      <c r="G125" s="80"/>
      <c r="H125" s="80"/>
      <c r="I125" s="80"/>
      <c r="J125" s="80"/>
      <c r="K125" s="80"/>
      <c r="L125" s="2"/>
      <c r="M125" s="2"/>
      <c r="N125" s="2"/>
      <c r="O125" s="2"/>
      <c r="P125" s="2"/>
      <c r="Q125" s="2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</row>
    <row r="126" spans="1:33" x14ac:dyDescent="0.2">
      <c r="A126" s="2"/>
      <c r="B126" s="80"/>
      <c r="C126" s="80"/>
      <c r="D126" s="80"/>
      <c r="E126" s="80"/>
      <c r="F126" s="80"/>
      <c r="G126" s="80"/>
      <c r="H126" s="80"/>
      <c r="I126" s="80"/>
      <c r="J126" s="80"/>
      <c r="K126" s="80"/>
      <c r="L126" s="2"/>
      <c r="M126" s="2"/>
      <c r="N126" s="2"/>
      <c r="O126" s="2"/>
      <c r="P126" s="2"/>
      <c r="Q126" s="2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</row>
    <row r="127" spans="1:33" x14ac:dyDescent="0.2">
      <c r="A127" s="2"/>
      <c r="B127" s="80"/>
      <c r="C127" s="80"/>
      <c r="D127" s="80"/>
      <c r="E127" s="80"/>
      <c r="F127" s="80"/>
      <c r="G127" s="80"/>
      <c r="H127" s="80"/>
      <c r="I127" s="80"/>
      <c r="J127" s="80"/>
      <c r="K127" s="80"/>
      <c r="L127" s="2"/>
      <c r="M127" s="2"/>
      <c r="N127" s="2"/>
      <c r="O127" s="2"/>
      <c r="P127" s="2"/>
      <c r="Q127" s="2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</row>
    <row r="128" spans="1:33" x14ac:dyDescent="0.2">
      <c r="A128" s="2"/>
      <c r="B128" s="80"/>
      <c r="C128" s="80"/>
      <c r="D128" s="80"/>
      <c r="E128" s="80"/>
      <c r="F128" s="80"/>
      <c r="G128" s="80"/>
      <c r="H128" s="80"/>
      <c r="I128" s="80"/>
      <c r="J128" s="80"/>
      <c r="K128" s="80"/>
      <c r="L128" s="2"/>
      <c r="M128" s="2"/>
      <c r="N128" s="2"/>
      <c r="O128" s="2"/>
      <c r="P128" s="2"/>
      <c r="Q128" s="2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</row>
    <row r="129" spans="1:33" x14ac:dyDescent="0.2">
      <c r="A129" s="2"/>
      <c r="B129" s="80"/>
      <c r="C129" s="80"/>
      <c r="D129" s="80"/>
      <c r="E129" s="80"/>
      <c r="F129" s="80"/>
      <c r="G129" s="80"/>
      <c r="H129" s="80"/>
      <c r="I129" s="80"/>
      <c r="J129" s="80"/>
      <c r="K129" s="80"/>
      <c r="L129" s="2"/>
      <c r="M129" s="2"/>
      <c r="N129" s="2"/>
      <c r="O129" s="2"/>
      <c r="P129" s="2"/>
      <c r="Q129" s="2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</row>
    <row r="130" spans="1:33" x14ac:dyDescent="0.2">
      <c r="A130" s="2"/>
      <c r="B130" s="80"/>
      <c r="C130" s="80"/>
      <c r="D130" s="80"/>
      <c r="E130" s="80"/>
      <c r="F130" s="80"/>
      <c r="G130" s="80"/>
      <c r="H130" s="80"/>
      <c r="I130" s="80"/>
      <c r="J130" s="80"/>
      <c r="K130" s="80"/>
      <c r="L130" s="2"/>
      <c r="M130" s="2"/>
      <c r="N130" s="2"/>
      <c r="O130" s="2"/>
      <c r="P130" s="2"/>
      <c r="Q130" s="2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</row>
    <row r="131" spans="1:33" x14ac:dyDescent="0.2">
      <c r="A131" s="2"/>
      <c r="B131" s="80"/>
      <c r="C131" s="80"/>
      <c r="D131" s="80"/>
      <c r="E131" s="80"/>
      <c r="F131" s="80"/>
      <c r="G131" s="80"/>
      <c r="H131" s="80"/>
      <c r="I131" s="80"/>
      <c r="J131" s="80"/>
      <c r="K131" s="80"/>
      <c r="L131" s="2"/>
      <c r="M131" s="2"/>
      <c r="N131" s="2"/>
      <c r="O131" s="2"/>
      <c r="P131" s="2"/>
      <c r="Q131" s="2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</row>
    <row r="132" spans="1:33" x14ac:dyDescent="0.2">
      <c r="A132" s="2"/>
      <c r="B132" s="80"/>
      <c r="C132" s="80"/>
      <c r="D132" s="80"/>
      <c r="E132" s="80"/>
      <c r="F132" s="80"/>
      <c r="G132" s="80"/>
      <c r="H132" s="80"/>
      <c r="I132" s="80"/>
      <c r="J132" s="80"/>
      <c r="K132" s="80"/>
      <c r="L132" s="2"/>
      <c r="M132" s="2"/>
      <c r="N132" s="2"/>
      <c r="O132" s="2"/>
      <c r="P132" s="2"/>
      <c r="Q132" s="2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</row>
    <row r="133" spans="1:33" x14ac:dyDescent="0.2">
      <c r="A133" s="2"/>
      <c r="B133" s="80"/>
      <c r="C133" s="80"/>
      <c r="D133" s="80"/>
      <c r="E133" s="80"/>
      <c r="F133" s="80"/>
      <c r="G133" s="80"/>
      <c r="H133" s="80"/>
      <c r="I133" s="80"/>
      <c r="J133" s="80"/>
      <c r="K133" s="80"/>
      <c r="L133" s="2"/>
      <c r="M133" s="2"/>
      <c r="N133" s="2"/>
      <c r="O133" s="2"/>
      <c r="P133" s="2"/>
      <c r="Q133" s="2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</row>
    <row r="134" spans="1:33" x14ac:dyDescent="0.2">
      <c r="A134" s="2"/>
      <c r="B134" s="80"/>
      <c r="C134" s="80"/>
      <c r="D134" s="80"/>
      <c r="E134" s="80"/>
      <c r="F134" s="80"/>
      <c r="G134" s="80"/>
      <c r="H134" s="80"/>
      <c r="I134" s="80"/>
      <c r="J134" s="80"/>
      <c r="K134" s="80"/>
      <c r="L134" s="2"/>
      <c r="M134" s="2"/>
      <c r="N134" s="2"/>
      <c r="O134" s="2"/>
      <c r="P134" s="2"/>
      <c r="Q134" s="2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</row>
    <row r="135" spans="1:33" x14ac:dyDescent="0.2">
      <c r="A135" s="2"/>
      <c r="B135" s="80"/>
      <c r="C135" s="80"/>
      <c r="D135" s="80"/>
      <c r="E135" s="80"/>
      <c r="F135" s="80"/>
      <c r="G135" s="80"/>
      <c r="H135" s="80"/>
      <c r="I135" s="80"/>
      <c r="J135" s="80"/>
      <c r="K135" s="80"/>
      <c r="L135" s="2"/>
      <c r="M135" s="2"/>
      <c r="N135" s="2"/>
      <c r="O135" s="2"/>
      <c r="P135" s="2"/>
      <c r="Q135" s="2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</row>
    <row r="136" spans="1:33" x14ac:dyDescent="0.2">
      <c r="A136" s="2"/>
      <c r="B136" s="80"/>
      <c r="C136" s="80"/>
      <c r="D136" s="80"/>
      <c r="E136" s="80"/>
      <c r="F136" s="80"/>
      <c r="G136" s="80"/>
      <c r="H136" s="80"/>
      <c r="I136" s="80"/>
      <c r="J136" s="80"/>
      <c r="K136" s="80"/>
      <c r="L136" s="2"/>
      <c r="M136" s="2"/>
      <c r="N136" s="2"/>
      <c r="O136" s="2"/>
      <c r="P136" s="2"/>
      <c r="Q136" s="2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</row>
    <row r="137" spans="1:33" x14ac:dyDescent="0.2">
      <c r="A137" s="2"/>
      <c r="B137" s="80"/>
      <c r="C137" s="80"/>
      <c r="D137" s="80"/>
      <c r="E137" s="80"/>
      <c r="F137" s="80"/>
      <c r="G137" s="80"/>
      <c r="H137" s="80"/>
      <c r="I137" s="80"/>
      <c r="J137" s="80"/>
      <c r="K137" s="80"/>
      <c r="L137" s="2"/>
      <c r="M137" s="2"/>
      <c r="N137" s="2"/>
      <c r="O137" s="2"/>
      <c r="P137" s="2"/>
      <c r="Q137" s="2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</row>
    <row r="138" spans="1:33" x14ac:dyDescent="0.2">
      <c r="A138" s="2"/>
      <c r="B138" s="80"/>
      <c r="C138" s="80"/>
      <c r="D138" s="80"/>
      <c r="E138" s="80"/>
      <c r="F138" s="80"/>
      <c r="G138" s="80"/>
      <c r="H138" s="80"/>
      <c r="I138" s="80"/>
      <c r="J138" s="80"/>
      <c r="K138" s="80"/>
      <c r="L138" s="2"/>
      <c r="M138" s="2"/>
      <c r="N138" s="2"/>
      <c r="O138" s="2"/>
      <c r="P138" s="2"/>
      <c r="Q138" s="2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</row>
    <row r="139" spans="1:33" x14ac:dyDescent="0.2">
      <c r="A139" s="2"/>
      <c r="B139" s="80"/>
      <c r="C139" s="80"/>
      <c r="D139" s="80"/>
      <c r="E139" s="80"/>
      <c r="F139" s="80"/>
      <c r="G139" s="80"/>
      <c r="H139" s="80"/>
      <c r="I139" s="80"/>
      <c r="J139" s="80"/>
      <c r="K139" s="80"/>
      <c r="L139" s="2"/>
      <c r="M139" s="2"/>
      <c r="N139" s="2"/>
      <c r="O139" s="2"/>
      <c r="P139" s="2"/>
      <c r="Q139" s="2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</row>
    <row r="140" spans="1:33" x14ac:dyDescent="0.2">
      <c r="A140" s="2"/>
      <c r="B140" s="80"/>
      <c r="C140" s="80"/>
      <c r="D140" s="80"/>
      <c r="E140" s="80"/>
      <c r="F140" s="80"/>
      <c r="G140" s="80"/>
      <c r="H140" s="80"/>
      <c r="I140" s="80"/>
      <c r="J140" s="80"/>
      <c r="K140" s="80"/>
      <c r="L140" s="2"/>
      <c r="M140" s="2"/>
      <c r="N140" s="2"/>
      <c r="O140" s="2"/>
      <c r="P140" s="2"/>
      <c r="Q140" s="2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</row>
    <row r="141" spans="1:33" x14ac:dyDescent="0.2">
      <c r="A141" s="2"/>
      <c r="B141" s="80"/>
      <c r="C141" s="80"/>
      <c r="D141" s="80"/>
      <c r="E141" s="80"/>
      <c r="F141" s="80"/>
      <c r="G141" s="80"/>
      <c r="H141" s="80"/>
      <c r="I141" s="80"/>
      <c r="J141" s="80"/>
      <c r="K141" s="80"/>
      <c r="L141" s="2"/>
      <c r="M141" s="2"/>
      <c r="N141" s="2"/>
      <c r="O141" s="2"/>
      <c r="P141" s="2"/>
      <c r="Q141" s="2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</row>
    <row r="142" spans="1:33" x14ac:dyDescent="0.2">
      <c r="A142" s="2"/>
      <c r="B142" s="80"/>
      <c r="C142" s="80"/>
      <c r="D142" s="80"/>
      <c r="E142" s="80"/>
      <c r="F142" s="80"/>
      <c r="G142" s="80"/>
      <c r="H142" s="80"/>
      <c r="I142" s="80"/>
      <c r="J142" s="80"/>
      <c r="K142" s="80"/>
      <c r="L142" s="2"/>
      <c r="M142" s="2"/>
      <c r="N142" s="2"/>
      <c r="O142" s="2"/>
      <c r="P142" s="2"/>
      <c r="Q142" s="2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</row>
    <row r="143" spans="1:33" x14ac:dyDescent="0.2">
      <c r="A143" s="2"/>
      <c r="B143" s="80"/>
      <c r="C143" s="80"/>
      <c r="D143" s="80"/>
      <c r="E143" s="80"/>
      <c r="F143" s="80"/>
      <c r="G143" s="80"/>
      <c r="H143" s="80"/>
      <c r="I143" s="80"/>
      <c r="J143" s="80"/>
      <c r="K143" s="80"/>
      <c r="L143" s="2"/>
      <c r="M143" s="2"/>
      <c r="N143" s="2"/>
      <c r="O143" s="2"/>
      <c r="P143" s="2"/>
      <c r="Q143" s="2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</row>
    <row r="144" spans="1:33" x14ac:dyDescent="0.2">
      <c r="A144" s="2"/>
      <c r="B144" s="80"/>
      <c r="C144" s="80"/>
      <c r="D144" s="80"/>
      <c r="E144" s="80"/>
      <c r="F144" s="80"/>
      <c r="G144" s="80"/>
      <c r="H144" s="80"/>
      <c r="I144" s="80"/>
      <c r="J144" s="80"/>
      <c r="K144" s="80"/>
      <c r="L144" s="2"/>
      <c r="M144" s="2"/>
      <c r="N144" s="2"/>
      <c r="O144" s="2"/>
      <c r="P144" s="2"/>
      <c r="Q144" s="2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</row>
    <row r="145" spans="1:33" x14ac:dyDescent="0.2">
      <c r="A145" s="2"/>
      <c r="B145" s="80"/>
      <c r="C145" s="80"/>
      <c r="D145" s="80"/>
      <c r="E145" s="80"/>
      <c r="F145" s="80"/>
      <c r="G145" s="80"/>
      <c r="H145" s="80"/>
      <c r="I145" s="80"/>
      <c r="J145" s="80"/>
      <c r="K145" s="80"/>
      <c r="L145" s="2"/>
      <c r="M145" s="2"/>
      <c r="N145" s="2"/>
      <c r="O145" s="2"/>
      <c r="P145" s="2"/>
      <c r="Q145" s="2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</row>
    <row r="146" spans="1:33" x14ac:dyDescent="0.2">
      <c r="A146" s="2"/>
      <c r="B146" s="80"/>
      <c r="C146" s="80"/>
      <c r="D146" s="80"/>
      <c r="E146" s="80"/>
      <c r="F146" s="80"/>
      <c r="G146" s="80"/>
      <c r="H146" s="80"/>
      <c r="I146" s="80"/>
      <c r="J146" s="80"/>
      <c r="K146" s="80"/>
      <c r="L146" s="2"/>
      <c r="M146" s="2"/>
      <c r="N146" s="2"/>
      <c r="O146" s="2"/>
      <c r="P146" s="2"/>
      <c r="Q146" s="2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</row>
    <row r="147" spans="1:33" x14ac:dyDescent="0.2">
      <c r="A147" s="2"/>
      <c r="B147" s="80"/>
      <c r="C147" s="80"/>
      <c r="D147" s="80"/>
      <c r="E147" s="80"/>
      <c r="F147" s="80"/>
      <c r="G147" s="80"/>
      <c r="H147" s="80"/>
      <c r="I147" s="80"/>
      <c r="J147" s="80"/>
      <c r="K147" s="80"/>
      <c r="L147" s="2"/>
      <c r="M147" s="2"/>
      <c r="N147" s="2"/>
      <c r="O147" s="2"/>
      <c r="P147" s="2"/>
      <c r="Q147" s="2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</row>
    <row r="148" spans="1:33" x14ac:dyDescent="0.2">
      <c r="A148" s="2"/>
      <c r="B148" s="80"/>
      <c r="C148" s="80"/>
      <c r="D148" s="80"/>
      <c r="E148" s="80"/>
      <c r="F148" s="80"/>
      <c r="G148" s="80"/>
      <c r="H148" s="80"/>
      <c r="I148" s="80"/>
      <c r="J148" s="80"/>
      <c r="K148" s="80"/>
      <c r="L148" s="2"/>
      <c r="M148" s="2"/>
      <c r="N148" s="2"/>
      <c r="O148" s="2"/>
      <c r="P148" s="2"/>
      <c r="Q148" s="2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</row>
    <row r="149" spans="1:33" x14ac:dyDescent="0.2">
      <c r="A149" s="2"/>
      <c r="B149" s="80"/>
      <c r="C149" s="80"/>
      <c r="D149" s="80"/>
      <c r="E149" s="80"/>
      <c r="F149" s="80"/>
      <c r="G149" s="80"/>
      <c r="H149" s="80"/>
      <c r="I149" s="80"/>
      <c r="J149" s="80"/>
      <c r="K149" s="80"/>
      <c r="L149" s="2"/>
      <c r="M149" s="2"/>
      <c r="N149" s="2"/>
      <c r="O149" s="2"/>
      <c r="P149" s="2"/>
      <c r="Q149" s="2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</row>
    <row r="150" spans="1:33" x14ac:dyDescent="0.2">
      <c r="A150" s="2"/>
      <c r="B150" s="80"/>
      <c r="C150" s="80"/>
      <c r="D150" s="80"/>
      <c r="E150" s="80"/>
      <c r="F150" s="80"/>
      <c r="G150" s="80"/>
      <c r="H150" s="80"/>
      <c r="I150" s="80"/>
      <c r="J150" s="80"/>
      <c r="K150" s="80"/>
      <c r="L150" s="2"/>
      <c r="M150" s="2"/>
      <c r="N150" s="2"/>
      <c r="O150" s="2"/>
      <c r="P150" s="2"/>
      <c r="Q150" s="2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</row>
    <row r="151" spans="1:33" x14ac:dyDescent="0.2">
      <c r="A151" s="2"/>
      <c r="B151" s="80"/>
      <c r="C151" s="80"/>
      <c r="D151" s="80"/>
      <c r="E151" s="80"/>
      <c r="F151" s="80"/>
      <c r="G151" s="80"/>
      <c r="H151" s="80"/>
      <c r="I151" s="80"/>
      <c r="J151" s="80"/>
      <c r="K151" s="80"/>
      <c r="L151" s="2"/>
      <c r="M151" s="2"/>
      <c r="N151" s="2"/>
      <c r="O151" s="2"/>
      <c r="P151" s="2"/>
      <c r="Q151" s="2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</row>
    <row r="152" spans="1:33" x14ac:dyDescent="0.2">
      <c r="A152" s="2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2"/>
      <c r="M152" s="2"/>
      <c r="N152" s="2"/>
      <c r="O152" s="2"/>
      <c r="P152" s="2"/>
      <c r="Q152" s="2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</row>
    <row r="153" spans="1:33" x14ac:dyDescent="0.2">
      <c r="A153" s="2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2"/>
      <c r="M153" s="2"/>
      <c r="N153" s="2"/>
      <c r="O153" s="2"/>
      <c r="P153" s="2"/>
      <c r="Q153" s="2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</row>
    <row r="154" spans="1:33" x14ac:dyDescent="0.2">
      <c r="A154" s="2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2"/>
      <c r="M154" s="2"/>
      <c r="N154" s="2"/>
      <c r="O154" s="2"/>
      <c r="P154" s="2"/>
      <c r="Q154" s="2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</row>
    <row r="155" spans="1:33" x14ac:dyDescent="0.2">
      <c r="A155" s="2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2"/>
      <c r="M155" s="2"/>
      <c r="N155" s="2"/>
      <c r="O155" s="2"/>
      <c r="P155" s="2"/>
      <c r="Q155" s="2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</row>
    <row r="156" spans="1:33" x14ac:dyDescent="0.2">
      <c r="A156" s="2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2"/>
      <c r="M156" s="2"/>
      <c r="N156" s="2"/>
      <c r="O156" s="2"/>
      <c r="P156" s="2"/>
      <c r="Q156" s="2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</row>
    <row r="157" spans="1:33" x14ac:dyDescent="0.2">
      <c r="A157" s="2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2"/>
      <c r="M157" s="2"/>
      <c r="N157" s="2"/>
      <c r="O157" s="2"/>
      <c r="P157" s="2"/>
      <c r="Q157" s="2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</row>
    <row r="158" spans="1:33" x14ac:dyDescent="0.2">
      <c r="A158" s="2"/>
      <c r="B158" s="80"/>
      <c r="C158" s="80"/>
      <c r="D158" s="80"/>
      <c r="E158" s="80"/>
      <c r="F158" s="80"/>
      <c r="G158" s="80"/>
      <c r="H158" s="80"/>
      <c r="I158" s="80"/>
      <c r="J158" s="80"/>
      <c r="K158" s="80"/>
      <c r="L158" s="2"/>
      <c r="M158" s="2"/>
      <c r="N158" s="2"/>
      <c r="O158" s="2"/>
      <c r="P158" s="2"/>
      <c r="Q158" s="2"/>
      <c r="R158" s="80"/>
      <c r="S158" s="80"/>
      <c r="T158" s="80"/>
      <c r="U158" s="80"/>
      <c r="V158" s="80"/>
      <c r="W158" s="80"/>
      <c r="X158" s="80"/>
      <c r="Y158" s="80"/>
      <c r="Z158" s="80"/>
      <c r="AA158" s="80"/>
      <c r="AB158" s="80"/>
      <c r="AC158" s="80"/>
      <c r="AD158" s="80"/>
      <c r="AE158" s="80"/>
      <c r="AF158" s="80"/>
      <c r="AG158" s="80"/>
    </row>
    <row r="159" spans="1:33" x14ac:dyDescent="0.2">
      <c r="A159" s="2"/>
      <c r="B159" s="80"/>
      <c r="C159" s="80"/>
      <c r="D159" s="80"/>
      <c r="E159" s="80"/>
      <c r="F159" s="80"/>
      <c r="G159" s="80"/>
      <c r="H159" s="80"/>
      <c r="I159" s="80"/>
      <c r="J159" s="80"/>
      <c r="K159" s="80"/>
      <c r="L159" s="2"/>
      <c r="M159" s="2"/>
      <c r="N159" s="2"/>
      <c r="O159" s="2"/>
      <c r="P159" s="2"/>
      <c r="Q159" s="2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</row>
    <row r="160" spans="1:33" x14ac:dyDescent="0.2">
      <c r="A160" s="2"/>
      <c r="B160" s="80"/>
      <c r="C160" s="80"/>
      <c r="D160" s="80"/>
      <c r="E160" s="80"/>
      <c r="F160" s="80"/>
      <c r="G160" s="80"/>
      <c r="H160" s="80"/>
      <c r="I160" s="80"/>
      <c r="J160" s="80"/>
      <c r="K160" s="80"/>
      <c r="L160" s="2"/>
      <c r="M160" s="2"/>
      <c r="N160" s="2"/>
      <c r="O160" s="2"/>
      <c r="P160" s="2"/>
      <c r="Q160" s="2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</row>
    <row r="161" spans="1:33" x14ac:dyDescent="0.2">
      <c r="A161" s="2"/>
      <c r="B161" s="80"/>
      <c r="C161" s="80"/>
      <c r="D161" s="80"/>
      <c r="E161" s="80"/>
      <c r="F161" s="80"/>
      <c r="G161" s="80"/>
      <c r="H161" s="80"/>
      <c r="I161" s="80"/>
      <c r="J161" s="80"/>
      <c r="K161" s="80"/>
      <c r="L161" s="2"/>
      <c r="M161" s="2"/>
      <c r="N161" s="2"/>
      <c r="O161" s="2"/>
      <c r="P161" s="2"/>
      <c r="Q161" s="2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</row>
    <row r="162" spans="1:33" x14ac:dyDescent="0.2">
      <c r="A162" s="2"/>
      <c r="B162" s="80"/>
      <c r="C162" s="80"/>
      <c r="D162" s="80"/>
      <c r="E162" s="80"/>
      <c r="F162" s="80"/>
      <c r="G162" s="80"/>
      <c r="H162" s="80"/>
      <c r="I162" s="80"/>
      <c r="J162" s="80"/>
      <c r="K162" s="80"/>
      <c r="L162" s="2"/>
      <c r="M162" s="2"/>
      <c r="N162" s="2"/>
      <c r="O162" s="2"/>
      <c r="P162" s="2"/>
      <c r="Q162" s="2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</row>
    <row r="163" spans="1:33" x14ac:dyDescent="0.2">
      <c r="A163" s="2"/>
      <c r="B163" s="80"/>
      <c r="C163" s="80"/>
      <c r="D163" s="80"/>
      <c r="E163" s="80"/>
      <c r="F163" s="80"/>
      <c r="G163" s="80"/>
      <c r="H163" s="80"/>
      <c r="I163" s="80"/>
      <c r="J163" s="80"/>
      <c r="K163" s="80"/>
      <c r="L163" s="2"/>
      <c r="M163" s="2"/>
      <c r="N163" s="2"/>
      <c r="O163" s="2"/>
      <c r="P163" s="2"/>
      <c r="Q163" s="2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</row>
    <row r="164" spans="1:33" x14ac:dyDescent="0.2">
      <c r="A164" s="2"/>
      <c r="B164" s="80"/>
      <c r="C164" s="80"/>
      <c r="D164" s="80"/>
      <c r="E164" s="80"/>
      <c r="F164" s="80"/>
      <c r="G164" s="80"/>
      <c r="H164" s="80"/>
      <c r="I164" s="80"/>
      <c r="J164" s="80"/>
      <c r="K164" s="80"/>
      <c r="L164" s="2"/>
      <c r="M164" s="2"/>
      <c r="N164" s="2"/>
      <c r="O164" s="2"/>
      <c r="P164" s="2"/>
      <c r="Q164" s="2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</row>
    <row r="165" spans="1:33" x14ac:dyDescent="0.2">
      <c r="A165" s="2"/>
      <c r="B165" s="80"/>
      <c r="C165" s="80"/>
      <c r="D165" s="80"/>
      <c r="E165" s="80"/>
      <c r="F165" s="80"/>
      <c r="G165" s="80"/>
      <c r="H165" s="80"/>
      <c r="I165" s="80"/>
      <c r="J165" s="80"/>
      <c r="K165" s="80"/>
      <c r="L165" s="2"/>
      <c r="M165" s="2"/>
      <c r="N165" s="2"/>
      <c r="O165" s="2"/>
      <c r="P165" s="2"/>
      <c r="Q165" s="2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</row>
    <row r="166" spans="1:33" x14ac:dyDescent="0.2">
      <c r="A166" s="2"/>
      <c r="B166" s="80"/>
      <c r="C166" s="80"/>
      <c r="D166" s="80"/>
      <c r="E166" s="80"/>
      <c r="F166" s="80"/>
      <c r="G166" s="80"/>
      <c r="H166" s="80"/>
      <c r="I166" s="80"/>
      <c r="J166" s="80"/>
      <c r="K166" s="80"/>
      <c r="L166" s="2"/>
      <c r="M166" s="2"/>
      <c r="N166" s="2"/>
      <c r="O166" s="2"/>
      <c r="P166" s="2"/>
      <c r="Q166" s="2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</row>
    <row r="167" spans="1:33" x14ac:dyDescent="0.2">
      <c r="A167" s="2"/>
      <c r="B167" s="80"/>
      <c r="C167" s="80"/>
      <c r="D167" s="80"/>
      <c r="E167" s="80"/>
      <c r="F167" s="80"/>
      <c r="G167" s="80"/>
      <c r="H167" s="80"/>
      <c r="I167" s="80"/>
      <c r="J167" s="80"/>
      <c r="K167" s="80"/>
      <c r="L167" s="2"/>
      <c r="M167" s="2"/>
      <c r="N167" s="2"/>
      <c r="O167" s="2"/>
      <c r="P167" s="2"/>
      <c r="Q167" s="2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</row>
    <row r="168" spans="1:33" x14ac:dyDescent="0.2">
      <c r="A168" s="2"/>
      <c r="B168" s="80"/>
      <c r="C168" s="80"/>
      <c r="D168" s="80"/>
      <c r="E168" s="80"/>
      <c r="F168" s="80"/>
      <c r="G168" s="80"/>
      <c r="H168" s="80"/>
      <c r="I168" s="80"/>
      <c r="J168" s="80"/>
      <c r="K168" s="80"/>
      <c r="L168" s="2"/>
      <c r="M168" s="2"/>
      <c r="N168" s="2"/>
      <c r="O168" s="2"/>
      <c r="P168" s="2"/>
      <c r="Q168" s="2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</row>
    <row r="169" spans="1:33" x14ac:dyDescent="0.2">
      <c r="A169" s="2"/>
      <c r="B169" s="80"/>
      <c r="C169" s="80"/>
      <c r="D169" s="80"/>
      <c r="E169" s="80"/>
      <c r="F169" s="80"/>
      <c r="G169" s="80"/>
      <c r="H169" s="80"/>
      <c r="I169" s="80"/>
      <c r="J169" s="80"/>
      <c r="K169" s="80"/>
      <c r="L169" s="2"/>
      <c r="M169" s="2"/>
      <c r="N169" s="2"/>
      <c r="O169" s="2"/>
      <c r="P169" s="2"/>
      <c r="Q169" s="2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</row>
    <row r="170" spans="1:33" x14ac:dyDescent="0.2">
      <c r="A170" s="2"/>
      <c r="B170" s="80"/>
      <c r="C170" s="80"/>
      <c r="D170" s="80"/>
      <c r="E170" s="80"/>
      <c r="F170" s="80"/>
      <c r="G170" s="80"/>
      <c r="H170" s="80"/>
      <c r="I170" s="80"/>
      <c r="J170" s="80"/>
      <c r="K170" s="80"/>
      <c r="L170" s="2"/>
      <c r="M170" s="2"/>
      <c r="N170" s="2"/>
      <c r="O170" s="2"/>
      <c r="P170" s="2"/>
      <c r="Q170" s="2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</row>
    <row r="171" spans="1:33" x14ac:dyDescent="0.2">
      <c r="A171" s="2"/>
      <c r="B171" s="80"/>
      <c r="C171" s="80"/>
      <c r="D171" s="80"/>
      <c r="E171" s="80"/>
      <c r="F171" s="80"/>
      <c r="G171" s="80"/>
      <c r="H171" s="80"/>
      <c r="I171" s="80"/>
      <c r="J171" s="80"/>
      <c r="K171" s="80"/>
      <c r="L171" s="2"/>
      <c r="M171" s="2"/>
      <c r="N171" s="2"/>
      <c r="O171" s="2"/>
      <c r="P171" s="2"/>
      <c r="Q171" s="2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</row>
    <row r="172" spans="1:33" x14ac:dyDescent="0.2">
      <c r="A172" s="2"/>
      <c r="B172" s="80"/>
      <c r="C172" s="80"/>
      <c r="D172" s="80"/>
      <c r="E172" s="80"/>
      <c r="F172" s="80"/>
      <c r="G172" s="80"/>
      <c r="H172" s="80"/>
      <c r="I172" s="80"/>
      <c r="J172" s="80"/>
      <c r="K172" s="80"/>
      <c r="L172" s="2"/>
      <c r="M172" s="2"/>
      <c r="N172" s="2"/>
      <c r="O172" s="2"/>
      <c r="P172" s="2"/>
      <c r="Q172" s="2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</row>
    <row r="173" spans="1:33" x14ac:dyDescent="0.2">
      <c r="A173" s="2"/>
      <c r="B173" s="80"/>
      <c r="C173" s="80"/>
      <c r="D173" s="80"/>
      <c r="E173" s="80"/>
      <c r="F173" s="80"/>
      <c r="G173" s="80"/>
      <c r="H173" s="80"/>
      <c r="I173" s="80"/>
      <c r="J173" s="80"/>
      <c r="K173" s="80"/>
      <c r="L173" s="2"/>
      <c r="M173" s="2"/>
      <c r="N173" s="2"/>
      <c r="O173" s="2"/>
      <c r="P173" s="2"/>
      <c r="Q173" s="2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</row>
    <row r="174" spans="1:33" x14ac:dyDescent="0.2">
      <c r="A174" s="2"/>
      <c r="B174" s="80"/>
      <c r="C174" s="80"/>
      <c r="D174" s="80"/>
      <c r="E174" s="80"/>
      <c r="F174" s="80"/>
      <c r="G174" s="80"/>
      <c r="H174" s="80"/>
      <c r="I174" s="80"/>
      <c r="J174" s="80"/>
      <c r="K174" s="80"/>
      <c r="L174" s="2"/>
      <c r="M174" s="2"/>
      <c r="N174" s="2"/>
      <c r="O174" s="2"/>
      <c r="P174" s="2"/>
      <c r="Q174" s="2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</row>
    <row r="175" spans="1:33" x14ac:dyDescent="0.2">
      <c r="A175" s="2"/>
      <c r="B175" s="80"/>
      <c r="C175" s="80"/>
      <c r="D175" s="80"/>
      <c r="E175" s="80"/>
      <c r="F175" s="80"/>
      <c r="G175" s="80"/>
      <c r="H175" s="80"/>
      <c r="I175" s="80"/>
      <c r="J175" s="80"/>
      <c r="K175" s="80"/>
      <c r="L175" s="2"/>
      <c r="M175" s="2"/>
      <c r="N175" s="2"/>
      <c r="O175" s="2"/>
      <c r="P175" s="2"/>
      <c r="Q175" s="2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</row>
    <row r="176" spans="1:33" x14ac:dyDescent="0.2">
      <c r="A176" s="2"/>
      <c r="B176" s="80"/>
      <c r="C176" s="80"/>
      <c r="D176" s="80"/>
      <c r="E176" s="80"/>
      <c r="F176" s="80"/>
      <c r="G176" s="80"/>
      <c r="H176" s="80"/>
      <c r="I176" s="80"/>
      <c r="J176" s="80"/>
      <c r="K176" s="80"/>
      <c r="L176" s="2"/>
      <c r="M176" s="2"/>
      <c r="N176" s="2"/>
      <c r="O176" s="2"/>
      <c r="P176" s="2"/>
      <c r="Q176" s="2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</row>
    <row r="177" spans="1:33" x14ac:dyDescent="0.2">
      <c r="A177" s="2"/>
      <c r="B177" s="80"/>
      <c r="C177" s="80"/>
      <c r="D177" s="80"/>
      <c r="E177" s="80"/>
      <c r="F177" s="80"/>
      <c r="G177" s="80"/>
      <c r="H177" s="80"/>
      <c r="I177" s="80"/>
      <c r="J177" s="80"/>
      <c r="K177" s="80"/>
      <c r="L177" s="2"/>
      <c r="M177" s="2"/>
      <c r="N177" s="2"/>
      <c r="O177" s="2"/>
      <c r="P177" s="2"/>
      <c r="Q177" s="2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</row>
    <row r="178" spans="1:33" x14ac:dyDescent="0.2">
      <c r="A178" s="2"/>
      <c r="B178" s="80"/>
      <c r="C178" s="80"/>
      <c r="D178" s="80"/>
      <c r="E178" s="80"/>
      <c r="F178" s="80"/>
      <c r="G178" s="80"/>
      <c r="H178" s="80"/>
      <c r="I178" s="80"/>
      <c r="J178" s="80"/>
      <c r="K178" s="80"/>
      <c r="L178" s="2"/>
      <c r="M178" s="2"/>
      <c r="N178" s="2"/>
      <c r="O178" s="2"/>
      <c r="P178" s="2"/>
      <c r="Q178" s="2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</row>
    <row r="179" spans="1:33" x14ac:dyDescent="0.2">
      <c r="A179" s="2"/>
      <c r="B179" s="80"/>
      <c r="C179" s="80"/>
      <c r="D179" s="80"/>
      <c r="E179" s="80"/>
      <c r="F179" s="80"/>
      <c r="G179" s="80"/>
      <c r="H179" s="80"/>
      <c r="I179" s="80"/>
      <c r="J179" s="80"/>
      <c r="K179" s="80"/>
      <c r="L179" s="2"/>
      <c r="M179" s="2"/>
      <c r="N179" s="2"/>
      <c r="O179" s="2"/>
      <c r="P179" s="2"/>
      <c r="Q179" s="2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</row>
    <row r="180" spans="1:33" x14ac:dyDescent="0.2">
      <c r="A180" s="2"/>
      <c r="B180" s="80"/>
      <c r="C180" s="80"/>
      <c r="D180" s="80"/>
      <c r="E180" s="80"/>
      <c r="F180" s="80"/>
      <c r="G180" s="80"/>
      <c r="H180" s="80"/>
      <c r="I180" s="80"/>
      <c r="J180" s="80"/>
      <c r="K180" s="80"/>
      <c r="L180" s="2"/>
      <c r="M180" s="2"/>
      <c r="N180" s="2"/>
      <c r="O180" s="2"/>
      <c r="P180" s="2"/>
      <c r="Q180" s="2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</row>
    <row r="181" spans="1:33" x14ac:dyDescent="0.2">
      <c r="A181" s="2"/>
      <c r="B181" s="80"/>
      <c r="C181" s="80"/>
      <c r="D181" s="80"/>
      <c r="E181" s="80"/>
      <c r="F181" s="80"/>
      <c r="G181" s="80"/>
      <c r="H181" s="80"/>
      <c r="I181" s="80"/>
      <c r="J181" s="80"/>
      <c r="K181" s="80"/>
      <c r="L181" s="2"/>
      <c r="M181" s="2"/>
      <c r="N181" s="2"/>
      <c r="O181" s="2"/>
      <c r="P181" s="2"/>
      <c r="Q181" s="2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</row>
    <row r="182" spans="1:33" x14ac:dyDescent="0.2">
      <c r="A182" s="2"/>
      <c r="B182" s="80"/>
      <c r="C182" s="80"/>
      <c r="D182" s="80"/>
      <c r="E182" s="80"/>
      <c r="F182" s="80"/>
      <c r="G182" s="80"/>
      <c r="H182" s="80"/>
      <c r="I182" s="80"/>
      <c r="J182" s="80"/>
      <c r="K182" s="80"/>
      <c r="L182" s="2"/>
      <c r="M182" s="2"/>
      <c r="N182" s="2"/>
      <c r="O182" s="2"/>
      <c r="P182" s="2"/>
      <c r="Q182" s="2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</row>
    <row r="183" spans="1:33" x14ac:dyDescent="0.2">
      <c r="A183" s="2"/>
      <c r="B183" s="80"/>
      <c r="C183" s="80"/>
      <c r="D183" s="80"/>
      <c r="E183" s="80"/>
      <c r="F183" s="80"/>
      <c r="G183" s="80"/>
      <c r="H183" s="80"/>
      <c r="I183" s="80"/>
      <c r="J183" s="80"/>
      <c r="K183" s="80"/>
      <c r="L183" s="2"/>
      <c r="M183" s="2"/>
      <c r="N183" s="2"/>
      <c r="O183" s="2"/>
      <c r="P183" s="2"/>
      <c r="Q183" s="2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</row>
    <row r="184" spans="1:33" x14ac:dyDescent="0.2">
      <c r="A184" s="2"/>
      <c r="B184" s="80"/>
      <c r="C184" s="80"/>
      <c r="D184" s="80"/>
      <c r="E184" s="80"/>
      <c r="F184" s="80"/>
      <c r="G184" s="80"/>
      <c r="H184" s="80"/>
      <c r="I184" s="80"/>
      <c r="J184" s="80"/>
      <c r="K184" s="80"/>
      <c r="L184" s="2"/>
      <c r="M184" s="2"/>
      <c r="N184" s="2"/>
      <c r="O184" s="2"/>
      <c r="P184" s="2"/>
      <c r="Q184" s="2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</row>
    <row r="185" spans="1:33" x14ac:dyDescent="0.2">
      <c r="A185" s="2"/>
      <c r="B185" s="80"/>
      <c r="C185" s="80"/>
      <c r="D185" s="80"/>
      <c r="E185" s="80"/>
      <c r="F185" s="80"/>
      <c r="G185" s="80"/>
      <c r="H185" s="80"/>
      <c r="I185" s="80"/>
      <c r="J185" s="80"/>
      <c r="K185" s="80"/>
      <c r="L185" s="2"/>
      <c r="M185" s="2"/>
      <c r="N185" s="2"/>
      <c r="O185" s="2"/>
      <c r="P185" s="2"/>
      <c r="Q185" s="2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</row>
    <row r="186" spans="1:33" x14ac:dyDescent="0.2">
      <c r="A186" s="2"/>
      <c r="B186" s="80"/>
      <c r="C186" s="80"/>
      <c r="D186" s="80"/>
      <c r="E186" s="80"/>
      <c r="F186" s="80"/>
      <c r="G186" s="80"/>
      <c r="H186" s="80"/>
      <c r="I186" s="80"/>
      <c r="J186" s="80"/>
      <c r="K186" s="80"/>
      <c r="L186" s="2"/>
      <c r="M186" s="2"/>
      <c r="N186" s="2"/>
      <c r="O186" s="2"/>
      <c r="P186" s="2"/>
      <c r="Q186" s="2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</row>
    <row r="187" spans="1:33" x14ac:dyDescent="0.2">
      <c r="A187" s="2"/>
      <c r="B187" s="80"/>
      <c r="C187" s="80"/>
      <c r="D187" s="80"/>
      <c r="E187" s="80"/>
      <c r="F187" s="80"/>
      <c r="G187" s="80"/>
      <c r="H187" s="80"/>
      <c r="I187" s="80"/>
      <c r="J187" s="80"/>
      <c r="K187" s="80"/>
      <c r="L187" s="2"/>
      <c r="M187" s="2"/>
      <c r="N187" s="2"/>
      <c r="O187" s="2"/>
      <c r="P187" s="2"/>
      <c r="Q187" s="2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</row>
    <row r="188" spans="1:33" x14ac:dyDescent="0.2">
      <c r="A188" s="2"/>
      <c r="B188" s="80"/>
      <c r="C188" s="80"/>
      <c r="D188" s="80"/>
      <c r="E188" s="80"/>
      <c r="F188" s="80"/>
      <c r="G188" s="80"/>
      <c r="H188" s="80"/>
      <c r="I188" s="80"/>
      <c r="J188" s="80"/>
      <c r="K188" s="80"/>
      <c r="L188" s="2"/>
      <c r="M188" s="2"/>
      <c r="N188" s="2"/>
      <c r="O188" s="2"/>
      <c r="P188" s="2"/>
      <c r="Q188" s="2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</row>
    <row r="189" spans="1:33" x14ac:dyDescent="0.2">
      <c r="A189" s="2"/>
      <c r="B189" s="80"/>
      <c r="C189" s="80"/>
      <c r="D189" s="80"/>
      <c r="E189" s="80"/>
      <c r="F189" s="80"/>
      <c r="G189" s="80"/>
      <c r="H189" s="80"/>
      <c r="I189" s="80"/>
      <c r="J189" s="80"/>
      <c r="K189" s="80"/>
      <c r="L189" s="2"/>
      <c r="M189" s="2"/>
      <c r="N189" s="2"/>
      <c r="O189" s="2"/>
      <c r="P189" s="2"/>
      <c r="Q189" s="2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</row>
    <row r="190" spans="1:33" x14ac:dyDescent="0.2">
      <c r="A190" s="2"/>
      <c r="B190" s="80"/>
      <c r="C190" s="80"/>
      <c r="D190" s="80"/>
      <c r="E190" s="80"/>
      <c r="F190" s="80"/>
      <c r="G190" s="80"/>
      <c r="H190" s="80"/>
      <c r="I190" s="80"/>
      <c r="J190" s="80"/>
      <c r="K190" s="80"/>
      <c r="L190" s="2"/>
      <c r="M190" s="2"/>
      <c r="N190" s="2"/>
      <c r="O190" s="2"/>
      <c r="P190" s="2"/>
      <c r="Q190" s="2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</row>
    <row r="191" spans="1:33" x14ac:dyDescent="0.2">
      <c r="A191" s="2"/>
      <c r="B191" s="80"/>
      <c r="C191" s="80"/>
      <c r="D191" s="80"/>
      <c r="E191" s="80"/>
      <c r="F191" s="80"/>
      <c r="G191" s="80"/>
      <c r="H191" s="80"/>
      <c r="I191" s="80"/>
      <c r="J191" s="80"/>
      <c r="K191" s="80"/>
      <c r="L191" s="2"/>
      <c r="M191" s="2"/>
      <c r="N191" s="2"/>
      <c r="O191" s="2"/>
      <c r="P191" s="2"/>
      <c r="Q191" s="2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</row>
    <row r="192" spans="1:33" x14ac:dyDescent="0.2">
      <c r="A192" s="2"/>
      <c r="B192" s="80"/>
      <c r="C192" s="80"/>
      <c r="D192" s="80"/>
      <c r="E192" s="80"/>
      <c r="F192" s="80"/>
      <c r="G192" s="80"/>
      <c r="H192" s="80"/>
      <c r="I192" s="80"/>
      <c r="J192" s="80"/>
      <c r="K192" s="80"/>
      <c r="L192" s="2"/>
      <c r="M192" s="2"/>
      <c r="N192" s="2"/>
      <c r="O192" s="2"/>
      <c r="P192" s="2"/>
      <c r="Q192" s="2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</row>
    <row r="193" spans="1:33" x14ac:dyDescent="0.2">
      <c r="A193" s="2"/>
      <c r="B193" s="80"/>
      <c r="C193" s="80"/>
      <c r="D193" s="80"/>
      <c r="E193" s="80"/>
      <c r="F193" s="80"/>
      <c r="G193" s="80"/>
      <c r="H193" s="80"/>
      <c r="I193" s="80"/>
      <c r="J193" s="80"/>
      <c r="K193" s="80"/>
      <c r="L193" s="2"/>
      <c r="M193" s="2"/>
      <c r="N193" s="2"/>
      <c r="O193" s="2"/>
      <c r="P193" s="2"/>
      <c r="Q193" s="2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</row>
    <row r="194" spans="1:33" x14ac:dyDescent="0.2">
      <c r="A194" s="2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2"/>
      <c r="M194" s="2"/>
      <c r="N194" s="2"/>
      <c r="O194" s="2"/>
      <c r="P194" s="2"/>
      <c r="Q194" s="2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</row>
    <row r="195" spans="1:33" x14ac:dyDescent="0.2">
      <c r="A195" s="2"/>
      <c r="B195" s="80"/>
      <c r="C195" s="80"/>
      <c r="D195" s="80"/>
      <c r="E195" s="80"/>
      <c r="F195" s="80"/>
      <c r="G195" s="80"/>
      <c r="H195" s="80"/>
      <c r="I195" s="80"/>
      <c r="J195" s="80"/>
      <c r="K195" s="80"/>
      <c r="L195" s="2"/>
      <c r="M195" s="2"/>
      <c r="N195" s="2"/>
      <c r="O195" s="2"/>
      <c r="P195" s="2"/>
      <c r="Q195" s="2"/>
      <c r="R195" s="80"/>
      <c r="S195" s="80"/>
      <c r="T195" s="80"/>
      <c r="U195" s="80"/>
      <c r="V195" s="80"/>
      <c r="W195" s="8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</row>
    <row r="196" spans="1:33" x14ac:dyDescent="0.2">
      <c r="A196" s="2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2"/>
      <c r="M196" s="2"/>
      <c r="N196" s="2"/>
      <c r="O196" s="2"/>
      <c r="P196" s="2"/>
      <c r="Q196" s="2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</row>
    <row r="197" spans="1:33" x14ac:dyDescent="0.2">
      <c r="A197" s="2"/>
      <c r="B197" s="80"/>
      <c r="C197" s="80"/>
      <c r="D197" s="80"/>
      <c r="E197" s="80"/>
      <c r="F197" s="80"/>
      <c r="G197" s="80"/>
      <c r="H197" s="80"/>
      <c r="I197" s="80"/>
      <c r="J197" s="80"/>
      <c r="K197" s="80"/>
      <c r="L197" s="2"/>
      <c r="M197" s="2"/>
      <c r="N197" s="2"/>
      <c r="O197" s="2"/>
      <c r="P197" s="2"/>
      <c r="Q197" s="2"/>
      <c r="R197" s="80"/>
      <c r="S197" s="80"/>
      <c r="T197" s="80"/>
      <c r="U197" s="80"/>
      <c r="V197" s="80"/>
      <c r="W197" s="8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</row>
    <row r="198" spans="1:33" x14ac:dyDescent="0.2">
      <c r="A198" s="2"/>
      <c r="B198" s="80"/>
      <c r="C198" s="80"/>
      <c r="D198" s="80"/>
      <c r="E198" s="80"/>
      <c r="F198" s="80"/>
      <c r="G198" s="80"/>
      <c r="H198" s="80"/>
      <c r="I198" s="80"/>
      <c r="J198" s="80"/>
      <c r="K198" s="80"/>
      <c r="L198" s="2"/>
      <c r="M198" s="2"/>
      <c r="N198" s="2"/>
      <c r="O198" s="2"/>
      <c r="P198" s="2"/>
      <c r="Q198" s="2"/>
      <c r="R198" s="80"/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80"/>
      <c r="AF198" s="80"/>
      <c r="AG198" s="80"/>
    </row>
    <row r="199" spans="1:33" x14ac:dyDescent="0.2">
      <c r="A199" s="2"/>
      <c r="B199" s="80"/>
      <c r="C199" s="80"/>
      <c r="D199" s="80"/>
      <c r="E199" s="80"/>
      <c r="F199" s="80"/>
      <c r="G199" s="80"/>
      <c r="H199" s="80"/>
      <c r="I199" s="80"/>
      <c r="J199" s="80"/>
      <c r="K199" s="80"/>
      <c r="L199" s="2"/>
      <c r="M199" s="2"/>
      <c r="N199" s="2"/>
      <c r="O199" s="2"/>
      <c r="P199" s="2"/>
      <c r="Q199" s="2"/>
      <c r="R199" s="80"/>
      <c r="S199" s="80"/>
      <c r="T199" s="80"/>
      <c r="U199" s="80"/>
      <c r="V199" s="80"/>
      <c r="W199" s="8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</row>
    <row r="200" spans="1:33" x14ac:dyDescent="0.2">
      <c r="A200" s="2"/>
      <c r="B200" s="80"/>
      <c r="C200" s="80"/>
      <c r="D200" s="80"/>
      <c r="E200" s="80"/>
      <c r="F200" s="80"/>
      <c r="G200" s="80"/>
      <c r="H200" s="80"/>
      <c r="I200" s="80"/>
      <c r="J200" s="80"/>
      <c r="K200" s="80"/>
      <c r="L200" s="2"/>
      <c r="M200" s="2"/>
      <c r="N200" s="2"/>
      <c r="O200" s="2"/>
      <c r="P200" s="2"/>
      <c r="Q200" s="2"/>
      <c r="R200" s="80"/>
      <c r="S200" s="80"/>
      <c r="T200" s="80"/>
      <c r="U200" s="80"/>
      <c r="V200" s="80"/>
      <c r="W200" s="80"/>
      <c r="X200" s="80"/>
      <c r="Y200" s="80"/>
      <c r="Z200" s="80"/>
      <c r="AA200" s="80"/>
      <c r="AB200" s="80"/>
      <c r="AC200" s="80"/>
      <c r="AD200" s="80"/>
      <c r="AE200" s="80"/>
      <c r="AF200" s="80"/>
      <c r="AG200" s="80"/>
    </row>
    <row r="201" spans="1:33" x14ac:dyDescent="0.2">
      <c r="A201" s="2"/>
      <c r="B201" s="80"/>
      <c r="C201" s="80"/>
      <c r="D201" s="80"/>
      <c r="E201" s="80"/>
      <c r="F201" s="80"/>
      <c r="G201" s="80"/>
      <c r="H201" s="80"/>
      <c r="I201" s="80"/>
      <c r="J201" s="80"/>
      <c r="K201" s="80"/>
      <c r="L201" s="2"/>
      <c r="M201" s="2"/>
      <c r="N201" s="2"/>
      <c r="O201" s="2"/>
      <c r="P201" s="2"/>
      <c r="Q201" s="2"/>
      <c r="R201" s="80"/>
      <c r="S201" s="80"/>
      <c r="T201" s="80"/>
      <c r="U201" s="80"/>
      <c r="V201" s="80"/>
      <c r="W201" s="80"/>
      <c r="X201" s="80"/>
      <c r="Y201" s="80"/>
      <c r="Z201" s="80"/>
      <c r="AA201" s="80"/>
      <c r="AB201" s="80"/>
      <c r="AC201" s="80"/>
      <c r="AD201" s="80"/>
      <c r="AE201" s="80"/>
      <c r="AF201" s="80"/>
      <c r="AG201" s="80"/>
    </row>
    <row r="202" spans="1:33" x14ac:dyDescent="0.2">
      <c r="A202" s="2"/>
      <c r="B202" s="80"/>
      <c r="C202" s="80"/>
      <c r="D202" s="80"/>
      <c r="E202" s="80"/>
      <c r="F202" s="80"/>
      <c r="G202" s="80"/>
      <c r="H202" s="80"/>
      <c r="I202" s="80"/>
      <c r="J202" s="80"/>
      <c r="K202" s="80"/>
      <c r="L202" s="2"/>
      <c r="M202" s="2"/>
      <c r="N202" s="2"/>
      <c r="O202" s="2"/>
      <c r="P202" s="2"/>
      <c r="Q202" s="2"/>
      <c r="R202" s="80"/>
      <c r="S202" s="80"/>
      <c r="T202" s="80"/>
      <c r="U202" s="80"/>
      <c r="V202" s="80"/>
      <c r="W202" s="80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</row>
    <row r="203" spans="1:33" x14ac:dyDescent="0.2">
      <c r="A203" s="2"/>
      <c r="B203" s="80"/>
      <c r="C203" s="80"/>
      <c r="D203" s="80"/>
      <c r="E203" s="80"/>
      <c r="F203" s="80"/>
      <c r="G203" s="80"/>
      <c r="H203" s="80"/>
      <c r="I203" s="80"/>
      <c r="J203" s="80"/>
      <c r="K203" s="80"/>
      <c r="L203" s="2"/>
      <c r="M203" s="2"/>
      <c r="N203" s="2"/>
      <c r="O203" s="2"/>
      <c r="P203" s="2"/>
      <c r="Q203" s="2"/>
      <c r="R203" s="80"/>
      <c r="S203" s="80"/>
      <c r="T203" s="80"/>
      <c r="U203" s="80"/>
      <c r="V203" s="80"/>
      <c r="W203" s="80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</row>
    <row r="204" spans="1:33" x14ac:dyDescent="0.2">
      <c r="A204" s="2"/>
      <c r="B204" s="80"/>
      <c r="C204" s="80"/>
      <c r="D204" s="80"/>
      <c r="E204" s="80"/>
      <c r="F204" s="80"/>
      <c r="G204" s="80"/>
      <c r="H204" s="80"/>
      <c r="I204" s="80"/>
      <c r="J204" s="80"/>
      <c r="K204" s="80"/>
      <c r="L204" s="2"/>
      <c r="M204" s="2"/>
      <c r="N204" s="2"/>
      <c r="O204" s="2"/>
      <c r="P204" s="2"/>
      <c r="Q204" s="2"/>
      <c r="R204" s="80"/>
      <c r="S204" s="80"/>
      <c r="T204" s="80"/>
      <c r="U204" s="80"/>
      <c r="V204" s="80"/>
      <c r="W204" s="80"/>
      <c r="X204" s="80"/>
      <c r="Y204" s="80"/>
      <c r="Z204" s="80"/>
      <c r="AA204" s="80"/>
      <c r="AB204" s="80"/>
      <c r="AC204" s="80"/>
      <c r="AD204" s="80"/>
      <c r="AE204" s="80"/>
      <c r="AF204" s="80"/>
      <c r="AG204" s="80"/>
    </row>
    <row r="205" spans="1:33" x14ac:dyDescent="0.2">
      <c r="A205" s="2"/>
      <c r="B205" s="80"/>
      <c r="C205" s="80"/>
      <c r="D205" s="80"/>
      <c r="E205" s="80"/>
      <c r="F205" s="80"/>
      <c r="G205" s="80"/>
      <c r="H205" s="80"/>
      <c r="I205" s="80"/>
      <c r="J205" s="80"/>
      <c r="K205" s="80"/>
      <c r="L205" s="2"/>
      <c r="M205" s="2"/>
      <c r="N205" s="2"/>
      <c r="O205" s="2"/>
      <c r="P205" s="2"/>
      <c r="Q205" s="2"/>
      <c r="R205" s="80"/>
      <c r="S205" s="80"/>
      <c r="T205" s="80"/>
      <c r="U205" s="80"/>
      <c r="V205" s="80"/>
      <c r="W205" s="80"/>
      <c r="X205" s="80"/>
      <c r="Y205" s="80"/>
      <c r="Z205" s="80"/>
      <c r="AA205" s="80"/>
      <c r="AB205" s="80"/>
      <c r="AC205" s="80"/>
      <c r="AD205" s="80"/>
      <c r="AE205" s="80"/>
      <c r="AF205" s="80"/>
      <c r="AG205" s="80"/>
    </row>
    <row r="206" spans="1:33" x14ac:dyDescent="0.2">
      <c r="A206" s="2"/>
      <c r="B206" s="80"/>
      <c r="C206" s="80"/>
      <c r="D206" s="80"/>
      <c r="E206" s="80"/>
      <c r="F206" s="80"/>
      <c r="G206" s="80"/>
      <c r="H206" s="80"/>
      <c r="I206" s="80"/>
      <c r="J206" s="80"/>
      <c r="K206" s="80"/>
      <c r="L206" s="2"/>
      <c r="M206" s="2"/>
      <c r="N206" s="2"/>
      <c r="O206" s="2"/>
      <c r="P206" s="2"/>
      <c r="Q206" s="2"/>
      <c r="R206" s="80"/>
      <c r="S206" s="80"/>
      <c r="T206" s="80"/>
      <c r="U206" s="80"/>
      <c r="V206" s="80"/>
      <c r="W206" s="80"/>
      <c r="X206" s="80"/>
      <c r="Y206" s="80"/>
      <c r="Z206" s="80"/>
      <c r="AA206" s="80"/>
      <c r="AB206" s="80"/>
      <c r="AC206" s="80"/>
      <c r="AD206" s="80"/>
      <c r="AE206" s="80"/>
      <c r="AF206" s="80"/>
      <c r="AG206" s="80"/>
    </row>
    <row r="207" spans="1:33" x14ac:dyDescent="0.2">
      <c r="A207" s="2"/>
      <c r="B207" s="80"/>
      <c r="C207" s="80"/>
      <c r="D207" s="80"/>
      <c r="E207" s="80"/>
      <c r="F207" s="80"/>
      <c r="G207" s="80"/>
      <c r="H207" s="80"/>
      <c r="I207" s="80"/>
      <c r="J207" s="80"/>
      <c r="K207" s="80"/>
      <c r="L207" s="2"/>
      <c r="M207" s="2"/>
      <c r="N207" s="2"/>
      <c r="O207" s="2"/>
      <c r="P207" s="2"/>
      <c r="Q207" s="2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</row>
    <row r="208" spans="1:33" x14ac:dyDescent="0.2">
      <c r="A208" s="2"/>
      <c r="B208" s="80"/>
      <c r="C208" s="80"/>
      <c r="D208" s="80"/>
      <c r="E208" s="80"/>
      <c r="F208" s="80"/>
      <c r="G208" s="80"/>
      <c r="H208" s="80"/>
      <c r="I208" s="80"/>
      <c r="J208" s="80"/>
      <c r="K208" s="80"/>
      <c r="L208" s="2"/>
      <c r="M208" s="2"/>
      <c r="N208" s="2"/>
      <c r="O208" s="2"/>
      <c r="P208" s="2"/>
      <c r="Q208" s="2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</row>
    <row r="209" spans="1:33" x14ac:dyDescent="0.2">
      <c r="A209" s="2"/>
      <c r="B209" s="80"/>
      <c r="C209" s="80"/>
      <c r="D209" s="80"/>
      <c r="E209" s="80"/>
      <c r="F209" s="80"/>
      <c r="G209" s="80"/>
      <c r="H209" s="80"/>
      <c r="I209" s="80"/>
      <c r="J209" s="80"/>
      <c r="K209" s="80"/>
      <c r="L209" s="2"/>
      <c r="M209" s="2"/>
      <c r="N209" s="2"/>
      <c r="O209" s="2"/>
      <c r="P209" s="2"/>
      <c r="Q209" s="2"/>
      <c r="R209" s="80"/>
      <c r="S209" s="80"/>
      <c r="T209" s="80"/>
      <c r="U209" s="80"/>
      <c r="V209" s="80"/>
      <c r="W209" s="80"/>
      <c r="X209" s="80"/>
      <c r="Y209" s="80"/>
      <c r="Z209" s="80"/>
      <c r="AA209" s="80"/>
      <c r="AB209" s="80"/>
      <c r="AC209" s="80"/>
      <c r="AD209" s="80"/>
      <c r="AE209" s="80"/>
      <c r="AF209" s="80"/>
      <c r="AG209" s="80"/>
    </row>
    <row r="210" spans="1:33" x14ac:dyDescent="0.2">
      <c r="A210" s="2"/>
      <c r="B210" s="80"/>
      <c r="C210" s="80"/>
      <c r="D210" s="80"/>
      <c r="E210" s="80"/>
      <c r="F210" s="80"/>
      <c r="G210" s="80"/>
      <c r="H210" s="80"/>
      <c r="I210" s="80"/>
      <c r="J210" s="80"/>
      <c r="K210" s="80"/>
      <c r="L210" s="2"/>
      <c r="M210" s="2"/>
      <c r="N210" s="2"/>
      <c r="O210" s="2"/>
      <c r="P210" s="2"/>
      <c r="Q210" s="2"/>
      <c r="R210" s="80"/>
      <c r="S210" s="80"/>
      <c r="T210" s="80"/>
      <c r="U210" s="80"/>
      <c r="V210" s="80"/>
      <c r="W210" s="80"/>
      <c r="X210" s="80"/>
      <c r="Y210" s="80"/>
      <c r="Z210" s="80"/>
      <c r="AA210" s="80"/>
      <c r="AB210" s="80"/>
      <c r="AC210" s="80"/>
      <c r="AD210" s="80"/>
      <c r="AE210" s="80"/>
      <c r="AF210" s="80"/>
      <c r="AG210" s="80"/>
    </row>
    <row r="211" spans="1:33" x14ac:dyDescent="0.2">
      <c r="A211" s="2"/>
      <c r="B211" s="80"/>
      <c r="C211" s="80"/>
      <c r="D211" s="80"/>
      <c r="E211" s="80"/>
      <c r="F211" s="80"/>
      <c r="G211" s="80"/>
      <c r="H211" s="80"/>
      <c r="I211" s="80"/>
      <c r="J211" s="80"/>
      <c r="K211" s="80"/>
      <c r="L211" s="2"/>
      <c r="M211" s="2"/>
      <c r="N211" s="2"/>
      <c r="O211" s="2"/>
      <c r="P211" s="2"/>
      <c r="Q211" s="2"/>
      <c r="R211" s="80"/>
      <c r="S211" s="80"/>
      <c r="T211" s="80"/>
      <c r="U211" s="80"/>
      <c r="V211" s="80"/>
      <c r="W211" s="80"/>
      <c r="X211" s="80"/>
      <c r="Y211" s="80"/>
      <c r="Z211" s="80"/>
      <c r="AA211" s="80"/>
      <c r="AB211" s="80"/>
      <c r="AC211" s="80"/>
      <c r="AD211" s="80"/>
      <c r="AE211" s="80"/>
      <c r="AF211" s="80"/>
      <c r="AG211" s="80"/>
    </row>
    <row r="212" spans="1:33" x14ac:dyDescent="0.2">
      <c r="A212" s="2"/>
      <c r="B212" s="80"/>
      <c r="C212" s="80"/>
      <c r="D212" s="80"/>
      <c r="E212" s="80"/>
      <c r="F212" s="80"/>
      <c r="G212" s="80"/>
      <c r="H212" s="80"/>
      <c r="I212" s="80"/>
      <c r="J212" s="80"/>
      <c r="K212" s="80"/>
      <c r="L212" s="2"/>
      <c r="M212" s="2"/>
      <c r="N212" s="2"/>
      <c r="O212" s="2"/>
      <c r="P212" s="2"/>
      <c r="Q212" s="2"/>
      <c r="R212" s="80"/>
      <c r="S212" s="80"/>
      <c r="T212" s="80"/>
      <c r="U212" s="80"/>
      <c r="V212" s="80"/>
      <c r="W212" s="80"/>
      <c r="X212" s="80"/>
      <c r="Y212" s="80"/>
      <c r="Z212" s="80"/>
      <c r="AA212" s="80"/>
      <c r="AB212" s="80"/>
      <c r="AC212" s="80"/>
      <c r="AD212" s="80"/>
      <c r="AE212" s="80"/>
      <c r="AF212" s="80"/>
      <c r="AG212" s="80"/>
    </row>
    <row r="213" spans="1:33" x14ac:dyDescent="0.2">
      <c r="A213" s="2"/>
      <c r="B213" s="80"/>
      <c r="C213" s="80"/>
      <c r="D213" s="80"/>
      <c r="E213" s="80"/>
      <c r="F213" s="80"/>
      <c r="G213" s="80"/>
      <c r="H213" s="80"/>
      <c r="I213" s="80"/>
      <c r="J213" s="80"/>
      <c r="K213" s="80"/>
      <c r="L213" s="2"/>
      <c r="M213" s="2"/>
      <c r="N213" s="2"/>
      <c r="O213" s="2"/>
      <c r="P213" s="2"/>
      <c r="Q213" s="2"/>
      <c r="R213" s="80"/>
      <c r="S213" s="80"/>
      <c r="T213" s="80"/>
      <c r="U213" s="80"/>
      <c r="V213" s="80"/>
      <c r="W213" s="80"/>
      <c r="X213" s="80"/>
      <c r="Y213" s="80"/>
      <c r="Z213" s="80"/>
      <c r="AA213" s="80"/>
      <c r="AB213" s="80"/>
      <c r="AC213" s="80"/>
      <c r="AD213" s="80"/>
      <c r="AE213" s="80"/>
      <c r="AF213" s="80"/>
      <c r="AG213" s="80"/>
    </row>
    <row r="214" spans="1:33" x14ac:dyDescent="0.2">
      <c r="A214" s="2"/>
      <c r="B214" s="80"/>
      <c r="C214" s="80"/>
      <c r="D214" s="80"/>
      <c r="E214" s="80"/>
      <c r="F214" s="80"/>
      <c r="G214" s="80"/>
      <c r="H214" s="80"/>
      <c r="I214" s="80"/>
      <c r="J214" s="80"/>
      <c r="K214" s="80"/>
      <c r="L214" s="2"/>
      <c r="M214" s="2"/>
      <c r="N214" s="2"/>
      <c r="O214" s="2"/>
      <c r="P214" s="2"/>
      <c r="Q214" s="2"/>
      <c r="R214" s="80"/>
      <c r="S214" s="80"/>
      <c r="T214" s="80"/>
      <c r="U214" s="80"/>
      <c r="V214" s="80"/>
      <c r="W214" s="80"/>
      <c r="X214" s="80"/>
      <c r="Y214" s="80"/>
      <c r="Z214" s="80"/>
      <c r="AA214" s="80"/>
      <c r="AB214" s="80"/>
      <c r="AC214" s="80"/>
      <c r="AD214" s="80"/>
      <c r="AE214" s="80"/>
      <c r="AF214" s="80"/>
      <c r="AG214" s="80"/>
    </row>
    <row r="215" spans="1:33" x14ac:dyDescent="0.2">
      <c r="A215" s="2"/>
      <c r="B215" s="80"/>
      <c r="C215" s="80"/>
      <c r="D215" s="80"/>
      <c r="E215" s="80"/>
      <c r="F215" s="80"/>
      <c r="G215" s="80"/>
      <c r="H215" s="80"/>
      <c r="I215" s="80"/>
      <c r="J215" s="80"/>
      <c r="K215" s="80"/>
      <c r="L215" s="2"/>
      <c r="M215" s="2"/>
      <c r="N215" s="2"/>
      <c r="O215" s="2"/>
      <c r="P215" s="2"/>
      <c r="Q215" s="2"/>
      <c r="R215" s="80"/>
      <c r="S215" s="80"/>
      <c r="T215" s="80"/>
      <c r="U215" s="80"/>
      <c r="V215" s="80"/>
      <c r="W215" s="80"/>
      <c r="X215" s="80"/>
      <c r="Y215" s="80"/>
      <c r="Z215" s="80"/>
      <c r="AA215" s="80"/>
      <c r="AB215" s="80"/>
      <c r="AC215" s="80"/>
      <c r="AD215" s="80"/>
      <c r="AE215" s="80"/>
      <c r="AF215" s="80"/>
      <c r="AG215" s="80"/>
    </row>
    <row r="216" spans="1:33" x14ac:dyDescent="0.2">
      <c r="A216" s="2"/>
      <c r="B216" s="80"/>
      <c r="C216" s="80"/>
      <c r="D216" s="80"/>
      <c r="E216" s="80"/>
      <c r="F216" s="80"/>
      <c r="G216" s="80"/>
      <c r="H216" s="80"/>
      <c r="I216" s="80"/>
      <c r="J216" s="80"/>
      <c r="K216" s="80"/>
      <c r="L216" s="2"/>
      <c r="M216" s="2"/>
      <c r="N216" s="2"/>
      <c r="O216" s="2"/>
      <c r="P216" s="2"/>
      <c r="Q216" s="2"/>
      <c r="R216" s="80"/>
      <c r="S216" s="80"/>
      <c r="T216" s="80"/>
      <c r="U216" s="80"/>
      <c r="V216" s="80"/>
      <c r="W216" s="80"/>
      <c r="X216" s="80"/>
      <c r="Y216" s="80"/>
      <c r="Z216" s="80"/>
      <c r="AA216" s="80"/>
      <c r="AB216" s="80"/>
      <c r="AC216" s="80"/>
      <c r="AD216" s="80"/>
      <c r="AE216" s="80"/>
      <c r="AF216" s="80"/>
      <c r="AG216" s="80"/>
    </row>
    <row r="217" spans="1:33" x14ac:dyDescent="0.2">
      <c r="A217" s="2"/>
      <c r="B217" s="80"/>
      <c r="C217" s="80"/>
      <c r="D217" s="80"/>
      <c r="E217" s="80"/>
      <c r="F217" s="80"/>
      <c r="G217" s="80"/>
      <c r="H217" s="80"/>
      <c r="I217" s="80"/>
      <c r="J217" s="80"/>
      <c r="K217" s="80"/>
      <c r="L217" s="2"/>
      <c r="M217" s="2"/>
      <c r="N217" s="2"/>
      <c r="O217" s="2"/>
      <c r="P217" s="2"/>
      <c r="Q217" s="2"/>
      <c r="R217" s="80"/>
      <c r="S217" s="80"/>
      <c r="T217" s="80"/>
      <c r="U217" s="80"/>
      <c r="V217" s="80"/>
      <c r="W217" s="80"/>
      <c r="X217" s="80"/>
      <c r="Y217" s="80"/>
      <c r="Z217" s="80"/>
      <c r="AA217" s="80"/>
      <c r="AB217" s="80"/>
      <c r="AC217" s="80"/>
      <c r="AD217" s="80"/>
      <c r="AE217" s="80"/>
      <c r="AF217" s="80"/>
      <c r="AG217" s="80"/>
    </row>
    <row r="218" spans="1:33" x14ac:dyDescent="0.2">
      <c r="A218" s="2"/>
      <c r="B218" s="80"/>
      <c r="C218" s="80"/>
      <c r="D218" s="80"/>
      <c r="E218" s="80"/>
      <c r="F218" s="80"/>
      <c r="G218" s="80"/>
      <c r="H218" s="80"/>
      <c r="I218" s="80"/>
      <c r="J218" s="80"/>
      <c r="K218" s="80"/>
      <c r="L218" s="2"/>
      <c r="M218" s="2"/>
      <c r="N218" s="2"/>
      <c r="O218" s="2"/>
      <c r="P218" s="2"/>
      <c r="Q218" s="2"/>
      <c r="R218" s="80"/>
      <c r="S218" s="80"/>
      <c r="T218" s="80"/>
      <c r="U218" s="80"/>
      <c r="V218" s="80"/>
      <c r="W218" s="80"/>
      <c r="X218" s="80"/>
      <c r="Y218" s="80"/>
      <c r="Z218" s="80"/>
      <c r="AA218" s="80"/>
      <c r="AB218" s="80"/>
      <c r="AC218" s="80"/>
      <c r="AD218" s="80"/>
      <c r="AE218" s="80"/>
      <c r="AF218" s="80"/>
      <c r="AG218" s="80"/>
    </row>
    <row r="219" spans="1:33" x14ac:dyDescent="0.2">
      <c r="A219" s="2"/>
      <c r="B219" s="80"/>
      <c r="C219" s="80"/>
      <c r="D219" s="80"/>
      <c r="E219" s="80"/>
      <c r="F219" s="80"/>
      <c r="G219" s="80"/>
      <c r="H219" s="80"/>
      <c r="I219" s="80"/>
      <c r="J219" s="80"/>
      <c r="K219" s="80"/>
      <c r="L219" s="2"/>
      <c r="M219" s="2"/>
      <c r="N219" s="2"/>
      <c r="O219" s="2"/>
      <c r="P219" s="2"/>
      <c r="Q219" s="2"/>
      <c r="R219" s="80"/>
      <c r="S219" s="80"/>
      <c r="T219" s="80"/>
      <c r="U219" s="80"/>
      <c r="V219" s="80"/>
      <c r="W219" s="80"/>
      <c r="X219" s="80"/>
      <c r="Y219" s="80"/>
      <c r="Z219" s="80"/>
      <c r="AA219" s="80"/>
      <c r="AB219" s="80"/>
      <c r="AC219" s="80"/>
      <c r="AD219" s="80"/>
      <c r="AE219" s="80"/>
      <c r="AF219" s="80"/>
      <c r="AG219" s="80"/>
    </row>
    <row r="220" spans="1:33" x14ac:dyDescent="0.2">
      <c r="A220" s="2"/>
      <c r="B220" s="80"/>
      <c r="C220" s="80"/>
      <c r="D220" s="80"/>
      <c r="E220" s="80"/>
      <c r="F220" s="80"/>
      <c r="G220" s="80"/>
      <c r="H220" s="80"/>
      <c r="I220" s="80"/>
      <c r="J220" s="80"/>
      <c r="K220" s="80"/>
      <c r="L220" s="2"/>
      <c r="M220" s="2"/>
      <c r="N220" s="2"/>
      <c r="O220" s="2"/>
      <c r="P220" s="2"/>
      <c r="Q220" s="2"/>
      <c r="R220" s="80"/>
      <c r="S220" s="80"/>
      <c r="T220" s="80"/>
      <c r="U220" s="80"/>
      <c r="V220" s="80"/>
      <c r="W220" s="80"/>
      <c r="X220" s="80"/>
      <c r="Y220" s="80"/>
      <c r="Z220" s="80"/>
      <c r="AA220" s="80"/>
      <c r="AB220" s="80"/>
      <c r="AC220" s="80"/>
      <c r="AD220" s="80"/>
      <c r="AE220" s="80"/>
      <c r="AF220" s="80"/>
      <c r="AG220" s="80"/>
    </row>
    <row r="221" spans="1:33" x14ac:dyDescent="0.2">
      <c r="A221" s="2"/>
      <c r="B221" s="80"/>
      <c r="C221" s="80"/>
      <c r="D221" s="80"/>
      <c r="E221" s="80"/>
      <c r="F221" s="80"/>
      <c r="G221" s="80"/>
      <c r="H221" s="80"/>
      <c r="I221" s="80"/>
      <c r="J221" s="80"/>
      <c r="K221" s="80"/>
      <c r="L221" s="2"/>
      <c r="M221" s="2"/>
      <c r="N221" s="2"/>
      <c r="O221" s="2"/>
      <c r="P221" s="2"/>
      <c r="Q221" s="2"/>
      <c r="R221" s="80"/>
      <c r="S221" s="80"/>
      <c r="T221" s="80"/>
      <c r="U221" s="80"/>
      <c r="V221" s="80"/>
      <c r="W221" s="80"/>
      <c r="X221" s="80"/>
      <c r="Y221" s="80"/>
      <c r="Z221" s="80"/>
      <c r="AA221" s="80"/>
      <c r="AB221" s="80"/>
      <c r="AC221" s="80"/>
      <c r="AD221" s="80"/>
      <c r="AE221" s="80"/>
      <c r="AF221" s="80"/>
      <c r="AG221" s="80"/>
    </row>
    <row r="222" spans="1:33" x14ac:dyDescent="0.2">
      <c r="A222" s="2"/>
      <c r="B222" s="80"/>
      <c r="C222" s="80"/>
      <c r="D222" s="80"/>
      <c r="E222" s="80"/>
      <c r="F222" s="80"/>
      <c r="G222" s="80"/>
      <c r="H222" s="80"/>
      <c r="I222" s="80"/>
      <c r="J222" s="80"/>
      <c r="K222" s="80"/>
      <c r="L222" s="2"/>
      <c r="M222" s="2"/>
      <c r="N222" s="2"/>
      <c r="O222" s="2"/>
      <c r="P222" s="2"/>
      <c r="Q222" s="2"/>
      <c r="R222" s="80"/>
      <c r="S222" s="80"/>
      <c r="T222" s="80"/>
      <c r="U222" s="80"/>
      <c r="V222" s="80"/>
      <c r="W222" s="80"/>
      <c r="X222" s="80"/>
      <c r="Y222" s="80"/>
      <c r="Z222" s="80"/>
      <c r="AA222" s="80"/>
      <c r="AB222" s="80"/>
      <c r="AC222" s="80"/>
      <c r="AD222" s="80"/>
      <c r="AE222" s="80"/>
      <c r="AF222" s="80"/>
      <c r="AG222" s="80"/>
    </row>
    <row r="223" spans="1:33" x14ac:dyDescent="0.2">
      <c r="A223" s="2"/>
      <c r="B223" s="80"/>
      <c r="C223" s="80"/>
      <c r="D223" s="80"/>
      <c r="E223" s="80"/>
      <c r="F223" s="80"/>
      <c r="G223" s="80"/>
      <c r="H223" s="80"/>
      <c r="I223" s="80"/>
      <c r="J223" s="80"/>
      <c r="K223" s="80"/>
      <c r="L223" s="2"/>
      <c r="M223" s="2"/>
      <c r="N223" s="2"/>
      <c r="O223" s="2"/>
      <c r="P223" s="2"/>
      <c r="Q223" s="2"/>
      <c r="R223" s="80"/>
      <c r="S223" s="80"/>
      <c r="T223" s="80"/>
      <c r="U223" s="80"/>
      <c r="V223" s="80"/>
      <c r="W223" s="80"/>
      <c r="X223" s="80"/>
      <c r="Y223" s="80"/>
      <c r="Z223" s="80"/>
      <c r="AA223" s="80"/>
      <c r="AB223" s="80"/>
      <c r="AC223" s="80"/>
      <c r="AD223" s="80"/>
      <c r="AE223" s="80"/>
      <c r="AF223" s="80"/>
      <c r="AG223" s="80"/>
    </row>
    <row r="224" spans="1:33" x14ac:dyDescent="0.2">
      <c r="A224" s="2"/>
      <c r="B224" s="80"/>
      <c r="C224" s="80"/>
      <c r="D224" s="80"/>
      <c r="E224" s="80"/>
      <c r="F224" s="80"/>
      <c r="G224" s="80"/>
      <c r="H224" s="80"/>
      <c r="I224" s="80"/>
      <c r="J224" s="80"/>
      <c r="K224" s="80"/>
      <c r="L224" s="2"/>
      <c r="M224" s="2"/>
      <c r="N224" s="2"/>
      <c r="O224" s="2"/>
      <c r="P224" s="2"/>
      <c r="Q224" s="2"/>
      <c r="R224" s="80"/>
      <c r="S224" s="80"/>
      <c r="T224" s="80"/>
      <c r="U224" s="80"/>
      <c r="V224" s="80"/>
      <c r="W224" s="80"/>
      <c r="X224" s="80"/>
      <c r="Y224" s="80"/>
      <c r="Z224" s="80"/>
      <c r="AA224" s="80"/>
      <c r="AB224" s="80"/>
      <c r="AC224" s="80"/>
      <c r="AD224" s="80"/>
      <c r="AE224" s="80"/>
      <c r="AF224" s="80"/>
      <c r="AG224" s="80"/>
    </row>
    <row r="225" spans="1:33" x14ac:dyDescent="0.2">
      <c r="A225" s="2"/>
      <c r="B225" s="80"/>
      <c r="C225" s="80"/>
      <c r="D225" s="80"/>
      <c r="E225" s="80"/>
      <c r="F225" s="80"/>
      <c r="G225" s="80"/>
      <c r="H225" s="80"/>
      <c r="I225" s="80"/>
      <c r="J225" s="80"/>
      <c r="K225" s="80"/>
      <c r="L225" s="2"/>
      <c r="M225" s="2"/>
      <c r="N225" s="2"/>
      <c r="O225" s="2"/>
      <c r="P225" s="2"/>
      <c r="Q225" s="2"/>
      <c r="R225" s="80"/>
      <c r="S225" s="80"/>
      <c r="T225" s="80"/>
      <c r="U225" s="80"/>
      <c r="V225" s="80"/>
      <c r="W225" s="80"/>
      <c r="X225" s="80"/>
      <c r="Y225" s="80"/>
      <c r="Z225" s="80"/>
      <c r="AA225" s="80"/>
      <c r="AB225" s="80"/>
      <c r="AC225" s="80"/>
      <c r="AD225" s="80"/>
      <c r="AE225" s="80"/>
      <c r="AF225" s="80"/>
      <c r="AG225" s="80"/>
    </row>
    <row r="226" spans="1:33" x14ac:dyDescent="0.2">
      <c r="A226" s="2"/>
      <c r="B226" s="80"/>
      <c r="C226" s="80"/>
      <c r="D226" s="80"/>
      <c r="E226" s="80"/>
      <c r="F226" s="80"/>
      <c r="G226" s="80"/>
      <c r="H226" s="80"/>
      <c r="I226" s="80"/>
      <c r="J226" s="80"/>
      <c r="K226" s="80"/>
      <c r="L226" s="2"/>
      <c r="M226" s="2"/>
      <c r="N226" s="2"/>
      <c r="O226" s="2"/>
      <c r="P226" s="2"/>
      <c r="Q226" s="2"/>
      <c r="R226" s="80"/>
      <c r="S226" s="80"/>
      <c r="T226" s="80"/>
      <c r="U226" s="80"/>
      <c r="V226" s="80"/>
      <c r="W226" s="80"/>
      <c r="X226" s="80"/>
      <c r="Y226" s="80"/>
      <c r="Z226" s="80"/>
      <c r="AA226" s="80"/>
      <c r="AB226" s="80"/>
      <c r="AC226" s="80"/>
      <c r="AD226" s="80"/>
      <c r="AE226" s="80"/>
      <c r="AF226" s="80"/>
      <c r="AG226" s="80"/>
    </row>
    <row r="227" spans="1:33" x14ac:dyDescent="0.2">
      <c r="A227" s="2"/>
      <c r="B227" s="80"/>
      <c r="C227" s="80"/>
      <c r="D227" s="80"/>
      <c r="E227" s="80"/>
      <c r="F227" s="80"/>
      <c r="G227" s="80"/>
      <c r="H227" s="80"/>
      <c r="I227" s="80"/>
      <c r="J227" s="80"/>
      <c r="K227" s="80"/>
      <c r="L227" s="2"/>
      <c r="M227" s="2"/>
      <c r="N227" s="2"/>
      <c r="O227" s="2"/>
      <c r="P227" s="2"/>
      <c r="Q227" s="2"/>
      <c r="R227" s="80"/>
      <c r="S227" s="80"/>
      <c r="T227" s="80"/>
      <c r="U227" s="80"/>
      <c r="V227" s="80"/>
      <c r="W227" s="80"/>
      <c r="X227" s="80"/>
      <c r="Y227" s="80"/>
      <c r="Z227" s="80"/>
      <c r="AA227" s="80"/>
      <c r="AB227" s="80"/>
      <c r="AC227" s="80"/>
      <c r="AD227" s="80"/>
      <c r="AE227" s="80"/>
      <c r="AF227" s="80"/>
      <c r="AG227" s="80"/>
    </row>
    <row r="228" spans="1:33" x14ac:dyDescent="0.2">
      <c r="A228" s="2"/>
      <c r="B228" s="80"/>
      <c r="C228" s="80"/>
      <c r="D228" s="80"/>
      <c r="E228" s="80"/>
      <c r="F228" s="80"/>
      <c r="G228" s="80"/>
      <c r="H228" s="80"/>
      <c r="I228" s="80"/>
      <c r="J228" s="80"/>
      <c r="K228" s="80"/>
      <c r="L228" s="2"/>
      <c r="M228" s="2"/>
      <c r="N228" s="2"/>
      <c r="O228" s="2"/>
      <c r="P228" s="2"/>
      <c r="Q228" s="2"/>
      <c r="R228" s="80"/>
      <c r="S228" s="80"/>
      <c r="T228" s="80"/>
      <c r="U228" s="80"/>
      <c r="V228" s="80"/>
      <c r="W228" s="80"/>
      <c r="X228" s="80"/>
      <c r="Y228" s="80"/>
      <c r="Z228" s="80"/>
      <c r="AA228" s="80"/>
      <c r="AB228" s="80"/>
      <c r="AC228" s="80"/>
      <c r="AD228" s="80"/>
      <c r="AE228" s="80"/>
      <c r="AF228" s="80"/>
      <c r="AG228" s="80"/>
    </row>
    <row r="229" spans="1:33" x14ac:dyDescent="0.2">
      <c r="A229" s="2"/>
      <c r="B229" s="80"/>
      <c r="C229" s="80"/>
      <c r="D229" s="80"/>
      <c r="E229" s="80"/>
      <c r="F229" s="80"/>
      <c r="G229" s="80"/>
      <c r="H229" s="80"/>
      <c r="I229" s="80"/>
      <c r="J229" s="80"/>
      <c r="K229" s="80"/>
      <c r="L229" s="2"/>
      <c r="M229" s="2"/>
      <c r="N229" s="2"/>
      <c r="O229" s="2"/>
      <c r="P229" s="2"/>
      <c r="Q229" s="2"/>
      <c r="R229" s="80"/>
      <c r="S229" s="80"/>
      <c r="T229" s="80"/>
      <c r="U229" s="80"/>
      <c r="V229" s="80"/>
      <c r="W229" s="80"/>
      <c r="X229" s="80"/>
      <c r="Y229" s="80"/>
      <c r="Z229" s="80"/>
      <c r="AA229" s="80"/>
      <c r="AB229" s="80"/>
      <c r="AC229" s="80"/>
      <c r="AD229" s="80"/>
      <c r="AE229" s="80"/>
      <c r="AF229" s="80"/>
      <c r="AG229" s="80"/>
    </row>
    <row r="230" spans="1:33" x14ac:dyDescent="0.2">
      <c r="A230" s="2"/>
      <c r="B230" s="80"/>
      <c r="C230" s="80"/>
      <c r="D230" s="80"/>
      <c r="E230" s="80"/>
      <c r="F230" s="80"/>
      <c r="G230" s="80"/>
      <c r="H230" s="80"/>
      <c r="I230" s="80"/>
      <c r="J230" s="80"/>
      <c r="K230" s="80"/>
      <c r="L230" s="2"/>
      <c r="M230" s="2"/>
      <c r="N230" s="2"/>
      <c r="O230" s="2"/>
      <c r="P230" s="2"/>
      <c r="Q230" s="2"/>
      <c r="R230" s="80"/>
      <c r="S230" s="80"/>
      <c r="T230" s="80"/>
      <c r="U230" s="80"/>
      <c r="V230" s="80"/>
      <c r="W230" s="80"/>
      <c r="X230" s="80"/>
      <c r="Y230" s="80"/>
      <c r="Z230" s="80"/>
      <c r="AA230" s="80"/>
      <c r="AB230" s="80"/>
      <c r="AC230" s="80"/>
      <c r="AD230" s="80"/>
      <c r="AE230" s="80"/>
      <c r="AF230" s="80"/>
      <c r="AG230" s="80"/>
    </row>
    <row r="231" spans="1:33" x14ac:dyDescent="0.2">
      <c r="A231" s="2"/>
      <c r="B231" s="80"/>
      <c r="C231" s="80"/>
      <c r="D231" s="80"/>
      <c r="E231" s="80"/>
      <c r="F231" s="80"/>
      <c r="G231" s="80"/>
      <c r="H231" s="80"/>
      <c r="I231" s="80"/>
      <c r="J231" s="80"/>
      <c r="K231" s="80"/>
      <c r="L231" s="2"/>
      <c r="M231" s="2"/>
      <c r="N231" s="2"/>
      <c r="O231" s="2"/>
      <c r="P231" s="2"/>
      <c r="Q231" s="2"/>
      <c r="R231" s="80"/>
      <c r="S231" s="80"/>
      <c r="T231" s="80"/>
      <c r="U231" s="80"/>
      <c r="V231" s="80"/>
      <c r="W231" s="80"/>
      <c r="X231" s="80"/>
      <c r="Y231" s="80"/>
      <c r="Z231" s="80"/>
      <c r="AA231" s="80"/>
      <c r="AB231" s="80"/>
      <c r="AC231" s="80"/>
      <c r="AD231" s="80"/>
      <c r="AE231" s="80"/>
      <c r="AF231" s="80"/>
      <c r="AG231" s="80"/>
    </row>
    <row r="232" spans="1:33" x14ac:dyDescent="0.2">
      <c r="A232" s="2"/>
      <c r="B232" s="80"/>
      <c r="C232" s="80"/>
      <c r="D232" s="80"/>
      <c r="E232" s="80"/>
      <c r="F232" s="80"/>
      <c r="G232" s="80"/>
      <c r="H232" s="80"/>
      <c r="I232" s="80"/>
      <c r="J232" s="80"/>
      <c r="K232" s="80"/>
      <c r="L232" s="2"/>
      <c r="M232" s="2"/>
      <c r="N232" s="2"/>
      <c r="O232" s="2"/>
      <c r="P232" s="2"/>
      <c r="Q232" s="2"/>
      <c r="R232" s="80"/>
      <c r="S232" s="80"/>
      <c r="T232" s="80"/>
      <c r="U232" s="80"/>
      <c r="V232" s="80"/>
      <c r="W232" s="80"/>
      <c r="X232" s="80"/>
      <c r="Y232" s="80"/>
      <c r="Z232" s="80"/>
      <c r="AA232" s="80"/>
      <c r="AB232" s="80"/>
      <c r="AC232" s="80"/>
      <c r="AD232" s="80"/>
      <c r="AE232" s="80"/>
      <c r="AF232" s="80"/>
      <c r="AG232" s="80"/>
    </row>
    <row r="233" spans="1:33" x14ac:dyDescent="0.2">
      <c r="A233" s="2"/>
      <c r="B233" s="80"/>
      <c r="C233" s="80"/>
      <c r="D233" s="80"/>
      <c r="E233" s="80"/>
      <c r="F233" s="80"/>
      <c r="G233" s="80"/>
      <c r="H233" s="80"/>
      <c r="I233" s="80"/>
      <c r="J233" s="80"/>
      <c r="K233" s="80"/>
      <c r="L233" s="2"/>
      <c r="M233" s="2"/>
      <c r="N233" s="2"/>
      <c r="O233" s="2"/>
      <c r="P233" s="2"/>
      <c r="Q233" s="2"/>
      <c r="R233" s="80"/>
      <c r="S233" s="80"/>
      <c r="T233" s="80"/>
      <c r="U233" s="80"/>
      <c r="V233" s="80"/>
      <c r="W233" s="80"/>
      <c r="X233" s="80"/>
      <c r="Y233" s="80"/>
      <c r="Z233" s="80"/>
      <c r="AA233" s="80"/>
      <c r="AB233" s="80"/>
      <c r="AC233" s="80"/>
      <c r="AD233" s="80"/>
      <c r="AE233" s="80"/>
      <c r="AF233" s="80"/>
      <c r="AG233" s="80"/>
    </row>
    <row r="234" spans="1:33" x14ac:dyDescent="0.2">
      <c r="A234" s="2"/>
      <c r="B234" s="80"/>
      <c r="C234" s="80"/>
      <c r="D234" s="80"/>
      <c r="E234" s="80"/>
      <c r="F234" s="80"/>
      <c r="G234" s="80"/>
      <c r="H234" s="80"/>
      <c r="I234" s="80"/>
      <c r="J234" s="80"/>
      <c r="K234" s="80"/>
      <c r="L234" s="2"/>
      <c r="M234" s="2"/>
      <c r="N234" s="2"/>
      <c r="O234" s="2"/>
      <c r="P234" s="2"/>
      <c r="Q234" s="2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80"/>
      <c r="AC234" s="80"/>
      <c r="AD234" s="80"/>
      <c r="AE234" s="80"/>
      <c r="AF234" s="80"/>
      <c r="AG234" s="80"/>
    </row>
    <row r="235" spans="1:33" x14ac:dyDescent="0.2">
      <c r="A235" s="2"/>
      <c r="B235" s="80"/>
      <c r="C235" s="80"/>
      <c r="D235" s="80"/>
      <c r="E235" s="80"/>
      <c r="F235" s="80"/>
      <c r="G235" s="80"/>
      <c r="H235" s="80"/>
      <c r="I235" s="80"/>
      <c r="J235" s="80"/>
      <c r="K235" s="80"/>
      <c r="L235" s="2"/>
      <c r="M235" s="2"/>
      <c r="N235" s="2"/>
      <c r="O235" s="2"/>
      <c r="P235" s="2"/>
      <c r="Q235" s="2"/>
      <c r="R235" s="80"/>
      <c r="S235" s="80"/>
      <c r="T235" s="80"/>
      <c r="U235" s="80"/>
      <c r="V235" s="80"/>
      <c r="W235" s="80"/>
      <c r="X235" s="80"/>
      <c r="Y235" s="80"/>
      <c r="Z235" s="80"/>
      <c r="AA235" s="80"/>
      <c r="AB235" s="80"/>
      <c r="AC235" s="80"/>
      <c r="AD235" s="80"/>
      <c r="AE235" s="80"/>
      <c r="AF235" s="80"/>
      <c r="AG235" s="80"/>
    </row>
    <row r="236" spans="1:33" x14ac:dyDescent="0.2">
      <c r="A236" s="2"/>
      <c r="B236" s="80"/>
      <c r="C236" s="80"/>
      <c r="D236" s="80"/>
      <c r="E236" s="80"/>
      <c r="F236" s="80"/>
      <c r="G236" s="80"/>
      <c r="H236" s="80"/>
      <c r="I236" s="80"/>
      <c r="J236" s="80"/>
      <c r="K236" s="80"/>
      <c r="L236" s="2"/>
      <c r="M236" s="2"/>
      <c r="N236" s="2"/>
      <c r="O236" s="2"/>
      <c r="P236" s="2"/>
      <c r="Q236" s="2"/>
      <c r="R236" s="80"/>
      <c r="S236" s="80"/>
      <c r="T236" s="80"/>
      <c r="U236" s="80"/>
      <c r="V236" s="80"/>
      <c r="W236" s="80"/>
      <c r="X236" s="80"/>
      <c r="Y236" s="80"/>
      <c r="Z236" s="80"/>
      <c r="AA236" s="80"/>
      <c r="AB236" s="80"/>
      <c r="AC236" s="80"/>
      <c r="AD236" s="80"/>
      <c r="AE236" s="80"/>
      <c r="AF236" s="80"/>
      <c r="AG236" s="80"/>
    </row>
    <row r="237" spans="1:33" x14ac:dyDescent="0.2">
      <c r="A237" s="2"/>
      <c r="B237" s="80"/>
      <c r="C237" s="80"/>
      <c r="D237" s="80"/>
      <c r="E237" s="80"/>
      <c r="F237" s="80"/>
      <c r="G237" s="80"/>
      <c r="H237" s="80"/>
      <c r="I237" s="80"/>
      <c r="J237" s="80"/>
      <c r="K237" s="80"/>
      <c r="L237" s="2"/>
      <c r="M237" s="2"/>
      <c r="N237" s="2"/>
      <c r="O237" s="2"/>
      <c r="P237" s="2"/>
      <c r="Q237" s="2"/>
      <c r="R237" s="80"/>
      <c r="S237" s="80"/>
      <c r="T237" s="80"/>
      <c r="U237" s="80"/>
      <c r="V237" s="80"/>
      <c r="W237" s="80"/>
      <c r="X237" s="80"/>
      <c r="Y237" s="80"/>
      <c r="Z237" s="80"/>
      <c r="AA237" s="80"/>
      <c r="AB237" s="80"/>
      <c r="AC237" s="80"/>
      <c r="AD237" s="80"/>
      <c r="AE237" s="80"/>
      <c r="AF237" s="80"/>
      <c r="AG237" s="80"/>
    </row>
    <row r="238" spans="1:33" x14ac:dyDescent="0.2">
      <c r="A238" s="2"/>
      <c r="B238" s="80"/>
      <c r="C238" s="80"/>
      <c r="D238" s="80"/>
      <c r="E238" s="80"/>
      <c r="F238" s="80"/>
      <c r="G238" s="80"/>
      <c r="H238" s="80"/>
      <c r="I238" s="80"/>
      <c r="J238" s="80"/>
      <c r="K238" s="80"/>
      <c r="L238" s="2"/>
      <c r="M238" s="2"/>
      <c r="N238" s="2"/>
      <c r="O238" s="2"/>
      <c r="P238" s="2"/>
      <c r="Q238" s="2"/>
      <c r="R238" s="80"/>
      <c r="S238" s="80"/>
      <c r="T238" s="80"/>
      <c r="U238" s="80"/>
      <c r="V238" s="80"/>
      <c r="W238" s="80"/>
      <c r="X238" s="80"/>
      <c r="Y238" s="80"/>
      <c r="Z238" s="80"/>
      <c r="AA238" s="80"/>
      <c r="AB238" s="80"/>
      <c r="AC238" s="80"/>
      <c r="AD238" s="80"/>
      <c r="AE238" s="80"/>
      <c r="AF238" s="80"/>
      <c r="AG238" s="80"/>
    </row>
    <row r="239" spans="1:33" x14ac:dyDescent="0.2">
      <c r="A239" s="2"/>
      <c r="B239" s="80"/>
      <c r="C239" s="80"/>
      <c r="D239" s="80"/>
      <c r="E239" s="80"/>
      <c r="F239" s="80"/>
      <c r="G239" s="80"/>
      <c r="H239" s="80"/>
      <c r="I239" s="80"/>
      <c r="J239" s="80"/>
      <c r="K239" s="80"/>
      <c r="L239" s="2"/>
      <c r="M239" s="2"/>
      <c r="N239" s="2"/>
      <c r="O239" s="2"/>
      <c r="P239" s="2"/>
      <c r="Q239" s="2"/>
      <c r="R239" s="80"/>
      <c r="S239" s="80"/>
      <c r="T239" s="80"/>
      <c r="U239" s="80"/>
      <c r="V239" s="80"/>
      <c r="W239" s="80"/>
      <c r="X239" s="80"/>
      <c r="Y239" s="80"/>
      <c r="Z239" s="80"/>
      <c r="AA239" s="80"/>
      <c r="AB239" s="80"/>
      <c r="AC239" s="80"/>
      <c r="AD239" s="80"/>
      <c r="AE239" s="80"/>
      <c r="AF239" s="80"/>
      <c r="AG239" s="80"/>
    </row>
    <row r="240" spans="1:33" x14ac:dyDescent="0.2">
      <c r="A240" s="2"/>
      <c r="B240" s="80"/>
      <c r="C240" s="80"/>
      <c r="D240" s="80"/>
      <c r="E240" s="80"/>
      <c r="F240" s="80"/>
      <c r="G240" s="80"/>
      <c r="H240" s="80"/>
      <c r="I240" s="80"/>
      <c r="J240" s="80"/>
      <c r="K240" s="80"/>
      <c r="L240" s="2"/>
      <c r="M240" s="2"/>
      <c r="N240" s="2"/>
      <c r="O240" s="2"/>
      <c r="P240" s="2"/>
      <c r="Q240" s="2"/>
      <c r="R240" s="80"/>
      <c r="S240" s="80"/>
      <c r="T240" s="80"/>
      <c r="U240" s="80"/>
      <c r="V240" s="80"/>
      <c r="W240" s="80"/>
      <c r="X240" s="80"/>
      <c r="Y240" s="80"/>
      <c r="Z240" s="80"/>
      <c r="AA240" s="80"/>
      <c r="AB240" s="80"/>
      <c r="AC240" s="80"/>
      <c r="AD240" s="80"/>
      <c r="AE240" s="80"/>
      <c r="AF240" s="80"/>
      <c r="AG240" s="80"/>
    </row>
    <row r="241" spans="1:33" x14ac:dyDescent="0.2">
      <c r="A241" s="2"/>
      <c r="B241" s="80"/>
      <c r="C241" s="80"/>
      <c r="D241" s="80"/>
      <c r="E241" s="80"/>
      <c r="F241" s="80"/>
      <c r="G241" s="80"/>
      <c r="H241" s="80"/>
      <c r="I241" s="80"/>
      <c r="J241" s="80"/>
      <c r="K241" s="80"/>
      <c r="L241" s="2"/>
      <c r="M241" s="2"/>
      <c r="N241" s="2"/>
      <c r="O241" s="2"/>
      <c r="P241" s="2"/>
      <c r="Q241" s="2"/>
      <c r="R241" s="80"/>
      <c r="S241" s="80"/>
      <c r="T241" s="80"/>
      <c r="U241" s="80"/>
      <c r="V241" s="80"/>
      <c r="W241" s="80"/>
      <c r="X241" s="80"/>
      <c r="Y241" s="80"/>
      <c r="Z241" s="80"/>
      <c r="AA241" s="80"/>
      <c r="AB241" s="80"/>
      <c r="AC241" s="80"/>
      <c r="AD241" s="80"/>
      <c r="AE241" s="80"/>
      <c r="AF241" s="80"/>
      <c r="AG241" s="80"/>
    </row>
    <row r="242" spans="1:33" x14ac:dyDescent="0.2">
      <c r="A242" s="2"/>
      <c r="B242" s="80"/>
      <c r="C242" s="80"/>
      <c r="D242" s="80"/>
      <c r="E242" s="80"/>
      <c r="F242" s="80"/>
      <c r="G242" s="80"/>
      <c r="H242" s="80"/>
      <c r="I242" s="80"/>
      <c r="J242" s="80"/>
      <c r="K242" s="80"/>
      <c r="L242" s="2"/>
      <c r="M242" s="2"/>
      <c r="N242" s="2"/>
      <c r="O242" s="2"/>
      <c r="P242" s="2"/>
      <c r="Q242" s="2"/>
      <c r="R242" s="80"/>
      <c r="S242" s="80"/>
      <c r="T242" s="80"/>
      <c r="U242" s="80"/>
      <c r="V242" s="80"/>
      <c r="W242" s="80"/>
      <c r="X242" s="80"/>
      <c r="Y242" s="80"/>
      <c r="Z242" s="80"/>
      <c r="AA242" s="80"/>
      <c r="AB242" s="80"/>
      <c r="AC242" s="80"/>
      <c r="AD242" s="80"/>
      <c r="AE242" s="80"/>
      <c r="AF242" s="80"/>
      <c r="AG242" s="80"/>
    </row>
    <row r="243" spans="1:33" x14ac:dyDescent="0.2">
      <c r="A243" s="2"/>
      <c r="B243" s="80"/>
      <c r="C243" s="80"/>
      <c r="D243" s="80"/>
      <c r="E243" s="80"/>
      <c r="F243" s="80"/>
      <c r="G243" s="80"/>
      <c r="H243" s="80"/>
      <c r="I243" s="80"/>
      <c r="J243" s="80"/>
      <c r="K243" s="80"/>
      <c r="L243" s="2"/>
      <c r="M243" s="2"/>
      <c r="N243" s="2"/>
      <c r="O243" s="2"/>
      <c r="P243" s="2"/>
      <c r="Q243" s="2"/>
      <c r="R243" s="80"/>
      <c r="S243" s="80"/>
      <c r="T243" s="80"/>
      <c r="U243" s="80"/>
      <c r="V243" s="80"/>
      <c r="W243" s="80"/>
      <c r="X243" s="80"/>
      <c r="Y243" s="80"/>
      <c r="Z243" s="80"/>
      <c r="AA243" s="80"/>
      <c r="AB243" s="80"/>
      <c r="AC243" s="80"/>
      <c r="AD243" s="80"/>
      <c r="AE243" s="80"/>
      <c r="AF243" s="80"/>
      <c r="AG243" s="80"/>
    </row>
    <row r="244" spans="1:33" x14ac:dyDescent="0.2">
      <c r="A244" s="2"/>
      <c r="B244" s="80"/>
      <c r="C244" s="80"/>
      <c r="D244" s="80"/>
      <c r="E244" s="80"/>
      <c r="F244" s="80"/>
      <c r="G244" s="80"/>
      <c r="H244" s="80"/>
      <c r="I244" s="80"/>
      <c r="J244" s="80"/>
      <c r="K244" s="80"/>
      <c r="L244" s="2"/>
      <c r="M244" s="2"/>
      <c r="N244" s="2"/>
      <c r="O244" s="2"/>
      <c r="P244" s="2"/>
      <c r="Q244" s="2"/>
      <c r="R244" s="80"/>
      <c r="S244" s="80"/>
      <c r="T244" s="80"/>
      <c r="U244" s="80"/>
      <c r="V244" s="80"/>
      <c r="W244" s="80"/>
      <c r="X244" s="80"/>
      <c r="Y244" s="80"/>
      <c r="Z244" s="80"/>
      <c r="AA244" s="80"/>
      <c r="AB244" s="80"/>
      <c r="AC244" s="80"/>
      <c r="AD244" s="80"/>
      <c r="AE244" s="80"/>
      <c r="AF244" s="80"/>
      <c r="AG244" s="80"/>
    </row>
    <row r="245" spans="1:33" x14ac:dyDescent="0.2">
      <c r="A245" s="2"/>
      <c r="B245" s="80"/>
      <c r="C245" s="80"/>
      <c r="D245" s="80"/>
      <c r="E245" s="80"/>
      <c r="F245" s="80"/>
      <c r="G245" s="80"/>
      <c r="H245" s="80"/>
      <c r="I245" s="80"/>
      <c r="J245" s="80"/>
      <c r="K245" s="80"/>
      <c r="L245" s="2"/>
      <c r="M245" s="2"/>
      <c r="N245" s="2"/>
      <c r="O245" s="2"/>
      <c r="P245" s="2"/>
      <c r="Q245" s="2"/>
      <c r="R245" s="80"/>
      <c r="S245" s="80"/>
      <c r="T245" s="80"/>
      <c r="U245" s="80"/>
      <c r="V245" s="80"/>
      <c r="W245" s="80"/>
      <c r="X245" s="80"/>
      <c r="Y245" s="80"/>
      <c r="Z245" s="80"/>
      <c r="AA245" s="80"/>
      <c r="AB245" s="80"/>
      <c r="AC245" s="80"/>
      <c r="AD245" s="80"/>
      <c r="AE245" s="80"/>
      <c r="AF245" s="80"/>
      <c r="AG245" s="80"/>
    </row>
    <row r="246" spans="1:33" x14ac:dyDescent="0.2">
      <c r="A246" s="2"/>
      <c r="B246" s="80"/>
      <c r="C246" s="80"/>
      <c r="D246" s="80"/>
      <c r="E246" s="80"/>
      <c r="F246" s="80"/>
      <c r="G246" s="80"/>
      <c r="H246" s="80"/>
      <c r="I246" s="80"/>
      <c r="J246" s="80"/>
      <c r="K246" s="80"/>
      <c r="L246" s="2"/>
      <c r="M246" s="2"/>
      <c r="N246" s="2"/>
      <c r="O246" s="2"/>
      <c r="P246" s="2"/>
      <c r="Q246" s="2"/>
      <c r="R246" s="80"/>
      <c r="S246" s="80"/>
      <c r="T246" s="80"/>
      <c r="U246" s="80"/>
      <c r="V246" s="80"/>
      <c r="W246" s="80"/>
      <c r="X246" s="80"/>
      <c r="Y246" s="80"/>
      <c r="Z246" s="80"/>
      <c r="AA246" s="80"/>
      <c r="AB246" s="80"/>
      <c r="AC246" s="80"/>
      <c r="AD246" s="80"/>
      <c r="AE246" s="80"/>
      <c r="AF246" s="80"/>
      <c r="AG246" s="80"/>
    </row>
    <row r="247" spans="1:33" x14ac:dyDescent="0.2">
      <c r="A247" s="2"/>
      <c r="B247" s="80"/>
      <c r="C247" s="80"/>
      <c r="D247" s="80"/>
      <c r="E247" s="80"/>
      <c r="F247" s="80"/>
      <c r="G247" s="80"/>
      <c r="H247" s="80"/>
      <c r="I247" s="80"/>
      <c r="J247" s="80"/>
      <c r="K247" s="80"/>
      <c r="L247" s="2"/>
      <c r="M247" s="2"/>
      <c r="N247" s="2"/>
      <c r="O247" s="2"/>
      <c r="P247" s="2"/>
      <c r="Q247" s="2"/>
      <c r="R247" s="80"/>
      <c r="S247" s="80"/>
      <c r="T247" s="80"/>
      <c r="U247" s="80"/>
      <c r="V247" s="80"/>
      <c r="W247" s="80"/>
      <c r="X247" s="80"/>
      <c r="Y247" s="80"/>
      <c r="Z247" s="80"/>
      <c r="AA247" s="80"/>
      <c r="AB247" s="80"/>
      <c r="AC247" s="80"/>
      <c r="AD247" s="80"/>
      <c r="AE247" s="80"/>
      <c r="AF247" s="80"/>
      <c r="AG247" s="80"/>
    </row>
    <row r="248" spans="1:33" x14ac:dyDescent="0.2">
      <c r="A248" s="2"/>
      <c r="B248" s="80"/>
      <c r="C248" s="80"/>
      <c r="D248" s="80"/>
      <c r="E248" s="80"/>
      <c r="F248" s="80"/>
      <c r="G248" s="80"/>
      <c r="H248" s="80"/>
      <c r="I248" s="80"/>
      <c r="J248" s="80"/>
      <c r="K248" s="80"/>
      <c r="L248" s="2"/>
      <c r="M248" s="2"/>
      <c r="N248" s="2"/>
      <c r="O248" s="2"/>
      <c r="P248" s="2"/>
      <c r="Q248" s="2"/>
      <c r="R248" s="80"/>
      <c r="S248" s="80"/>
      <c r="T248" s="80"/>
      <c r="U248" s="80"/>
      <c r="V248" s="80"/>
      <c r="W248" s="80"/>
      <c r="X248" s="80"/>
      <c r="Y248" s="80"/>
      <c r="Z248" s="80"/>
      <c r="AA248" s="80"/>
      <c r="AB248" s="80"/>
      <c r="AC248" s="80"/>
      <c r="AD248" s="80"/>
      <c r="AE248" s="80"/>
      <c r="AF248" s="80"/>
      <c r="AG248" s="80"/>
    </row>
    <row r="249" spans="1:33" x14ac:dyDescent="0.2">
      <c r="A249" s="2"/>
      <c r="B249" s="80"/>
      <c r="C249" s="80"/>
      <c r="D249" s="80"/>
      <c r="E249" s="80"/>
      <c r="F249" s="80"/>
      <c r="G249" s="80"/>
      <c r="H249" s="80"/>
      <c r="I249" s="80"/>
      <c r="J249" s="80"/>
      <c r="K249" s="80"/>
      <c r="L249" s="2"/>
      <c r="M249" s="2"/>
      <c r="N249" s="2"/>
      <c r="O249" s="2"/>
      <c r="P249" s="2"/>
      <c r="Q249" s="2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E249" s="80"/>
      <c r="AF249" s="80"/>
      <c r="AG249" s="80"/>
    </row>
    <row r="250" spans="1:33" x14ac:dyDescent="0.2">
      <c r="A250" s="2"/>
      <c r="B250" s="80"/>
      <c r="C250" s="80"/>
      <c r="D250" s="80"/>
      <c r="E250" s="80"/>
      <c r="F250" s="80"/>
      <c r="G250" s="80"/>
      <c r="H250" s="80"/>
      <c r="I250" s="80"/>
      <c r="J250" s="80"/>
      <c r="K250" s="80"/>
      <c r="L250" s="2"/>
      <c r="M250" s="2"/>
      <c r="N250" s="2"/>
      <c r="O250" s="2"/>
      <c r="P250" s="2"/>
      <c r="Q250" s="2"/>
      <c r="R250" s="80"/>
      <c r="S250" s="80"/>
      <c r="T250" s="80"/>
      <c r="U250" s="80"/>
      <c r="V250" s="80"/>
      <c r="W250" s="80"/>
      <c r="X250" s="80"/>
      <c r="Y250" s="80"/>
      <c r="Z250" s="80"/>
      <c r="AA250" s="80"/>
      <c r="AB250" s="80"/>
      <c r="AC250" s="80"/>
      <c r="AD250" s="80"/>
      <c r="AE250" s="80"/>
      <c r="AF250" s="80"/>
      <c r="AG250" s="80"/>
    </row>
    <row r="251" spans="1:33" x14ac:dyDescent="0.2">
      <c r="A251" s="2"/>
      <c r="B251" s="80"/>
      <c r="C251" s="80"/>
      <c r="D251" s="80"/>
      <c r="E251" s="80"/>
      <c r="F251" s="80"/>
      <c r="G251" s="80"/>
      <c r="H251" s="80"/>
      <c r="I251" s="80"/>
      <c r="J251" s="80"/>
      <c r="K251" s="80"/>
      <c r="L251" s="2"/>
      <c r="M251" s="2"/>
      <c r="N251" s="2"/>
      <c r="O251" s="2"/>
      <c r="P251" s="2"/>
      <c r="Q251" s="2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D251" s="80"/>
      <c r="AE251" s="80"/>
      <c r="AF251" s="80"/>
      <c r="AG251" s="80"/>
    </row>
    <row r="252" spans="1:33" x14ac:dyDescent="0.2">
      <c r="A252" s="2"/>
      <c r="B252" s="80"/>
      <c r="C252" s="80"/>
      <c r="D252" s="80"/>
      <c r="E252" s="80"/>
      <c r="F252" s="80"/>
      <c r="G252" s="80"/>
      <c r="H252" s="80"/>
      <c r="I252" s="80"/>
      <c r="J252" s="80"/>
      <c r="K252" s="80"/>
      <c r="L252" s="2"/>
      <c r="M252" s="2"/>
      <c r="N252" s="2"/>
      <c r="O252" s="2"/>
      <c r="P252" s="2"/>
      <c r="Q252" s="2"/>
      <c r="R252" s="80"/>
      <c r="S252" s="80"/>
      <c r="T252" s="80"/>
      <c r="U252" s="80"/>
      <c r="V252" s="80"/>
      <c r="W252" s="80"/>
      <c r="X252" s="80"/>
      <c r="Y252" s="80"/>
      <c r="Z252" s="80"/>
      <c r="AA252" s="80"/>
      <c r="AB252" s="80"/>
      <c r="AC252" s="80"/>
      <c r="AD252" s="80"/>
      <c r="AE252" s="80"/>
      <c r="AF252" s="80"/>
      <c r="AG252" s="80"/>
    </row>
    <row r="253" spans="1:33" x14ac:dyDescent="0.2">
      <c r="A253" s="2"/>
      <c r="B253" s="80"/>
      <c r="C253" s="80"/>
      <c r="D253" s="80"/>
      <c r="E253" s="80"/>
      <c r="F253" s="80"/>
      <c r="G253" s="80"/>
      <c r="H253" s="80"/>
      <c r="I253" s="80"/>
      <c r="J253" s="80"/>
      <c r="K253" s="80"/>
      <c r="L253" s="2"/>
      <c r="M253" s="2"/>
      <c r="N253" s="2"/>
      <c r="O253" s="2"/>
      <c r="P253" s="2"/>
      <c r="Q253" s="2"/>
      <c r="R253" s="80"/>
      <c r="S253" s="80"/>
      <c r="T253" s="80"/>
      <c r="U253" s="80"/>
      <c r="V253" s="80"/>
      <c r="W253" s="80"/>
      <c r="X253" s="80"/>
      <c r="Y253" s="80"/>
      <c r="Z253" s="80"/>
      <c r="AA253" s="80"/>
      <c r="AB253" s="80"/>
      <c r="AC253" s="80"/>
      <c r="AD253" s="80"/>
      <c r="AE253" s="80"/>
      <c r="AF253" s="80"/>
      <c r="AG253" s="80"/>
    </row>
    <row r="254" spans="1:33" x14ac:dyDescent="0.2">
      <c r="A254" s="2"/>
      <c r="B254" s="80"/>
      <c r="C254" s="80"/>
      <c r="D254" s="80"/>
      <c r="E254" s="80"/>
      <c r="F254" s="80"/>
      <c r="G254" s="80"/>
      <c r="H254" s="80"/>
      <c r="I254" s="80"/>
      <c r="J254" s="80"/>
      <c r="K254" s="80"/>
      <c r="L254" s="2"/>
      <c r="M254" s="2"/>
      <c r="N254" s="2"/>
      <c r="O254" s="2"/>
      <c r="P254" s="2"/>
      <c r="Q254" s="2"/>
      <c r="R254" s="80"/>
      <c r="S254" s="80"/>
      <c r="T254" s="80"/>
      <c r="U254" s="80"/>
      <c r="V254" s="80"/>
      <c r="W254" s="80"/>
      <c r="X254" s="80"/>
      <c r="Y254" s="80"/>
      <c r="Z254" s="80"/>
      <c r="AA254" s="80"/>
      <c r="AB254" s="80"/>
      <c r="AC254" s="80"/>
      <c r="AD254" s="80"/>
      <c r="AE254" s="80"/>
      <c r="AF254" s="80"/>
      <c r="AG254" s="80"/>
    </row>
    <row r="255" spans="1:33" x14ac:dyDescent="0.2">
      <c r="A255" s="2"/>
      <c r="B255" s="80"/>
      <c r="C255" s="80"/>
      <c r="D255" s="80"/>
      <c r="E255" s="80"/>
      <c r="F255" s="80"/>
      <c r="G255" s="80"/>
      <c r="H255" s="80"/>
      <c r="I255" s="80"/>
      <c r="J255" s="80"/>
      <c r="K255" s="80"/>
      <c r="L255" s="2"/>
      <c r="M255" s="2"/>
      <c r="N255" s="2"/>
      <c r="O255" s="2"/>
      <c r="P255" s="2"/>
      <c r="Q255" s="2"/>
      <c r="R255" s="80"/>
      <c r="S255" s="80"/>
      <c r="T255" s="80"/>
      <c r="U255" s="80"/>
      <c r="V255" s="80"/>
      <c r="W255" s="80"/>
      <c r="X255" s="80"/>
      <c r="Y255" s="80"/>
      <c r="Z255" s="80"/>
      <c r="AA255" s="80"/>
      <c r="AB255" s="80"/>
      <c r="AC255" s="80"/>
      <c r="AD255" s="80"/>
      <c r="AE255" s="80"/>
      <c r="AF255" s="80"/>
      <c r="AG255" s="80"/>
    </row>
    <row r="256" spans="1:33" x14ac:dyDescent="0.2">
      <c r="A256" s="2"/>
      <c r="B256" s="80"/>
      <c r="C256" s="80"/>
      <c r="D256" s="80"/>
      <c r="E256" s="80"/>
      <c r="F256" s="80"/>
      <c r="G256" s="80"/>
      <c r="H256" s="80"/>
      <c r="I256" s="80"/>
      <c r="J256" s="80"/>
      <c r="K256" s="80"/>
      <c r="L256" s="2"/>
      <c r="M256" s="2"/>
      <c r="N256" s="2"/>
      <c r="O256" s="2"/>
      <c r="P256" s="2"/>
      <c r="Q256" s="2"/>
      <c r="R256" s="80"/>
      <c r="S256" s="80"/>
      <c r="T256" s="80"/>
      <c r="U256" s="80"/>
      <c r="V256" s="80"/>
      <c r="W256" s="80"/>
      <c r="X256" s="80"/>
      <c r="Y256" s="80"/>
      <c r="Z256" s="80"/>
      <c r="AA256" s="80"/>
      <c r="AB256" s="80"/>
      <c r="AC256" s="80"/>
      <c r="AD256" s="80"/>
      <c r="AE256" s="80"/>
      <c r="AF256" s="80"/>
      <c r="AG256" s="80"/>
    </row>
    <row r="257" spans="1:33" x14ac:dyDescent="0.2">
      <c r="A257" s="2"/>
      <c r="B257" s="80"/>
      <c r="C257" s="80"/>
      <c r="D257" s="80"/>
      <c r="E257" s="80"/>
      <c r="F257" s="80"/>
      <c r="G257" s="80"/>
      <c r="H257" s="80"/>
      <c r="I257" s="80"/>
      <c r="J257" s="80"/>
      <c r="K257" s="80"/>
      <c r="L257" s="2"/>
      <c r="M257" s="2"/>
      <c r="N257" s="2"/>
      <c r="O257" s="2"/>
      <c r="P257" s="2"/>
      <c r="Q257" s="2"/>
      <c r="R257" s="80"/>
      <c r="S257" s="80"/>
      <c r="T257" s="80"/>
      <c r="U257" s="80"/>
      <c r="V257" s="80"/>
      <c r="W257" s="80"/>
      <c r="X257" s="80"/>
      <c r="Y257" s="80"/>
      <c r="Z257" s="80"/>
      <c r="AA257" s="80"/>
      <c r="AB257" s="80"/>
      <c r="AC257" s="80"/>
      <c r="AD257" s="80"/>
      <c r="AE257" s="80"/>
      <c r="AF257" s="80"/>
      <c r="AG257" s="80"/>
    </row>
    <row r="258" spans="1:33" x14ac:dyDescent="0.2">
      <c r="A258" s="2"/>
      <c r="B258" s="80"/>
      <c r="C258" s="80"/>
      <c r="D258" s="80"/>
      <c r="E258" s="80"/>
      <c r="F258" s="80"/>
      <c r="G258" s="80"/>
      <c r="H258" s="80"/>
      <c r="I258" s="80"/>
      <c r="J258" s="80"/>
      <c r="K258" s="80"/>
      <c r="L258" s="2"/>
      <c r="M258" s="2"/>
      <c r="N258" s="2"/>
      <c r="O258" s="2"/>
      <c r="P258" s="2"/>
      <c r="Q258" s="2"/>
      <c r="R258" s="80"/>
      <c r="S258" s="80"/>
      <c r="T258" s="80"/>
      <c r="U258" s="80"/>
      <c r="V258" s="80"/>
      <c r="W258" s="80"/>
      <c r="X258" s="80"/>
      <c r="Y258" s="80"/>
      <c r="Z258" s="80"/>
      <c r="AA258" s="80"/>
      <c r="AB258" s="80"/>
      <c r="AC258" s="80"/>
      <c r="AD258" s="80"/>
      <c r="AE258" s="80"/>
      <c r="AF258" s="80"/>
      <c r="AG258" s="80"/>
    </row>
    <row r="259" spans="1:33" x14ac:dyDescent="0.2">
      <c r="A259" s="2"/>
      <c r="B259" s="80"/>
      <c r="C259" s="80"/>
      <c r="D259" s="80"/>
      <c r="E259" s="80"/>
      <c r="F259" s="80"/>
      <c r="G259" s="80"/>
      <c r="H259" s="80"/>
      <c r="I259" s="80"/>
      <c r="J259" s="80"/>
      <c r="K259" s="80"/>
      <c r="L259" s="2"/>
      <c r="M259" s="2"/>
      <c r="N259" s="2"/>
      <c r="O259" s="2"/>
      <c r="P259" s="2"/>
      <c r="Q259" s="2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</row>
    <row r="260" spans="1:33" x14ac:dyDescent="0.2">
      <c r="A260" s="2"/>
      <c r="B260" s="80"/>
      <c r="C260" s="80"/>
      <c r="D260" s="80"/>
      <c r="E260" s="80"/>
      <c r="F260" s="80"/>
      <c r="G260" s="80"/>
      <c r="H260" s="80"/>
      <c r="I260" s="80"/>
      <c r="J260" s="80"/>
      <c r="K260" s="80"/>
      <c r="L260" s="2"/>
      <c r="M260" s="2"/>
      <c r="N260" s="2"/>
      <c r="O260" s="2"/>
      <c r="P260" s="2"/>
      <c r="Q260" s="2"/>
      <c r="R260" s="80"/>
      <c r="S260" s="80"/>
      <c r="T260" s="80"/>
      <c r="U260" s="80"/>
      <c r="V260" s="80"/>
      <c r="W260" s="80"/>
      <c r="X260" s="80"/>
      <c r="Y260" s="80"/>
      <c r="Z260" s="80"/>
      <c r="AA260" s="80"/>
      <c r="AB260" s="80"/>
      <c r="AC260" s="80"/>
      <c r="AD260" s="80"/>
      <c r="AE260" s="80"/>
      <c r="AF260" s="80"/>
      <c r="AG260" s="80"/>
    </row>
    <row r="261" spans="1:33" x14ac:dyDescent="0.2">
      <c r="A261" s="2"/>
      <c r="B261" s="80"/>
      <c r="C261" s="80"/>
      <c r="D261" s="80"/>
      <c r="E261" s="80"/>
      <c r="F261" s="80"/>
      <c r="G261" s="80"/>
      <c r="H261" s="80"/>
      <c r="I261" s="80"/>
      <c r="J261" s="80"/>
      <c r="K261" s="80"/>
      <c r="L261" s="2"/>
      <c r="M261" s="2"/>
      <c r="N261" s="2"/>
      <c r="O261" s="2"/>
      <c r="P261" s="2"/>
      <c r="Q261" s="2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80"/>
      <c r="AC261" s="80"/>
      <c r="AD261" s="80"/>
      <c r="AE261" s="80"/>
      <c r="AF261" s="80"/>
      <c r="AG261" s="80"/>
    </row>
    <row r="262" spans="1:33" x14ac:dyDescent="0.2">
      <c r="A262" s="2"/>
      <c r="B262" s="80"/>
      <c r="C262" s="80"/>
      <c r="D262" s="80"/>
      <c r="E262" s="80"/>
      <c r="F262" s="80"/>
      <c r="G262" s="80"/>
      <c r="H262" s="80"/>
      <c r="I262" s="80"/>
      <c r="J262" s="80"/>
      <c r="K262" s="80"/>
      <c r="L262" s="2"/>
      <c r="M262" s="2"/>
      <c r="N262" s="2"/>
      <c r="O262" s="2"/>
      <c r="P262" s="2"/>
      <c r="Q262" s="2"/>
      <c r="R262" s="80"/>
      <c r="S262" s="80"/>
      <c r="T262" s="80"/>
      <c r="U262" s="80"/>
      <c r="V262" s="80"/>
      <c r="W262" s="80"/>
      <c r="X262" s="80"/>
      <c r="Y262" s="80"/>
      <c r="Z262" s="80"/>
      <c r="AA262" s="80"/>
      <c r="AB262" s="80"/>
      <c r="AC262" s="80"/>
      <c r="AD262" s="80"/>
      <c r="AE262" s="80"/>
      <c r="AF262" s="80"/>
      <c r="AG262" s="80"/>
    </row>
    <row r="263" spans="1:33" x14ac:dyDescent="0.2">
      <c r="A263" s="2"/>
      <c r="B263" s="80"/>
      <c r="C263" s="80"/>
      <c r="D263" s="80"/>
      <c r="E263" s="80"/>
      <c r="F263" s="80"/>
      <c r="G263" s="80"/>
      <c r="H263" s="80"/>
      <c r="I263" s="80"/>
      <c r="J263" s="80"/>
      <c r="K263" s="80"/>
      <c r="L263" s="2"/>
      <c r="M263" s="2"/>
      <c r="N263" s="2"/>
      <c r="O263" s="2"/>
      <c r="P263" s="2"/>
      <c r="Q263" s="2"/>
      <c r="R263" s="80"/>
      <c r="S263" s="80"/>
      <c r="T263" s="80"/>
      <c r="U263" s="80"/>
      <c r="V263" s="80"/>
      <c r="W263" s="80"/>
      <c r="X263" s="80"/>
      <c r="Y263" s="80"/>
      <c r="Z263" s="80"/>
      <c r="AA263" s="80"/>
      <c r="AB263" s="80"/>
      <c r="AC263" s="80"/>
      <c r="AD263" s="80"/>
      <c r="AE263" s="80"/>
      <c r="AF263" s="80"/>
      <c r="AG263" s="80"/>
    </row>
    <row r="264" spans="1:33" x14ac:dyDescent="0.2">
      <c r="A264" s="2"/>
      <c r="B264" s="80"/>
      <c r="C264" s="80"/>
      <c r="D264" s="80"/>
      <c r="E264" s="80"/>
      <c r="F264" s="80"/>
      <c r="G264" s="80"/>
      <c r="H264" s="80"/>
      <c r="I264" s="80"/>
      <c r="J264" s="80"/>
      <c r="K264" s="80"/>
      <c r="L264" s="2"/>
      <c r="M264" s="2"/>
      <c r="N264" s="2"/>
      <c r="O264" s="2"/>
      <c r="P264" s="2"/>
      <c r="Q264" s="2"/>
      <c r="R264" s="80"/>
      <c r="S264" s="80"/>
      <c r="T264" s="80"/>
      <c r="U264" s="80"/>
      <c r="V264" s="80"/>
      <c r="W264" s="80"/>
      <c r="X264" s="80"/>
      <c r="Y264" s="80"/>
      <c r="Z264" s="80"/>
      <c r="AA264" s="80"/>
      <c r="AB264" s="80"/>
      <c r="AC264" s="80"/>
      <c r="AD264" s="80"/>
      <c r="AE264" s="80"/>
      <c r="AF264" s="80"/>
      <c r="AG264" s="80"/>
    </row>
    <row r="265" spans="1:33" x14ac:dyDescent="0.2">
      <c r="A265" s="2"/>
      <c r="B265" s="80"/>
      <c r="C265" s="80"/>
      <c r="D265" s="80"/>
      <c r="E265" s="80"/>
      <c r="F265" s="80"/>
      <c r="G265" s="80"/>
      <c r="H265" s="80"/>
      <c r="I265" s="80"/>
      <c r="J265" s="80"/>
      <c r="K265" s="80"/>
      <c r="L265" s="2"/>
      <c r="M265" s="2"/>
      <c r="N265" s="2"/>
      <c r="O265" s="2"/>
      <c r="P265" s="2"/>
      <c r="Q265" s="2"/>
      <c r="R265" s="80"/>
      <c r="S265" s="80"/>
      <c r="T265" s="80"/>
      <c r="U265" s="80"/>
      <c r="V265" s="80"/>
      <c r="W265" s="80"/>
      <c r="X265" s="80"/>
      <c r="Y265" s="80"/>
      <c r="Z265" s="80"/>
      <c r="AA265" s="80"/>
      <c r="AB265" s="80"/>
      <c r="AC265" s="80"/>
      <c r="AD265" s="80"/>
      <c r="AE265" s="80"/>
      <c r="AF265" s="80"/>
      <c r="AG265" s="80"/>
    </row>
    <row r="266" spans="1:33" x14ac:dyDescent="0.2">
      <c r="A266" s="2"/>
      <c r="B266" s="80"/>
      <c r="C266" s="80"/>
      <c r="D266" s="80"/>
      <c r="E266" s="80"/>
      <c r="F266" s="80"/>
      <c r="G266" s="80"/>
      <c r="H266" s="80"/>
      <c r="I266" s="80"/>
      <c r="J266" s="80"/>
      <c r="K266" s="80"/>
      <c r="L266" s="2"/>
      <c r="M266" s="2"/>
      <c r="N266" s="2"/>
      <c r="O266" s="2"/>
      <c r="P266" s="2"/>
      <c r="Q266" s="2"/>
      <c r="R266" s="80"/>
      <c r="S266" s="80"/>
      <c r="T266" s="80"/>
      <c r="U266" s="80"/>
      <c r="V266" s="80"/>
      <c r="W266" s="80"/>
      <c r="X266" s="80"/>
      <c r="Y266" s="80"/>
      <c r="Z266" s="80"/>
      <c r="AA266" s="80"/>
      <c r="AB266" s="80"/>
      <c r="AC266" s="80"/>
      <c r="AD266" s="80"/>
      <c r="AE266" s="80"/>
      <c r="AF266" s="80"/>
      <c r="AG266" s="80"/>
    </row>
    <row r="267" spans="1:33" x14ac:dyDescent="0.2">
      <c r="A267" s="2"/>
      <c r="B267" s="80"/>
      <c r="C267" s="80"/>
      <c r="D267" s="80"/>
      <c r="E267" s="80"/>
      <c r="F267" s="80"/>
      <c r="G267" s="80"/>
      <c r="H267" s="80"/>
      <c r="I267" s="80"/>
      <c r="J267" s="80"/>
      <c r="K267" s="80"/>
      <c r="L267" s="2"/>
      <c r="M267" s="2"/>
      <c r="N267" s="2"/>
      <c r="O267" s="2"/>
      <c r="P267" s="2"/>
      <c r="Q267" s="2"/>
      <c r="R267" s="80"/>
      <c r="S267" s="80"/>
      <c r="T267" s="80"/>
      <c r="U267" s="80"/>
      <c r="V267" s="80"/>
      <c r="W267" s="80"/>
      <c r="X267" s="80"/>
      <c r="Y267" s="80"/>
      <c r="Z267" s="80"/>
      <c r="AA267" s="80"/>
      <c r="AB267" s="80"/>
      <c r="AC267" s="80"/>
      <c r="AD267" s="80"/>
      <c r="AE267" s="80"/>
      <c r="AF267" s="80"/>
      <c r="AG267" s="80"/>
    </row>
    <row r="268" spans="1:33" x14ac:dyDescent="0.2">
      <c r="A268" s="2"/>
      <c r="B268" s="80"/>
      <c r="C268" s="80"/>
      <c r="D268" s="80"/>
      <c r="E268" s="80"/>
      <c r="F268" s="80"/>
      <c r="G268" s="80"/>
      <c r="H268" s="80"/>
      <c r="I268" s="80"/>
      <c r="J268" s="80"/>
      <c r="K268" s="80"/>
      <c r="L268" s="2"/>
      <c r="M268" s="2"/>
      <c r="N268" s="2"/>
      <c r="O268" s="2"/>
      <c r="P268" s="2"/>
      <c r="Q268" s="2"/>
      <c r="R268" s="80"/>
      <c r="S268" s="80"/>
      <c r="T268" s="80"/>
      <c r="U268" s="80"/>
      <c r="V268" s="80"/>
      <c r="W268" s="80"/>
      <c r="X268" s="80"/>
      <c r="Y268" s="80"/>
      <c r="Z268" s="80"/>
      <c r="AA268" s="80"/>
      <c r="AB268" s="80"/>
      <c r="AC268" s="80"/>
      <c r="AD268" s="80"/>
      <c r="AE268" s="80"/>
      <c r="AF268" s="80"/>
      <c r="AG268" s="80"/>
    </row>
    <row r="269" spans="1:33" x14ac:dyDescent="0.2">
      <c r="A269" s="2"/>
      <c r="B269" s="80"/>
      <c r="C269" s="80"/>
      <c r="D269" s="80"/>
      <c r="E269" s="80"/>
      <c r="F269" s="80"/>
      <c r="G269" s="80"/>
      <c r="H269" s="80"/>
      <c r="I269" s="80"/>
      <c r="J269" s="80"/>
      <c r="K269" s="80"/>
      <c r="L269" s="2"/>
      <c r="M269" s="2"/>
      <c r="N269" s="2"/>
      <c r="O269" s="2"/>
      <c r="P269" s="2"/>
      <c r="Q269" s="2"/>
      <c r="R269" s="80"/>
      <c r="S269" s="80"/>
      <c r="T269" s="80"/>
      <c r="U269" s="80"/>
      <c r="V269" s="80"/>
      <c r="W269" s="80"/>
      <c r="X269" s="80"/>
      <c r="Y269" s="80"/>
      <c r="Z269" s="80"/>
      <c r="AA269" s="80"/>
      <c r="AB269" s="80"/>
      <c r="AC269" s="80"/>
      <c r="AD269" s="80"/>
      <c r="AE269" s="80"/>
      <c r="AF269" s="80"/>
      <c r="AG269" s="80"/>
    </row>
    <row r="270" spans="1:33" x14ac:dyDescent="0.2">
      <c r="A270" s="2"/>
      <c r="B270" s="80"/>
      <c r="C270" s="80"/>
      <c r="D270" s="80"/>
      <c r="E270" s="80"/>
      <c r="F270" s="80"/>
      <c r="G270" s="80"/>
      <c r="H270" s="80"/>
      <c r="I270" s="80"/>
      <c r="J270" s="80"/>
      <c r="K270" s="80"/>
      <c r="L270" s="2"/>
      <c r="M270" s="2"/>
      <c r="N270" s="2"/>
      <c r="O270" s="2"/>
      <c r="P270" s="2"/>
      <c r="Q270" s="2"/>
      <c r="R270" s="80"/>
      <c r="S270" s="80"/>
      <c r="T270" s="80"/>
      <c r="U270" s="80"/>
      <c r="V270" s="80"/>
      <c r="W270" s="80"/>
      <c r="X270" s="80"/>
      <c r="Y270" s="80"/>
      <c r="Z270" s="80"/>
      <c r="AA270" s="80"/>
      <c r="AB270" s="80"/>
      <c r="AC270" s="80"/>
      <c r="AD270" s="80"/>
      <c r="AE270" s="80"/>
      <c r="AF270" s="80"/>
      <c r="AG270" s="80"/>
    </row>
    <row r="271" spans="1:33" x14ac:dyDescent="0.2">
      <c r="A271" s="2"/>
      <c r="B271" s="80"/>
      <c r="C271" s="80"/>
      <c r="D271" s="80"/>
      <c r="E271" s="80"/>
      <c r="F271" s="80"/>
      <c r="G271" s="80"/>
      <c r="H271" s="80"/>
      <c r="I271" s="80"/>
      <c r="J271" s="80"/>
      <c r="K271" s="80"/>
      <c r="L271" s="2"/>
      <c r="M271" s="2"/>
      <c r="N271" s="2"/>
      <c r="O271" s="2"/>
      <c r="P271" s="2"/>
      <c r="Q271" s="2"/>
      <c r="R271" s="80"/>
      <c r="S271" s="80"/>
      <c r="T271" s="80"/>
      <c r="U271" s="80"/>
      <c r="V271" s="80"/>
      <c r="W271" s="80"/>
      <c r="X271" s="80"/>
      <c r="Y271" s="80"/>
      <c r="Z271" s="80"/>
      <c r="AA271" s="80"/>
      <c r="AB271" s="80"/>
      <c r="AC271" s="80"/>
      <c r="AD271" s="80"/>
      <c r="AE271" s="80"/>
      <c r="AF271" s="80"/>
      <c r="AG271" s="80"/>
    </row>
    <row r="272" spans="1:33" x14ac:dyDescent="0.2">
      <c r="A272" s="2"/>
      <c r="B272" s="80"/>
      <c r="C272" s="80"/>
      <c r="D272" s="80"/>
      <c r="E272" s="80"/>
      <c r="F272" s="80"/>
      <c r="G272" s="80"/>
      <c r="H272" s="80"/>
      <c r="I272" s="80"/>
      <c r="J272" s="80"/>
      <c r="K272" s="80"/>
      <c r="L272" s="2"/>
      <c r="M272" s="2"/>
      <c r="N272" s="2"/>
      <c r="O272" s="2"/>
      <c r="P272" s="2"/>
      <c r="Q272" s="2"/>
      <c r="R272" s="80"/>
      <c r="S272" s="80"/>
      <c r="T272" s="80"/>
      <c r="U272" s="80"/>
      <c r="V272" s="80"/>
      <c r="W272" s="80"/>
      <c r="X272" s="80"/>
      <c r="Y272" s="80"/>
      <c r="Z272" s="80"/>
      <c r="AA272" s="80"/>
      <c r="AB272" s="80"/>
      <c r="AC272" s="80"/>
      <c r="AD272" s="80"/>
      <c r="AE272" s="80"/>
      <c r="AF272" s="80"/>
      <c r="AG272" s="80"/>
    </row>
    <row r="273" spans="1:33" x14ac:dyDescent="0.2">
      <c r="A273" s="2"/>
      <c r="B273" s="80"/>
      <c r="C273" s="80"/>
      <c r="D273" s="80"/>
      <c r="E273" s="80"/>
      <c r="F273" s="80"/>
      <c r="G273" s="80"/>
      <c r="H273" s="80"/>
      <c r="I273" s="80"/>
      <c r="J273" s="80"/>
      <c r="K273" s="80"/>
      <c r="L273" s="2"/>
      <c r="M273" s="2"/>
      <c r="N273" s="2"/>
      <c r="O273" s="2"/>
      <c r="P273" s="2"/>
      <c r="Q273" s="2"/>
      <c r="R273" s="80"/>
      <c r="S273" s="80"/>
      <c r="T273" s="80"/>
      <c r="U273" s="80"/>
      <c r="V273" s="80"/>
      <c r="W273" s="80"/>
      <c r="X273" s="80"/>
      <c r="Y273" s="80"/>
      <c r="Z273" s="80"/>
      <c r="AA273" s="80"/>
      <c r="AB273" s="80"/>
      <c r="AC273" s="80"/>
      <c r="AD273" s="80"/>
      <c r="AE273" s="80"/>
      <c r="AF273" s="80"/>
      <c r="AG273" s="80"/>
    </row>
    <row r="274" spans="1:33" x14ac:dyDescent="0.2">
      <c r="A274" s="2"/>
      <c r="B274" s="80"/>
      <c r="C274" s="80"/>
      <c r="D274" s="80"/>
      <c r="E274" s="80"/>
      <c r="F274" s="80"/>
      <c r="G274" s="80"/>
      <c r="H274" s="80"/>
      <c r="I274" s="80"/>
      <c r="J274" s="80"/>
      <c r="K274" s="80"/>
      <c r="L274" s="2"/>
      <c r="M274" s="2"/>
      <c r="N274" s="2"/>
      <c r="O274" s="2"/>
      <c r="P274" s="2"/>
      <c r="Q274" s="2"/>
      <c r="R274" s="80"/>
      <c r="S274" s="80"/>
      <c r="T274" s="80"/>
      <c r="U274" s="80"/>
      <c r="V274" s="80"/>
      <c r="W274" s="80"/>
      <c r="X274" s="80"/>
      <c r="Y274" s="80"/>
      <c r="Z274" s="80"/>
      <c r="AA274" s="80"/>
      <c r="AB274" s="80"/>
      <c r="AC274" s="80"/>
      <c r="AD274" s="80"/>
      <c r="AE274" s="80"/>
      <c r="AF274" s="80"/>
      <c r="AG274" s="80"/>
    </row>
    <row r="275" spans="1:33" x14ac:dyDescent="0.2">
      <c r="A275" s="2"/>
      <c r="B275" s="80"/>
      <c r="C275" s="80"/>
      <c r="D275" s="80"/>
      <c r="E275" s="80"/>
      <c r="F275" s="80"/>
      <c r="G275" s="80"/>
      <c r="H275" s="80"/>
      <c r="I275" s="80"/>
      <c r="J275" s="80"/>
      <c r="K275" s="80"/>
      <c r="L275" s="2"/>
      <c r="M275" s="2"/>
      <c r="N275" s="2"/>
      <c r="O275" s="2"/>
      <c r="P275" s="2"/>
      <c r="Q275" s="2"/>
      <c r="R275" s="80"/>
      <c r="S275" s="80"/>
      <c r="T275" s="80"/>
      <c r="U275" s="80"/>
      <c r="V275" s="80"/>
      <c r="W275" s="80"/>
      <c r="X275" s="80"/>
      <c r="Y275" s="80"/>
      <c r="Z275" s="80"/>
      <c r="AA275" s="80"/>
      <c r="AB275" s="80"/>
      <c r="AC275" s="80"/>
      <c r="AD275" s="80"/>
      <c r="AE275" s="80"/>
      <c r="AF275" s="80"/>
      <c r="AG275" s="80"/>
    </row>
    <row r="276" spans="1:33" x14ac:dyDescent="0.2">
      <c r="A276" s="2"/>
      <c r="B276" s="80"/>
      <c r="C276" s="80"/>
      <c r="D276" s="80"/>
      <c r="E276" s="80"/>
      <c r="F276" s="80"/>
      <c r="G276" s="80"/>
      <c r="H276" s="80"/>
      <c r="I276" s="80"/>
      <c r="J276" s="80"/>
      <c r="K276" s="80"/>
      <c r="L276" s="2"/>
      <c r="M276" s="2"/>
      <c r="N276" s="2"/>
      <c r="O276" s="2"/>
      <c r="P276" s="2"/>
      <c r="Q276" s="2"/>
      <c r="R276" s="80"/>
      <c r="S276" s="80"/>
      <c r="T276" s="80"/>
      <c r="U276" s="80"/>
      <c r="V276" s="80"/>
      <c r="W276" s="80"/>
      <c r="X276" s="80"/>
      <c r="Y276" s="80"/>
      <c r="Z276" s="80"/>
      <c r="AA276" s="80"/>
      <c r="AB276" s="80"/>
      <c r="AC276" s="80"/>
      <c r="AD276" s="80"/>
      <c r="AE276" s="80"/>
      <c r="AF276" s="80"/>
      <c r="AG276" s="80"/>
    </row>
    <row r="277" spans="1:33" x14ac:dyDescent="0.2">
      <c r="A277" s="2"/>
      <c r="B277" s="80"/>
      <c r="C277" s="80"/>
      <c r="D277" s="80"/>
      <c r="E277" s="80"/>
      <c r="F277" s="80"/>
      <c r="G277" s="80"/>
      <c r="H277" s="80"/>
      <c r="I277" s="80"/>
      <c r="J277" s="80"/>
      <c r="K277" s="80"/>
      <c r="L277" s="2"/>
      <c r="M277" s="2"/>
      <c r="N277" s="2"/>
      <c r="O277" s="2"/>
      <c r="P277" s="2"/>
      <c r="Q277" s="2"/>
      <c r="R277" s="80"/>
      <c r="S277" s="80"/>
      <c r="T277" s="80"/>
      <c r="U277" s="80"/>
      <c r="V277" s="80"/>
      <c r="W277" s="80"/>
      <c r="X277" s="80"/>
      <c r="Y277" s="80"/>
      <c r="Z277" s="80"/>
      <c r="AA277" s="80"/>
      <c r="AB277" s="80"/>
      <c r="AC277" s="80"/>
      <c r="AD277" s="80"/>
      <c r="AE277" s="80"/>
      <c r="AF277" s="80"/>
      <c r="AG277" s="80"/>
    </row>
    <row r="278" spans="1:33" x14ac:dyDescent="0.2">
      <c r="A278" s="2"/>
      <c r="B278" s="80"/>
      <c r="C278" s="80"/>
      <c r="D278" s="80"/>
      <c r="E278" s="80"/>
      <c r="F278" s="80"/>
      <c r="G278" s="80"/>
      <c r="H278" s="80"/>
      <c r="I278" s="80"/>
      <c r="J278" s="80"/>
      <c r="K278" s="80"/>
      <c r="L278" s="2"/>
      <c r="M278" s="2"/>
      <c r="N278" s="2"/>
      <c r="O278" s="2"/>
      <c r="P278" s="2"/>
      <c r="Q278" s="2"/>
      <c r="R278" s="80"/>
      <c r="S278" s="80"/>
      <c r="T278" s="80"/>
      <c r="U278" s="80"/>
      <c r="V278" s="80"/>
      <c r="W278" s="80"/>
      <c r="X278" s="80"/>
      <c r="Y278" s="80"/>
      <c r="Z278" s="80"/>
      <c r="AA278" s="80"/>
      <c r="AB278" s="80"/>
      <c r="AC278" s="80"/>
      <c r="AD278" s="80"/>
      <c r="AE278" s="80"/>
      <c r="AF278" s="80"/>
      <c r="AG278" s="80"/>
    </row>
    <row r="279" spans="1:33" x14ac:dyDescent="0.2">
      <c r="A279" s="2"/>
      <c r="B279" s="80"/>
      <c r="C279" s="80"/>
      <c r="D279" s="80"/>
      <c r="E279" s="80"/>
      <c r="F279" s="80"/>
      <c r="G279" s="80"/>
      <c r="H279" s="80"/>
      <c r="I279" s="80"/>
      <c r="J279" s="80"/>
      <c r="K279" s="80"/>
      <c r="L279" s="2"/>
      <c r="M279" s="2"/>
      <c r="N279" s="2"/>
      <c r="O279" s="2"/>
      <c r="P279" s="2"/>
      <c r="Q279" s="2"/>
      <c r="R279" s="80"/>
      <c r="S279" s="80"/>
      <c r="T279" s="80"/>
      <c r="U279" s="80"/>
      <c r="V279" s="80"/>
      <c r="W279" s="80"/>
      <c r="X279" s="80"/>
      <c r="Y279" s="80"/>
      <c r="Z279" s="80"/>
      <c r="AA279" s="80"/>
      <c r="AB279" s="80"/>
      <c r="AC279" s="80"/>
      <c r="AD279" s="80"/>
      <c r="AE279" s="80"/>
      <c r="AF279" s="80"/>
      <c r="AG279" s="80"/>
    </row>
    <row r="280" spans="1:33" x14ac:dyDescent="0.2">
      <c r="A280" s="2"/>
      <c r="B280" s="80"/>
      <c r="C280" s="80"/>
      <c r="D280" s="80"/>
      <c r="E280" s="80"/>
      <c r="F280" s="80"/>
      <c r="G280" s="80"/>
      <c r="H280" s="80"/>
      <c r="I280" s="80"/>
      <c r="J280" s="80"/>
      <c r="K280" s="80"/>
      <c r="L280" s="2"/>
      <c r="M280" s="2"/>
      <c r="N280" s="2"/>
      <c r="O280" s="2"/>
      <c r="P280" s="2"/>
      <c r="Q280" s="2"/>
      <c r="R280" s="80"/>
      <c r="S280" s="80"/>
      <c r="T280" s="80"/>
      <c r="U280" s="80"/>
      <c r="V280" s="80"/>
      <c r="W280" s="80"/>
      <c r="X280" s="80"/>
      <c r="Y280" s="80"/>
      <c r="Z280" s="80"/>
      <c r="AA280" s="80"/>
      <c r="AB280" s="80"/>
      <c r="AC280" s="80"/>
      <c r="AD280" s="80"/>
      <c r="AE280" s="80"/>
      <c r="AF280" s="80"/>
      <c r="AG280" s="80"/>
    </row>
    <row r="281" spans="1:33" x14ac:dyDescent="0.2">
      <c r="A281" s="2"/>
      <c r="B281" s="80"/>
      <c r="C281" s="80"/>
      <c r="D281" s="80"/>
      <c r="E281" s="80"/>
      <c r="F281" s="80"/>
      <c r="G281" s="80"/>
      <c r="H281" s="80"/>
      <c r="I281" s="80"/>
      <c r="J281" s="80"/>
      <c r="K281" s="80"/>
      <c r="L281" s="2"/>
      <c r="M281" s="2"/>
      <c r="N281" s="2"/>
      <c r="O281" s="2"/>
      <c r="P281" s="2"/>
      <c r="Q281" s="2"/>
      <c r="R281" s="80"/>
      <c r="S281" s="80"/>
      <c r="T281" s="80"/>
      <c r="U281" s="80"/>
      <c r="V281" s="80"/>
      <c r="W281" s="80"/>
      <c r="X281" s="80"/>
      <c r="Y281" s="80"/>
      <c r="Z281" s="80"/>
      <c r="AA281" s="80"/>
      <c r="AB281" s="80"/>
      <c r="AC281" s="80"/>
      <c r="AD281" s="80"/>
      <c r="AE281" s="80"/>
      <c r="AF281" s="80"/>
      <c r="AG281" s="80"/>
    </row>
    <row r="282" spans="1:33" x14ac:dyDescent="0.2">
      <c r="A282" s="2"/>
      <c r="B282" s="80"/>
      <c r="C282" s="80"/>
      <c r="D282" s="80"/>
      <c r="E282" s="80"/>
      <c r="F282" s="80"/>
      <c r="G282" s="80"/>
      <c r="H282" s="80"/>
      <c r="I282" s="80"/>
      <c r="J282" s="80"/>
      <c r="K282" s="80"/>
      <c r="L282" s="2"/>
      <c r="M282" s="2"/>
      <c r="N282" s="2"/>
      <c r="O282" s="2"/>
      <c r="P282" s="2"/>
      <c r="Q282" s="2"/>
      <c r="R282" s="80"/>
      <c r="S282" s="80"/>
      <c r="T282" s="80"/>
      <c r="U282" s="80"/>
      <c r="V282" s="80"/>
      <c r="W282" s="80"/>
      <c r="X282" s="80"/>
      <c r="Y282" s="80"/>
      <c r="Z282" s="80"/>
      <c r="AA282" s="80"/>
      <c r="AB282" s="80"/>
      <c r="AC282" s="80"/>
      <c r="AD282" s="80"/>
      <c r="AE282" s="80"/>
      <c r="AF282" s="80"/>
      <c r="AG282" s="80"/>
    </row>
    <row r="283" spans="1:33" x14ac:dyDescent="0.2">
      <c r="A283" s="2"/>
      <c r="B283" s="80"/>
      <c r="C283" s="80"/>
      <c r="D283" s="80"/>
      <c r="E283" s="80"/>
      <c r="F283" s="80"/>
      <c r="G283" s="80"/>
      <c r="H283" s="80"/>
      <c r="I283" s="80"/>
      <c r="J283" s="80"/>
      <c r="K283" s="80"/>
      <c r="L283" s="2"/>
      <c r="M283" s="2"/>
      <c r="N283" s="2"/>
      <c r="O283" s="2"/>
      <c r="P283" s="2"/>
      <c r="Q283" s="2"/>
      <c r="R283" s="80"/>
      <c r="S283" s="80"/>
      <c r="T283" s="80"/>
      <c r="U283" s="80"/>
      <c r="V283" s="80"/>
      <c r="W283" s="80"/>
      <c r="X283" s="80"/>
      <c r="Y283" s="80"/>
      <c r="Z283" s="80"/>
      <c r="AA283" s="80"/>
      <c r="AB283" s="80"/>
      <c r="AC283" s="80"/>
      <c r="AD283" s="80"/>
      <c r="AE283" s="80"/>
      <c r="AF283" s="80"/>
      <c r="AG283" s="80"/>
    </row>
    <row r="284" spans="1:33" x14ac:dyDescent="0.2">
      <c r="A284" s="2"/>
      <c r="B284" s="80"/>
      <c r="C284" s="80"/>
      <c r="D284" s="80"/>
      <c r="E284" s="80"/>
      <c r="F284" s="80"/>
      <c r="G284" s="80"/>
      <c r="H284" s="80"/>
      <c r="I284" s="80"/>
      <c r="J284" s="80"/>
      <c r="K284" s="80"/>
      <c r="L284" s="2"/>
      <c r="M284" s="2"/>
      <c r="N284" s="2"/>
      <c r="O284" s="2"/>
      <c r="P284" s="2"/>
      <c r="Q284" s="2"/>
      <c r="R284" s="80"/>
      <c r="S284" s="80"/>
      <c r="T284" s="80"/>
      <c r="U284" s="80"/>
      <c r="V284" s="80"/>
      <c r="W284" s="80"/>
      <c r="X284" s="80"/>
      <c r="Y284" s="80"/>
      <c r="Z284" s="80"/>
      <c r="AA284" s="80"/>
      <c r="AB284" s="80"/>
      <c r="AC284" s="80"/>
      <c r="AD284" s="80"/>
      <c r="AE284" s="80"/>
      <c r="AF284" s="80"/>
      <c r="AG284" s="80"/>
    </row>
    <row r="285" spans="1:33" x14ac:dyDescent="0.2">
      <c r="A285" s="2"/>
      <c r="B285" s="80"/>
      <c r="C285" s="80"/>
      <c r="D285" s="80"/>
      <c r="E285" s="80"/>
      <c r="F285" s="80"/>
      <c r="G285" s="80"/>
      <c r="H285" s="80"/>
      <c r="I285" s="80"/>
      <c r="J285" s="80"/>
      <c r="K285" s="80"/>
      <c r="L285" s="2"/>
      <c r="M285" s="2"/>
      <c r="N285" s="2"/>
      <c r="O285" s="2"/>
      <c r="P285" s="2"/>
      <c r="Q285" s="2"/>
      <c r="R285" s="80"/>
      <c r="S285" s="80"/>
      <c r="T285" s="80"/>
      <c r="U285" s="80"/>
      <c r="V285" s="80"/>
      <c r="W285" s="80"/>
      <c r="X285" s="80"/>
      <c r="Y285" s="80"/>
      <c r="Z285" s="80"/>
      <c r="AA285" s="80"/>
      <c r="AB285" s="80"/>
      <c r="AC285" s="80"/>
      <c r="AD285" s="80"/>
      <c r="AE285" s="80"/>
      <c r="AF285" s="80"/>
      <c r="AG285" s="80"/>
    </row>
    <row r="286" spans="1:33" x14ac:dyDescent="0.2">
      <c r="A286" s="2"/>
      <c r="B286" s="80"/>
      <c r="C286" s="80"/>
      <c r="D286" s="80"/>
      <c r="E286" s="80"/>
      <c r="F286" s="80"/>
      <c r="G286" s="80"/>
      <c r="H286" s="80"/>
      <c r="I286" s="80"/>
      <c r="J286" s="80"/>
      <c r="K286" s="80"/>
      <c r="L286" s="2"/>
      <c r="M286" s="2"/>
      <c r="N286" s="2"/>
      <c r="O286" s="2"/>
      <c r="P286" s="2"/>
      <c r="Q286" s="2"/>
      <c r="R286" s="80"/>
      <c r="S286" s="80"/>
      <c r="T286" s="80"/>
      <c r="U286" s="80"/>
      <c r="V286" s="80"/>
      <c r="W286" s="80"/>
      <c r="X286" s="80"/>
      <c r="Y286" s="80"/>
      <c r="Z286" s="80"/>
      <c r="AA286" s="80"/>
      <c r="AB286" s="80"/>
      <c r="AC286" s="80"/>
      <c r="AD286" s="80"/>
      <c r="AE286" s="80"/>
      <c r="AF286" s="80"/>
      <c r="AG286" s="80"/>
    </row>
    <row r="287" spans="1:33" x14ac:dyDescent="0.2">
      <c r="A287" s="2"/>
      <c r="B287" s="80"/>
      <c r="C287" s="80"/>
      <c r="D287" s="80"/>
      <c r="E287" s="80"/>
      <c r="F287" s="80"/>
      <c r="G287" s="80"/>
      <c r="H287" s="80"/>
      <c r="I287" s="80"/>
      <c r="J287" s="80"/>
      <c r="K287" s="80"/>
      <c r="L287" s="2"/>
      <c r="M287" s="2"/>
      <c r="N287" s="2"/>
      <c r="O287" s="2"/>
      <c r="P287" s="2"/>
      <c r="Q287" s="2"/>
      <c r="R287" s="80"/>
      <c r="S287" s="80"/>
      <c r="T287" s="80"/>
      <c r="U287" s="80"/>
      <c r="V287" s="80"/>
      <c r="W287" s="80"/>
      <c r="X287" s="80"/>
      <c r="Y287" s="80"/>
      <c r="Z287" s="80"/>
      <c r="AA287" s="80"/>
      <c r="AB287" s="80"/>
      <c r="AC287" s="80"/>
      <c r="AD287" s="80"/>
      <c r="AE287" s="80"/>
      <c r="AF287" s="80"/>
      <c r="AG287" s="80"/>
    </row>
    <row r="288" spans="1:33" x14ac:dyDescent="0.2">
      <c r="A288" s="2"/>
      <c r="B288" s="80"/>
      <c r="C288" s="80"/>
      <c r="D288" s="80"/>
      <c r="E288" s="80"/>
      <c r="F288" s="80"/>
      <c r="G288" s="80"/>
      <c r="H288" s="80"/>
      <c r="I288" s="80"/>
      <c r="J288" s="80"/>
      <c r="K288" s="80"/>
      <c r="L288" s="2"/>
      <c r="M288" s="2"/>
      <c r="N288" s="2"/>
      <c r="O288" s="2"/>
      <c r="P288" s="2"/>
      <c r="Q288" s="2"/>
      <c r="R288" s="80"/>
      <c r="S288" s="80"/>
      <c r="T288" s="80"/>
      <c r="U288" s="80"/>
      <c r="V288" s="80"/>
      <c r="W288" s="80"/>
      <c r="X288" s="80"/>
      <c r="Y288" s="80"/>
      <c r="Z288" s="80"/>
      <c r="AA288" s="80"/>
      <c r="AB288" s="80"/>
      <c r="AC288" s="80"/>
      <c r="AD288" s="80"/>
      <c r="AE288" s="80"/>
      <c r="AF288" s="80"/>
      <c r="AG288" s="80"/>
    </row>
    <row r="289" spans="1:33" x14ac:dyDescent="0.2">
      <c r="A289" s="2"/>
      <c r="B289" s="80"/>
      <c r="C289" s="80"/>
      <c r="D289" s="80"/>
      <c r="E289" s="80"/>
      <c r="F289" s="80"/>
      <c r="G289" s="80"/>
      <c r="H289" s="80"/>
      <c r="I289" s="80"/>
      <c r="J289" s="80"/>
      <c r="K289" s="80"/>
      <c r="L289" s="2"/>
      <c r="M289" s="2"/>
      <c r="N289" s="2"/>
      <c r="O289" s="2"/>
      <c r="P289" s="2"/>
      <c r="Q289" s="2"/>
      <c r="R289" s="80"/>
      <c r="S289" s="80"/>
      <c r="T289" s="80"/>
      <c r="U289" s="80"/>
      <c r="V289" s="80"/>
      <c r="W289" s="80"/>
      <c r="X289" s="80"/>
      <c r="Y289" s="80"/>
      <c r="Z289" s="80"/>
      <c r="AA289" s="80"/>
      <c r="AB289" s="80"/>
      <c r="AC289" s="80"/>
      <c r="AD289" s="80"/>
      <c r="AE289" s="80"/>
      <c r="AF289" s="80"/>
      <c r="AG289" s="80"/>
    </row>
    <row r="290" spans="1:33" x14ac:dyDescent="0.2">
      <c r="A290" s="2"/>
      <c r="B290" s="80"/>
      <c r="C290" s="80"/>
      <c r="D290" s="80"/>
      <c r="E290" s="80"/>
      <c r="F290" s="80"/>
      <c r="G290" s="80"/>
      <c r="H290" s="80"/>
      <c r="I290" s="80"/>
      <c r="J290" s="80"/>
      <c r="K290" s="80"/>
      <c r="L290" s="2"/>
      <c r="M290" s="2"/>
      <c r="N290" s="2"/>
      <c r="O290" s="2"/>
      <c r="P290" s="2"/>
      <c r="Q290" s="2"/>
      <c r="R290" s="80"/>
      <c r="S290" s="80"/>
      <c r="T290" s="80"/>
      <c r="U290" s="80"/>
      <c r="V290" s="80"/>
      <c r="W290" s="80"/>
      <c r="X290" s="80"/>
      <c r="Y290" s="80"/>
      <c r="Z290" s="80"/>
      <c r="AA290" s="80"/>
      <c r="AB290" s="80"/>
      <c r="AC290" s="80"/>
      <c r="AD290" s="80"/>
      <c r="AE290" s="80"/>
      <c r="AF290" s="80"/>
      <c r="AG290" s="80"/>
    </row>
    <row r="291" spans="1:33" x14ac:dyDescent="0.2">
      <c r="A291" s="2"/>
      <c r="B291" s="80"/>
      <c r="C291" s="80"/>
      <c r="D291" s="80"/>
      <c r="E291" s="80"/>
      <c r="F291" s="80"/>
      <c r="G291" s="80"/>
      <c r="H291" s="80"/>
      <c r="I291" s="80"/>
      <c r="J291" s="80"/>
      <c r="K291" s="80"/>
      <c r="L291" s="2"/>
      <c r="M291" s="2"/>
      <c r="N291" s="2"/>
      <c r="O291" s="2"/>
      <c r="P291" s="2"/>
      <c r="Q291" s="2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80"/>
      <c r="AC291" s="80"/>
      <c r="AD291" s="80"/>
      <c r="AE291" s="80"/>
      <c r="AF291" s="80"/>
      <c r="AG291" s="80"/>
    </row>
    <row r="292" spans="1:33" x14ac:dyDescent="0.2">
      <c r="A292" s="2"/>
      <c r="B292" s="80"/>
      <c r="C292" s="80"/>
      <c r="D292" s="80"/>
      <c r="E292" s="80"/>
      <c r="F292" s="80"/>
      <c r="G292" s="80"/>
      <c r="H292" s="80"/>
      <c r="I292" s="80"/>
      <c r="J292" s="80"/>
      <c r="K292" s="80"/>
      <c r="L292" s="2"/>
      <c r="M292" s="2"/>
      <c r="N292" s="2"/>
      <c r="O292" s="2"/>
      <c r="P292" s="2"/>
      <c r="Q292" s="2"/>
      <c r="R292" s="80"/>
      <c r="S292" s="80"/>
      <c r="T292" s="80"/>
      <c r="U292" s="80"/>
      <c r="V292" s="80"/>
      <c r="W292" s="80"/>
      <c r="X292" s="80"/>
      <c r="Y292" s="80"/>
      <c r="Z292" s="80"/>
      <c r="AA292" s="80"/>
      <c r="AB292" s="80"/>
      <c r="AC292" s="80"/>
      <c r="AD292" s="80"/>
      <c r="AE292" s="80"/>
      <c r="AF292" s="80"/>
      <c r="AG292" s="80"/>
    </row>
    <row r="293" spans="1:33" x14ac:dyDescent="0.2">
      <c r="A293" s="2"/>
      <c r="B293" s="80"/>
      <c r="C293" s="80"/>
      <c r="D293" s="80"/>
      <c r="E293" s="80"/>
      <c r="F293" s="80"/>
      <c r="G293" s="80"/>
      <c r="H293" s="80"/>
      <c r="I293" s="80"/>
      <c r="J293" s="80"/>
      <c r="K293" s="80"/>
      <c r="L293" s="2"/>
      <c r="M293" s="2"/>
      <c r="N293" s="2"/>
      <c r="O293" s="2"/>
      <c r="P293" s="2"/>
      <c r="Q293" s="2"/>
      <c r="R293" s="80"/>
      <c r="S293" s="80"/>
      <c r="T293" s="80"/>
      <c r="U293" s="80"/>
      <c r="V293" s="80"/>
      <c r="W293" s="80"/>
      <c r="X293" s="80"/>
      <c r="Y293" s="80"/>
      <c r="Z293" s="80"/>
      <c r="AA293" s="80"/>
      <c r="AB293" s="80"/>
      <c r="AC293" s="80"/>
      <c r="AD293" s="80"/>
      <c r="AE293" s="80"/>
      <c r="AF293" s="80"/>
      <c r="AG293" s="80"/>
    </row>
    <row r="294" spans="1:33" x14ac:dyDescent="0.2">
      <c r="A294" s="2"/>
      <c r="B294" s="80"/>
      <c r="C294" s="80"/>
      <c r="D294" s="80"/>
      <c r="E294" s="80"/>
      <c r="F294" s="80"/>
      <c r="G294" s="80"/>
      <c r="H294" s="80"/>
      <c r="I294" s="80"/>
      <c r="J294" s="80"/>
      <c r="K294" s="80"/>
      <c r="L294" s="2"/>
      <c r="M294" s="2"/>
      <c r="N294" s="2"/>
      <c r="O294" s="2"/>
      <c r="P294" s="2"/>
      <c r="Q294" s="2"/>
      <c r="R294" s="80"/>
      <c r="S294" s="80"/>
      <c r="T294" s="80"/>
      <c r="U294" s="80"/>
      <c r="V294" s="80"/>
      <c r="W294" s="80"/>
      <c r="X294" s="80"/>
      <c r="Y294" s="80"/>
      <c r="Z294" s="80"/>
      <c r="AA294" s="80"/>
      <c r="AB294" s="80"/>
      <c r="AC294" s="80"/>
      <c r="AD294" s="80"/>
      <c r="AE294" s="80"/>
      <c r="AF294" s="80"/>
      <c r="AG294" s="80"/>
    </row>
    <row r="295" spans="1:33" x14ac:dyDescent="0.2">
      <c r="A295" s="2"/>
      <c r="B295" s="80"/>
      <c r="C295" s="80"/>
      <c r="D295" s="80"/>
      <c r="E295" s="80"/>
      <c r="F295" s="80"/>
      <c r="G295" s="80"/>
      <c r="H295" s="80"/>
      <c r="I295" s="80"/>
      <c r="J295" s="80"/>
      <c r="K295" s="80"/>
      <c r="L295" s="2"/>
      <c r="M295" s="2"/>
      <c r="N295" s="2"/>
      <c r="O295" s="2"/>
      <c r="P295" s="2"/>
      <c r="Q295" s="2"/>
      <c r="R295" s="80"/>
      <c r="S295" s="80"/>
      <c r="T295" s="80"/>
      <c r="U295" s="80"/>
      <c r="V295" s="80"/>
      <c r="W295" s="80"/>
      <c r="X295" s="80"/>
      <c r="Y295" s="80"/>
      <c r="Z295" s="80"/>
      <c r="AA295" s="80"/>
      <c r="AB295" s="80"/>
      <c r="AC295" s="80"/>
      <c r="AD295" s="80"/>
      <c r="AE295" s="80"/>
      <c r="AF295" s="80"/>
      <c r="AG295" s="80"/>
    </row>
    <row r="296" spans="1:33" x14ac:dyDescent="0.2">
      <c r="A296" s="2"/>
      <c r="B296" s="80"/>
      <c r="C296" s="80"/>
      <c r="D296" s="80"/>
      <c r="E296" s="80"/>
      <c r="F296" s="80"/>
      <c r="G296" s="80"/>
      <c r="H296" s="80"/>
      <c r="I296" s="80"/>
      <c r="J296" s="80"/>
      <c r="K296" s="80"/>
      <c r="L296" s="2"/>
      <c r="M296" s="2"/>
      <c r="N296" s="2"/>
      <c r="O296" s="2"/>
      <c r="P296" s="2"/>
      <c r="Q296" s="2"/>
      <c r="R296" s="80"/>
      <c r="S296" s="80"/>
      <c r="T296" s="80"/>
      <c r="U296" s="80"/>
      <c r="V296" s="80"/>
      <c r="W296" s="80"/>
      <c r="X296" s="80"/>
      <c r="Y296" s="80"/>
      <c r="Z296" s="80"/>
      <c r="AA296" s="80"/>
      <c r="AB296" s="80"/>
      <c r="AC296" s="80"/>
      <c r="AD296" s="80"/>
      <c r="AE296" s="80"/>
      <c r="AF296" s="80"/>
      <c r="AG296" s="80"/>
    </row>
    <row r="297" spans="1:33" x14ac:dyDescent="0.2">
      <c r="A297" s="2"/>
      <c r="B297" s="80"/>
      <c r="C297" s="80"/>
      <c r="D297" s="80"/>
      <c r="E297" s="80"/>
      <c r="F297" s="80"/>
      <c r="G297" s="80"/>
      <c r="H297" s="80"/>
      <c r="I297" s="80"/>
      <c r="J297" s="80"/>
      <c r="K297" s="80"/>
      <c r="L297" s="2"/>
      <c r="M297" s="2"/>
      <c r="N297" s="2"/>
      <c r="O297" s="2"/>
      <c r="P297" s="2"/>
      <c r="Q297" s="2"/>
      <c r="R297" s="80"/>
      <c r="S297" s="80"/>
      <c r="T297" s="80"/>
      <c r="U297" s="80"/>
      <c r="V297" s="80"/>
      <c r="W297" s="80"/>
      <c r="X297" s="80"/>
      <c r="Y297" s="80"/>
      <c r="Z297" s="80"/>
      <c r="AA297" s="80"/>
      <c r="AB297" s="80"/>
      <c r="AC297" s="80"/>
      <c r="AD297" s="80"/>
      <c r="AE297" s="80"/>
      <c r="AF297" s="80"/>
      <c r="AG297" s="80"/>
    </row>
    <row r="298" spans="1:33" x14ac:dyDescent="0.2">
      <c r="A298" s="2"/>
      <c r="B298" s="80"/>
      <c r="C298" s="80"/>
      <c r="D298" s="80"/>
      <c r="E298" s="80"/>
      <c r="F298" s="80"/>
      <c r="G298" s="80"/>
      <c r="H298" s="80"/>
      <c r="I298" s="80"/>
      <c r="J298" s="80"/>
      <c r="K298" s="80"/>
      <c r="L298" s="2"/>
      <c r="M298" s="2"/>
      <c r="N298" s="2"/>
      <c r="O298" s="2"/>
      <c r="P298" s="2"/>
      <c r="Q298" s="2"/>
      <c r="R298" s="80"/>
      <c r="S298" s="80"/>
      <c r="T298" s="80"/>
      <c r="U298" s="80"/>
      <c r="V298" s="80"/>
      <c r="W298" s="80"/>
      <c r="X298" s="80"/>
      <c r="Y298" s="80"/>
      <c r="Z298" s="80"/>
      <c r="AA298" s="80"/>
      <c r="AB298" s="80"/>
      <c r="AC298" s="80"/>
      <c r="AD298" s="80"/>
      <c r="AE298" s="80"/>
      <c r="AF298" s="80"/>
      <c r="AG298" s="80"/>
    </row>
    <row r="299" spans="1:33" x14ac:dyDescent="0.2">
      <c r="A299" s="2"/>
      <c r="B299" s="80"/>
      <c r="C299" s="80"/>
      <c r="D299" s="80"/>
      <c r="E299" s="80"/>
      <c r="F299" s="80"/>
      <c r="G299" s="80"/>
      <c r="H299" s="80"/>
      <c r="I299" s="80"/>
      <c r="J299" s="80"/>
      <c r="K299" s="80"/>
      <c r="L299" s="2"/>
      <c r="M299" s="2"/>
      <c r="N299" s="2"/>
      <c r="O299" s="2"/>
      <c r="P299" s="2"/>
      <c r="Q299" s="2"/>
      <c r="R299" s="80"/>
      <c r="S299" s="80"/>
      <c r="T299" s="80"/>
      <c r="U299" s="80"/>
      <c r="V299" s="80"/>
      <c r="W299" s="80"/>
      <c r="X299" s="80"/>
      <c r="Y299" s="80"/>
      <c r="Z299" s="80"/>
      <c r="AA299" s="80"/>
      <c r="AB299" s="80"/>
      <c r="AC299" s="80"/>
      <c r="AD299" s="80"/>
      <c r="AE299" s="80"/>
      <c r="AF299" s="80"/>
      <c r="AG299" s="80"/>
    </row>
    <row r="300" spans="1:33" x14ac:dyDescent="0.2">
      <c r="A300" s="2"/>
      <c r="B300" s="80"/>
      <c r="C300" s="80"/>
      <c r="D300" s="80"/>
      <c r="E300" s="80"/>
      <c r="F300" s="80"/>
      <c r="G300" s="80"/>
      <c r="H300" s="80"/>
      <c r="I300" s="80"/>
      <c r="J300" s="80"/>
      <c r="K300" s="80"/>
      <c r="L300" s="2"/>
      <c r="M300" s="2"/>
      <c r="N300" s="2"/>
      <c r="O300" s="2"/>
      <c r="P300" s="2"/>
      <c r="Q300" s="2"/>
      <c r="R300" s="80"/>
      <c r="S300" s="80"/>
      <c r="T300" s="80"/>
      <c r="U300" s="80"/>
      <c r="V300" s="80"/>
      <c r="W300" s="80"/>
      <c r="X300" s="80"/>
      <c r="Y300" s="80"/>
      <c r="Z300" s="80"/>
      <c r="AA300" s="80"/>
      <c r="AB300" s="80"/>
      <c r="AC300" s="80"/>
      <c r="AD300" s="80"/>
      <c r="AE300" s="80"/>
      <c r="AF300" s="80"/>
      <c r="AG300" s="80"/>
    </row>
    <row r="301" spans="1:33" x14ac:dyDescent="0.2">
      <c r="A301" s="2"/>
      <c r="B301" s="80"/>
      <c r="C301" s="80"/>
      <c r="D301" s="80"/>
      <c r="E301" s="80"/>
      <c r="F301" s="80"/>
      <c r="G301" s="80"/>
      <c r="H301" s="80"/>
      <c r="I301" s="80"/>
      <c r="J301" s="80"/>
      <c r="K301" s="80"/>
      <c r="L301" s="2"/>
      <c r="M301" s="2"/>
      <c r="N301" s="2"/>
      <c r="O301" s="2"/>
      <c r="P301" s="2"/>
      <c r="Q301" s="2"/>
      <c r="R301" s="80"/>
      <c r="S301" s="80"/>
      <c r="T301" s="80"/>
      <c r="U301" s="80"/>
      <c r="V301" s="80"/>
      <c r="W301" s="80"/>
      <c r="X301" s="80"/>
      <c r="Y301" s="80"/>
      <c r="Z301" s="80"/>
      <c r="AA301" s="80"/>
      <c r="AB301" s="80"/>
      <c r="AC301" s="80"/>
      <c r="AD301" s="80"/>
      <c r="AE301" s="80"/>
      <c r="AF301" s="80"/>
      <c r="AG301" s="80"/>
    </row>
    <row r="302" spans="1:33" x14ac:dyDescent="0.2">
      <c r="A302" s="2"/>
      <c r="B302" s="80"/>
      <c r="C302" s="80"/>
      <c r="D302" s="80"/>
      <c r="E302" s="80"/>
      <c r="F302" s="80"/>
      <c r="G302" s="80"/>
      <c r="H302" s="80"/>
      <c r="I302" s="80"/>
      <c r="J302" s="80"/>
      <c r="K302" s="80"/>
      <c r="L302" s="2"/>
      <c r="M302" s="2"/>
      <c r="N302" s="2"/>
      <c r="O302" s="2"/>
      <c r="P302" s="2"/>
      <c r="Q302" s="2"/>
      <c r="R302" s="80"/>
      <c r="S302" s="80"/>
      <c r="T302" s="80"/>
      <c r="U302" s="80"/>
      <c r="V302" s="80"/>
      <c r="W302" s="80"/>
      <c r="X302" s="80"/>
      <c r="Y302" s="80"/>
      <c r="Z302" s="80"/>
      <c r="AA302" s="80"/>
      <c r="AB302" s="80"/>
      <c r="AC302" s="80"/>
      <c r="AD302" s="80"/>
      <c r="AE302" s="80"/>
      <c r="AF302" s="80"/>
      <c r="AG302" s="80"/>
    </row>
    <row r="303" spans="1:33" x14ac:dyDescent="0.2">
      <c r="A303" s="2"/>
      <c r="B303" s="80"/>
      <c r="C303" s="80"/>
      <c r="D303" s="80"/>
      <c r="E303" s="80"/>
      <c r="F303" s="80"/>
      <c r="G303" s="80"/>
      <c r="H303" s="80"/>
      <c r="I303" s="80"/>
      <c r="J303" s="80"/>
      <c r="K303" s="80"/>
      <c r="L303" s="2"/>
      <c r="M303" s="2"/>
      <c r="N303" s="2"/>
      <c r="O303" s="2"/>
      <c r="P303" s="2"/>
      <c r="Q303" s="2"/>
      <c r="R303" s="80"/>
      <c r="S303" s="80"/>
      <c r="T303" s="80"/>
      <c r="U303" s="80"/>
      <c r="V303" s="80"/>
      <c r="W303" s="80"/>
      <c r="X303" s="80"/>
      <c r="Y303" s="80"/>
      <c r="Z303" s="80"/>
      <c r="AA303" s="80"/>
      <c r="AB303" s="80"/>
      <c r="AC303" s="80"/>
      <c r="AD303" s="80"/>
      <c r="AE303" s="80"/>
      <c r="AF303" s="80"/>
      <c r="AG303" s="80"/>
    </row>
    <row r="304" spans="1:33" x14ac:dyDescent="0.2">
      <c r="A304" s="2"/>
      <c r="B304" s="80"/>
      <c r="C304" s="80"/>
      <c r="D304" s="80"/>
      <c r="E304" s="80"/>
      <c r="F304" s="80"/>
      <c r="G304" s="80"/>
      <c r="H304" s="80"/>
      <c r="I304" s="80"/>
      <c r="J304" s="80"/>
      <c r="K304" s="80"/>
      <c r="L304" s="2"/>
      <c r="M304" s="2"/>
      <c r="N304" s="2"/>
      <c r="O304" s="2"/>
      <c r="P304" s="2"/>
      <c r="Q304" s="2"/>
      <c r="R304" s="80"/>
      <c r="S304" s="80"/>
      <c r="T304" s="80"/>
      <c r="U304" s="80"/>
      <c r="V304" s="80"/>
      <c r="W304" s="80"/>
      <c r="X304" s="80"/>
      <c r="Y304" s="80"/>
      <c r="Z304" s="80"/>
      <c r="AA304" s="80"/>
      <c r="AB304" s="80"/>
      <c r="AC304" s="80"/>
      <c r="AD304" s="80"/>
      <c r="AE304" s="80"/>
      <c r="AF304" s="80"/>
      <c r="AG304" s="80"/>
    </row>
    <row r="305" spans="1:33" x14ac:dyDescent="0.2">
      <c r="A305" s="2"/>
      <c r="B305" s="80"/>
      <c r="C305" s="80"/>
      <c r="D305" s="80"/>
      <c r="E305" s="80"/>
      <c r="F305" s="80"/>
      <c r="G305" s="80"/>
      <c r="H305" s="80"/>
      <c r="I305" s="80"/>
      <c r="J305" s="80"/>
      <c r="K305" s="80"/>
      <c r="L305" s="2"/>
      <c r="M305" s="2"/>
      <c r="N305" s="2"/>
      <c r="O305" s="2"/>
      <c r="P305" s="2"/>
      <c r="Q305" s="2"/>
      <c r="R305" s="80"/>
      <c r="S305" s="80"/>
      <c r="T305" s="80"/>
      <c r="U305" s="80"/>
      <c r="V305" s="80"/>
      <c r="W305" s="80"/>
      <c r="X305" s="80"/>
      <c r="Y305" s="80"/>
      <c r="Z305" s="80"/>
      <c r="AA305" s="80"/>
      <c r="AB305" s="80"/>
      <c r="AC305" s="80"/>
      <c r="AD305" s="80"/>
      <c r="AE305" s="80"/>
      <c r="AF305" s="80"/>
      <c r="AG305" s="80"/>
    </row>
    <row r="306" spans="1:33" x14ac:dyDescent="0.2">
      <c r="A306" s="2"/>
      <c r="B306" s="80"/>
      <c r="C306" s="80"/>
      <c r="D306" s="80"/>
      <c r="E306" s="80"/>
      <c r="F306" s="80"/>
      <c r="G306" s="80"/>
      <c r="H306" s="80"/>
      <c r="I306" s="80"/>
      <c r="J306" s="80"/>
      <c r="K306" s="80"/>
      <c r="L306" s="2"/>
      <c r="M306" s="2"/>
      <c r="N306" s="2"/>
      <c r="O306" s="2"/>
      <c r="P306" s="2"/>
      <c r="Q306" s="2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80"/>
      <c r="AC306" s="80"/>
      <c r="AD306" s="80"/>
      <c r="AE306" s="80"/>
      <c r="AF306" s="80"/>
      <c r="AG306" s="80"/>
    </row>
    <row r="307" spans="1:33" x14ac:dyDescent="0.2">
      <c r="A307" s="2"/>
      <c r="B307" s="80"/>
      <c r="C307" s="80"/>
      <c r="D307" s="80"/>
      <c r="E307" s="80"/>
      <c r="F307" s="80"/>
      <c r="G307" s="80"/>
      <c r="H307" s="80"/>
      <c r="I307" s="80"/>
      <c r="J307" s="80"/>
      <c r="K307" s="80"/>
      <c r="L307" s="2"/>
      <c r="M307" s="2"/>
      <c r="N307" s="2"/>
      <c r="O307" s="2"/>
      <c r="P307" s="2"/>
      <c r="Q307" s="2"/>
      <c r="R307" s="80"/>
      <c r="S307" s="80"/>
      <c r="T307" s="80"/>
      <c r="U307" s="80"/>
      <c r="V307" s="80"/>
      <c r="W307" s="80"/>
      <c r="X307" s="80"/>
      <c r="Y307" s="80"/>
      <c r="Z307" s="80"/>
      <c r="AA307" s="80"/>
      <c r="AB307" s="80"/>
      <c r="AC307" s="80"/>
      <c r="AD307" s="80"/>
      <c r="AE307" s="80"/>
      <c r="AF307" s="80"/>
      <c r="AG307" s="80"/>
    </row>
    <row r="308" spans="1:33" x14ac:dyDescent="0.2">
      <c r="A308" s="2"/>
      <c r="B308" s="80"/>
      <c r="C308" s="80"/>
      <c r="D308" s="80"/>
      <c r="E308" s="80"/>
      <c r="F308" s="80"/>
      <c r="G308" s="80"/>
      <c r="H308" s="80"/>
      <c r="I308" s="80"/>
      <c r="J308" s="80"/>
      <c r="K308" s="80"/>
      <c r="L308" s="2"/>
      <c r="M308" s="2"/>
      <c r="N308" s="2"/>
      <c r="O308" s="2"/>
      <c r="P308" s="2"/>
      <c r="Q308" s="2"/>
      <c r="R308" s="80"/>
      <c r="S308" s="80"/>
      <c r="T308" s="80"/>
      <c r="U308" s="80"/>
      <c r="V308" s="80"/>
      <c r="W308" s="80"/>
      <c r="X308" s="80"/>
      <c r="Y308" s="80"/>
      <c r="Z308" s="80"/>
      <c r="AA308" s="80"/>
      <c r="AB308" s="80"/>
      <c r="AC308" s="80"/>
      <c r="AD308" s="80"/>
      <c r="AE308" s="80"/>
      <c r="AF308" s="80"/>
      <c r="AG308" s="80"/>
    </row>
    <row r="309" spans="1:33" x14ac:dyDescent="0.2">
      <c r="A309" s="2"/>
      <c r="B309" s="80"/>
      <c r="C309" s="80"/>
      <c r="D309" s="80"/>
      <c r="E309" s="80"/>
      <c r="F309" s="80"/>
      <c r="G309" s="80"/>
      <c r="H309" s="80"/>
      <c r="I309" s="80"/>
      <c r="J309" s="80"/>
      <c r="K309" s="80"/>
      <c r="L309" s="2"/>
      <c r="M309" s="2"/>
      <c r="N309" s="2"/>
      <c r="O309" s="2"/>
      <c r="P309" s="2"/>
      <c r="Q309" s="2"/>
      <c r="R309" s="80"/>
      <c r="S309" s="80"/>
      <c r="T309" s="80"/>
      <c r="U309" s="80"/>
      <c r="V309" s="80"/>
      <c r="W309" s="80"/>
      <c r="X309" s="80"/>
      <c r="Y309" s="80"/>
      <c r="Z309" s="80"/>
      <c r="AA309" s="80"/>
      <c r="AB309" s="80"/>
      <c r="AC309" s="80"/>
      <c r="AD309" s="80"/>
      <c r="AE309" s="80"/>
      <c r="AF309" s="80"/>
      <c r="AG309" s="80"/>
    </row>
    <row r="310" spans="1:33" x14ac:dyDescent="0.2">
      <c r="A310" s="2"/>
      <c r="B310" s="80"/>
      <c r="C310" s="80"/>
      <c r="D310" s="80"/>
      <c r="E310" s="80"/>
      <c r="F310" s="80"/>
      <c r="G310" s="80"/>
      <c r="H310" s="80"/>
      <c r="I310" s="80"/>
      <c r="J310" s="80"/>
      <c r="K310" s="80"/>
      <c r="L310" s="2"/>
      <c r="M310" s="2"/>
      <c r="N310" s="2"/>
      <c r="O310" s="2"/>
      <c r="P310" s="2"/>
      <c r="Q310" s="2"/>
      <c r="R310" s="80"/>
      <c r="S310" s="80"/>
      <c r="T310" s="80"/>
      <c r="U310" s="80"/>
      <c r="V310" s="80"/>
      <c r="W310" s="80"/>
      <c r="X310" s="80"/>
      <c r="Y310" s="80"/>
      <c r="Z310" s="80"/>
      <c r="AA310" s="80"/>
      <c r="AB310" s="80"/>
      <c r="AC310" s="80"/>
      <c r="AD310" s="80"/>
      <c r="AE310" s="80"/>
      <c r="AF310" s="80"/>
      <c r="AG310" s="80"/>
    </row>
    <row r="311" spans="1:33" x14ac:dyDescent="0.2">
      <c r="A311" s="2"/>
      <c r="B311" s="80"/>
      <c r="C311" s="80"/>
      <c r="D311" s="80"/>
      <c r="E311" s="80"/>
      <c r="F311" s="80"/>
      <c r="G311" s="80"/>
      <c r="H311" s="80"/>
      <c r="I311" s="80"/>
      <c r="J311" s="80"/>
      <c r="K311" s="80"/>
      <c r="L311" s="2"/>
      <c r="M311" s="2"/>
      <c r="N311" s="2"/>
      <c r="O311" s="2"/>
      <c r="P311" s="2"/>
      <c r="Q311" s="2"/>
      <c r="R311" s="80"/>
      <c r="S311" s="80"/>
      <c r="T311" s="80"/>
      <c r="U311" s="80"/>
      <c r="V311" s="80"/>
      <c r="W311" s="80"/>
      <c r="X311" s="80"/>
      <c r="Y311" s="80"/>
      <c r="Z311" s="80"/>
      <c r="AA311" s="80"/>
      <c r="AB311" s="80"/>
      <c r="AC311" s="80"/>
      <c r="AD311" s="80"/>
      <c r="AE311" s="80"/>
      <c r="AF311" s="80"/>
      <c r="AG311" s="80"/>
    </row>
    <row r="312" spans="1:33" x14ac:dyDescent="0.2">
      <c r="A312" s="2"/>
      <c r="B312" s="80"/>
      <c r="C312" s="80"/>
      <c r="D312" s="80"/>
      <c r="E312" s="80"/>
      <c r="F312" s="80"/>
      <c r="G312" s="80"/>
      <c r="H312" s="80"/>
      <c r="I312" s="80"/>
      <c r="J312" s="80"/>
      <c r="K312" s="80"/>
      <c r="L312" s="2"/>
      <c r="M312" s="2"/>
      <c r="N312" s="2"/>
      <c r="O312" s="2"/>
      <c r="P312" s="2"/>
      <c r="Q312" s="2"/>
      <c r="R312" s="80"/>
      <c r="S312" s="80"/>
      <c r="T312" s="80"/>
      <c r="U312" s="80"/>
      <c r="V312" s="80"/>
      <c r="W312" s="80"/>
      <c r="X312" s="80"/>
      <c r="Y312" s="80"/>
      <c r="Z312" s="80"/>
      <c r="AA312" s="80"/>
      <c r="AB312" s="80"/>
      <c r="AC312" s="80"/>
      <c r="AD312" s="80"/>
      <c r="AE312" s="80"/>
      <c r="AF312" s="80"/>
      <c r="AG312" s="80"/>
    </row>
    <row r="313" spans="1:33" x14ac:dyDescent="0.2">
      <c r="A313" s="2"/>
      <c r="B313" s="80"/>
      <c r="C313" s="80"/>
      <c r="D313" s="80"/>
      <c r="E313" s="80"/>
      <c r="F313" s="80"/>
      <c r="G313" s="80"/>
      <c r="H313" s="80"/>
      <c r="I313" s="80"/>
      <c r="J313" s="80"/>
      <c r="K313" s="80"/>
      <c r="L313" s="2"/>
      <c r="M313" s="2"/>
      <c r="N313" s="2"/>
      <c r="O313" s="2"/>
      <c r="P313" s="2"/>
      <c r="Q313" s="2"/>
      <c r="R313" s="80"/>
      <c r="S313" s="80"/>
      <c r="T313" s="80"/>
      <c r="U313" s="80"/>
      <c r="V313" s="80"/>
      <c r="W313" s="80"/>
      <c r="X313" s="80"/>
      <c r="Y313" s="80"/>
      <c r="Z313" s="80"/>
      <c r="AA313" s="80"/>
      <c r="AB313" s="80"/>
      <c r="AC313" s="80"/>
      <c r="AD313" s="80"/>
      <c r="AE313" s="80"/>
      <c r="AF313" s="80"/>
      <c r="AG313" s="80"/>
    </row>
    <row r="314" spans="1:33" x14ac:dyDescent="0.2">
      <c r="A314" s="2"/>
      <c r="B314" s="80"/>
      <c r="C314" s="80"/>
      <c r="D314" s="80"/>
      <c r="E314" s="80"/>
      <c r="F314" s="80"/>
      <c r="G314" s="80"/>
      <c r="H314" s="80"/>
      <c r="I314" s="80"/>
      <c r="J314" s="80"/>
      <c r="K314" s="80"/>
      <c r="L314" s="2"/>
      <c r="M314" s="2"/>
      <c r="N314" s="2"/>
      <c r="O314" s="2"/>
      <c r="P314" s="2"/>
      <c r="Q314" s="2"/>
      <c r="R314" s="80"/>
      <c r="S314" s="80"/>
      <c r="T314" s="80"/>
      <c r="U314" s="80"/>
      <c r="V314" s="80"/>
      <c r="W314" s="80"/>
      <c r="X314" s="80"/>
      <c r="Y314" s="80"/>
      <c r="Z314" s="80"/>
      <c r="AA314" s="80"/>
      <c r="AB314" s="80"/>
      <c r="AC314" s="80"/>
      <c r="AD314" s="80"/>
      <c r="AE314" s="80"/>
      <c r="AF314" s="80"/>
      <c r="AG314" s="80"/>
    </row>
    <row r="315" spans="1:33" x14ac:dyDescent="0.2">
      <c r="A315" s="2"/>
      <c r="B315" s="80"/>
      <c r="C315" s="80"/>
      <c r="D315" s="80"/>
      <c r="E315" s="80"/>
      <c r="F315" s="80"/>
      <c r="G315" s="80"/>
      <c r="H315" s="80"/>
      <c r="I315" s="80"/>
      <c r="J315" s="80"/>
      <c r="K315" s="80"/>
      <c r="L315" s="2"/>
      <c r="M315" s="2"/>
      <c r="N315" s="2"/>
      <c r="O315" s="2"/>
      <c r="P315" s="2"/>
      <c r="Q315" s="2"/>
      <c r="R315" s="80"/>
      <c r="S315" s="80"/>
      <c r="T315" s="80"/>
      <c r="U315" s="80"/>
      <c r="V315" s="80"/>
      <c r="W315" s="80"/>
      <c r="X315" s="80"/>
      <c r="Y315" s="80"/>
      <c r="Z315" s="80"/>
      <c r="AA315" s="80"/>
      <c r="AB315" s="80"/>
      <c r="AC315" s="80"/>
      <c r="AD315" s="80"/>
      <c r="AE315" s="80"/>
      <c r="AF315" s="80"/>
      <c r="AG315" s="80"/>
    </row>
    <row r="316" spans="1:33" x14ac:dyDescent="0.2">
      <c r="A316" s="2"/>
      <c r="B316" s="80"/>
      <c r="C316" s="80"/>
      <c r="D316" s="80"/>
      <c r="E316" s="80"/>
      <c r="F316" s="80"/>
      <c r="G316" s="80"/>
      <c r="H316" s="80"/>
      <c r="I316" s="80"/>
      <c r="J316" s="80"/>
      <c r="K316" s="80"/>
      <c r="L316" s="2"/>
      <c r="M316" s="2"/>
      <c r="N316" s="2"/>
      <c r="O316" s="2"/>
      <c r="P316" s="2"/>
      <c r="Q316" s="2"/>
      <c r="R316" s="80"/>
      <c r="S316" s="80"/>
      <c r="T316" s="80"/>
      <c r="U316" s="80"/>
      <c r="V316" s="80"/>
      <c r="W316" s="80"/>
      <c r="X316" s="80"/>
      <c r="Y316" s="80"/>
      <c r="Z316" s="80"/>
      <c r="AA316" s="80"/>
      <c r="AB316" s="80"/>
      <c r="AC316" s="80"/>
      <c r="AD316" s="80"/>
      <c r="AE316" s="80"/>
      <c r="AF316" s="80"/>
      <c r="AG316" s="80"/>
    </row>
    <row r="317" spans="1:33" x14ac:dyDescent="0.2">
      <c r="A317" s="2"/>
      <c r="B317" s="80"/>
      <c r="C317" s="80"/>
      <c r="D317" s="80"/>
      <c r="E317" s="80"/>
      <c r="F317" s="80"/>
      <c r="G317" s="80"/>
      <c r="H317" s="80"/>
      <c r="I317" s="80"/>
      <c r="J317" s="80"/>
      <c r="K317" s="80"/>
      <c r="L317" s="2"/>
      <c r="M317" s="2"/>
      <c r="N317" s="2"/>
      <c r="O317" s="2"/>
      <c r="P317" s="2"/>
      <c r="Q317" s="2"/>
      <c r="R317" s="80"/>
      <c r="S317" s="80"/>
      <c r="T317" s="80"/>
      <c r="U317" s="80"/>
      <c r="V317" s="80"/>
      <c r="W317" s="80"/>
      <c r="X317" s="80"/>
      <c r="Y317" s="80"/>
      <c r="Z317" s="80"/>
      <c r="AA317" s="80"/>
      <c r="AB317" s="80"/>
      <c r="AC317" s="80"/>
      <c r="AD317" s="80"/>
      <c r="AE317" s="80"/>
      <c r="AF317" s="80"/>
      <c r="AG317" s="80"/>
    </row>
    <row r="318" spans="1:33" x14ac:dyDescent="0.2">
      <c r="A318" s="2"/>
      <c r="B318" s="80"/>
      <c r="C318" s="80"/>
      <c r="D318" s="80"/>
      <c r="E318" s="80"/>
      <c r="F318" s="80"/>
      <c r="G318" s="80"/>
      <c r="H318" s="80"/>
      <c r="I318" s="80"/>
      <c r="J318" s="80"/>
      <c r="K318" s="80"/>
      <c r="L318" s="2"/>
      <c r="M318" s="2"/>
      <c r="N318" s="2"/>
      <c r="O318" s="2"/>
      <c r="P318" s="2"/>
      <c r="Q318" s="2"/>
      <c r="R318" s="80"/>
      <c r="S318" s="80"/>
      <c r="T318" s="80"/>
      <c r="U318" s="80"/>
      <c r="V318" s="80"/>
      <c r="W318" s="80"/>
      <c r="X318" s="80"/>
      <c r="Y318" s="80"/>
      <c r="Z318" s="80"/>
      <c r="AA318" s="80"/>
      <c r="AB318" s="80"/>
      <c r="AC318" s="80"/>
      <c r="AD318" s="80"/>
      <c r="AE318" s="80"/>
      <c r="AF318" s="80"/>
      <c r="AG318" s="80"/>
    </row>
    <row r="319" spans="1:33" x14ac:dyDescent="0.2">
      <c r="A319" s="2"/>
      <c r="B319" s="80"/>
      <c r="C319" s="80"/>
      <c r="D319" s="80"/>
      <c r="E319" s="80"/>
      <c r="F319" s="80"/>
      <c r="G319" s="80"/>
      <c r="H319" s="80"/>
      <c r="I319" s="80"/>
      <c r="J319" s="80"/>
      <c r="K319" s="80"/>
      <c r="L319" s="2"/>
      <c r="M319" s="2"/>
      <c r="N319" s="2"/>
      <c r="O319" s="2"/>
      <c r="P319" s="2"/>
      <c r="Q319" s="2"/>
      <c r="R319" s="80"/>
      <c r="S319" s="80"/>
      <c r="T319" s="80"/>
      <c r="U319" s="80"/>
      <c r="V319" s="80"/>
      <c r="W319" s="80"/>
      <c r="X319" s="80"/>
      <c r="Y319" s="80"/>
      <c r="Z319" s="80"/>
      <c r="AA319" s="80"/>
      <c r="AB319" s="80"/>
      <c r="AC319" s="80"/>
      <c r="AD319" s="80"/>
      <c r="AE319" s="80"/>
      <c r="AF319" s="80"/>
      <c r="AG319" s="80"/>
    </row>
    <row r="320" spans="1:33" x14ac:dyDescent="0.2">
      <c r="A320" s="2"/>
      <c r="B320" s="80"/>
      <c r="C320" s="80"/>
      <c r="D320" s="80"/>
      <c r="E320" s="80"/>
      <c r="F320" s="80"/>
      <c r="G320" s="80"/>
      <c r="H320" s="80"/>
      <c r="I320" s="80"/>
      <c r="J320" s="80"/>
      <c r="K320" s="80"/>
      <c r="L320" s="2"/>
      <c r="M320" s="2"/>
      <c r="N320" s="2"/>
      <c r="O320" s="2"/>
      <c r="P320" s="2"/>
      <c r="Q320" s="2"/>
      <c r="R320" s="80"/>
      <c r="S320" s="80"/>
      <c r="T320" s="80"/>
      <c r="U320" s="80"/>
      <c r="V320" s="80"/>
      <c r="W320" s="80"/>
      <c r="X320" s="80"/>
      <c r="Y320" s="80"/>
      <c r="Z320" s="80"/>
      <c r="AA320" s="80"/>
      <c r="AB320" s="80"/>
      <c r="AC320" s="80"/>
      <c r="AD320" s="80"/>
      <c r="AE320" s="80"/>
      <c r="AF320" s="80"/>
      <c r="AG320" s="80"/>
    </row>
    <row r="321" spans="1:33" x14ac:dyDescent="0.2">
      <c r="A321" s="2"/>
      <c r="B321" s="80"/>
      <c r="C321" s="80"/>
      <c r="D321" s="80"/>
      <c r="E321" s="80"/>
      <c r="F321" s="80"/>
      <c r="G321" s="80"/>
      <c r="H321" s="80"/>
      <c r="I321" s="80"/>
      <c r="J321" s="80"/>
      <c r="K321" s="80"/>
      <c r="L321" s="2"/>
      <c r="M321" s="2"/>
      <c r="N321" s="2"/>
      <c r="O321" s="2"/>
      <c r="P321" s="2"/>
      <c r="Q321" s="2"/>
      <c r="R321" s="80"/>
      <c r="S321" s="80"/>
      <c r="T321" s="80"/>
      <c r="U321" s="80"/>
      <c r="V321" s="80"/>
      <c r="W321" s="80"/>
      <c r="X321" s="80"/>
      <c r="Y321" s="80"/>
      <c r="Z321" s="80"/>
      <c r="AA321" s="80"/>
      <c r="AB321" s="80"/>
      <c r="AC321" s="80"/>
      <c r="AD321" s="80"/>
      <c r="AE321" s="80"/>
      <c r="AF321" s="80"/>
      <c r="AG321" s="80"/>
    </row>
    <row r="322" spans="1:33" x14ac:dyDescent="0.2">
      <c r="A322" s="2"/>
      <c r="B322" s="80"/>
      <c r="C322" s="80"/>
      <c r="D322" s="80"/>
      <c r="E322" s="80"/>
      <c r="F322" s="80"/>
      <c r="G322" s="80"/>
      <c r="H322" s="80"/>
      <c r="I322" s="80"/>
      <c r="J322" s="80"/>
      <c r="K322" s="80"/>
      <c r="L322" s="2"/>
      <c r="M322" s="2"/>
      <c r="N322" s="2"/>
      <c r="O322" s="2"/>
      <c r="P322" s="2"/>
      <c r="Q322" s="2"/>
      <c r="R322" s="80"/>
      <c r="S322" s="80"/>
      <c r="T322" s="80"/>
      <c r="U322" s="80"/>
      <c r="V322" s="80"/>
      <c r="W322" s="80"/>
      <c r="X322" s="80"/>
      <c r="Y322" s="80"/>
      <c r="Z322" s="80"/>
      <c r="AA322" s="80"/>
      <c r="AB322" s="80"/>
      <c r="AC322" s="80"/>
      <c r="AD322" s="80"/>
      <c r="AE322" s="80"/>
      <c r="AF322" s="80"/>
      <c r="AG322" s="80"/>
    </row>
    <row r="323" spans="1:33" x14ac:dyDescent="0.2">
      <c r="A323" s="2"/>
      <c r="B323" s="80"/>
      <c r="C323" s="80"/>
      <c r="D323" s="80"/>
      <c r="E323" s="80"/>
      <c r="F323" s="80"/>
      <c r="G323" s="80"/>
      <c r="H323" s="80"/>
      <c r="I323" s="80"/>
      <c r="J323" s="80"/>
      <c r="K323" s="80"/>
      <c r="L323" s="2"/>
      <c r="M323" s="2"/>
      <c r="N323" s="2"/>
      <c r="O323" s="2"/>
      <c r="P323" s="2"/>
      <c r="Q323" s="2"/>
      <c r="R323" s="80"/>
      <c r="S323" s="80"/>
      <c r="T323" s="80"/>
      <c r="U323" s="80"/>
      <c r="V323" s="80"/>
      <c r="W323" s="80"/>
      <c r="X323" s="80"/>
      <c r="Y323" s="80"/>
      <c r="Z323" s="80"/>
      <c r="AA323" s="80"/>
      <c r="AB323" s="80"/>
      <c r="AC323" s="80"/>
      <c r="AD323" s="80"/>
      <c r="AE323" s="80"/>
      <c r="AF323" s="80"/>
      <c r="AG323" s="80"/>
    </row>
    <row r="324" spans="1:33" x14ac:dyDescent="0.2">
      <c r="A324" s="2"/>
      <c r="B324" s="80"/>
      <c r="C324" s="80"/>
      <c r="D324" s="80"/>
      <c r="E324" s="80"/>
      <c r="F324" s="80"/>
      <c r="G324" s="80"/>
      <c r="H324" s="80"/>
      <c r="I324" s="80"/>
      <c r="J324" s="80"/>
      <c r="K324" s="80"/>
      <c r="L324" s="2"/>
      <c r="M324" s="2"/>
      <c r="N324" s="2"/>
      <c r="O324" s="2"/>
      <c r="P324" s="2"/>
      <c r="Q324" s="2"/>
      <c r="R324" s="80"/>
      <c r="S324" s="80"/>
      <c r="T324" s="80"/>
      <c r="U324" s="80"/>
      <c r="V324" s="80"/>
      <c r="W324" s="80"/>
      <c r="X324" s="80"/>
      <c r="Y324" s="80"/>
      <c r="Z324" s="80"/>
      <c r="AA324" s="80"/>
      <c r="AB324" s="80"/>
      <c r="AC324" s="80"/>
      <c r="AD324" s="80"/>
      <c r="AE324" s="80"/>
      <c r="AF324" s="80"/>
      <c r="AG324" s="80"/>
    </row>
    <row r="325" spans="1:33" x14ac:dyDescent="0.2">
      <c r="A325" s="2"/>
      <c r="B325" s="80"/>
      <c r="C325" s="80"/>
      <c r="D325" s="80"/>
      <c r="E325" s="80"/>
      <c r="F325" s="80"/>
      <c r="G325" s="80"/>
      <c r="H325" s="80"/>
      <c r="I325" s="80"/>
      <c r="J325" s="80"/>
      <c r="K325" s="80"/>
      <c r="L325" s="2"/>
      <c r="M325" s="2"/>
      <c r="N325" s="2"/>
      <c r="O325" s="2"/>
      <c r="P325" s="2"/>
      <c r="Q325" s="2"/>
      <c r="R325" s="80"/>
      <c r="S325" s="80"/>
      <c r="T325" s="80"/>
      <c r="U325" s="80"/>
      <c r="V325" s="80"/>
      <c r="W325" s="80"/>
      <c r="X325" s="80"/>
      <c r="Y325" s="80"/>
      <c r="Z325" s="80"/>
      <c r="AA325" s="80"/>
      <c r="AB325" s="80"/>
      <c r="AC325" s="80"/>
      <c r="AD325" s="80"/>
      <c r="AE325" s="80"/>
      <c r="AF325" s="80"/>
      <c r="AG325" s="80"/>
    </row>
    <row r="326" spans="1:33" x14ac:dyDescent="0.2">
      <c r="A326" s="2"/>
      <c r="B326" s="80"/>
      <c r="C326" s="80"/>
      <c r="D326" s="80"/>
      <c r="E326" s="80"/>
      <c r="F326" s="80"/>
      <c r="G326" s="80"/>
      <c r="H326" s="80"/>
      <c r="I326" s="80"/>
      <c r="J326" s="80"/>
      <c r="K326" s="80"/>
      <c r="L326" s="2"/>
      <c r="M326" s="2"/>
      <c r="N326" s="2"/>
      <c r="O326" s="2"/>
      <c r="P326" s="2"/>
      <c r="Q326" s="2"/>
      <c r="R326" s="80"/>
      <c r="S326" s="80"/>
      <c r="T326" s="80"/>
      <c r="U326" s="80"/>
      <c r="V326" s="80"/>
      <c r="W326" s="80"/>
      <c r="X326" s="80"/>
      <c r="Y326" s="80"/>
      <c r="Z326" s="80"/>
      <c r="AA326" s="80"/>
      <c r="AB326" s="80"/>
      <c r="AC326" s="80"/>
      <c r="AD326" s="80"/>
      <c r="AE326" s="80"/>
      <c r="AF326" s="80"/>
      <c r="AG326" s="80"/>
    </row>
    <row r="327" spans="1:33" x14ac:dyDescent="0.2">
      <c r="A327" s="2"/>
      <c r="B327" s="80"/>
      <c r="C327" s="80"/>
      <c r="D327" s="80"/>
      <c r="E327" s="80"/>
      <c r="F327" s="80"/>
      <c r="G327" s="80"/>
      <c r="H327" s="80"/>
      <c r="I327" s="80"/>
      <c r="J327" s="80"/>
      <c r="K327" s="80"/>
      <c r="L327" s="2"/>
      <c r="M327" s="2"/>
      <c r="N327" s="2"/>
      <c r="O327" s="2"/>
      <c r="P327" s="2"/>
      <c r="Q327" s="2"/>
      <c r="R327" s="80"/>
      <c r="S327" s="80"/>
      <c r="T327" s="80"/>
      <c r="U327" s="80"/>
      <c r="V327" s="80"/>
      <c r="W327" s="80"/>
      <c r="X327" s="80"/>
      <c r="Y327" s="80"/>
      <c r="Z327" s="80"/>
      <c r="AA327" s="80"/>
      <c r="AB327" s="80"/>
      <c r="AC327" s="80"/>
      <c r="AD327" s="80"/>
      <c r="AE327" s="80"/>
      <c r="AF327" s="80"/>
      <c r="AG327" s="80"/>
    </row>
    <row r="328" spans="1:33" x14ac:dyDescent="0.2">
      <c r="A328" s="2"/>
      <c r="B328" s="80"/>
      <c r="C328" s="80"/>
      <c r="D328" s="80"/>
      <c r="E328" s="80"/>
      <c r="F328" s="80"/>
      <c r="G328" s="80"/>
      <c r="H328" s="80"/>
      <c r="I328" s="80"/>
      <c r="J328" s="80"/>
      <c r="K328" s="80"/>
      <c r="L328" s="2"/>
      <c r="M328" s="2"/>
      <c r="N328" s="2"/>
      <c r="O328" s="2"/>
      <c r="P328" s="2"/>
      <c r="Q328" s="2"/>
      <c r="R328" s="80"/>
      <c r="S328" s="80"/>
      <c r="T328" s="80"/>
      <c r="U328" s="80"/>
      <c r="V328" s="80"/>
      <c r="W328" s="80"/>
      <c r="X328" s="80"/>
      <c r="Y328" s="80"/>
      <c r="Z328" s="80"/>
      <c r="AA328" s="80"/>
      <c r="AB328" s="80"/>
      <c r="AC328" s="80"/>
      <c r="AD328" s="80"/>
      <c r="AE328" s="80"/>
      <c r="AF328" s="80"/>
      <c r="AG328" s="80"/>
    </row>
    <row r="329" spans="1:33" x14ac:dyDescent="0.2">
      <c r="A329" s="2"/>
      <c r="B329" s="80"/>
      <c r="C329" s="80"/>
      <c r="D329" s="80"/>
      <c r="E329" s="80"/>
      <c r="F329" s="80"/>
      <c r="G329" s="80"/>
      <c r="H329" s="80"/>
      <c r="I329" s="80"/>
      <c r="J329" s="80"/>
      <c r="K329" s="80"/>
      <c r="L329" s="2"/>
      <c r="M329" s="2"/>
      <c r="N329" s="2"/>
      <c r="O329" s="2"/>
      <c r="P329" s="2"/>
      <c r="Q329" s="2"/>
      <c r="R329" s="80"/>
      <c r="S329" s="80"/>
      <c r="T329" s="80"/>
      <c r="U329" s="80"/>
      <c r="V329" s="80"/>
      <c r="W329" s="80"/>
      <c r="X329" s="80"/>
      <c r="Y329" s="80"/>
      <c r="Z329" s="80"/>
      <c r="AA329" s="80"/>
      <c r="AB329" s="80"/>
      <c r="AC329" s="80"/>
      <c r="AD329" s="80"/>
      <c r="AE329" s="80"/>
      <c r="AF329" s="80"/>
      <c r="AG329" s="80"/>
    </row>
    <row r="330" spans="1:33" x14ac:dyDescent="0.2">
      <c r="A330" s="2"/>
      <c r="B330" s="80"/>
      <c r="C330" s="80"/>
      <c r="D330" s="80"/>
      <c r="E330" s="80"/>
      <c r="F330" s="80"/>
      <c r="G330" s="80"/>
      <c r="H330" s="80"/>
      <c r="I330" s="80"/>
      <c r="J330" s="80"/>
      <c r="K330" s="80"/>
      <c r="L330" s="2"/>
      <c r="M330" s="2"/>
      <c r="N330" s="2"/>
      <c r="O330" s="2"/>
      <c r="P330" s="2"/>
      <c r="Q330" s="2"/>
      <c r="R330" s="80"/>
      <c r="S330" s="80"/>
      <c r="T330" s="80"/>
      <c r="U330" s="80"/>
      <c r="V330" s="80"/>
      <c r="W330" s="80"/>
      <c r="X330" s="80"/>
      <c r="Y330" s="80"/>
      <c r="Z330" s="80"/>
      <c r="AA330" s="80"/>
      <c r="AB330" s="80"/>
      <c r="AC330" s="80"/>
      <c r="AD330" s="80"/>
      <c r="AE330" s="80"/>
      <c r="AF330" s="80"/>
      <c r="AG330" s="80"/>
    </row>
    <row r="331" spans="1:33" x14ac:dyDescent="0.2">
      <c r="A331" s="2"/>
      <c r="B331" s="80"/>
      <c r="C331" s="80"/>
      <c r="D331" s="80"/>
      <c r="E331" s="80"/>
      <c r="F331" s="80"/>
      <c r="G331" s="80"/>
      <c r="H331" s="80"/>
      <c r="I331" s="80"/>
      <c r="J331" s="80"/>
      <c r="K331" s="80"/>
      <c r="L331" s="2"/>
      <c r="M331" s="2"/>
      <c r="N331" s="2"/>
      <c r="O331" s="2"/>
      <c r="P331" s="2"/>
      <c r="Q331" s="2"/>
      <c r="R331" s="80"/>
      <c r="S331" s="80"/>
      <c r="T331" s="80"/>
      <c r="U331" s="80"/>
      <c r="V331" s="80"/>
      <c r="W331" s="80"/>
      <c r="X331" s="80"/>
      <c r="Y331" s="80"/>
      <c r="Z331" s="80"/>
      <c r="AA331" s="80"/>
      <c r="AB331" s="80"/>
      <c r="AC331" s="80"/>
      <c r="AD331" s="80"/>
      <c r="AE331" s="80"/>
      <c r="AF331" s="80"/>
      <c r="AG331" s="80"/>
    </row>
    <row r="332" spans="1:33" x14ac:dyDescent="0.2">
      <c r="A332" s="2"/>
      <c r="B332" s="80"/>
      <c r="C332" s="80"/>
      <c r="D332" s="80"/>
      <c r="E332" s="80"/>
      <c r="F332" s="80"/>
      <c r="G332" s="80"/>
      <c r="H332" s="80"/>
      <c r="I332" s="80"/>
      <c r="J332" s="80"/>
      <c r="K332" s="80"/>
      <c r="L332" s="2"/>
      <c r="M332" s="2"/>
      <c r="N332" s="2"/>
      <c r="O332" s="2"/>
      <c r="P332" s="2"/>
      <c r="Q332" s="2"/>
      <c r="R332" s="80"/>
      <c r="S332" s="80"/>
      <c r="T332" s="80"/>
      <c r="U332" s="80"/>
      <c r="V332" s="80"/>
      <c r="W332" s="80"/>
      <c r="X332" s="80"/>
      <c r="Y332" s="80"/>
      <c r="Z332" s="80"/>
      <c r="AA332" s="80"/>
      <c r="AB332" s="80"/>
      <c r="AC332" s="80"/>
      <c r="AD332" s="80"/>
      <c r="AE332" s="80"/>
      <c r="AF332" s="80"/>
      <c r="AG332" s="80"/>
    </row>
    <row r="333" spans="1:33" x14ac:dyDescent="0.2">
      <c r="A333" s="2"/>
      <c r="B333" s="80"/>
      <c r="C333" s="80"/>
      <c r="D333" s="80"/>
      <c r="E333" s="80"/>
      <c r="F333" s="80"/>
      <c r="G333" s="80"/>
      <c r="H333" s="80"/>
      <c r="I333" s="80"/>
      <c r="J333" s="80"/>
      <c r="K333" s="80"/>
      <c r="L333" s="2"/>
      <c r="M333" s="2"/>
      <c r="N333" s="2"/>
      <c r="O333" s="2"/>
      <c r="P333" s="2"/>
      <c r="Q333" s="2"/>
      <c r="R333" s="80"/>
      <c r="S333" s="80"/>
      <c r="T333" s="80"/>
      <c r="U333" s="80"/>
      <c r="V333" s="80"/>
      <c r="W333" s="80"/>
      <c r="X333" s="80"/>
      <c r="Y333" s="80"/>
      <c r="Z333" s="80"/>
      <c r="AA333" s="80"/>
      <c r="AB333" s="80"/>
      <c r="AC333" s="80"/>
      <c r="AD333" s="80"/>
      <c r="AE333" s="80"/>
      <c r="AF333" s="80"/>
      <c r="AG333" s="80"/>
    </row>
    <row r="334" spans="1:33" x14ac:dyDescent="0.2">
      <c r="A334" s="2"/>
      <c r="B334" s="80"/>
      <c r="C334" s="80"/>
      <c r="D334" s="80"/>
      <c r="E334" s="80"/>
      <c r="F334" s="80"/>
      <c r="G334" s="80"/>
      <c r="H334" s="80"/>
      <c r="I334" s="80"/>
      <c r="J334" s="80"/>
      <c r="K334" s="80"/>
      <c r="L334" s="2"/>
      <c r="M334" s="2"/>
      <c r="N334" s="2"/>
      <c r="O334" s="2"/>
      <c r="P334" s="2"/>
      <c r="Q334" s="2"/>
      <c r="R334" s="80"/>
      <c r="S334" s="80"/>
      <c r="T334" s="80"/>
      <c r="U334" s="80"/>
      <c r="V334" s="80"/>
      <c r="W334" s="80"/>
      <c r="X334" s="80"/>
      <c r="Y334" s="80"/>
      <c r="Z334" s="80"/>
      <c r="AA334" s="80"/>
      <c r="AB334" s="80"/>
      <c r="AC334" s="80"/>
      <c r="AD334" s="80"/>
      <c r="AE334" s="80"/>
      <c r="AF334" s="80"/>
      <c r="AG334" s="80"/>
    </row>
    <row r="335" spans="1:33" x14ac:dyDescent="0.2">
      <c r="A335" s="2"/>
      <c r="B335" s="80"/>
      <c r="C335" s="80"/>
      <c r="D335" s="80"/>
      <c r="E335" s="80"/>
      <c r="F335" s="80"/>
      <c r="G335" s="80"/>
      <c r="H335" s="80"/>
      <c r="I335" s="80"/>
      <c r="J335" s="80"/>
      <c r="K335" s="80"/>
      <c r="L335" s="2"/>
      <c r="M335" s="2"/>
      <c r="N335" s="2"/>
      <c r="O335" s="2"/>
      <c r="P335" s="2"/>
      <c r="Q335" s="2"/>
      <c r="R335" s="80"/>
      <c r="S335" s="80"/>
      <c r="T335" s="80"/>
      <c r="U335" s="80"/>
      <c r="V335" s="80"/>
      <c r="W335" s="80"/>
      <c r="X335" s="80"/>
      <c r="Y335" s="80"/>
      <c r="Z335" s="80"/>
      <c r="AA335" s="80"/>
      <c r="AB335" s="80"/>
      <c r="AC335" s="80"/>
      <c r="AD335" s="80"/>
      <c r="AE335" s="80"/>
      <c r="AF335" s="80"/>
      <c r="AG335" s="80"/>
    </row>
    <row r="336" spans="1:33" x14ac:dyDescent="0.2">
      <c r="A336" s="2"/>
      <c r="B336" s="80"/>
      <c r="C336" s="80"/>
      <c r="D336" s="80"/>
      <c r="E336" s="80"/>
      <c r="F336" s="80"/>
      <c r="G336" s="80"/>
      <c r="H336" s="80"/>
      <c r="I336" s="80"/>
      <c r="J336" s="80"/>
      <c r="K336" s="80"/>
      <c r="L336" s="2"/>
      <c r="M336" s="2"/>
      <c r="N336" s="2"/>
      <c r="O336" s="2"/>
      <c r="P336" s="2"/>
      <c r="Q336" s="2"/>
      <c r="R336" s="80"/>
      <c r="S336" s="80"/>
      <c r="T336" s="80"/>
      <c r="U336" s="80"/>
      <c r="V336" s="80"/>
      <c r="W336" s="80"/>
      <c r="X336" s="80"/>
      <c r="Y336" s="80"/>
      <c r="Z336" s="80"/>
      <c r="AA336" s="80"/>
      <c r="AB336" s="80"/>
      <c r="AC336" s="80"/>
      <c r="AD336" s="80"/>
      <c r="AE336" s="80"/>
      <c r="AF336" s="80"/>
      <c r="AG336" s="80"/>
    </row>
    <row r="337" spans="1:33" x14ac:dyDescent="0.2">
      <c r="A337" s="2"/>
      <c r="B337" s="80"/>
      <c r="C337" s="80"/>
      <c r="D337" s="80"/>
      <c r="E337" s="80"/>
      <c r="F337" s="80"/>
      <c r="G337" s="80"/>
      <c r="H337" s="80"/>
      <c r="I337" s="80"/>
      <c r="J337" s="80"/>
      <c r="K337" s="80"/>
      <c r="L337" s="2"/>
      <c r="M337" s="2"/>
      <c r="N337" s="2"/>
      <c r="O337" s="2"/>
      <c r="P337" s="2"/>
      <c r="Q337" s="2"/>
      <c r="R337" s="80"/>
      <c r="S337" s="80"/>
      <c r="T337" s="80"/>
      <c r="U337" s="80"/>
      <c r="V337" s="80"/>
      <c r="W337" s="80"/>
      <c r="X337" s="80"/>
      <c r="Y337" s="80"/>
      <c r="Z337" s="80"/>
      <c r="AA337" s="80"/>
      <c r="AB337" s="80"/>
      <c r="AC337" s="80"/>
      <c r="AD337" s="80"/>
      <c r="AE337" s="80"/>
      <c r="AF337" s="80"/>
      <c r="AG337" s="80"/>
    </row>
    <row r="338" spans="1:33" x14ac:dyDescent="0.2">
      <c r="A338" s="2"/>
      <c r="B338" s="80"/>
      <c r="C338" s="80"/>
      <c r="D338" s="80"/>
      <c r="E338" s="80"/>
      <c r="F338" s="80"/>
      <c r="G338" s="80"/>
      <c r="H338" s="80"/>
      <c r="I338" s="80"/>
      <c r="J338" s="80"/>
      <c r="K338" s="80"/>
      <c r="L338" s="2"/>
      <c r="M338" s="2"/>
      <c r="N338" s="2"/>
      <c r="O338" s="2"/>
      <c r="P338" s="2"/>
      <c r="Q338" s="2"/>
      <c r="R338" s="80"/>
      <c r="S338" s="80"/>
      <c r="T338" s="80"/>
      <c r="U338" s="80"/>
      <c r="V338" s="80"/>
      <c r="W338" s="80"/>
      <c r="X338" s="80"/>
      <c r="Y338" s="80"/>
      <c r="Z338" s="80"/>
      <c r="AA338" s="80"/>
      <c r="AB338" s="80"/>
      <c r="AC338" s="80"/>
      <c r="AD338" s="80"/>
      <c r="AE338" s="80"/>
      <c r="AF338" s="80"/>
      <c r="AG338" s="80"/>
    </row>
    <row r="339" spans="1:33" x14ac:dyDescent="0.2">
      <c r="A339" s="2"/>
      <c r="B339" s="80"/>
      <c r="C339" s="80"/>
      <c r="D339" s="80"/>
      <c r="E339" s="80"/>
      <c r="F339" s="80"/>
      <c r="G339" s="80"/>
      <c r="H339" s="80"/>
      <c r="I339" s="80"/>
      <c r="J339" s="80"/>
      <c r="K339" s="80"/>
      <c r="L339" s="2"/>
      <c r="M339" s="2"/>
      <c r="N339" s="2"/>
      <c r="O339" s="2"/>
      <c r="P339" s="2"/>
      <c r="Q339" s="2"/>
      <c r="R339" s="80"/>
      <c r="S339" s="80"/>
      <c r="T339" s="80"/>
      <c r="U339" s="80"/>
      <c r="V339" s="80"/>
      <c r="W339" s="80"/>
      <c r="X339" s="80"/>
      <c r="Y339" s="80"/>
      <c r="Z339" s="80"/>
      <c r="AA339" s="80"/>
      <c r="AB339" s="80"/>
      <c r="AC339" s="80"/>
      <c r="AD339" s="80"/>
      <c r="AE339" s="80"/>
      <c r="AF339" s="80"/>
      <c r="AG339" s="80"/>
    </row>
    <row r="340" spans="1:33" x14ac:dyDescent="0.2">
      <c r="A340" s="2"/>
      <c r="B340" s="80"/>
      <c r="C340" s="80"/>
      <c r="D340" s="80"/>
      <c r="E340" s="80"/>
      <c r="F340" s="80"/>
      <c r="G340" s="80"/>
      <c r="H340" s="80"/>
      <c r="I340" s="80"/>
      <c r="J340" s="80"/>
      <c r="K340" s="80"/>
      <c r="L340" s="2"/>
      <c r="M340" s="2"/>
      <c r="N340" s="2"/>
      <c r="O340" s="2"/>
      <c r="P340" s="2"/>
      <c r="Q340" s="2"/>
      <c r="R340" s="80"/>
      <c r="S340" s="80"/>
      <c r="T340" s="80"/>
      <c r="U340" s="80"/>
      <c r="V340" s="80"/>
      <c r="W340" s="80"/>
      <c r="X340" s="80"/>
      <c r="Y340" s="80"/>
      <c r="Z340" s="80"/>
      <c r="AA340" s="80"/>
      <c r="AB340" s="80"/>
      <c r="AC340" s="80"/>
      <c r="AD340" s="80"/>
      <c r="AE340" s="80"/>
      <c r="AF340" s="80"/>
      <c r="AG340" s="80"/>
    </row>
    <row r="341" spans="1:33" x14ac:dyDescent="0.2">
      <c r="A341" s="2"/>
      <c r="B341" s="80"/>
      <c r="C341" s="80"/>
      <c r="D341" s="80"/>
      <c r="E341" s="80"/>
      <c r="F341" s="80"/>
      <c r="G341" s="80"/>
      <c r="H341" s="80"/>
      <c r="I341" s="80"/>
      <c r="J341" s="80"/>
      <c r="K341" s="80"/>
      <c r="L341" s="2"/>
      <c r="M341" s="2"/>
      <c r="N341" s="2"/>
      <c r="O341" s="2"/>
      <c r="P341" s="2"/>
      <c r="Q341" s="2"/>
      <c r="R341" s="80"/>
      <c r="S341" s="80"/>
      <c r="T341" s="80"/>
      <c r="U341" s="80"/>
      <c r="V341" s="80"/>
      <c r="W341" s="80"/>
      <c r="X341" s="80"/>
      <c r="Y341" s="80"/>
      <c r="Z341" s="80"/>
      <c r="AA341" s="80"/>
      <c r="AB341" s="80"/>
      <c r="AC341" s="80"/>
      <c r="AD341" s="80"/>
      <c r="AE341" s="80"/>
      <c r="AF341" s="80"/>
      <c r="AG341" s="80"/>
    </row>
    <row r="342" spans="1:33" x14ac:dyDescent="0.2">
      <c r="A342" s="2"/>
      <c r="B342" s="80"/>
      <c r="C342" s="80"/>
      <c r="D342" s="80"/>
      <c r="E342" s="80"/>
      <c r="F342" s="80"/>
      <c r="G342" s="80"/>
      <c r="H342" s="80"/>
      <c r="I342" s="80"/>
      <c r="J342" s="80"/>
      <c r="K342" s="80"/>
      <c r="L342" s="2"/>
      <c r="M342" s="2"/>
      <c r="N342" s="2"/>
      <c r="O342" s="2"/>
      <c r="P342" s="2"/>
      <c r="Q342" s="2"/>
      <c r="R342" s="80"/>
      <c r="S342" s="80"/>
      <c r="T342" s="80"/>
      <c r="U342" s="80"/>
      <c r="V342" s="80"/>
      <c r="W342" s="80"/>
      <c r="X342" s="80"/>
      <c r="Y342" s="80"/>
      <c r="Z342" s="80"/>
      <c r="AA342" s="80"/>
      <c r="AB342" s="80"/>
      <c r="AC342" s="80"/>
      <c r="AD342" s="80"/>
      <c r="AE342" s="80"/>
      <c r="AF342" s="80"/>
      <c r="AG342" s="80"/>
    </row>
    <row r="343" spans="1:33" x14ac:dyDescent="0.2">
      <c r="A343" s="2"/>
      <c r="B343" s="80"/>
      <c r="C343" s="80"/>
      <c r="D343" s="80"/>
      <c r="E343" s="80"/>
      <c r="F343" s="80"/>
      <c r="G343" s="80"/>
      <c r="H343" s="80"/>
      <c r="I343" s="80"/>
      <c r="J343" s="80"/>
      <c r="K343" s="80"/>
      <c r="L343" s="2"/>
      <c r="M343" s="2"/>
      <c r="N343" s="2"/>
      <c r="O343" s="2"/>
      <c r="P343" s="2"/>
      <c r="Q343" s="2"/>
      <c r="R343" s="80"/>
      <c r="S343" s="80"/>
      <c r="T343" s="80"/>
      <c r="U343" s="80"/>
      <c r="V343" s="80"/>
      <c r="W343" s="80"/>
      <c r="X343" s="80"/>
      <c r="Y343" s="80"/>
      <c r="Z343" s="80"/>
      <c r="AA343" s="80"/>
      <c r="AB343" s="80"/>
      <c r="AC343" s="80"/>
      <c r="AD343" s="80"/>
      <c r="AE343" s="80"/>
      <c r="AF343" s="80"/>
      <c r="AG343" s="80"/>
    </row>
    <row r="344" spans="1:33" x14ac:dyDescent="0.2">
      <c r="A344" s="2"/>
      <c r="B344" s="80"/>
      <c r="C344" s="80"/>
      <c r="D344" s="80"/>
      <c r="E344" s="80"/>
      <c r="F344" s="80"/>
      <c r="G344" s="80"/>
      <c r="H344" s="80"/>
      <c r="I344" s="80"/>
      <c r="J344" s="80"/>
      <c r="K344" s="80"/>
      <c r="L344" s="2"/>
      <c r="M344" s="2"/>
      <c r="N344" s="2"/>
      <c r="O344" s="2"/>
      <c r="P344" s="2"/>
      <c r="Q344" s="2"/>
      <c r="R344" s="80"/>
      <c r="S344" s="80"/>
      <c r="T344" s="80"/>
      <c r="U344" s="80"/>
      <c r="V344" s="80"/>
      <c r="W344" s="80"/>
      <c r="X344" s="80"/>
      <c r="Y344" s="80"/>
      <c r="Z344" s="80"/>
      <c r="AA344" s="80"/>
      <c r="AB344" s="80"/>
      <c r="AC344" s="80"/>
      <c r="AD344" s="80"/>
      <c r="AE344" s="80"/>
      <c r="AF344" s="80"/>
      <c r="AG344" s="80"/>
    </row>
    <row r="345" spans="1:33" x14ac:dyDescent="0.2">
      <c r="A345" s="2"/>
      <c r="B345" s="80"/>
      <c r="C345" s="80"/>
      <c r="D345" s="80"/>
      <c r="E345" s="80"/>
      <c r="F345" s="80"/>
      <c r="G345" s="80"/>
      <c r="H345" s="80"/>
      <c r="I345" s="80"/>
      <c r="J345" s="80"/>
      <c r="K345" s="80"/>
      <c r="L345" s="2"/>
      <c r="M345" s="2"/>
      <c r="N345" s="2"/>
      <c r="O345" s="2"/>
      <c r="P345" s="2"/>
      <c r="Q345" s="2"/>
      <c r="R345" s="80"/>
      <c r="S345" s="80"/>
      <c r="T345" s="80"/>
      <c r="U345" s="80"/>
      <c r="V345" s="80"/>
      <c r="W345" s="80"/>
      <c r="X345" s="80"/>
      <c r="Y345" s="80"/>
      <c r="Z345" s="80"/>
      <c r="AA345" s="80"/>
      <c r="AB345" s="80"/>
      <c r="AC345" s="80"/>
      <c r="AD345" s="80"/>
      <c r="AE345" s="80"/>
      <c r="AF345" s="80"/>
      <c r="AG345" s="80"/>
    </row>
    <row r="346" spans="1:33" x14ac:dyDescent="0.2">
      <c r="A346" s="2"/>
      <c r="B346" s="80"/>
      <c r="C346" s="80"/>
      <c r="D346" s="80"/>
      <c r="E346" s="80"/>
      <c r="F346" s="80"/>
      <c r="G346" s="80"/>
      <c r="H346" s="80"/>
      <c r="I346" s="80"/>
      <c r="J346" s="80"/>
      <c r="K346" s="80"/>
      <c r="L346" s="2"/>
      <c r="M346" s="2"/>
      <c r="N346" s="2"/>
      <c r="O346" s="2"/>
      <c r="P346" s="2"/>
      <c r="Q346" s="2"/>
      <c r="R346" s="80"/>
      <c r="S346" s="80"/>
      <c r="T346" s="80"/>
      <c r="U346" s="80"/>
      <c r="V346" s="80"/>
      <c r="W346" s="80"/>
      <c r="X346" s="80"/>
      <c r="Y346" s="80"/>
      <c r="Z346" s="80"/>
      <c r="AA346" s="80"/>
      <c r="AB346" s="80"/>
      <c r="AC346" s="80"/>
      <c r="AD346" s="80"/>
      <c r="AE346" s="80"/>
      <c r="AF346" s="80"/>
      <c r="AG346" s="80"/>
    </row>
    <row r="347" spans="1:33" x14ac:dyDescent="0.2">
      <c r="A347" s="2"/>
      <c r="B347" s="80"/>
      <c r="C347" s="80"/>
      <c r="D347" s="80"/>
      <c r="E347" s="80"/>
      <c r="F347" s="80"/>
      <c r="G347" s="80"/>
      <c r="H347" s="80"/>
      <c r="I347" s="80"/>
      <c r="J347" s="80"/>
      <c r="K347" s="80"/>
      <c r="L347" s="2"/>
      <c r="M347" s="2"/>
      <c r="N347" s="2"/>
      <c r="O347" s="2"/>
      <c r="P347" s="2"/>
      <c r="Q347" s="2"/>
      <c r="R347" s="80"/>
      <c r="S347" s="80"/>
      <c r="T347" s="80"/>
      <c r="U347" s="80"/>
      <c r="V347" s="80"/>
      <c r="W347" s="80"/>
      <c r="X347" s="80"/>
      <c r="Y347" s="80"/>
      <c r="Z347" s="80"/>
      <c r="AA347" s="80"/>
      <c r="AB347" s="80"/>
      <c r="AC347" s="80"/>
      <c r="AD347" s="80"/>
      <c r="AE347" s="80"/>
      <c r="AF347" s="80"/>
      <c r="AG347" s="80"/>
    </row>
    <row r="348" spans="1:33" x14ac:dyDescent="0.2">
      <c r="A348" s="2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2"/>
      <c r="M348" s="2"/>
      <c r="N348" s="2"/>
      <c r="O348" s="2"/>
      <c r="P348" s="2"/>
      <c r="Q348" s="2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</row>
    <row r="349" spans="1:33" x14ac:dyDescent="0.2">
      <c r="A349" s="2"/>
      <c r="B349" s="80"/>
      <c r="C349" s="80"/>
      <c r="D349" s="80"/>
      <c r="E349" s="80"/>
      <c r="F349" s="80"/>
      <c r="G349" s="80"/>
      <c r="H349" s="80"/>
      <c r="I349" s="80"/>
      <c r="J349" s="80"/>
      <c r="K349" s="80"/>
      <c r="L349" s="2"/>
      <c r="M349" s="2"/>
      <c r="N349" s="2"/>
      <c r="O349" s="2"/>
      <c r="P349" s="2"/>
      <c r="Q349" s="2"/>
      <c r="R349" s="80"/>
      <c r="S349" s="80"/>
      <c r="T349" s="80"/>
      <c r="U349" s="80"/>
      <c r="V349" s="80"/>
      <c r="W349" s="80"/>
      <c r="X349" s="80"/>
      <c r="Y349" s="80"/>
      <c r="Z349" s="80"/>
      <c r="AA349" s="80"/>
      <c r="AB349" s="80"/>
      <c r="AC349" s="80"/>
      <c r="AD349" s="80"/>
      <c r="AE349" s="80"/>
      <c r="AF349" s="80"/>
      <c r="AG349" s="80"/>
    </row>
    <row r="350" spans="1:33" x14ac:dyDescent="0.2">
      <c r="A350" s="2"/>
      <c r="B350" s="80"/>
      <c r="C350" s="80"/>
      <c r="D350" s="80"/>
      <c r="E350" s="80"/>
      <c r="F350" s="80"/>
      <c r="G350" s="80"/>
      <c r="H350" s="80"/>
      <c r="I350" s="80"/>
      <c r="J350" s="80"/>
      <c r="K350" s="80"/>
      <c r="L350" s="2"/>
      <c r="M350" s="2"/>
      <c r="N350" s="2"/>
      <c r="O350" s="2"/>
      <c r="P350" s="2"/>
      <c r="Q350" s="2"/>
      <c r="R350" s="80"/>
      <c r="S350" s="80"/>
      <c r="T350" s="80"/>
      <c r="U350" s="80"/>
      <c r="V350" s="80"/>
      <c r="W350" s="80"/>
      <c r="X350" s="80"/>
      <c r="Y350" s="80"/>
      <c r="Z350" s="80"/>
      <c r="AA350" s="80"/>
      <c r="AB350" s="80"/>
      <c r="AC350" s="80"/>
      <c r="AD350" s="80"/>
      <c r="AE350" s="80"/>
      <c r="AF350" s="80"/>
      <c r="AG350" s="80"/>
    </row>
    <row r="351" spans="1:33" x14ac:dyDescent="0.2">
      <c r="A351" s="2"/>
      <c r="B351" s="80"/>
      <c r="C351" s="80"/>
      <c r="D351" s="80"/>
      <c r="E351" s="80"/>
      <c r="F351" s="80"/>
      <c r="G351" s="80"/>
      <c r="H351" s="80"/>
      <c r="I351" s="80"/>
      <c r="J351" s="80"/>
      <c r="K351" s="80"/>
      <c r="L351" s="2"/>
      <c r="M351" s="2"/>
      <c r="N351" s="2"/>
      <c r="O351" s="2"/>
      <c r="P351" s="2"/>
      <c r="Q351" s="2"/>
      <c r="R351" s="80"/>
      <c r="S351" s="80"/>
      <c r="T351" s="80"/>
      <c r="U351" s="80"/>
      <c r="V351" s="80"/>
      <c r="W351" s="80"/>
      <c r="X351" s="80"/>
      <c r="Y351" s="80"/>
      <c r="Z351" s="80"/>
      <c r="AA351" s="80"/>
      <c r="AB351" s="80"/>
      <c r="AC351" s="80"/>
      <c r="AD351" s="80"/>
      <c r="AE351" s="80"/>
      <c r="AF351" s="80"/>
      <c r="AG351" s="80"/>
    </row>
    <row r="352" spans="1:33" x14ac:dyDescent="0.2">
      <c r="A352" s="2"/>
      <c r="B352" s="80"/>
      <c r="C352" s="80"/>
      <c r="D352" s="80"/>
      <c r="E352" s="80"/>
      <c r="F352" s="80"/>
      <c r="G352" s="80"/>
      <c r="H352" s="80"/>
      <c r="I352" s="80"/>
      <c r="J352" s="80"/>
      <c r="K352" s="80"/>
      <c r="L352" s="2"/>
      <c r="M352" s="2"/>
      <c r="N352" s="2"/>
      <c r="O352" s="2"/>
      <c r="P352" s="2"/>
      <c r="Q352" s="2"/>
      <c r="R352" s="80"/>
      <c r="S352" s="80"/>
      <c r="T352" s="80"/>
      <c r="U352" s="80"/>
      <c r="V352" s="80"/>
      <c r="W352" s="80"/>
      <c r="X352" s="80"/>
      <c r="Y352" s="80"/>
      <c r="Z352" s="80"/>
      <c r="AA352" s="80"/>
      <c r="AB352" s="80"/>
      <c r="AC352" s="80"/>
      <c r="AD352" s="80"/>
      <c r="AE352" s="80"/>
      <c r="AF352" s="80"/>
      <c r="AG352" s="80"/>
    </row>
    <row r="353" spans="1:33" x14ac:dyDescent="0.2">
      <c r="A353" s="2"/>
      <c r="B353" s="80"/>
      <c r="C353" s="80"/>
      <c r="D353" s="80"/>
      <c r="E353" s="80"/>
      <c r="F353" s="80"/>
      <c r="G353" s="80"/>
      <c r="H353" s="80"/>
      <c r="I353" s="80"/>
      <c r="J353" s="80"/>
      <c r="K353" s="80"/>
      <c r="L353" s="2"/>
      <c r="M353" s="2"/>
      <c r="N353" s="2"/>
      <c r="O353" s="2"/>
      <c r="P353" s="2"/>
      <c r="Q353" s="2"/>
      <c r="R353" s="80"/>
      <c r="S353" s="80"/>
      <c r="T353" s="80"/>
      <c r="U353" s="80"/>
      <c r="V353" s="80"/>
      <c r="W353" s="80"/>
      <c r="X353" s="80"/>
      <c r="Y353" s="80"/>
      <c r="Z353" s="80"/>
      <c r="AA353" s="80"/>
      <c r="AB353" s="80"/>
      <c r="AC353" s="80"/>
      <c r="AD353" s="80"/>
      <c r="AE353" s="80"/>
      <c r="AF353" s="80"/>
      <c r="AG353" s="80"/>
    </row>
    <row r="354" spans="1:33" x14ac:dyDescent="0.2">
      <c r="A354" s="2"/>
      <c r="B354" s="80"/>
      <c r="C354" s="80"/>
      <c r="D354" s="80"/>
      <c r="E354" s="80"/>
      <c r="F354" s="80"/>
      <c r="G354" s="80"/>
      <c r="H354" s="80"/>
      <c r="I354" s="80"/>
      <c r="J354" s="80"/>
      <c r="K354" s="80"/>
      <c r="L354" s="2"/>
      <c r="M354" s="2"/>
      <c r="N354" s="2"/>
      <c r="O354" s="2"/>
      <c r="P354" s="2"/>
      <c r="Q354" s="2"/>
      <c r="R354" s="80"/>
      <c r="S354" s="80"/>
      <c r="T354" s="80"/>
      <c r="U354" s="80"/>
      <c r="V354" s="80"/>
      <c r="W354" s="80"/>
      <c r="X354" s="80"/>
      <c r="Y354" s="80"/>
      <c r="Z354" s="80"/>
      <c r="AA354" s="80"/>
      <c r="AB354" s="80"/>
      <c r="AC354" s="80"/>
      <c r="AD354" s="80"/>
      <c r="AE354" s="80"/>
      <c r="AF354" s="80"/>
      <c r="AG354" s="80"/>
    </row>
    <row r="355" spans="1:33" x14ac:dyDescent="0.2">
      <c r="A355" s="2"/>
      <c r="B355" s="80"/>
      <c r="C355" s="80"/>
      <c r="D355" s="80"/>
      <c r="E355" s="80"/>
      <c r="F355" s="80"/>
      <c r="G355" s="80"/>
      <c r="H355" s="80"/>
      <c r="I355" s="80"/>
      <c r="J355" s="80"/>
      <c r="K355" s="80"/>
      <c r="L355" s="2"/>
      <c r="M355" s="2"/>
      <c r="N355" s="2"/>
      <c r="O355" s="2"/>
      <c r="P355" s="2"/>
      <c r="Q355" s="2"/>
      <c r="R355" s="80"/>
      <c r="S355" s="80"/>
      <c r="T355" s="80"/>
      <c r="U355" s="80"/>
      <c r="V355" s="80"/>
      <c r="W355" s="80"/>
      <c r="X355" s="80"/>
      <c r="Y355" s="80"/>
      <c r="Z355" s="80"/>
      <c r="AA355" s="80"/>
      <c r="AB355" s="80"/>
      <c r="AC355" s="80"/>
      <c r="AD355" s="80"/>
      <c r="AE355" s="80"/>
      <c r="AF355" s="80"/>
      <c r="AG355" s="80"/>
    </row>
    <row r="356" spans="1:33" x14ac:dyDescent="0.2">
      <c r="A356" s="2"/>
      <c r="B356" s="80"/>
      <c r="C356" s="80"/>
      <c r="D356" s="80"/>
      <c r="E356" s="80"/>
      <c r="F356" s="80"/>
      <c r="G356" s="80"/>
      <c r="H356" s="80"/>
      <c r="I356" s="80"/>
      <c r="J356" s="80"/>
      <c r="K356" s="80"/>
      <c r="L356" s="2"/>
      <c r="M356" s="2"/>
      <c r="N356" s="2"/>
      <c r="O356" s="2"/>
      <c r="P356" s="2"/>
      <c r="Q356" s="2"/>
      <c r="R356" s="80"/>
      <c r="S356" s="80"/>
      <c r="T356" s="80"/>
      <c r="U356" s="80"/>
      <c r="V356" s="80"/>
      <c r="W356" s="80"/>
      <c r="X356" s="80"/>
      <c r="Y356" s="80"/>
      <c r="Z356" s="80"/>
      <c r="AA356" s="80"/>
      <c r="AB356" s="80"/>
      <c r="AC356" s="80"/>
      <c r="AD356" s="80"/>
      <c r="AE356" s="80"/>
      <c r="AF356" s="80"/>
      <c r="AG356" s="80"/>
    </row>
    <row r="357" spans="1:33" x14ac:dyDescent="0.2">
      <c r="A357" s="2"/>
      <c r="B357" s="80"/>
      <c r="C357" s="80"/>
      <c r="D357" s="80"/>
      <c r="E357" s="80"/>
      <c r="F357" s="80"/>
      <c r="G357" s="80"/>
      <c r="H357" s="80"/>
      <c r="I357" s="80"/>
      <c r="J357" s="80"/>
      <c r="K357" s="80"/>
      <c r="L357" s="2"/>
      <c r="M357" s="2"/>
      <c r="N357" s="2"/>
      <c r="O357" s="2"/>
      <c r="P357" s="2"/>
      <c r="Q357" s="2"/>
      <c r="R357" s="80"/>
      <c r="S357" s="80"/>
      <c r="T357" s="80"/>
      <c r="U357" s="80"/>
      <c r="V357" s="80"/>
      <c r="W357" s="80"/>
      <c r="X357" s="80"/>
      <c r="Y357" s="80"/>
      <c r="Z357" s="80"/>
      <c r="AA357" s="80"/>
      <c r="AB357" s="80"/>
      <c r="AC357" s="80"/>
      <c r="AD357" s="80"/>
      <c r="AE357" s="80"/>
      <c r="AF357" s="80"/>
      <c r="AG357" s="80"/>
    </row>
    <row r="358" spans="1:33" x14ac:dyDescent="0.2">
      <c r="A358" s="2"/>
      <c r="B358" s="80"/>
      <c r="C358" s="80"/>
      <c r="D358" s="80"/>
      <c r="E358" s="80"/>
      <c r="F358" s="80"/>
      <c r="G358" s="80"/>
      <c r="H358" s="80"/>
      <c r="I358" s="80"/>
      <c r="J358" s="80"/>
      <c r="K358" s="80"/>
      <c r="L358" s="2"/>
      <c r="M358" s="2"/>
      <c r="N358" s="2"/>
      <c r="O358" s="2"/>
      <c r="P358" s="2"/>
      <c r="Q358" s="2"/>
      <c r="R358" s="80"/>
      <c r="S358" s="80"/>
      <c r="T358" s="80"/>
      <c r="U358" s="80"/>
      <c r="V358" s="80"/>
      <c r="W358" s="80"/>
      <c r="X358" s="80"/>
      <c r="Y358" s="80"/>
      <c r="Z358" s="80"/>
      <c r="AA358" s="80"/>
      <c r="AB358" s="80"/>
      <c r="AC358" s="80"/>
      <c r="AD358" s="80"/>
      <c r="AE358" s="80"/>
      <c r="AF358" s="80"/>
      <c r="AG358" s="80"/>
    </row>
    <row r="359" spans="1:33" x14ac:dyDescent="0.2">
      <c r="A359" s="2"/>
      <c r="B359" s="80"/>
      <c r="C359" s="80"/>
      <c r="D359" s="80"/>
      <c r="E359" s="80"/>
      <c r="F359" s="80"/>
      <c r="G359" s="80"/>
      <c r="H359" s="80"/>
      <c r="I359" s="80"/>
      <c r="J359" s="80"/>
      <c r="K359" s="80"/>
      <c r="L359" s="2"/>
      <c r="M359" s="2"/>
      <c r="N359" s="2"/>
      <c r="O359" s="2"/>
      <c r="P359" s="2"/>
      <c r="Q359" s="2"/>
      <c r="R359" s="80"/>
      <c r="S359" s="80"/>
      <c r="T359" s="80"/>
      <c r="U359" s="80"/>
      <c r="V359" s="80"/>
      <c r="W359" s="80"/>
      <c r="X359" s="80"/>
      <c r="Y359" s="80"/>
      <c r="Z359" s="80"/>
      <c r="AA359" s="80"/>
      <c r="AB359" s="80"/>
      <c r="AC359" s="80"/>
      <c r="AD359" s="80"/>
      <c r="AE359" s="80"/>
      <c r="AF359" s="80"/>
      <c r="AG359" s="80"/>
    </row>
    <row r="360" spans="1:33" x14ac:dyDescent="0.2">
      <c r="A360" s="2"/>
      <c r="B360" s="80"/>
      <c r="C360" s="80"/>
      <c r="D360" s="80"/>
      <c r="E360" s="80"/>
      <c r="F360" s="80"/>
      <c r="G360" s="80"/>
      <c r="H360" s="80"/>
      <c r="I360" s="80"/>
      <c r="J360" s="80"/>
      <c r="K360" s="80"/>
      <c r="L360" s="2"/>
      <c r="M360" s="2"/>
      <c r="N360" s="2"/>
      <c r="O360" s="2"/>
      <c r="P360" s="2"/>
      <c r="Q360" s="2"/>
      <c r="R360" s="80"/>
      <c r="S360" s="80"/>
      <c r="T360" s="80"/>
      <c r="U360" s="80"/>
      <c r="V360" s="80"/>
      <c r="W360" s="80"/>
      <c r="X360" s="80"/>
      <c r="Y360" s="80"/>
      <c r="Z360" s="80"/>
      <c r="AA360" s="80"/>
      <c r="AB360" s="80"/>
      <c r="AC360" s="80"/>
      <c r="AD360" s="80"/>
      <c r="AE360" s="80"/>
      <c r="AF360" s="80"/>
      <c r="AG360" s="80"/>
    </row>
    <row r="361" spans="1:33" x14ac:dyDescent="0.2">
      <c r="A361" s="2"/>
      <c r="B361" s="80"/>
      <c r="C361" s="80"/>
      <c r="D361" s="80"/>
      <c r="E361" s="80"/>
      <c r="F361" s="80"/>
      <c r="G361" s="80"/>
      <c r="H361" s="80"/>
      <c r="I361" s="80"/>
      <c r="J361" s="80"/>
      <c r="K361" s="80"/>
      <c r="L361" s="2"/>
      <c r="M361" s="2"/>
      <c r="N361" s="2"/>
      <c r="O361" s="2"/>
      <c r="P361" s="2"/>
      <c r="Q361" s="2"/>
      <c r="R361" s="80"/>
      <c r="S361" s="80"/>
      <c r="T361" s="80"/>
      <c r="U361" s="80"/>
      <c r="V361" s="80"/>
      <c r="W361" s="80"/>
      <c r="X361" s="80"/>
      <c r="Y361" s="80"/>
      <c r="Z361" s="80"/>
      <c r="AA361" s="80"/>
      <c r="AB361" s="80"/>
      <c r="AC361" s="80"/>
      <c r="AD361" s="80"/>
      <c r="AE361" s="80"/>
      <c r="AF361" s="80"/>
      <c r="AG361" s="80"/>
    </row>
    <row r="362" spans="1:33" x14ac:dyDescent="0.2">
      <c r="A362" s="2"/>
      <c r="B362" s="80"/>
      <c r="C362" s="80"/>
      <c r="D362" s="80"/>
      <c r="E362" s="80"/>
      <c r="F362" s="80"/>
      <c r="G362" s="80"/>
      <c r="H362" s="80"/>
      <c r="I362" s="80"/>
      <c r="J362" s="80"/>
      <c r="K362" s="80"/>
      <c r="L362" s="2"/>
      <c r="M362" s="2"/>
      <c r="N362" s="2"/>
      <c r="O362" s="2"/>
      <c r="P362" s="2"/>
      <c r="Q362" s="2"/>
      <c r="R362" s="80"/>
      <c r="S362" s="80"/>
      <c r="T362" s="80"/>
      <c r="U362" s="80"/>
      <c r="V362" s="80"/>
      <c r="W362" s="80"/>
      <c r="X362" s="80"/>
      <c r="Y362" s="80"/>
      <c r="Z362" s="80"/>
      <c r="AA362" s="80"/>
      <c r="AB362" s="80"/>
      <c r="AC362" s="80"/>
      <c r="AD362" s="80"/>
      <c r="AE362" s="80"/>
      <c r="AF362" s="80"/>
      <c r="AG362" s="80"/>
    </row>
    <row r="363" spans="1:33" x14ac:dyDescent="0.2">
      <c r="A363" s="2"/>
      <c r="B363" s="80"/>
      <c r="C363" s="80"/>
      <c r="D363" s="80"/>
      <c r="E363" s="80"/>
      <c r="F363" s="80"/>
      <c r="G363" s="80"/>
      <c r="H363" s="80"/>
      <c r="I363" s="80"/>
      <c r="J363" s="80"/>
      <c r="K363" s="80"/>
      <c r="L363" s="2"/>
      <c r="M363" s="2"/>
      <c r="N363" s="2"/>
      <c r="O363" s="2"/>
      <c r="P363" s="2"/>
      <c r="Q363" s="2"/>
      <c r="R363" s="80"/>
      <c r="S363" s="80"/>
      <c r="T363" s="80"/>
      <c r="U363" s="80"/>
      <c r="V363" s="80"/>
      <c r="W363" s="80"/>
      <c r="X363" s="80"/>
      <c r="Y363" s="80"/>
      <c r="Z363" s="80"/>
      <c r="AA363" s="80"/>
      <c r="AB363" s="80"/>
      <c r="AC363" s="80"/>
      <c r="AD363" s="80"/>
      <c r="AE363" s="80"/>
      <c r="AF363" s="80"/>
      <c r="AG363" s="80"/>
    </row>
    <row r="364" spans="1:33" x14ac:dyDescent="0.2">
      <c r="A364" s="2"/>
      <c r="B364" s="80"/>
      <c r="C364" s="80"/>
      <c r="D364" s="80"/>
      <c r="E364" s="80"/>
      <c r="F364" s="80"/>
      <c r="G364" s="80"/>
      <c r="H364" s="80"/>
      <c r="I364" s="80"/>
      <c r="J364" s="80"/>
      <c r="K364" s="80"/>
      <c r="L364" s="2"/>
      <c r="M364" s="2"/>
      <c r="N364" s="2"/>
      <c r="O364" s="2"/>
      <c r="P364" s="2"/>
      <c r="Q364" s="2"/>
      <c r="R364" s="80"/>
      <c r="S364" s="80"/>
      <c r="T364" s="80"/>
      <c r="U364" s="80"/>
      <c r="V364" s="80"/>
      <c r="W364" s="80"/>
      <c r="X364" s="80"/>
      <c r="Y364" s="80"/>
      <c r="Z364" s="80"/>
      <c r="AA364" s="80"/>
      <c r="AB364" s="80"/>
      <c r="AC364" s="80"/>
      <c r="AD364" s="80"/>
      <c r="AE364" s="80"/>
      <c r="AF364" s="80"/>
      <c r="AG364" s="80"/>
    </row>
    <row r="365" spans="1:33" x14ac:dyDescent="0.2">
      <c r="A365" s="2"/>
      <c r="B365" s="80"/>
      <c r="C365" s="80"/>
      <c r="D365" s="80"/>
      <c r="E365" s="80"/>
      <c r="F365" s="80"/>
      <c r="G365" s="80"/>
      <c r="H365" s="80"/>
      <c r="I365" s="80"/>
      <c r="J365" s="80"/>
      <c r="K365" s="80"/>
      <c r="L365" s="2"/>
      <c r="M365" s="2"/>
      <c r="N365" s="2"/>
      <c r="O365" s="2"/>
      <c r="P365" s="2"/>
      <c r="Q365" s="2"/>
      <c r="R365" s="80"/>
      <c r="S365" s="80"/>
      <c r="T365" s="80"/>
      <c r="U365" s="80"/>
      <c r="V365" s="80"/>
      <c r="W365" s="80"/>
      <c r="X365" s="80"/>
      <c r="Y365" s="80"/>
      <c r="Z365" s="80"/>
      <c r="AA365" s="80"/>
      <c r="AB365" s="80"/>
      <c r="AC365" s="80"/>
      <c r="AD365" s="80"/>
      <c r="AE365" s="80"/>
      <c r="AF365" s="80"/>
      <c r="AG365" s="80"/>
    </row>
    <row r="366" spans="1:33" x14ac:dyDescent="0.2">
      <c r="A366" s="2"/>
      <c r="B366" s="80"/>
      <c r="C366" s="80"/>
      <c r="D366" s="80"/>
      <c r="E366" s="80"/>
      <c r="F366" s="80"/>
      <c r="G366" s="80"/>
      <c r="H366" s="80"/>
      <c r="I366" s="80"/>
      <c r="J366" s="80"/>
      <c r="K366" s="80"/>
      <c r="L366" s="2"/>
      <c r="M366" s="2"/>
      <c r="N366" s="2"/>
      <c r="O366" s="2"/>
      <c r="P366" s="2"/>
      <c r="Q366" s="2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E366" s="80"/>
      <c r="AF366" s="80"/>
      <c r="AG366" s="80"/>
    </row>
    <row r="367" spans="1:33" x14ac:dyDescent="0.2">
      <c r="A367" s="2"/>
      <c r="B367" s="80"/>
      <c r="C367" s="80"/>
      <c r="D367" s="80"/>
      <c r="E367" s="80"/>
      <c r="F367" s="80"/>
      <c r="G367" s="80"/>
      <c r="H367" s="80"/>
      <c r="I367" s="80"/>
      <c r="J367" s="80"/>
      <c r="K367" s="80"/>
      <c r="L367" s="2"/>
      <c r="M367" s="2"/>
      <c r="N367" s="2"/>
      <c r="O367" s="2"/>
      <c r="P367" s="2"/>
      <c r="Q367" s="2"/>
      <c r="R367" s="80"/>
      <c r="S367" s="80"/>
      <c r="T367" s="80"/>
      <c r="U367" s="80"/>
      <c r="V367" s="80"/>
      <c r="W367" s="80"/>
      <c r="X367" s="80"/>
      <c r="Y367" s="80"/>
      <c r="Z367" s="80"/>
      <c r="AA367" s="80"/>
      <c r="AB367" s="80"/>
      <c r="AC367" s="80"/>
      <c r="AD367" s="80"/>
      <c r="AE367" s="80"/>
      <c r="AF367" s="80"/>
      <c r="AG367" s="80"/>
    </row>
    <row r="368" spans="1:33" x14ac:dyDescent="0.2">
      <c r="A368" s="2"/>
      <c r="B368" s="80"/>
      <c r="C368" s="80"/>
      <c r="D368" s="80"/>
      <c r="E368" s="80"/>
      <c r="F368" s="80"/>
      <c r="G368" s="80"/>
      <c r="H368" s="80"/>
      <c r="I368" s="80"/>
      <c r="J368" s="80"/>
      <c r="K368" s="80"/>
      <c r="L368" s="2"/>
      <c r="M368" s="2"/>
      <c r="N368" s="2"/>
      <c r="O368" s="2"/>
      <c r="P368" s="2"/>
      <c r="Q368" s="2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D368" s="80"/>
      <c r="AE368" s="80"/>
      <c r="AF368" s="80"/>
      <c r="AG368" s="80"/>
    </row>
    <row r="369" spans="1:33" x14ac:dyDescent="0.2">
      <c r="A369" s="2"/>
      <c r="B369" s="80"/>
      <c r="C369" s="80"/>
      <c r="D369" s="80"/>
      <c r="E369" s="80"/>
      <c r="F369" s="80"/>
      <c r="G369" s="80"/>
      <c r="H369" s="80"/>
      <c r="I369" s="80"/>
      <c r="J369" s="80"/>
      <c r="K369" s="80"/>
      <c r="L369" s="2"/>
      <c r="M369" s="2"/>
      <c r="N369" s="2"/>
      <c r="O369" s="2"/>
      <c r="P369" s="2"/>
      <c r="Q369" s="2"/>
      <c r="R369" s="80"/>
      <c r="S369" s="80"/>
      <c r="T369" s="80"/>
      <c r="U369" s="80"/>
      <c r="V369" s="80"/>
      <c r="W369" s="80"/>
      <c r="X369" s="80"/>
      <c r="Y369" s="80"/>
      <c r="Z369" s="80"/>
      <c r="AA369" s="80"/>
      <c r="AB369" s="80"/>
      <c r="AC369" s="80"/>
      <c r="AD369" s="80"/>
      <c r="AE369" s="80"/>
      <c r="AF369" s="80"/>
      <c r="AG369" s="80"/>
    </row>
    <row r="370" spans="1:33" x14ac:dyDescent="0.2">
      <c r="A370" s="2"/>
      <c r="B370" s="80"/>
      <c r="C370" s="80"/>
      <c r="D370" s="80"/>
      <c r="E370" s="80"/>
      <c r="F370" s="80"/>
      <c r="G370" s="80"/>
      <c r="H370" s="80"/>
      <c r="I370" s="80"/>
      <c r="J370" s="80"/>
      <c r="K370" s="80"/>
      <c r="L370" s="2"/>
      <c r="M370" s="2"/>
      <c r="N370" s="2"/>
      <c r="O370" s="2"/>
      <c r="P370" s="2"/>
      <c r="Q370" s="2"/>
      <c r="R370" s="80"/>
      <c r="S370" s="80"/>
      <c r="T370" s="80"/>
      <c r="U370" s="80"/>
      <c r="V370" s="80"/>
      <c r="W370" s="80"/>
      <c r="X370" s="80"/>
      <c r="Y370" s="80"/>
      <c r="Z370" s="80"/>
      <c r="AA370" s="80"/>
      <c r="AB370" s="80"/>
      <c r="AC370" s="80"/>
      <c r="AD370" s="80"/>
      <c r="AE370" s="80"/>
      <c r="AF370" s="80"/>
      <c r="AG370" s="80"/>
    </row>
    <row r="371" spans="1:33" x14ac:dyDescent="0.2">
      <c r="A371" s="2"/>
      <c r="B371" s="80"/>
      <c r="C371" s="80"/>
      <c r="D371" s="80"/>
      <c r="E371" s="80"/>
      <c r="F371" s="80"/>
      <c r="G371" s="80"/>
      <c r="H371" s="80"/>
      <c r="I371" s="80"/>
      <c r="J371" s="80"/>
      <c r="K371" s="80"/>
      <c r="L371" s="2"/>
      <c r="M371" s="2"/>
      <c r="N371" s="2"/>
      <c r="O371" s="2"/>
      <c r="P371" s="2"/>
      <c r="Q371" s="2"/>
      <c r="R371" s="80"/>
      <c r="S371" s="80"/>
      <c r="T371" s="80"/>
      <c r="U371" s="80"/>
      <c r="V371" s="80"/>
      <c r="W371" s="80"/>
      <c r="X371" s="80"/>
      <c r="Y371" s="80"/>
      <c r="Z371" s="80"/>
      <c r="AA371" s="80"/>
      <c r="AB371" s="80"/>
      <c r="AC371" s="80"/>
      <c r="AD371" s="80"/>
      <c r="AE371" s="80"/>
      <c r="AF371" s="80"/>
      <c r="AG371" s="80"/>
    </row>
    <row r="372" spans="1:33" x14ac:dyDescent="0.2">
      <c r="A372" s="2"/>
      <c r="B372" s="80"/>
      <c r="C372" s="80"/>
      <c r="D372" s="80"/>
      <c r="E372" s="80"/>
      <c r="F372" s="80"/>
      <c r="G372" s="80"/>
      <c r="H372" s="80"/>
      <c r="I372" s="80"/>
      <c r="J372" s="80"/>
      <c r="K372" s="80"/>
      <c r="L372" s="2"/>
      <c r="M372" s="2"/>
      <c r="N372" s="2"/>
      <c r="O372" s="2"/>
      <c r="P372" s="2"/>
      <c r="Q372" s="2"/>
      <c r="R372" s="80"/>
      <c r="S372" s="80"/>
      <c r="T372" s="80"/>
      <c r="U372" s="80"/>
      <c r="V372" s="80"/>
      <c r="W372" s="80"/>
      <c r="X372" s="80"/>
      <c r="Y372" s="80"/>
      <c r="Z372" s="80"/>
      <c r="AA372" s="80"/>
      <c r="AB372" s="80"/>
      <c r="AC372" s="80"/>
      <c r="AD372" s="80"/>
      <c r="AE372" s="80"/>
      <c r="AF372" s="80"/>
      <c r="AG372" s="80"/>
    </row>
    <row r="373" spans="1:33" x14ac:dyDescent="0.2">
      <c r="A373" s="2"/>
      <c r="B373" s="80"/>
      <c r="C373" s="80"/>
      <c r="D373" s="80"/>
      <c r="E373" s="80"/>
      <c r="F373" s="80"/>
      <c r="G373" s="80"/>
      <c r="H373" s="80"/>
      <c r="I373" s="80"/>
      <c r="J373" s="80"/>
      <c r="K373" s="80"/>
      <c r="L373" s="2"/>
      <c r="M373" s="2"/>
      <c r="N373" s="2"/>
      <c r="O373" s="2"/>
      <c r="P373" s="2"/>
      <c r="Q373" s="2"/>
      <c r="R373" s="80"/>
      <c r="S373" s="80"/>
      <c r="T373" s="80"/>
      <c r="U373" s="80"/>
      <c r="V373" s="80"/>
      <c r="W373" s="80"/>
      <c r="X373" s="80"/>
      <c r="Y373" s="80"/>
      <c r="Z373" s="80"/>
      <c r="AA373" s="80"/>
      <c r="AB373" s="80"/>
      <c r="AC373" s="80"/>
      <c r="AD373" s="80"/>
      <c r="AE373" s="80"/>
      <c r="AF373" s="80"/>
      <c r="AG373" s="80"/>
    </row>
    <row r="374" spans="1:33" x14ac:dyDescent="0.2">
      <c r="A374" s="2"/>
      <c r="B374" s="80"/>
      <c r="C374" s="80"/>
      <c r="D374" s="80"/>
      <c r="E374" s="80"/>
      <c r="F374" s="80"/>
      <c r="G374" s="80"/>
      <c r="H374" s="80"/>
      <c r="I374" s="80"/>
      <c r="J374" s="80"/>
      <c r="K374" s="80"/>
      <c r="L374" s="2"/>
      <c r="M374" s="2"/>
      <c r="N374" s="2"/>
      <c r="O374" s="2"/>
      <c r="P374" s="2"/>
      <c r="Q374" s="2"/>
      <c r="R374" s="80"/>
      <c r="S374" s="80"/>
      <c r="T374" s="80"/>
      <c r="U374" s="80"/>
      <c r="V374" s="80"/>
      <c r="W374" s="80"/>
      <c r="X374" s="80"/>
      <c r="Y374" s="80"/>
      <c r="Z374" s="80"/>
      <c r="AA374" s="80"/>
      <c r="AB374" s="80"/>
      <c r="AC374" s="80"/>
      <c r="AD374" s="80"/>
      <c r="AE374" s="80"/>
      <c r="AF374" s="80"/>
      <c r="AG374" s="80"/>
    </row>
    <row r="375" spans="1:33" x14ac:dyDescent="0.2">
      <c r="A375" s="2"/>
      <c r="B375" s="80"/>
      <c r="C375" s="80"/>
      <c r="D375" s="80"/>
      <c r="E375" s="80"/>
      <c r="F375" s="80"/>
      <c r="G375" s="80"/>
      <c r="H375" s="80"/>
      <c r="I375" s="80"/>
      <c r="J375" s="80"/>
      <c r="K375" s="80"/>
      <c r="L375" s="2"/>
      <c r="M375" s="2"/>
      <c r="N375" s="2"/>
      <c r="O375" s="2"/>
      <c r="P375" s="2"/>
      <c r="Q375" s="2"/>
      <c r="R375" s="80"/>
      <c r="S375" s="80"/>
      <c r="T375" s="80"/>
      <c r="U375" s="80"/>
      <c r="V375" s="80"/>
      <c r="W375" s="80"/>
      <c r="X375" s="80"/>
      <c r="Y375" s="80"/>
      <c r="Z375" s="80"/>
      <c r="AA375" s="80"/>
      <c r="AB375" s="80"/>
      <c r="AC375" s="80"/>
      <c r="AD375" s="80"/>
      <c r="AE375" s="80"/>
      <c r="AF375" s="80"/>
      <c r="AG375" s="80"/>
    </row>
    <row r="376" spans="1:33" x14ac:dyDescent="0.2">
      <c r="A376" s="2"/>
      <c r="B376" s="80"/>
      <c r="C376" s="80"/>
      <c r="D376" s="80"/>
      <c r="E376" s="80"/>
      <c r="F376" s="80"/>
      <c r="G376" s="80"/>
      <c r="H376" s="80"/>
      <c r="I376" s="80"/>
      <c r="J376" s="80"/>
      <c r="K376" s="80"/>
      <c r="L376" s="2"/>
      <c r="M376" s="2"/>
      <c r="N376" s="2"/>
      <c r="O376" s="2"/>
      <c r="P376" s="2"/>
      <c r="Q376" s="2"/>
      <c r="R376" s="80"/>
      <c r="S376" s="80"/>
      <c r="T376" s="80"/>
      <c r="U376" s="80"/>
      <c r="V376" s="80"/>
      <c r="W376" s="80"/>
      <c r="X376" s="80"/>
      <c r="Y376" s="80"/>
      <c r="Z376" s="80"/>
      <c r="AA376" s="80"/>
      <c r="AB376" s="80"/>
      <c r="AC376" s="80"/>
      <c r="AD376" s="80"/>
      <c r="AE376" s="80"/>
      <c r="AF376" s="80"/>
      <c r="AG376" s="80"/>
    </row>
    <row r="377" spans="1:33" x14ac:dyDescent="0.2">
      <c r="A377" s="2"/>
      <c r="B377" s="80"/>
      <c r="C377" s="80"/>
      <c r="D377" s="80"/>
      <c r="E377" s="80"/>
      <c r="F377" s="80"/>
      <c r="G377" s="80"/>
      <c r="H377" s="80"/>
      <c r="I377" s="80"/>
      <c r="J377" s="80"/>
      <c r="K377" s="80"/>
      <c r="L377" s="2"/>
      <c r="M377" s="2"/>
      <c r="N377" s="2"/>
      <c r="O377" s="2"/>
      <c r="P377" s="2"/>
      <c r="Q377" s="2"/>
      <c r="R377" s="80"/>
      <c r="S377" s="80"/>
      <c r="T377" s="80"/>
      <c r="U377" s="80"/>
      <c r="V377" s="80"/>
      <c r="W377" s="80"/>
      <c r="X377" s="80"/>
      <c r="Y377" s="80"/>
      <c r="Z377" s="80"/>
      <c r="AA377" s="80"/>
      <c r="AB377" s="80"/>
      <c r="AC377" s="80"/>
      <c r="AD377" s="80"/>
      <c r="AE377" s="80"/>
      <c r="AF377" s="80"/>
      <c r="AG377" s="80"/>
    </row>
    <row r="378" spans="1:33" x14ac:dyDescent="0.2">
      <c r="A378" s="2"/>
      <c r="B378" s="80"/>
      <c r="C378" s="80"/>
      <c r="D378" s="80"/>
      <c r="E378" s="80"/>
      <c r="F378" s="80"/>
      <c r="G378" s="80"/>
      <c r="H378" s="80"/>
      <c r="I378" s="80"/>
      <c r="J378" s="80"/>
      <c r="K378" s="80"/>
      <c r="L378" s="2"/>
      <c r="M378" s="2"/>
      <c r="N378" s="2"/>
      <c r="O378" s="2"/>
      <c r="P378" s="2"/>
      <c r="Q378" s="2"/>
      <c r="R378" s="80"/>
      <c r="S378" s="80"/>
      <c r="T378" s="80"/>
      <c r="U378" s="80"/>
      <c r="V378" s="80"/>
      <c r="W378" s="80"/>
      <c r="X378" s="80"/>
      <c r="Y378" s="80"/>
      <c r="Z378" s="80"/>
      <c r="AA378" s="80"/>
      <c r="AB378" s="80"/>
      <c r="AC378" s="80"/>
      <c r="AD378" s="80"/>
      <c r="AE378" s="80"/>
      <c r="AF378" s="80"/>
      <c r="AG378" s="80"/>
    </row>
    <row r="379" spans="1:33" x14ac:dyDescent="0.2">
      <c r="A379" s="2"/>
      <c r="B379" s="80"/>
      <c r="C379" s="80"/>
      <c r="D379" s="80"/>
      <c r="E379" s="80"/>
      <c r="F379" s="80"/>
      <c r="G379" s="80"/>
      <c r="H379" s="80"/>
      <c r="I379" s="80"/>
      <c r="J379" s="80"/>
      <c r="K379" s="80"/>
      <c r="L379" s="2"/>
      <c r="M379" s="2"/>
      <c r="N379" s="2"/>
      <c r="O379" s="2"/>
      <c r="P379" s="2"/>
      <c r="Q379" s="2"/>
      <c r="R379" s="80"/>
      <c r="S379" s="80"/>
      <c r="T379" s="80"/>
      <c r="U379" s="80"/>
      <c r="V379" s="80"/>
      <c r="W379" s="80"/>
      <c r="X379" s="80"/>
      <c r="Y379" s="80"/>
      <c r="Z379" s="80"/>
      <c r="AA379" s="80"/>
      <c r="AB379" s="80"/>
      <c r="AC379" s="80"/>
      <c r="AD379" s="80"/>
      <c r="AE379" s="80"/>
      <c r="AF379" s="80"/>
      <c r="AG379" s="80"/>
    </row>
    <row r="380" spans="1:33" x14ac:dyDescent="0.2">
      <c r="A380" s="2"/>
      <c r="B380" s="80"/>
      <c r="C380" s="80"/>
      <c r="D380" s="80"/>
      <c r="E380" s="80"/>
      <c r="F380" s="80"/>
      <c r="G380" s="80"/>
      <c r="H380" s="80"/>
      <c r="I380" s="80"/>
      <c r="J380" s="80"/>
      <c r="K380" s="80"/>
      <c r="L380" s="2"/>
      <c r="M380" s="2"/>
      <c r="N380" s="2"/>
      <c r="O380" s="2"/>
      <c r="P380" s="2"/>
      <c r="Q380" s="2"/>
      <c r="R380" s="80"/>
      <c r="S380" s="80"/>
      <c r="T380" s="80"/>
      <c r="U380" s="80"/>
      <c r="V380" s="80"/>
      <c r="W380" s="80"/>
      <c r="X380" s="80"/>
      <c r="Y380" s="80"/>
      <c r="Z380" s="80"/>
      <c r="AA380" s="80"/>
      <c r="AB380" s="80"/>
      <c r="AC380" s="80"/>
      <c r="AD380" s="80"/>
      <c r="AE380" s="80"/>
      <c r="AF380" s="80"/>
      <c r="AG380" s="80"/>
    </row>
    <row r="381" spans="1:33" x14ac:dyDescent="0.2">
      <c r="A381" s="2"/>
      <c r="B381" s="80"/>
      <c r="C381" s="80"/>
      <c r="D381" s="80"/>
      <c r="E381" s="80"/>
      <c r="F381" s="80"/>
      <c r="G381" s="80"/>
      <c r="H381" s="80"/>
      <c r="I381" s="80"/>
      <c r="J381" s="80"/>
      <c r="K381" s="80"/>
      <c r="L381" s="2"/>
      <c r="M381" s="2"/>
      <c r="N381" s="2"/>
      <c r="O381" s="2"/>
      <c r="P381" s="2"/>
      <c r="Q381" s="2"/>
      <c r="R381" s="80"/>
      <c r="S381" s="80"/>
      <c r="T381" s="80"/>
      <c r="U381" s="80"/>
      <c r="V381" s="80"/>
      <c r="W381" s="80"/>
      <c r="X381" s="80"/>
      <c r="Y381" s="80"/>
      <c r="Z381" s="80"/>
      <c r="AA381" s="80"/>
      <c r="AB381" s="80"/>
      <c r="AC381" s="80"/>
      <c r="AD381" s="80"/>
      <c r="AE381" s="80"/>
      <c r="AF381" s="80"/>
      <c r="AG381" s="80"/>
    </row>
    <row r="382" spans="1:33" x14ac:dyDescent="0.2">
      <c r="A382" s="2"/>
      <c r="B382" s="80"/>
      <c r="C382" s="80"/>
      <c r="D382" s="80"/>
      <c r="E382" s="80"/>
      <c r="F382" s="80"/>
      <c r="G382" s="80"/>
      <c r="H382" s="80"/>
      <c r="I382" s="80"/>
      <c r="J382" s="80"/>
      <c r="K382" s="80"/>
      <c r="L382" s="2"/>
      <c r="M382" s="2"/>
      <c r="N382" s="2"/>
      <c r="O382" s="2"/>
      <c r="P382" s="2"/>
      <c r="Q382" s="2"/>
      <c r="R382" s="80"/>
      <c r="S382" s="80"/>
      <c r="T382" s="80"/>
      <c r="U382" s="80"/>
      <c r="V382" s="80"/>
      <c r="W382" s="80"/>
      <c r="X382" s="80"/>
      <c r="Y382" s="80"/>
      <c r="Z382" s="80"/>
      <c r="AA382" s="80"/>
      <c r="AB382" s="80"/>
      <c r="AC382" s="80"/>
      <c r="AD382" s="80"/>
      <c r="AE382" s="80"/>
      <c r="AF382" s="80"/>
      <c r="AG382" s="80"/>
    </row>
    <row r="383" spans="1:33" x14ac:dyDescent="0.2">
      <c r="A383" s="2"/>
      <c r="B383" s="80"/>
      <c r="C383" s="80"/>
      <c r="D383" s="80"/>
      <c r="E383" s="80"/>
      <c r="F383" s="80"/>
      <c r="G383" s="80"/>
      <c r="H383" s="80"/>
      <c r="I383" s="80"/>
      <c r="J383" s="80"/>
      <c r="K383" s="80"/>
      <c r="L383" s="2"/>
      <c r="M383" s="2"/>
      <c r="N383" s="2"/>
      <c r="O383" s="2"/>
      <c r="P383" s="2"/>
      <c r="Q383" s="2"/>
      <c r="R383" s="80"/>
      <c r="S383" s="80"/>
      <c r="T383" s="80"/>
      <c r="U383" s="80"/>
      <c r="V383" s="80"/>
      <c r="W383" s="80"/>
      <c r="X383" s="80"/>
      <c r="Y383" s="80"/>
      <c r="Z383" s="80"/>
      <c r="AA383" s="80"/>
      <c r="AB383" s="80"/>
      <c r="AC383" s="80"/>
      <c r="AD383" s="80"/>
      <c r="AE383" s="80"/>
      <c r="AF383" s="80"/>
      <c r="AG383" s="80"/>
    </row>
    <row r="384" spans="1:33" x14ac:dyDescent="0.2">
      <c r="A384" s="2"/>
      <c r="B384" s="80"/>
      <c r="C384" s="80"/>
      <c r="D384" s="80"/>
      <c r="E384" s="80"/>
      <c r="F384" s="80"/>
      <c r="G384" s="80"/>
      <c r="H384" s="80"/>
      <c r="I384" s="80"/>
      <c r="J384" s="80"/>
      <c r="K384" s="80"/>
      <c r="L384" s="2"/>
      <c r="M384" s="2"/>
      <c r="N384" s="2"/>
      <c r="O384" s="2"/>
      <c r="P384" s="2"/>
      <c r="Q384" s="2"/>
      <c r="R384" s="80"/>
      <c r="S384" s="80"/>
      <c r="T384" s="80"/>
      <c r="U384" s="80"/>
      <c r="V384" s="80"/>
      <c r="W384" s="80"/>
      <c r="X384" s="80"/>
      <c r="Y384" s="80"/>
      <c r="Z384" s="80"/>
      <c r="AA384" s="80"/>
      <c r="AB384" s="80"/>
      <c r="AC384" s="80"/>
      <c r="AD384" s="80"/>
      <c r="AE384" s="80"/>
      <c r="AF384" s="80"/>
      <c r="AG384" s="80"/>
    </row>
    <row r="385" spans="1:33" x14ac:dyDescent="0.2">
      <c r="A385" s="2"/>
      <c r="B385" s="80"/>
      <c r="C385" s="80"/>
      <c r="D385" s="80"/>
      <c r="E385" s="80"/>
      <c r="F385" s="80"/>
      <c r="G385" s="80"/>
      <c r="H385" s="80"/>
      <c r="I385" s="80"/>
      <c r="J385" s="80"/>
      <c r="K385" s="80"/>
      <c r="L385" s="2"/>
      <c r="M385" s="2"/>
      <c r="N385" s="2"/>
      <c r="O385" s="2"/>
      <c r="P385" s="2"/>
      <c r="Q385" s="2"/>
      <c r="R385" s="80"/>
      <c r="S385" s="80"/>
      <c r="T385" s="80"/>
      <c r="U385" s="80"/>
      <c r="V385" s="80"/>
      <c r="W385" s="80"/>
      <c r="X385" s="80"/>
      <c r="Y385" s="80"/>
      <c r="Z385" s="80"/>
      <c r="AA385" s="80"/>
      <c r="AB385" s="80"/>
      <c r="AC385" s="80"/>
      <c r="AD385" s="80"/>
      <c r="AE385" s="80"/>
      <c r="AF385" s="80"/>
      <c r="AG385" s="80"/>
    </row>
    <row r="386" spans="1:33" x14ac:dyDescent="0.2">
      <c r="A386" s="2"/>
      <c r="B386" s="80"/>
      <c r="C386" s="80"/>
      <c r="D386" s="80"/>
      <c r="E386" s="80"/>
      <c r="F386" s="80"/>
      <c r="G386" s="80"/>
      <c r="H386" s="80"/>
      <c r="I386" s="80"/>
      <c r="J386" s="80"/>
      <c r="K386" s="80"/>
      <c r="L386" s="2"/>
      <c r="M386" s="2"/>
      <c r="N386" s="2"/>
      <c r="O386" s="2"/>
      <c r="P386" s="2"/>
      <c r="Q386" s="2"/>
      <c r="R386" s="80"/>
      <c r="S386" s="80"/>
      <c r="T386" s="80"/>
      <c r="U386" s="80"/>
      <c r="V386" s="80"/>
      <c r="W386" s="80"/>
      <c r="X386" s="80"/>
      <c r="Y386" s="80"/>
      <c r="Z386" s="80"/>
      <c r="AA386" s="80"/>
      <c r="AB386" s="80"/>
      <c r="AC386" s="80"/>
      <c r="AD386" s="80"/>
      <c r="AE386" s="80"/>
      <c r="AF386" s="80"/>
      <c r="AG386" s="80"/>
    </row>
    <row r="387" spans="1:33" x14ac:dyDescent="0.2">
      <c r="A387" s="2"/>
      <c r="B387" s="80"/>
      <c r="C387" s="80"/>
      <c r="D387" s="80"/>
      <c r="E387" s="80"/>
      <c r="F387" s="80"/>
      <c r="G387" s="80"/>
      <c r="H387" s="80"/>
      <c r="I387" s="80"/>
      <c r="J387" s="80"/>
      <c r="K387" s="80"/>
      <c r="L387" s="2"/>
      <c r="M387" s="2"/>
      <c r="N387" s="2"/>
      <c r="O387" s="2"/>
      <c r="P387" s="2"/>
      <c r="Q387" s="2"/>
      <c r="R387" s="80"/>
      <c r="S387" s="80"/>
      <c r="T387" s="80"/>
      <c r="U387" s="80"/>
      <c r="V387" s="80"/>
      <c r="W387" s="80"/>
      <c r="X387" s="80"/>
      <c r="Y387" s="80"/>
      <c r="Z387" s="80"/>
      <c r="AA387" s="80"/>
      <c r="AB387" s="80"/>
      <c r="AC387" s="80"/>
      <c r="AD387" s="80"/>
      <c r="AE387" s="80"/>
      <c r="AF387" s="80"/>
      <c r="AG387" s="80"/>
    </row>
    <row r="388" spans="1:33" x14ac:dyDescent="0.2">
      <c r="A388" s="2"/>
      <c r="B388" s="80"/>
      <c r="C388" s="80"/>
      <c r="D388" s="80"/>
      <c r="E388" s="80"/>
      <c r="F388" s="80"/>
      <c r="G388" s="80"/>
      <c r="H388" s="80"/>
      <c r="I388" s="80"/>
      <c r="J388" s="80"/>
      <c r="K388" s="80"/>
      <c r="L388" s="2"/>
      <c r="M388" s="2"/>
      <c r="N388" s="2"/>
      <c r="O388" s="2"/>
      <c r="P388" s="2"/>
      <c r="Q388" s="2"/>
      <c r="R388" s="80"/>
      <c r="S388" s="80"/>
      <c r="T388" s="80"/>
      <c r="U388" s="80"/>
      <c r="V388" s="80"/>
      <c r="W388" s="80"/>
      <c r="X388" s="80"/>
      <c r="Y388" s="80"/>
      <c r="Z388" s="80"/>
      <c r="AA388" s="80"/>
      <c r="AB388" s="80"/>
      <c r="AC388" s="80"/>
      <c r="AD388" s="80"/>
      <c r="AE388" s="80"/>
      <c r="AF388" s="80"/>
      <c r="AG388" s="80"/>
    </row>
    <row r="389" spans="1:33" x14ac:dyDescent="0.2">
      <c r="A389" s="2"/>
      <c r="B389" s="80"/>
      <c r="C389" s="80"/>
      <c r="D389" s="80"/>
      <c r="E389" s="80"/>
      <c r="F389" s="80"/>
      <c r="G389" s="80"/>
      <c r="H389" s="80"/>
      <c r="I389" s="80"/>
      <c r="J389" s="80"/>
      <c r="K389" s="80"/>
      <c r="L389" s="2"/>
      <c r="M389" s="2"/>
      <c r="N389" s="2"/>
      <c r="O389" s="2"/>
      <c r="P389" s="2"/>
      <c r="Q389" s="2"/>
      <c r="R389" s="80"/>
      <c r="S389" s="80"/>
      <c r="T389" s="80"/>
      <c r="U389" s="80"/>
      <c r="V389" s="80"/>
      <c r="W389" s="80"/>
      <c r="X389" s="80"/>
      <c r="Y389" s="80"/>
      <c r="Z389" s="80"/>
      <c r="AA389" s="80"/>
      <c r="AB389" s="80"/>
      <c r="AC389" s="80"/>
      <c r="AD389" s="80"/>
      <c r="AE389" s="80"/>
      <c r="AF389" s="80"/>
      <c r="AG389" s="80"/>
    </row>
    <row r="390" spans="1:33" x14ac:dyDescent="0.2">
      <c r="A390" s="2"/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2"/>
      <c r="M390" s="2"/>
      <c r="N390" s="2"/>
      <c r="O390" s="2"/>
      <c r="P390" s="2"/>
      <c r="Q390" s="2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0"/>
      <c r="AD390" s="80"/>
      <c r="AE390" s="80"/>
      <c r="AF390" s="80"/>
      <c r="AG390" s="80"/>
    </row>
    <row r="391" spans="1:33" x14ac:dyDescent="0.2">
      <c r="A391" s="2"/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2"/>
      <c r="M391" s="2"/>
      <c r="N391" s="2"/>
      <c r="O391" s="2"/>
      <c r="P391" s="2"/>
      <c r="Q391" s="2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0"/>
      <c r="AD391" s="80"/>
      <c r="AE391" s="80"/>
      <c r="AF391" s="80"/>
      <c r="AG391" s="80"/>
    </row>
    <row r="392" spans="1:33" x14ac:dyDescent="0.2">
      <c r="A392" s="2"/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2"/>
      <c r="M392" s="2"/>
      <c r="N392" s="2"/>
      <c r="O392" s="2"/>
      <c r="P392" s="2"/>
      <c r="Q392" s="2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0"/>
      <c r="AD392" s="80"/>
      <c r="AE392" s="80"/>
      <c r="AF392" s="80"/>
      <c r="AG392" s="80"/>
    </row>
    <row r="393" spans="1:33" x14ac:dyDescent="0.2">
      <c r="A393" s="2"/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2"/>
      <c r="M393" s="2"/>
      <c r="N393" s="2"/>
      <c r="O393" s="2"/>
      <c r="P393" s="2"/>
      <c r="Q393" s="2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0"/>
      <c r="AD393" s="80"/>
      <c r="AE393" s="80"/>
      <c r="AF393" s="80"/>
      <c r="AG393" s="80"/>
    </row>
    <row r="394" spans="1:33" x14ac:dyDescent="0.2">
      <c r="A394" s="2"/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2"/>
      <c r="M394" s="2"/>
      <c r="N394" s="2"/>
      <c r="O394" s="2"/>
      <c r="P394" s="2"/>
      <c r="Q394" s="2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0"/>
      <c r="AD394" s="80"/>
      <c r="AE394" s="80"/>
      <c r="AF394" s="80"/>
      <c r="AG394" s="80"/>
    </row>
    <row r="395" spans="1:33" x14ac:dyDescent="0.2">
      <c r="A395" s="2"/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2"/>
      <c r="M395" s="2"/>
      <c r="N395" s="2"/>
      <c r="O395" s="2"/>
      <c r="P395" s="2"/>
      <c r="Q395" s="2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0"/>
      <c r="AD395" s="80"/>
      <c r="AE395" s="80"/>
      <c r="AF395" s="80"/>
      <c r="AG395" s="80"/>
    </row>
    <row r="396" spans="1:33" x14ac:dyDescent="0.2">
      <c r="A396" s="2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2"/>
      <c r="M396" s="2"/>
      <c r="N396" s="2"/>
      <c r="O396" s="2"/>
      <c r="P396" s="2"/>
      <c r="Q396" s="2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0"/>
      <c r="AD396" s="80"/>
      <c r="AE396" s="80"/>
      <c r="AF396" s="80"/>
      <c r="AG396" s="80"/>
    </row>
    <row r="397" spans="1:33" x14ac:dyDescent="0.2">
      <c r="A397" s="2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2"/>
      <c r="M397" s="2"/>
      <c r="N397" s="2"/>
      <c r="O397" s="2"/>
      <c r="P397" s="2"/>
      <c r="Q397" s="2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0"/>
      <c r="AD397" s="80"/>
      <c r="AE397" s="80"/>
      <c r="AF397" s="80"/>
      <c r="AG397" s="80"/>
    </row>
    <row r="398" spans="1:33" x14ac:dyDescent="0.2">
      <c r="A398" s="2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2"/>
      <c r="M398" s="2"/>
      <c r="N398" s="2"/>
      <c r="O398" s="2"/>
      <c r="P398" s="2"/>
      <c r="Q398" s="2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0"/>
      <c r="AD398" s="80"/>
      <c r="AE398" s="80"/>
      <c r="AF398" s="80"/>
      <c r="AG398" s="80"/>
    </row>
    <row r="399" spans="1:33" x14ac:dyDescent="0.2">
      <c r="A399" s="2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2"/>
      <c r="M399" s="2"/>
      <c r="N399" s="2"/>
      <c r="O399" s="2"/>
      <c r="P399" s="2"/>
      <c r="Q399" s="2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0"/>
      <c r="AD399" s="80"/>
      <c r="AE399" s="80"/>
      <c r="AF399" s="80"/>
      <c r="AG399" s="80"/>
    </row>
    <row r="400" spans="1:33" x14ac:dyDescent="0.2">
      <c r="A400" s="2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2"/>
      <c r="M400" s="2"/>
      <c r="N400" s="2"/>
      <c r="O400" s="2"/>
      <c r="P400" s="2"/>
      <c r="Q400" s="2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0"/>
      <c r="AD400" s="80"/>
      <c r="AE400" s="80"/>
      <c r="AF400" s="80"/>
      <c r="AG400" s="80"/>
    </row>
    <row r="401" spans="1:33" x14ac:dyDescent="0.2">
      <c r="A401" s="2"/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2"/>
      <c r="M401" s="2"/>
      <c r="N401" s="2"/>
      <c r="O401" s="2"/>
      <c r="P401" s="2"/>
      <c r="Q401" s="2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0"/>
      <c r="AD401" s="80"/>
      <c r="AE401" s="80"/>
      <c r="AF401" s="80"/>
      <c r="AG401" s="80"/>
    </row>
    <row r="402" spans="1:33" x14ac:dyDescent="0.2">
      <c r="A402" s="2"/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2"/>
      <c r="M402" s="2"/>
      <c r="N402" s="2"/>
      <c r="O402" s="2"/>
      <c r="P402" s="2"/>
      <c r="Q402" s="2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0"/>
      <c r="AD402" s="80"/>
      <c r="AE402" s="80"/>
      <c r="AF402" s="80"/>
      <c r="AG402" s="80"/>
    </row>
    <row r="403" spans="1:33" x14ac:dyDescent="0.2">
      <c r="A403" s="2"/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2"/>
      <c r="M403" s="2"/>
      <c r="N403" s="2"/>
      <c r="O403" s="2"/>
      <c r="P403" s="2"/>
      <c r="Q403" s="2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0"/>
      <c r="AD403" s="80"/>
      <c r="AE403" s="80"/>
      <c r="AF403" s="80"/>
      <c r="AG403" s="80"/>
    </row>
    <row r="404" spans="1:33" x14ac:dyDescent="0.2">
      <c r="A404" s="2"/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2"/>
      <c r="M404" s="2"/>
      <c r="N404" s="2"/>
      <c r="O404" s="2"/>
      <c r="P404" s="2"/>
      <c r="Q404" s="2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0"/>
      <c r="AD404" s="80"/>
      <c r="AE404" s="80"/>
      <c r="AF404" s="80"/>
      <c r="AG404" s="80"/>
    </row>
    <row r="405" spans="1:33" x14ac:dyDescent="0.2">
      <c r="A405" s="2"/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2"/>
      <c r="M405" s="2"/>
      <c r="N405" s="2"/>
      <c r="O405" s="2"/>
      <c r="P405" s="2"/>
      <c r="Q405" s="2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0"/>
      <c r="AD405" s="80"/>
      <c r="AE405" s="80"/>
      <c r="AF405" s="80"/>
      <c r="AG405" s="80"/>
    </row>
    <row r="406" spans="1:33" x14ac:dyDescent="0.2">
      <c r="A406" s="2"/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2"/>
      <c r="M406" s="2"/>
      <c r="N406" s="2"/>
      <c r="O406" s="2"/>
      <c r="P406" s="2"/>
      <c r="Q406" s="2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0"/>
      <c r="AD406" s="80"/>
      <c r="AE406" s="80"/>
      <c r="AF406" s="80"/>
      <c r="AG406" s="80"/>
    </row>
    <row r="407" spans="1:33" x14ac:dyDescent="0.2">
      <c r="A407" s="2"/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2"/>
      <c r="M407" s="2"/>
      <c r="N407" s="2"/>
      <c r="O407" s="2"/>
      <c r="P407" s="2"/>
      <c r="Q407" s="2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0"/>
      <c r="AD407" s="80"/>
      <c r="AE407" s="80"/>
      <c r="AF407" s="80"/>
      <c r="AG407" s="80"/>
    </row>
    <row r="408" spans="1:33" x14ac:dyDescent="0.2">
      <c r="A408" s="2"/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2"/>
      <c r="M408" s="2"/>
      <c r="N408" s="2"/>
      <c r="O408" s="2"/>
      <c r="P408" s="2"/>
      <c r="Q408" s="2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0"/>
      <c r="AD408" s="80"/>
      <c r="AE408" s="80"/>
      <c r="AF408" s="80"/>
      <c r="AG408" s="80"/>
    </row>
    <row r="409" spans="1:33" x14ac:dyDescent="0.2">
      <c r="A409" s="2"/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2"/>
      <c r="M409" s="2"/>
      <c r="N409" s="2"/>
      <c r="O409" s="2"/>
      <c r="P409" s="2"/>
      <c r="Q409" s="2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0"/>
      <c r="AD409" s="80"/>
      <c r="AE409" s="80"/>
      <c r="AF409" s="80"/>
      <c r="AG409" s="80"/>
    </row>
    <row r="410" spans="1:33" x14ac:dyDescent="0.2">
      <c r="A410" s="2"/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2"/>
      <c r="M410" s="2"/>
      <c r="N410" s="2"/>
      <c r="O410" s="2"/>
      <c r="P410" s="2"/>
      <c r="Q410" s="2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0"/>
      <c r="AD410" s="80"/>
      <c r="AE410" s="80"/>
      <c r="AF410" s="80"/>
      <c r="AG410" s="80"/>
    </row>
    <row r="411" spans="1:33" x14ac:dyDescent="0.2">
      <c r="A411" s="2"/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2"/>
      <c r="M411" s="2"/>
      <c r="N411" s="2"/>
      <c r="O411" s="2"/>
      <c r="P411" s="2"/>
      <c r="Q411" s="2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0"/>
      <c r="AD411" s="80"/>
      <c r="AE411" s="80"/>
      <c r="AF411" s="80"/>
      <c r="AG411" s="80"/>
    </row>
    <row r="412" spans="1:33" x14ac:dyDescent="0.2">
      <c r="A412" s="2"/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2"/>
      <c r="M412" s="2"/>
      <c r="N412" s="2"/>
      <c r="O412" s="2"/>
      <c r="P412" s="2"/>
      <c r="Q412" s="2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0"/>
      <c r="AD412" s="80"/>
      <c r="AE412" s="80"/>
      <c r="AF412" s="80"/>
      <c r="AG412" s="80"/>
    </row>
    <row r="413" spans="1:33" x14ac:dyDescent="0.2">
      <c r="A413" s="2"/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2"/>
      <c r="M413" s="2"/>
      <c r="N413" s="2"/>
      <c r="O413" s="2"/>
      <c r="P413" s="2"/>
      <c r="Q413" s="2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0"/>
      <c r="AD413" s="80"/>
      <c r="AE413" s="80"/>
      <c r="AF413" s="80"/>
      <c r="AG413" s="80"/>
    </row>
    <row r="414" spans="1:33" x14ac:dyDescent="0.2">
      <c r="A414" s="2"/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2"/>
      <c r="M414" s="2"/>
      <c r="N414" s="2"/>
      <c r="O414" s="2"/>
      <c r="P414" s="2"/>
      <c r="Q414" s="2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0"/>
      <c r="AD414" s="80"/>
      <c r="AE414" s="80"/>
      <c r="AF414" s="80"/>
      <c r="AG414" s="80"/>
    </row>
    <row r="415" spans="1:33" x14ac:dyDescent="0.2">
      <c r="A415" s="2"/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2"/>
      <c r="M415" s="2"/>
      <c r="N415" s="2"/>
      <c r="O415" s="2"/>
      <c r="P415" s="2"/>
      <c r="Q415" s="2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0"/>
      <c r="AD415" s="80"/>
      <c r="AE415" s="80"/>
      <c r="AF415" s="80"/>
      <c r="AG415" s="80"/>
    </row>
    <row r="416" spans="1:33" x14ac:dyDescent="0.2">
      <c r="A416" s="2"/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2"/>
      <c r="M416" s="2"/>
      <c r="N416" s="2"/>
      <c r="O416" s="2"/>
      <c r="P416" s="2"/>
      <c r="Q416" s="2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0"/>
      <c r="AD416" s="80"/>
      <c r="AE416" s="80"/>
      <c r="AF416" s="80"/>
      <c r="AG416" s="80"/>
    </row>
    <row r="417" spans="1:33" x14ac:dyDescent="0.2">
      <c r="A417" s="2"/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2"/>
      <c r="M417" s="2"/>
      <c r="N417" s="2"/>
      <c r="O417" s="2"/>
      <c r="P417" s="2"/>
      <c r="Q417" s="2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0"/>
      <c r="AD417" s="80"/>
      <c r="AE417" s="80"/>
      <c r="AF417" s="80"/>
      <c r="AG417" s="80"/>
    </row>
    <row r="418" spans="1:33" x14ac:dyDescent="0.2">
      <c r="A418" s="2"/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2"/>
      <c r="M418" s="2"/>
      <c r="N418" s="2"/>
      <c r="O418" s="2"/>
      <c r="P418" s="2"/>
      <c r="Q418" s="2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0"/>
      <c r="AD418" s="80"/>
      <c r="AE418" s="80"/>
      <c r="AF418" s="80"/>
      <c r="AG418" s="80"/>
    </row>
    <row r="419" spans="1:33" x14ac:dyDescent="0.2">
      <c r="A419" s="2"/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2"/>
      <c r="M419" s="2"/>
      <c r="N419" s="2"/>
      <c r="O419" s="2"/>
      <c r="P419" s="2"/>
      <c r="Q419" s="2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0"/>
      <c r="AD419" s="80"/>
      <c r="AE419" s="80"/>
      <c r="AF419" s="80"/>
      <c r="AG419" s="80"/>
    </row>
    <row r="420" spans="1:33" x14ac:dyDescent="0.2">
      <c r="A420" s="2"/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2"/>
      <c r="M420" s="2"/>
      <c r="N420" s="2"/>
      <c r="O420" s="2"/>
      <c r="P420" s="2"/>
      <c r="Q420" s="2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0"/>
      <c r="AD420" s="80"/>
      <c r="AE420" s="80"/>
      <c r="AF420" s="80"/>
      <c r="AG420" s="80"/>
    </row>
    <row r="421" spans="1:33" x14ac:dyDescent="0.2">
      <c r="A421" s="2"/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2"/>
      <c r="M421" s="2"/>
      <c r="N421" s="2"/>
      <c r="O421" s="2"/>
      <c r="P421" s="2"/>
      <c r="Q421" s="2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0"/>
      <c r="AD421" s="80"/>
      <c r="AE421" s="80"/>
      <c r="AF421" s="80"/>
      <c r="AG421" s="80"/>
    </row>
    <row r="422" spans="1:33" x14ac:dyDescent="0.2">
      <c r="A422" s="2"/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2"/>
      <c r="M422" s="2"/>
      <c r="N422" s="2"/>
      <c r="O422" s="2"/>
      <c r="P422" s="2"/>
      <c r="Q422" s="2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0"/>
      <c r="AD422" s="80"/>
      <c r="AE422" s="80"/>
      <c r="AF422" s="80"/>
      <c r="AG422" s="80"/>
    </row>
    <row r="423" spans="1:33" x14ac:dyDescent="0.2">
      <c r="A423" s="2"/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2"/>
      <c r="M423" s="2"/>
      <c r="N423" s="2"/>
      <c r="O423" s="2"/>
      <c r="P423" s="2"/>
      <c r="Q423" s="2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0"/>
      <c r="AD423" s="80"/>
      <c r="AE423" s="80"/>
      <c r="AF423" s="80"/>
      <c r="AG423" s="80"/>
    </row>
    <row r="424" spans="1:33" x14ac:dyDescent="0.2">
      <c r="A424" s="2"/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2"/>
      <c r="M424" s="2"/>
      <c r="N424" s="2"/>
      <c r="O424" s="2"/>
      <c r="P424" s="2"/>
      <c r="Q424" s="2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0"/>
      <c r="AD424" s="80"/>
      <c r="AE424" s="80"/>
      <c r="AF424" s="80"/>
      <c r="AG424" s="80"/>
    </row>
    <row r="425" spans="1:33" x14ac:dyDescent="0.2">
      <c r="A425" s="2"/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2"/>
      <c r="M425" s="2"/>
      <c r="N425" s="2"/>
      <c r="O425" s="2"/>
      <c r="P425" s="2"/>
      <c r="Q425" s="2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0"/>
      <c r="AD425" s="80"/>
      <c r="AE425" s="80"/>
      <c r="AF425" s="80"/>
      <c r="AG425" s="80"/>
    </row>
    <row r="426" spans="1:33" x14ac:dyDescent="0.2">
      <c r="A426" s="2"/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2"/>
      <c r="M426" s="2"/>
      <c r="N426" s="2"/>
      <c r="O426" s="2"/>
      <c r="P426" s="2"/>
      <c r="Q426" s="2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0"/>
      <c r="AD426" s="80"/>
      <c r="AE426" s="80"/>
      <c r="AF426" s="80"/>
      <c r="AG426" s="80"/>
    </row>
    <row r="427" spans="1:33" x14ac:dyDescent="0.2">
      <c r="A427" s="2"/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2"/>
      <c r="M427" s="2"/>
      <c r="N427" s="2"/>
      <c r="O427" s="2"/>
      <c r="P427" s="2"/>
      <c r="Q427" s="2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0"/>
      <c r="AD427" s="80"/>
      <c r="AE427" s="80"/>
      <c r="AF427" s="80"/>
      <c r="AG427" s="80"/>
    </row>
    <row r="428" spans="1:33" x14ac:dyDescent="0.2">
      <c r="A428" s="2"/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2"/>
      <c r="M428" s="2"/>
      <c r="N428" s="2"/>
      <c r="O428" s="2"/>
      <c r="P428" s="2"/>
      <c r="Q428" s="2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0"/>
      <c r="AD428" s="80"/>
      <c r="AE428" s="80"/>
      <c r="AF428" s="80"/>
      <c r="AG428" s="80"/>
    </row>
    <row r="429" spans="1:33" x14ac:dyDescent="0.2">
      <c r="A429" s="2"/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2"/>
      <c r="M429" s="2"/>
      <c r="N429" s="2"/>
      <c r="O429" s="2"/>
      <c r="P429" s="2"/>
      <c r="Q429" s="2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0"/>
      <c r="AD429" s="80"/>
      <c r="AE429" s="80"/>
      <c r="AF429" s="80"/>
      <c r="AG429" s="80"/>
    </row>
    <row r="430" spans="1:33" x14ac:dyDescent="0.2">
      <c r="A430" s="2"/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2"/>
      <c r="M430" s="2"/>
      <c r="N430" s="2"/>
      <c r="O430" s="2"/>
      <c r="P430" s="2"/>
      <c r="Q430" s="2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0"/>
      <c r="AD430" s="80"/>
      <c r="AE430" s="80"/>
      <c r="AF430" s="80"/>
      <c r="AG430" s="80"/>
    </row>
    <row r="431" spans="1:33" x14ac:dyDescent="0.2">
      <c r="A431" s="2"/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2"/>
      <c r="M431" s="2"/>
      <c r="N431" s="2"/>
      <c r="O431" s="2"/>
      <c r="P431" s="2"/>
      <c r="Q431" s="2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0"/>
      <c r="AD431" s="80"/>
      <c r="AE431" s="80"/>
      <c r="AF431" s="80"/>
      <c r="AG431" s="80"/>
    </row>
    <row r="432" spans="1:33" x14ac:dyDescent="0.2">
      <c r="A432" s="2"/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2"/>
      <c r="M432" s="2"/>
      <c r="N432" s="2"/>
      <c r="O432" s="2"/>
      <c r="P432" s="2"/>
      <c r="Q432" s="2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0"/>
      <c r="AD432" s="80"/>
      <c r="AE432" s="80"/>
      <c r="AF432" s="80"/>
      <c r="AG432" s="80"/>
    </row>
    <row r="433" spans="1:33" x14ac:dyDescent="0.2">
      <c r="A433" s="2"/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2"/>
      <c r="M433" s="2"/>
      <c r="N433" s="2"/>
      <c r="O433" s="2"/>
      <c r="P433" s="2"/>
      <c r="Q433" s="2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0"/>
      <c r="AD433" s="80"/>
      <c r="AE433" s="80"/>
      <c r="AF433" s="80"/>
      <c r="AG433" s="80"/>
    </row>
    <row r="434" spans="1:33" x14ac:dyDescent="0.2">
      <c r="A434" s="2"/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2"/>
      <c r="M434" s="2"/>
      <c r="N434" s="2"/>
      <c r="O434" s="2"/>
      <c r="P434" s="2"/>
      <c r="Q434" s="2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0"/>
      <c r="AD434" s="80"/>
      <c r="AE434" s="80"/>
      <c r="AF434" s="80"/>
      <c r="AG434" s="80"/>
    </row>
    <row r="435" spans="1:33" x14ac:dyDescent="0.2">
      <c r="A435" s="2"/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2"/>
      <c r="M435" s="2"/>
      <c r="N435" s="2"/>
      <c r="O435" s="2"/>
      <c r="P435" s="2"/>
      <c r="Q435" s="2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0"/>
      <c r="AD435" s="80"/>
      <c r="AE435" s="80"/>
      <c r="AF435" s="80"/>
      <c r="AG435" s="80"/>
    </row>
    <row r="436" spans="1:33" x14ac:dyDescent="0.2">
      <c r="A436" s="2"/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2"/>
      <c r="M436" s="2"/>
      <c r="N436" s="2"/>
      <c r="O436" s="2"/>
      <c r="P436" s="2"/>
      <c r="Q436" s="2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0"/>
      <c r="AD436" s="80"/>
      <c r="AE436" s="80"/>
      <c r="AF436" s="80"/>
      <c r="AG436" s="80"/>
    </row>
    <row r="437" spans="1:33" x14ac:dyDescent="0.2">
      <c r="A437" s="2"/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2"/>
      <c r="M437" s="2"/>
      <c r="N437" s="2"/>
      <c r="O437" s="2"/>
      <c r="P437" s="2"/>
      <c r="Q437" s="2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0"/>
      <c r="AD437" s="80"/>
      <c r="AE437" s="80"/>
      <c r="AF437" s="80"/>
      <c r="AG437" s="80"/>
    </row>
    <row r="438" spans="1:33" x14ac:dyDescent="0.2">
      <c r="A438" s="2"/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2"/>
      <c r="M438" s="2"/>
      <c r="N438" s="2"/>
      <c r="O438" s="2"/>
      <c r="P438" s="2"/>
      <c r="Q438" s="2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0"/>
      <c r="AD438" s="80"/>
      <c r="AE438" s="80"/>
      <c r="AF438" s="80"/>
      <c r="AG438" s="80"/>
    </row>
    <row r="439" spans="1:33" x14ac:dyDescent="0.2">
      <c r="A439" s="2"/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2"/>
      <c r="M439" s="2"/>
      <c r="N439" s="2"/>
      <c r="O439" s="2"/>
      <c r="P439" s="2"/>
      <c r="Q439" s="2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0"/>
      <c r="AD439" s="80"/>
      <c r="AE439" s="80"/>
      <c r="AF439" s="80"/>
      <c r="AG439" s="80"/>
    </row>
    <row r="440" spans="1:33" x14ac:dyDescent="0.2">
      <c r="A440" s="2"/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2"/>
      <c r="M440" s="2"/>
      <c r="N440" s="2"/>
      <c r="O440" s="2"/>
      <c r="P440" s="2"/>
      <c r="Q440" s="2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0"/>
      <c r="AD440" s="80"/>
      <c r="AE440" s="80"/>
      <c r="AF440" s="80"/>
      <c r="AG440" s="80"/>
    </row>
    <row r="441" spans="1:33" x14ac:dyDescent="0.2">
      <c r="A441" s="2"/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2"/>
      <c r="M441" s="2"/>
      <c r="N441" s="2"/>
      <c r="O441" s="2"/>
      <c r="P441" s="2"/>
      <c r="Q441" s="2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0"/>
      <c r="AD441" s="80"/>
      <c r="AE441" s="80"/>
      <c r="AF441" s="80"/>
      <c r="AG441" s="80"/>
    </row>
    <row r="442" spans="1:33" x14ac:dyDescent="0.2">
      <c r="A442" s="2"/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2"/>
      <c r="M442" s="2"/>
      <c r="N442" s="2"/>
      <c r="O442" s="2"/>
      <c r="P442" s="2"/>
      <c r="Q442" s="2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0"/>
      <c r="AD442" s="80"/>
      <c r="AE442" s="80"/>
      <c r="AF442" s="80"/>
      <c r="AG442" s="80"/>
    </row>
    <row r="443" spans="1:33" x14ac:dyDescent="0.2">
      <c r="A443" s="2"/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2"/>
      <c r="M443" s="2"/>
      <c r="N443" s="2"/>
      <c r="O443" s="2"/>
      <c r="P443" s="2"/>
      <c r="Q443" s="2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0"/>
      <c r="AD443" s="80"/>
      <c r="AE443" s="80"/>
      <c r="AF443" s="80"/>
      <c r="AG443" s="80"/>
    </row>
    <row r="444" spans="1:33" x14ac:dyDescent="0.2">
      <c r="A444" s="2"/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2"/>
      <c r="M444" s="2"/>
      <c r="N444" s="2"/>
      <c r="O444" s="2"/>
      <c r="P444" s="2"/>
      <c r="Q444" s="2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0"/>
      <c r="AD444" s="80"/>
      <c r="AE444" s="80"/>
      <c r="AF444" s="80"/>
      <c r="AG444" s="80"/>
    </row>
    <row r="445" spans="1:33" x14ac:dyDescent="0.2">
      <c r="A445" s="2"/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2"/>
      <c r="M445" s="2"/>
      <c r="N445" s="2"/>
      <c r="O445" s="2"/>
      <c r="P445" s="2"/>
      <c r="Q445" s="2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0"/>
      <c r="AD445" s="80"/>
      <c r="AE445" s="80"/>
      <c r="AF445" s="80"/>
      <c r="AG445" s="80"/>
    </row>
    <row r="446" spans="1:33" x14ac:dyDescent="0.2">
      <c r="A446" s="2"/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2"/>
      <c r="M446" s="2"/>
      <c r="N446" s="2"/>
      <c r="O446" s="2"/>
      <c r="P446" s="2"/>
      <c r="Q446" s="2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0"/>
      <c r="AD446" s="80"/>
      <c r="AE446" s="80"/>
      <c r="AF446" s="80"/>
      <c r="AG446" s="80"/>
    </row>
    <row r="447" spans="1:33" x14ac:dyDescent="0.2">
      <c r="A447" s="2"/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2"/>
      <c r="M447" s="2"/>
      <c r="N447" s="2"/>
      <c r="O447" s="2"/>
      <c r="P447" s="2"/>
      <c r="Q447" s="2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0"/>
      <c r="AD447" s="80"/>
      <c r="AE447" s="80"/>
      <c r="AF447" s="80"/>
      <c r="AG447" s="80"/>
    </row>
    <row r="448" spans="1:33" x14ac:dyDescent="0.2">
      <c r="A448" s="2"/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2"/>
      <c r="M448" s="2"/>
      <c r="N448" s="2"/>
      <c r="O448" s="2"/>
      <c r="P448" s="2"/>
      <c r="Q448" s="2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0"/>
      <c r="AD448" s="80"/>
      <c r="AE448" s="80"/>
      <c r="AF448" s="80"/>
      <c r="AG448" s="80"/>
    </row>
    <row r="449" spans="1:33" x14ac:dyDescent="0.2">
      <c r="A449" s="2"/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2"/>
      <c r="M449" s="2"/>
      <c r="N449" s="2"/>
      <c r="O449" s="2"/>
      <c r="P449" s="2"/>
      <c r="Q449" s="2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0"/>
      <c r="AD449" s="80"/>
      <c r="AE449" s="80"/>
      <c r="AF449" s="80"/>
      <c r="AG449" s="80"/>
    </row>
    <row r="450" spans="1:33" x14ac:dyDescent="0.2">
      <c r="A450" s="2"/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2"/>
      <c r="M450" s="2"/>
      <c r="N450" s="2"/>
      <c r="O450" s="2"/>
      <c r="P450" s="2"/>
      <c r="Q450" s="2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0"/>
      <c r="AD450" s="80"/>
      <c r="AE450" s="80"/>
      <c r="AF450" s="80"/>
      <c r="AG450" s="80"/>
    </row>
    <row r="451" spans="1:33" x14ac:dyDescent="0.2">
      <c r="A451" s="2"/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2"/>
      <c r="M451" s="2"/>
      <c r="N451" s="2"/>
      <c r="O451" s="2"/>
      <c r="P451" s="2"/>
      <c r="Q451" s="2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0"/>
      <c r="AD451" s="80"/>
      <c r="AE451" s="80"/>
      <c r="AF451" s="80"/>
      <c r="AG451" s="80"/>
    </row>
    <row r="452" spans="1:33" x14ac:dyDescent="0.2">
      <c r="A452" s="2"/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2"/>
      <c r="M452" s="2"/>
      <c r="N452" s="2"/>
      <c r="O452" s="2"/>
      <c r="P452" s="2"/>
      <c r="Q452" s="2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0"/>
      <c r="AD452" s="80"/>
      <c r="AE452" s="80"/>
      <c r="AF452" s="80"/>
      <c r="AG452" s="80"/>
    </row>
    <row r="453" spans="1:33" x14ac:dyDescent="0.2">
      <c r="A453" s="2"/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2"/>
      <c r="M453" s="2"/>
      <c r="N453" s="2"/>
      <c r="O453" s="2"/>
      <c r="P453" s="2"/>
      <c r="Q453" s="2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0"/>
      <c r="AD453" s="80"/>
      <c r="AE453" s="80"/>
      <c r="AF453" s="80"/>
      <c r="AG453" s="80"/>
    </row>
    <row r="454" spans="1:33" x14ac:dyDescent="0.2">
      <c r="A454" s="2"/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2"/>
      <c r="M454" s="2"/>
      <c r="N454" s="2"/>
      <c r="O454" s="2"/>
      <c r="P454" s="2"/>
      <c r="Q454" s="2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0"/>
      <c r="AD454" s="80"/>
      <c r="AE454" s="80"/>
      <c r="AF454" s="80"/>
      <c r="AG454" s="80"/>
    </row>
    <row r="455" spans="1:33" x14ac:dyDescent="0.2">
      <c r="A455" s="2"/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2"/>
      <c r="M455" s="2"/>
      <c r="N455" s="2"/>
      <c r="O455" s="2"/>
      <c r="P455" s="2"/>
      <c r="Q455" s="2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0"/>
      <c r="AD455" s="80"/>
      <c r="AE455" s="80"/>
      <c r="AF455" s="80"/>
      <c r="AG455" s="80"/>
    </row>
    <row r="456" spans="1:33" x14ac:dyDescent="0.2">
      <c r="A456" s="2"/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2"/>
      <c r="M456" s="2"/>
      <c r="N456" s="2"/>
      <c r="O456" s="2"/>
      <c r="P456" s="2"/>
      <c r="Q456" s="2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0"/>
      <c r="AD456" s="80"/>
      <c r="AE456" s="80"/>
      <c r="AF456" s="80"/>
      <c r="AG456" s="80"/>
    </row>
    <row r="457" spans="1:33" x14ac:dyDescent="0.2">
      <c r="A457" s="2"/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2"/>
      <c r="M457" s="2"/>
      <c r="N457" s="2"/>
      <c r="O457" s="2"/>
      <c r="P457" s="2"/>
      <c r="Q457" s="2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0"/>
      <c r="AD457" s="80"/>
      <c r="AE457" s="80"/>
      <c r="AF457" s="80"/>
      <c r="AG457" s="80"/>
    </row>
    <row r="458" spans="1:33" x14ac:dyDescent="0.2">
      <c r="A458" s="2"/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2"/>
      <c r="M458" s="2"/>
      <c r="N458" s="2"/>
      <c r="O458" s="2"/>
      <c r="P458" s="2"/>
      <c r="Q458" s="2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0"/>
      <c r="AD458" s="80"/>
      <c r="AE458" s="80"/>
      <c r="AF458" s="80"/>
      <c r="AG458" s="80"/>
    </row>
    <row r="459" spans="1:33" x14ac:dyDescent="0.2">
      <c r="A459" s="2"/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2"/>
      <c r="M459" s="2"/>
      <c r="N459" s="2"/>
      <c r="O459" s="2"/>
      <c r="P459" s="2"/>
      <c r="Q459" s="2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0"/>
      <c r="AD459" s="80"/>
      <c r="AE459" s="80"/>
      <c r="AF459" s="80"/>
      <c r="AG459" s="80"/>
    </row>
    <row r="460" spans="1:33" x14ac:dyDescent="0.2">
      <c r="A460" s="2"/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2"/>
      <c r="M460" s="2"/>
      <c r="N460" s="2"/>
      <c r="O460" s="2"/>
      <c r="P460" s="2"/>
      <c r="Q460" s="2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0"/>
      <c r="AD460" s="80"/>
      <c r="AE460" s="80"/>
      <c r="AF460" s="80"/>
      <c r="AG460" s="80"/>
    </row>
    <row r="461" spans="1:33" x14ac:dyDescent="0.2">
      <c r="A461" s="2"/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2"/>
      <c r="M461" s="2"/>
      <c r="N461" s="2"/>
      <c r="O461" s="2"/>
      <c r="P461" s="2"/>
      <c r="Q461" s="2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0"/>
      <c r="AD461" s="80"/>
      <c r="AE461" s="80"/>
      <c r="AF461" s="80"/>
      <c r="AG461" s="80"/>
    </row>
    <row r="462" spans="1:33" x14ac:dyDescent="0.2">
      <c r="A462" s="2"/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2"/>
      <c r="M462" s="2"/>
      <c r="N462" s="2"/>
      <c r="O462" s="2"/>
      <c r="P462" s="2"/>
      <c r="Q462" s="2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0"/>
      <c r="AD462" s="80"/>
      <c r="AE462" s="80"/>
      <c r="AF462" s="80"/>
      <c r="AG462" s="80"/>
    </row>
    <row r="463" spans="1:33" x14ac:dyDescent="0.2">
      <c r="A463" s="2"/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2"/>
      <c r="M463" s="2"/>
      <c r="N463" s="2"/>
      <c r="O463" s="2"/>
      <c r="P463" s="2"/>
      <c r="Q463" s="2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0"/>
      <c r="AD463" s="80"/>
      <c r="AE463" s="80"/>
      <c r="AF463" s="80"/>
      <c r="AG463" s="80"/>
    </row>
    <row r="464" spans="1:33" x14ac:dyDescent="0.2">
      <c r="A464" s="2"/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2"/>
      <c r="M464" s="2"/>
      <c r="N464" s="2"/>
      <c r="O464" s="2"/>
      <c r="P464" s="2"/>
      <c r="Q464" s="2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0"/>
      <c r="AD464" s="80"/>
      <c r="AE464" s="80"/>
      <c r="AF464" s="80"/>
      <c r="AG464" s="80"/>
    </row>
    <row r="465" spans="1:33" x14ac:dyDescent="0.2">
      <c r="A465" s="2"/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2"/>
      <c r="M465" s="2"/>
      <c r="N465" s="2"/>
      <c r="O465" s="2"/>
      <c r="P465" s="2"/>
      <c r="Q465" s="2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0"/>
      <c r="AD465" s="80"/>
      <c r="AE465" s="80"/>
      <c r="AF465" s="80"/>
      <c r="AG465" s="80"/>
    </row>
    <row r="466" spans="1:33" x14ac:dyDescent="0.2">
      <c r="A466" s="2"/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2"/>
      <c r="M466" s="2"/>
      <c r="N466" s="2"/>
      <c r="O466" s="2"/>
      <c r="P466" s="2"/>
      <c r="Q466" s="2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0"/>
      <c r="AD466" s="80"/>
      <c r="AE466" s="80"/>
      <c r="AF466" s="80"/>
      <c r="AG466" s="80"/>
    </row>
    <row r="467" spans="1:33" x14ac:dyDescent="0.2">
      <c r="A467" s="2"/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2"/>
      <c r="M467" s="2"/>
      <c r="N467" s="2"/>
      <c r="O467" s="2"/>
      <c r="P467" s="2"/>
      <c r="Q467" s="2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0"/>
      <c r="AD467" s="80"/>
      <c r="AE467" s="80"/>
      <c r="AF467" s="80"/>
      <c r="AG467" s="80"/>
    </row>
    <row r="468" spans="1:33" x14ac:dyDescent="0.2">
      <c r="A468" s="2"/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2"/>
      <c r="M468" s="2"/>
      <c r="N468" s="2"/>
      <c r="O468" s="2"/>
      <c r="P468" s="2"/>
      <c r="Q468" s="2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0"/>
      <c r="AD468" s="80"/>
      <c r="AE468" s="80"/>
      <c r="AF468" s="80"/>
      <c r="AG468" s="80"/>
    </row>
    <row r="469" spans="1:33" x14ac:dyDescent="0.2">
      <c r="A469" s="2"/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2"/>
      <c r="M469" s="2"/>
      <c r="N469" s="2"/>
      <c r="O469" s="2"/>
      <c r="P469" s="2"/>
      <c r="Q469" s="2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0"/>
      <c r="AD469" s="80"/>
      <c r="AE469" s="80"/>
      <c r="AF469" s="80"/>
      <c r="AG469" s="80"/>
    </row>
    <row r="470" spans="1:33" x14ac:dyDescent="0.2">
      <c r="A470" s="2"/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2"/>
      <c r="M470" s="2"/>
      <c r="N470" s="2"/>
      <c r="O470" s="2"/>
      <c r="P470" s="2"/>
      <c r="Q470" s="2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0"/>
      <c r="AD470" s="80"/>
      <c r="AE470" s="80"/>
      <c r="AF470" s="80"/>
      <c r="AG470" s="80"/>
    </row>
    <row r="471" spans="1:33" x14ac:dyDescent="0.2">
      <c r="A471" s="2"/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2"/>
      <c r="M471" s="2"/>
      <c r="N471" s="2"/>
      <c r="O471" s="2"/>
      <c r="P471" s="2"/>
      <c r="Q471" s="2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0"/>
      <c r="AD471" s="80"/>
      <c r="AE471" s="80"/>
      <c r="AF471" s="80"/>
      <c r="AG471" s="80"/>
    </row>
    <row r="472" spans="1:33" x14ac:dyDescent="0.2">
      <c r="A472" s="2"/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2"/>
      <c r="M472" s="2"/>
      <c r="N472" s="2"/>
      <c r="O472" s="2"/>
      <c r="P472" s="2"/>
      <c r="Q472" s="2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0"/>
      <c r="AD472" s="80"/>
      <c r="AE472" s="80"/>
      <c r="AF472" s="80"/>
      <c r="AG472" s="80"/>
    </row>
    <row r="473" spans="1:33" x14ac:dyDescent="0.2">
      <c r="A473" s="2"/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2"/>
      <c r="M473" s="2"/>
      <c r="N473" s="2"/>
      <c r="O473" s="2"/>
      <c r="P473" s="2"/>
      <c r="Q473" s="2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0"/>
      <c r="AD473" s="80"/>
      <c r="AE473" s="80"/>
      <c r="AF473" s="80"/>
      <c r="AG473" s="80"/>
    </row>
    <row r="474" spans="1:33" x14ac:dyDescent="0.2">
      <c r="A474" s="2"/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2"/>
      <c r="M474" s="2"/>
      <c r="N474" s="2"/>
      <c r="O474" s="2"/>
      <c r="P474" s="2"/>
      <c r="Q474" s="2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0"/>
      <c r="AD474" s="80"/>
      <c r="AE474" s="80"/>
      <c r="AF474" s="80"/>
      <c r="AG474" s="80"/>
    </row>
    <row r="475" spans="1:33" x14ac:dyDescent="0.2">
      <c r="A475" s="2"/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2"/>
      <c r="M475" s="2"/>
      <c r="N475" s="2"/>
      <c r="O475" s="2"/>
      <c r="P475" s="2"/>
      <c r="Q475" s="2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0"/>
      <c r="AD475" s="80"/>
      <c r="AE475" s="80"/>
      <c r="AF475" s="80"/>
      <c r="AG475" s="80"/>
    </row>
    <row r="476" spans="1:33" x14ac:dyDescent="0.2">
      <c r="A476" s="2"/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2"/>
      <c r="M476" s="2"/>
      <c r="N476" s="2"/>
      <c r="O476" s="2"/>
      <c r="P476" s="2"/>
      <c r="Q476" s="2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0"/>
      <c r="AD476" s="80"/>
      <c r="AE476" s="80"/>
      <c r="AF476" s="80"/>
      <c r="AG476" s="80"/>
    </row>
    <row r="477" spans="1:33" x14ac:dyDescent="0.2">
      <c r="A477" s="2"/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2"/>
      <c r="M477" s="2"/>
      <c r="N477" s="2"/>
      <c r="O477" s="2"/>
      <c r="P477" s="2"/>
      <c r="Q477" s="2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0"/>
      <c r="AD477" s="80"/>
      <c r="AE477" s="80"/>
      <c r="AF477" s="80"/>
      <c r="AG477" s="80"/>
    </row>
    <row r="478" spans="1:33" x14ac:dyDescent="0.2">
      <c r="A478" s="2"/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2"/>
      <c r="M478" s="2"/>
      <c r="N478" s="2"/>
      <c r="O478" s="2"/>
      <c r="P478" s="2"/>
      <c r="Q478" s="2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0"/>
      <c r="AD478" s="80"/>
      <c r="AE478" s="80"/>
      <c r="AF478" s="80"/>
      <c r="AG478" s="80"/>
    </row>
    <row r="479" spans="1:33" x14ac:dyDescent="0.2">
      <c r="A479" s="2"/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2"/>
      <c r="M479" s="2"/>
      <c r="N479" s="2"/>
      <c r="O479" s="2"/>
      <c r="P479" s="2"/>
      <c r="Q479" s="2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0"/>
      <c r="AD479" s="80"/>
      <c r="AE479" s="80"/>
      <c r="AF479" s="80"/>
      <c r="AG479" s="80"/>
    </row>
    <row r="480" spans="1:33" x14ac:dyDescent="0.2">
      <c r="A480" s="2"/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2"/>
      <c r="M480" s="2"/>
      <c r="N480" s="2"/>
      <c r="O480" s="2"/>
      <c r="P480" s="2"/>
      <c r="Q480" s="2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0"/>
      <c r="AD480" s="80"/>
      <c r="AE480" s="80"/>
      <c r="AF480" s="80"/>
      <c r="AG480" s="80"/>
    </row>
    <row r="481" spans="1:33" x14ac:dyDescent="0.2">
      <c r="A481" s="2"/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2"/>
      <c r="M481" s="2"/>
      <c r="N481" s="2"/>
      <c r="O481" s="2"/>
      <c r="P481" s="2"/>
      <c r="Q481" s="2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0"/>
      <c r="AD481" s="80"/>
      <c r="AE481" s="80"/>
      <c r="AF481" s="80"/>
      <c r="AG481" s="80"/>
    </row>
    <row r="482" spans="1:33" x14ac:dyDescent="0.2">
      <c r="A482" s="2"/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2"/>
      <c r="M482" s="2"/>
      <c r="N482" s="2"/>
      <c r="O482" s="2"/>
      <c r="P482" s="2"/>
      <c r="Q482" s="2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0"/>
      <c r="AD482" s="80"/>
      <c r="AE482" s="80"/>
      <c r="AF482" s="80"/>
      <c r="AG482" s="80"/>
    </row>
    <row r="483" spans="1:33" x14ac:dyDescent="0.2">
      <c r="A483" s="2"/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2"/>
      <c r="M483" s="2"/>
      <c r="N483" s="2"/>
      <c r="O483" s="2"/>
      <c r="P483" s="2"/>
      <c r="Q483" s="2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E483" s="80"/>
      <c r="AF483" s="80"/>
      <c r="AG483" s="80"/>
    </row>
    <row r="484" spans="1:33" x14ac:dyDescent="0.2">
      <c r="A484" s="2"/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2"/>
      <c r="M484" s="2"/>
      <c r="N484" s="2"/>
      <c r="O484" s="2"/>
      <c r="P484" s="2"/>
      <c r="Q484" s="2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0"/>
      <c r="AD484" s="80"/>
      <c r="AE484" s="80"/>
      <c r="AF484" s="80"/>
      <c r="AG484" s="80"/>
    </row>
    <row r="485" spans="1:33" x14ac:dyDescent="0.2">
      <c r="A485" s="2"/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2"/>
      <c r="M485" s="2"/>
      <c r="N485" s="2"/>
      <c r="O485" s="2"/>
      <c r="P485" s="2"/>
      <c r="Q485" s="2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  <c r="AD485" s="80"/>
      <c r="AE485" s="80"/>
      <c r="AF485" s="80"/>
      <c r="AG485" s="80"/>
    </row>
    <row r="486" spans="1:33" x14ac:dyDescent="0.2">
      <c r="A486" s="2"/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2"/>
      <c r="M486" s="2"/>
      <c r="N486" s="2"/>
      <c r="O486" s="2"/>
      <c r="P486" s="2"/>
      <c r="Q486" s="2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0"/>
      <c r="AD486" s="80"/>
      <c r="AE486" s="80"/>
      <c r="AF486" s="80"/>
      <c r="AG486" s="80"/>
    </row>
    <row r="487" spans="1:33" x14ac:dyDescent="0.2">
      <c r="A487" s="2"/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2"/>
      <c r="M487" s="2"/>
      <c r="N487" s="2"/>
      <c r="O487" s="2"/>
      <c r="P487" s="2"/>
      <c r="Q487" s="2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0"/>
      <c r="AD487" s="80"/>
      <c r="AE487" s="80"/>
      <c r="AF487" s="80"/>
      <c r="AG487" s="80"/>
    </row>
    <row r="488" spans="1:33" x14ac:dyDescent="0.2">
      <c r="A488" s="2"/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2"/>
      <c r="M488" s="2"/>
      <c r="N488" s="2"/>
      <c r="O488" s="2"/>
      <c r="P488" s="2"/>
      <c r="Q488" s="2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0"/>
      <c r="AD488" s="80"/>
      <c r="AE488" s="80"/>
      <c r="AF488" s="80"/>
      <c r="AG488" s="80"/>
    </row>
    <row r="489" spans="1:33" x14ac:dyDescent="0.2">
      <c r="A489" s="2"/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2"/>
      <c r="M489" s="2"/>
      <c r="N489" s="2"/>
      <c r="O489" s="2"/>
      <c r="P489" s="2"/>
      <c r="Q489" s="2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0"/>
      <c r="AD489" s="80"/>
      <c r="AE489" s="80"/>
      <c r="AF489" s="80"/>
      <c r="AG489" s="80"/>
    </row>
    <row r="490" spans="1:33" x14ac:dyDescent="0.2">
      <c r="A490" s="2"/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2"/>
      <c r="M490" s="2"/>
      <c r="N490" s="2"/>
      <c r="O490" s="2"/>
      <c r="P490" s="2"/>
      <c r="Q490" s="2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0"/>
      <c r="AD490" s="80"/>
      <c r="AE490" s="80"/>
      <c r="AF490" s="80"/>
      <c r="AG490" s="80"/>
    </row>
    <row r="491" spans="1:33" x14ac:dyDescent="0.2">
      <c r="A491" s="2"/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2"/>
      <c r="M491" s="2"/>
      <c r="N491" s="2"/>
      <c r="O491" s="2"/>
      <c r="P491" s="2"/>
      <c r="Q491" s="2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0"/>
      <c r="AD491" s="80"/>
      <c r="AE491" s="80"/>
      <c r="AF491" s="80"/>
      <c r="AG491" s="80"/>
    </row>
    <row r="492" spans="1:33" x14ac:dyDescent="0.2">
      <c r="A492" s="2"/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2"/>
      <c r="M492" s="2"/>
      <c r="N492" s="2"/>
      <c r="O492" s="2"/>
      <c r="P492" s="2"/>
      <c r="Q492" s="2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0"/>
      <c r="AD492" s="80"/>
      <c r="AE492" s="80"/>
      <c r="AF492" s="80"/>
      <c r="AG492" s="80"/>
    </row>
    <row r="493" spans="1:33" x14ac:dyDescent="0.2">
      <c r="A493" s="2"/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2"/>
      <c r="M493" s="2"/>
      <c r="N493" s="2"/>
      <c r="O493" s="2"/>
      <c r="P493" s="2"/>
      <c r="Q493" s="2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0"/>
      <c r="AD493" s="80"/>
      <c r="AE493" s="80"/>
      <c r="AF493" s="80"/>
      <c r="AG493" s="80"/>
    </row>
    <row r="494" spans="1:33" x14ac:dyDescent="0.2">
      <c r="A494" s="2"/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2"/>
      <c r="M494" s="2"/>
      <c r="N494" s="2"/>
      <c r="O494" s="2"/>
      <c r="P494" s="2"/>
      <c r="Q494" s="2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0"/>
      <c r="AD494" s="80"/>
      <c r="AE494" s="80"/>
      <c r="AF494" s="80"/>
      <c r="AG494" s="80"/>
    </row>
    <row r="495" spans="1:33" x14ac:dyDescent="0.2">
      <c r="A495" s="2"/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2"/>
      <c r="M495" s="2"/>
      <c r="N495" s="2"/>
      <c r="O495" s="2"/>
      <c r="P495" s="2"/>
      <c r="Q495" s="2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0"/>
      <c r="AD495" s="80"/>
      <c r="AE495" s="80"/>
      <c r="AF495" s="80"/>
      <c r="AG495" s="80"/>
    </row>
    <row r="496" spans="1:33" x14ac:dyDescent="0.2">
      <c r="A496" s="2"/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2"/>
      <c r="M496" s="2"/>
      <c r="N496" s="2"/>
      <c r="O496" s="2"/>
      <c r="P496" s="2"/>
      <c r="Q496" s="2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0"/>
      <c r="AD496" s="80"/>
      <c r="AE496" s="80"/>
      <c r="AF496" s="80"/>
      <c r="AG496" s="80"/>
    </row>
    <row r="497" spans="1:33" x14ac:dyDescent="0.2">
      <c r="A497" s="2"/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2"/>
      <c r="M497" s="2"/>
      <c r="N497" s="2"/>
      <c r="O497" s="2"/>
      <c r="P497" s="2"/>
      <c r="Q497" s="2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0"/>
      <c r="AD497" s="80"/>
      <c r="AE497" s="80"/>
      <c r="AF497" s="80"/>
      <c r="AG497" s="80"/>
    </row>
    <row r="498" spans="1:33" x14ac:dyDescent="0.2">
      <c r="A498" s="2"/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2"/>
      <c r="M498" s="2"/>
      <c r="N498" s="2"/>
      <c r="O498" s="2"/>
      <c r="P498" s="2"/>
      <c r="Q498" s="2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0"/>
      <c r="AD498" s="80"/>
      <c r="AE498" s="80"/>
      <c r="AF498" s="80"/>
      <c r="AG498" s="80"/>
    </row>
    <row r="499" spans="1:33" x14ac:dyDescent="0.2">
      <c r="A499" s="2"/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2"/>
      <c r="M499" s="2"/>
      <c r="N499" s="2"/>
      <c r="O499" s="2"/>
      <c r="P499" s="2"/>
      <c r="Q499" s="2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0"/>
      <c r="AD499" s="80"/>
      <c r="AE499" s="80"/>
      <c r="AF499" s="80"/>
      <c r="AG499" s="80"/>
    </row>
    <row r="500" spans="1:33" x14ac:dyDescent="0.2">
      <c r="A500" s="2"/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2"/>
      <c r="M500" s="2"/>
      <c r="N500" s="2"/>
      <c r="O500" s="2"/>
      <c r="P500" s="2"/>
      <c r="Q500" s="2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0"/>
      <c r="AD500" s="80"/>
      <c r="AE500" s="80"/>
      <c r="AF500" s="80"/>
      <c r="AG500" s="80"/>
    </row>
    <row r="501" spans="1:33" x14ac:dyDescent="0.2">
      <c r="A501" s="2"/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2"/>
      <c r="M501" s="2"/>
      <c r="N501" s="2"/>
      <c r="O501" s="2"/>
      <c r="P501" s="2"/>
      <c r="Q501" s="2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0"/>
      <c r="AD501" s="80"/>
      <c r="AE501" s="80"/>
      <c r="AF501" s="80"/>
      <c r="AG501" s="80"/>
    </row>
    <row r="502" spans="1:33" x14ac:dyDescent="0.2">
      <c r="A502" s="2"/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2"/>
      <c r="M502" s="2"/>
      <c r="N502" s="2"/>
      <c r="O502" s="2"/>
      <c r="P502" s="2"/>
      <c r="Q502" s="2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0"/>
      <c r="AD502" s="80"/>
      <c r="AE502" s="80"/>
      <c r="AF502" s="80"/>
      <c r="AG502" s="80"/>
    </row>
    <row r="503" spans="1:33" x14ac:dyDescent="0.2">
      <c r="A503" s="2"/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2"/>
      <c r="M503" s="2"/>
      <c r="N503" s="2"/>
      <c r="O503" s="2"/>
      <c r="P503" s="2"/>
      <c r="Q503" s="2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0"/>
      <c r="AD503" s="80"/>
      <c r="AE503" s="80"/>
      <c r="AF503" s="80"/>
      <c r="AG503" s="80"/>
    </row>
    <row r="504" spans="1:33" x14ac:dyDescent="0.2">
      <c r="A504" s="2"/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2"/>
      <c r="M504" s="2"/>
      <c r="N504" s="2"/>
      <c r="O504" s="2"/>
      <c r="P504" s="2"/>
      <c r="Q504" s="2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0"/>
      <c r="AD504" s="80"/>
      <c r="AE504" s="80"/>
      <c r="AF504" s="80"/>
      <c r="AG504" s="80"/>
    </row>
    <row r="505" spans="1:33" x14ac:dyDescent="0.2">
      <c r="A505" s="2"/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2"/>
      <c r="M505" s="2"/>
      <c r="N505" s="2"/>
      <c r="O505" s="2"/>
      <c r="P505" s="2"/>
      <c r="Q505" s="2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0"/>
      <c r="AD505" s="80"/>
      <c r="AE505" s="80"/>
      <c r="AF505" s="80"/>
      <c r="AG505" s="80"/>
    </row>
    <row r="506" spans="1:33" x14ac:dyDescent="0.2">
      <c r="A506" s="2"/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2"/>
      <c r="M506" s="2"/>
      <c r="N506" s="2"/>
      <c r="O506" s="2"/>
      <c r="P506" s="2"/>
      <c r="Q506" s="2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0"/>
      <c r="AD506" s="80"/>
      <c r="AE506" s="80"/>
      <c r="AF506" s="80"/>
      <c r="AG506" s="80"/>
    </row>
    <row r="507" spans="1:33" x14ac:dyDescent="0.2">
      <c r="A507" s="2"/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2"/>
      <c r="M507" s="2"/>
      <c r="N507" s="2"/>
      <c r="O507" s="2"/>
      <c r="P507" s="2"/>
      <c r="Q507" s="2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0"/>
      <c r="AD507" s="80"/>
      <c r="AE507" s="80"/>
      <c r="AF507" s="80"/>
      <c r="AG507" s="80"/>
    </row>
    <row r="508" spans="1:33" x14ac:dyDescent="0.2">
      <c r="A508" s="2"/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2"/>
      <c r="M508" s="2"/>
      <c r="N508" s="2"/>
      <c r="O508" s="2"/>
      <c r="P508" s="2"/>
      <c r="Q508" s="2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0"/>
      <c r="AD508" s="80"/>
      <c r="AE508" s="80"/>
      <c r="AF508" s="80"/>
      <c r="AG508" s="80"/>
    </row>
    <row r="509" spans="1:33" x14ac:dyDescent="0.2">
      <c r="A509" s="2"/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2"/>
      <c r="M509" s="2"/>
      <c r="N509" s="2"/>
      <c r="O509" s="2"/>
      <c r="P509" s="2"/>
      <c r="Q509" s="2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0"/>
      <c r="AD509" s="80"/>
      <c r="AE509" s="80"/>
      <c r="AF509" s="80"/>
      <c r="AG509" s="80"/>
    </row>
    <row r="510" spans="1:33" x14ac:dyDescent="0.2">
      <c r="A510" s="2"/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2"/>
      <c r="M510" s="2"/>
      <c r="N510" s="2"/>
      <c r="O510" s="2"/>
      <c r="P510" s="2"/>
      <c r="Q510" s="2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0"/>
      <c r="AD510" s="80"/>
      <c r="AE510" s="80"/>
      <c r="AF510" s="80"/>
      <c r="AG510" s="80"/>
    </row>
    <row r="511" spans="1:33" x14ac:dyDescent="0.2">
      <c r="A511" s="2"/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2"/>
      <c r="M511" s="2"/>
      <c r="N511" s="2"/>
      <c r="O511" s="2"/>
      <c r="P511" s="2"/>
      <c r="Q511" s="2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0"/>
      <c r="AD511" s="80"/>
      <c r="AE511" s="80"/>
      <c r="AF511" s="80"/>
      <c r="AG511" s="80"/>
    </row>
    <row r="512" spans="1:33" x14ac:dyDescent="0.2">
      <c r="A512" s="2"/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2"/>
      <c r="M512" s="2"/>
      <c r="N512" s="2"/>
      <c r="O512" s="2"/>
      <c r="P512" s="2"/>
      <c r="Q512" s="2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0"/>
      <c r="AD512" s="80"/>
      <c r="AE512" s="80"/>
      <c r="AF512" s="80"/>
      <c r="AG512" s="80"/>
    </row>
    <row r="513" spans="1:33" x14ac:dyDescent="0.2">
      <c r="A513" s="2"/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2"/>
      <c r="M513" s="2"/>
      <c r="N513" s="2"/>
      <c r="O513" s="2"/>
      <c r="P513" s="2"/>
      <c r="Q513" s="2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0"/>
      <c r="AD513" s="80"/>
      <c r="AE513" s="80"/>
      <c r="AF513" s="80"/>
      <c r="AG513" s="80"/>
    </row>
    <row r="514" spans="1:33" x14ac:dyDescent="0.2">
      <c r="A514" s="2"/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2"/>
      <c r="M514" s="2"/>
      <c r="N514" s="2"/>
      <c r="O514" s="2"/>
      <c r="P514" s="2"/>
      <c r="Q514" s="2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0"/>
      <c r="AD514" s="80"/>
      <c r="AE514" s="80"/>
      <c r="AF514" s="80"/>
      <c r="AG514" s="80"/>
    </row>
    <row r="515" spans="1:33" x14ac:dyDescent="0.2">
      <c r="A515" s="2"/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2"/>
      <c r="M515" s="2"/>
      <c r="N515" s="2"/>
      <c r="O515" s="2"/>
      <c r="P515" s="2"/>
      <c r="Q515" s="2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0"/>
      <c r="AD515" s="80"/>
      <c r="AE515" s="80"/>
      <c r="AF515" s="80"/>
      <c r="AG515" s="80"/>
    </row>
    <row r="516" spans="1:33" x14ac:dyDescent="0.2">
      <c r="A516" s="2"/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2"/>
      <c r="M516" s="2"/>
      <c r="N516" s="2"/>
      <c r="O516" s="2"/>
      <c r="P516" s="2"/>
      <c r="Q516" s="2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0"/>
      <c r="AD516" s="80"/>
      <c r="AE516" s="80"/>
      <c r="AF516" s="80"/>
      <c r="AG516" s="80"/>
    </row>
    <row r="517" spans="1:33" x14ac:dyDescent="0.2">
      <c r="A517" s="2"/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2"/>
      <c r="M517" s="2"/>
      <c r="N517" s="2"/>
      <c r="O517" s="2"/>
      <c r="P517" s="2"/>
      <c r="Q517" s="2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0"/>
      <c r="AD517" s="80"/>
      <c r="AE517" s="80"/>
      <c r="AF517" s="80"/>
      <c r="AG517" s="80"/>
    </row>
    <row r="518" spans="1:33" x14ac:dyDescent="0.2">
      <c r="A518" s="2"/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2"/>
      <c r="M518" s="2"/>
      <c r="N518" s="2"/>
      <c r="O518" s="2"/>
      <c r="P518" s="2"/>
      <c r="Q518" s="2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0"/>
      <c r="AD518" s="80"/>
      <c r="AE518" s="80"/>
      <c r="AF518" s="80"/>
      <c r="AG518" s="80"/>
    </row>
    <row r="519" spans="1:33" x14ac:dyDescent="0.2">
      <c r="A519" s="2"/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2"/>
      <c r="M519" s="2"/>
      <c r="N519" s="2"/>
      <c r="O519" s="2"/>
      <c r="P519" s="2"/>
      <c r="Q519" s="2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0"/>
      <c r="AD519" s="80"/>
      <c r="AE519" s="80"/>
      <c r="AF519" s="80"/>
      <c r="AG519" s="80"/>
    </row>
    <row r="520" spans="1:33" x14ac:dyDescent="0.2">
      <c r="A520" s="2"/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2"/>
      <c r="M520" s="2"/>
      <c r="N520" s="2"/>
      <c r="O520" s="2"/>
      <c r="P520" s="2"/>
      <c r="Q520" s="2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0"/>
      <c r="AD520" s="80"/>
      <c r="AE520" s="80"/>
      <c r="AF520" s="80"/>
      <c r="AG520" s="80"/>
    </row>
    <row r="521" spans="1:33" x14ac:dyDescent="0.2">
      <c r="A521" s="2"/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2"/>
      <c r="M521" s="2"/>
      <c r="N521" s="2"/>
      <c r="O521" s="2"/>
      <c r="P521" s="2"/>
      <c r="Q521" s="2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0"/>
      <c r="AD521" s="80"/>
      <c r="AE521" s="80"/>
      <c r="AF521" s="80"/>
      <c r="AG521" s="80"/>
    </row>
    <row r="522" spans="1:33" x14ac:dyDescent="0.2">
      <c r="A522" s="2"/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2"/>
      <c r="M522" s="2"/>
      <c r="N522" s="2"/>
      <c r="O522" s="2"/>
      <c r="P522" s="2"/>
      <c r="Q522" s="2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0"/>
      <c r="AD522" s="80"/>
      <c r="AE522" s="80"/>
      <c r="AF522" s="80"/>
      <c r="AG522" s="80"/>
    </row>
    <row r="523" spans="1:33" x14ac:dyDescent="0.2">
      <c r="A523" s="2"/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2"/>
      <c r="M523" s="2"/>
      <c r="N523" s="2"/>
      <c r="O523" s="2"/>
      <c r="P523" s="2"/>
      <c r="Q523" s="2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0"/>
      <c r="AD523" s="80"/>
      <c r="AE523" s="80"/>
      <c r="AF523" s="80"/>
      <c r="AG523" s="80"/>
    </row>
    <row r="524" spans="1:33" x14ac:dyDescent="0.2">
      <c r="A524" s="2"/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2"/>
      <c r="M524" s="2"/>
      <c r="N524" s="2"/>
      <c r="O524" s="2"/>
      <c r="P524" s="2"/>
      <c r="Q524" s="2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0"/>
      <c r="AD524" s="80"/>
      <c r="AE524" s="80"/>
      <c r="AF524" s="80"/>
      <c r="AG524" s="80"/>
    </row>
    <row r="525" spans="1:33" x14ac:dyDescent="0.2">
      <c r="A525" s="2"/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2"/>
      <c r="M525" s="2"/>
      <c r="N525" s="2"/>
      <c r="O525" s="2"/>
      <c r="P525" s="2"/>
      <c r="Q525" s="2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0"/>
      <c r="AD525" s="80"/>
      <c r="AE525" s="80"/>
      <c r="AF525" s="80"/>
      <c r="AG525" s="80"/>
    </row>
    <row r="526" spans="1:33" x14ac:dyDescent="0.2">
      <c r="A526" s="2"/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2"/>
      <c r="M526" s="2"/>
      <c r="N526" s="2"/>
      <c r="O526" s="2"/>
      <c r="P526" s="2"/>
      <c r="Q526" s="2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0"/>
      <c r="AD526" s="80"/>
      <c r="AE526" s="80"/>
      <c r="AF526" s="80"/>
      <c r="AG526" s="80"/>
    </row>
    <row r="527" spans="1:33" x14ac:dyDescent="0.2">
      <c r="A527" s="2"/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2"/>
      <c r="M527" s="2"/>
      <c r="N527" s="2"/>
      <c r="O527" s="2"/>
      <c r="P527" s="2"/>
      <c r="Q527" s="2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0"/>
      <c r="AD527" s="80"/>
      <c r="AE527" s="80"/>
      <c r="AF527" s="80"/>
      <c r="AG527" s="80"/>
    </row>
    <row r="528" spans="1:33" x14ac:dyDescent="0.2">
      <c r="A528" s="2"/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2"/>
      <c r="M528" s="2"/>
      <c r="N528" s="2"/>
      <c r="O528" s="2"/>
      <c r="P528" s="2"/>
      <c r="Q528" s="2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0"/>
      <c r="AD528" s="80"/>
      <c r="AE528" s="80"/>
      <c r="AF528" s="80"/>
      <c r="AG528" s="80"/>
    </row>
    <row r="529" spans="1:33" x14ac:dyDescent="0.2">
      <c r="A529" s="2"/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2"/>
      <c r="M529" s="2"/>
      <c r="N529" s="2"/>
      <c r="O529" s="2"/>
      <c r="P529" s="2"/>
      <c r="Q529" s="2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0"/>
      <c r="AD529" s="80"/>
      <c r="AE529" s="80"/>
      <c r="AF529" s="80"/>
      <c r="AG529" s="80"/>
    </row>
    <row r="530" spans="1:33" x14ac:dyDescent="0.2">
      <c r="A530" s="2"/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2"/>
      <c r="M530" s="2"/>
      <c r="N530" s="2"/>
      <c r="O530" s="2"/>
      <c r="P530" s="2"/>
      <c r="Q530" s="2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0"/>
      <c r="AD530" s="80"/>
      <c r="AE530" s="80"/>
      <c r="AF530" s="80"/>
      <c r="AG530" s="80"/>
    </row>
    <row r="531" spans="1:33" x14ac:dyDescent="0.2">
      <c r="A531" s="2"/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2"/>
      <c r="M531" s="2"/>
      <c r="N531" s="2"/>
      <c r="O531" s="2"/>
      <c r="P531" s="2"/>
      <c r="Q531" s="2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0"/>
      <c r="AD531" s="80"/>
      <c r="AE531" s="80"/>
      <c r="AF531" s="80"/>
      <c r="AG531" s="80"/>
    </row>
    <row r="532" spans="1:33" x14ac:dyDescent="0.2">
      <c r="A532" s="2"/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2"/>
      <c r="M532" s="2"/>
      <c r="N532" s="2"/>
      <c r="O532" s="2"/>
      <c r="P532" s="2"/>
      <c r="Q532" s="2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0"/>
      <c r="AD532" s="80"/>
      <c r="AE532" s="80"/>
      <c r="AF532" s="80"/>
      <c r="AG532" s="80"/>
    </row>
    <row r="533" spans="1:33" x14ac:dyDescent="0.2">
      <c r="A533" s="2"/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2"/>
      <c r="M533" s="2"/>
      <c r="N533" s="2"/>
      <c r="O533" s="2"/>
      <c r="P533" s="2"/>
      <c r="Q533" s="2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0"/>
      <c r="AD533" s="80"/>
      <c r="AE533" s="80"/>
      <c r="AF533" s="80"/>
      <c r="AG533" s="80"/>
    </row>
    <row r="534" spans="1:33" x14ac:dyDescent="0.2">
      <c r="A534" s="2"/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2"/>
      <c r="M534" s="2"/>
      <c r="N534" s="2"/>
      <c r="O534" s="2"/>
      <c r="P534" s="2"/>
      <c r="Q534" s="2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0"/>
      <c r="AD534" s="80"/>
      <c r="AE534" s="80"/>
      <c r="AF534" s="80"/>
      <c r="AG534" s="80"/>
    </row>
    <row r="535" spans="1:33" x14ac:dyDescent="0.2">
      <c r="A535" s="2"/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2"/>
      <c r="M535" s="2"/>
      <c r="N535" s="2"/>
      <c r="O535" s="2"/>
      <c r="P535" s="2"/>
      <c r="Q535" s="2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0"/>
      <c r="AD535" s="80"/>
      <c r="AE535" s="80"/>
      <c r="AF535" s="80"/>
      <c r="AG535" s="80"/>
    </row>
    <row r="536" spans="1:33" x14ac:dyDescent="0.2">
      <c r="A536" s="2"/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2"/>
      <c r="M536" s="2"/>
      <c r="N536" s="2"/>
      <c r="O536" s="2"/>
      <c r="P536" s="2"/>
      <c r="Q536" s="2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0"/>
      <c r="AD536" s="80"/>
      <c r="AE536" s="80"/>
      <c r="AF536" s="80"/>
      <c r="AG536" s="80"/>
    </row>
    <row r="537" spans="1:33" x14ac:dyDescent="0.2">
      <c r="A537" s="2"/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2"/>
      <c r="M537" s="2"/>
      <c r="N537" s="2"/>
      <c r="O537" s="2"/>
      <c r="P537" s="2"/>
      <c r="Q537" s="2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0"/>
      <c r="AD537" s="80"/>
      <c r="AE537" s="80"/>
      <c r="AF537" s="80"/>
      <c r="AG537" s="80"/>
    </row>
    <row r="538" spans="1:33" x14ac:dyDescent="0.2">
      <c r="A538" s="2"/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2"/>
      <c r="M538" s="2"/>
      <c r="N538" s="2"/>
      <c r="O538" s="2"/>
      <c r="P538" s="2"/>
      <c r="Q538" s="2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0"/>
      <c r="AD538" s="80"/>
      <c r="AE538" s="80"/>
      <c r="AF538" s="80"/>
      <c r="AG538" s="80"/>
    </row>
    <row r="539" spans="1:33" x14ac:dyDescent="0.2">
      <c r="A539" s="2"/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2"/>
      <c r="M539" s="2"/>
      <c r="N539" s="2"/>
      <c r="O539" s="2"/>
      <c r="P539" s="2"/>
      <c r="Q539" s="2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0"/>
      <c r="AD539" s="80"/>
      <c r="AE539" s="80"/>
      <c r="AF539" s="80"/>
      <c r="AG539" s="80"/>
    </row>
    <row r="540" spans="1:33" x14ac:dyDescent="0.2">
      <c r="A540" s="2"/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2"/>
      <c r="M540" s="2"/>
      <c r="N540" s="2"/>
      <c r="O540" s="2"/>
      <c r="P540" s="2"/>
      <c r="Q540" s="2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0"/>
      <c r="AD540" s="80"/>
      <c r="AE540" s="80"/>
      <c r="AF540" s="80"/>
      <c r="AG540" s="80"/>
    </row>
    <row r="541" spans="1:33" x14ac:dyDescent="0.2">
      <c r="A541" s="2"/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2"/>
      <c r="M541" s="2"/>
      <c r="N541" s="2"/>
      <c r="O541" s="2"/>
      <c r="P541" s="2"/>
      <c r="Q541" s="2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0"/>
      <c r="AD541" s="80"/>
      <c r="AE541" s="80"/>
      <c r="AF541" s="80"/>
      <c r="AG541" s="80"/>
    </row>
    <row r="542" spans="1:33" x14ac:dyDescent="0.2">
      <c r="A542" s="2"/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2"/>
      <c r="M542" s="2"/>
      <c r="N542" s="2"/>
      <c r="O542" s="2"/>
      <c r="P542" s="2"/>
      <c r="Q542" s="2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0"/>
      <c r="AD542" s="80"/>
      <c r="AE542" s="80"/>
      <c r="AF542" s="80"/>
      <c r="AG542" s="80"/>
    </row>
    <row r="543" spans="1:33" x14ac:dyDescent="0.2">
      <c r="A543" s="2"/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2"/>
      <c r="M543" s="2"/>
      <c r="N543" s="2"/>
      <c r="O543" s="2"/>
      <c r="P543" s="2"/>
      <c r="Q543" s="2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0"/>
      <c r="AD543" s="80"/>
      <c r="AE543" s="80"/>
      <c r="AF543" s="80"/>
      <c r="AG543" s="80"/>
    </row>
    <row r="544" spans="1:33" x14ac:dyDescent="0.2">
      <c r="A544" s="2"/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2"/>
      <c r="M544" s="2"/>
      <c r="N544" s="2"/>
      <c r="O544" s="2"/>
      <c r="P544" s="2"/>
      <c r="Q544" s="2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0"/>
      <c r="AD544" s="80"/>
      <c r="AE544" s="80"/>
      <c r="AF544" s="80"/>
      <c r="AG544" s="80"/>
    </row>
    <row r="545" spans="1:33" x14ac:dyDescent="0.2">
      <c r="A545" s="2"/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2"/>
      <c r="M545" s="2"/>
      <c r="N545" s="2"/>
      <c r="O545" s="2"/>
      <c r="P545" s="2"/>
      <c r="Q545" s="2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0"/>
      <c r="AD545" s="80"/>
      <c r="AE545" s="80"/>
      <c r="AF545" s="80"/>
      <c r="AG545" s="80"/>
    </row>
    <row r="546" spans="1:33" x14ac:dyDescent="0.2">
      <c r="A546" s="2"/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2"/>
      <c r="M546" s="2"/>
      <c r="N546" s="2"/>
      <c r="O546" s="2"/>
      <c r="P546" s="2"/>
      <c r="Q546" s="2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0"/>
      <c r="AD546" s="80"/>
      <c r="AE546" s="80"/>
      <c r="AF546" s="80"/>
      <c r="AG546" s="80"/>
    </row>
    <row r="547" spans="1:33" x14ac:dyDescent="0.2">
      <c r="A547" s="2"/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2"/>
      <c r="M547" s="2"/>
      <c r="N547" s="2"/>
      <c r="O547" s="2"/>
      <c r="P547" s="2"/>
      <c r="Q547" s="2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0"/>
      <c r="AD547" s="80"/>
      <c r="AE547" s="80"/>
      <c r="AF547" s="80"/>
      <c r="AG547" s="80"/>
    </row>
    <row r="548" spans="1:33" x14ac:dyDescent="0.2">
      <c r="A548" s="2"/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2"/>
      <c r="M548" s="2"/>
      <c r="N548" s="2"/>
      <c r="O548" s="2"/>
      <c r="P548" s="2"/>
      <c r="Q548" s="2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0"/>
      <c r="AD548" s="80"/>
      <c r="AE548" s="80"/>
      <c r="AF548" s="80"/>
      <c r="AG548" s="80"/>
    </row>
    <row r="549" spans="1:33" x14ac:dyDescent="0.2">
      <c r="A549" s="2"/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2"/>
      <c r="M549" s="2"/>
      <c r="N549" s="2"/>
      <c r="O549" s="2"/>
      <c r="P549" s="2"/>
      <c r="Q549" s="2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0"/>
      <c r="AD549" s="80"/>
      <c r="AE549" s="80"/>
      <c r="AF549" s="80"/>
      <c r="AG549" s="80"/>
    </row>
    <row r="550" spans="1:33" x14ac:dyDescent="0.2">
      <c r="A550" s="2"/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2"/>
      <c r="M550" s="2"/>
      <c r="N550" s="2"/>
      <c r="O550" s="2"/>
      <c r="P550" s="2"/>
      <c r="Q550" s="2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0"/>
      <c r="AD550" s="80"/>
      <c r="AE550" s="80"/>
      <c r="AF550" s="80"/>
      <c r="AG550" s="80"/>
    </row>
    <row r="551" spans="1:33" x14ac:dyDescent="0.2">
      <c r="A551" s="2"/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2"/>
      <c r="M551" s="2"/>
      <c r="N551" s="2"/>
      <c r="O551" s="2"/>
      <c r="P551" s="2"/>
      <c r="Q551" s="2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0"/>
      <c r="AD551" s="80"/>
      <c r="AE551" s="80"/>
      <c r="AF551" s="80"/>
      <c r="AG551" s="80"/>
    </row>
    <row r="552" spans="1:33" x14ac:dyDescent="0.2">
      <c r="A552" s="2"/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2"/>
      <c r="M552" s="2"/>
      <c r="N552" s="2"/>
      <c r="O552" s="2"/>
      <c r="P552" s="2"/>
      <c r="Q552" s="2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0"/>
      <c r="AD552" s="80"/>
      <c r="AE552" s="80"/>
      <c r="AF552" s="80"/>
      <c r="AG552" s="80"/>
    </row>
    <row r="553" spans="1:33" x14ac:dyDescent="0.2">
      <c r="A553" s="2"/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2"/>
      <c r="M553" s="2"/>
      <c r="N553" s="2"/>
      <c r="O553" s="2"/>
      <c r="P553" s="2"/>
      <c r="Q553" s="2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0"/>
      <c r="AD553" s="80"/>
      <c r="AE553" s="80"/>
      <c r="AF553" s="80"/>
      <c r="AG553" s="80"/>
    </row>
    <row r="554" spans="1:33" x14ac:dyDescent="0.2">
      <c r="A554" s="2"/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2"/>
      <c r="M554" s="2"/>
      <c r="N554" s="2"/>
      <c r="O554" s="2"/>
      <c r="P554" s="2"/>
      <c r="Q554" s="2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0"/>
      <c r="AD554" s="80"/>
      <c r="AE554" s="80"/>
      <c r="AF554" s="80"/>
      <c r="AG554" s="80"/>
    </row>
    <row r="555" spans="1:33" x14ac:dyDescent="0.2">
      <c r="A555" s="2"/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2"/>
      <c r="M555" s="2"/>
      <c r="N555" s="2"/>
      <c r="O555" s="2"/>
      <c r="P555" s="2"/>
      <c r="Q555" s="2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0"/>
      <c r="AD555" s="80"/>
      <c r="AE555" s="80"/>
      <c r="AF555" s="80"/>
      <c r="AG555" s="80"/>
    </row>
    <row r="556" spans="1:33" x14ac:dyDescent="0.2">
      <c r="A556" s="2"/>
      <c r="B556" s="80"/>
      <c r="C556" s="80"/>
      <c r="D556" s="80"/>
      <c r="E556" s="80"/>
      <c r="F556" s="80"/>
      <c r="G556" s="80"/>
      <c r="H556" s="80"/>
      <c r="I556" s="80"/>
      <c r="J556" s="80"/>
      <c r="K556" s="80"/>
      <c r="L556" s="2"/>
      <c r="M556" s="2"/>
      <c r="N556" s="2"/>
      <c r="O556" s="2"/>
      <c r="P556" s="2"/>
      <c r="Q556" s="2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0"/>
      <c r="AD556" s="80"/>
      <c r="AE556" s="80"/>
      <c r="AF556" s="80"/>
      <c r="AG556" s="80"/>
    </row>
    <row r="557" spans="1:33" x14ac:dyDescent="0.2">
      <c r="A557" s="2"/>
      <c r="B557" s="80"/>
      <c r="C557" s="80"/>
      <c r="D557" s="80"/>
      <c r="E557" s="80"/>
      <c r="F557" s="80"/>
      <c r="G557" s="80"/>
      <c r="H557" s="80"/>
      <c r="I557" s="80"/>
      <c r="J557" s="80"/>
      <c r="K557" s="80"/>
      <c r="L557" s="2"/>
      <c r="M557" s="2"/>
      <c r="N557" s="2"/>
      <c r="O557" s="2"/>
      <c r="P557" s="2"/>
      <c r="Q557" s="2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0"/>
      <c r="AD557" s="80"/>
      <c r="AE557" s="80"/>
      <c r="AF557" s="80"/>
      <c r="AG557" s="80"/>
    </row>
    <row r="558" spans="1:33" x14ac:dyDescent="0.2">
      <c r="A558" s="2"/>
      <c r="B558" s="80"/>
      <c r="C558" s="80"/>
      <c r="D558" s="80"/>
      <c r="E558" s="80"/>
      <c r="F558" s="80"/>
      <c r="G558" s="80"/>
      <c r="H558" s="80"/>
      <c r="I558" s="80"/>
      <c r="J558" s="80"/>
      <c r="K558" s="80"/>
      <c r="L558" s="2"/>
      <c r="M558" s="2"/>
      <c r="N558" s="2"/>
      <c r="O558" s="2"/>
      <c r="P558" s="2"/>
      <c r="Q558" s="2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0"/>
      <c r="AD558" s="80"/>
      <c r="AE558" s="80"/>
      <c r="AF558" s="80"/>
      <c r="AG558" s="80"/>
    </row>
    <row r="559" spans="1:33" x14ac:dyDescent="0.2">
      <c r="A559" s="2"/>
      <c r="B559" s="80"/>
      <c r="C559" s="80"/>
      <c r="D559" s="80"/>
      <c r="E559" s="80"/>
      <c r="F559" s="80"/>
      <c r="G559" s="80"/>
      <c r="H559" s="80"/>
      <c r="I559" s="80"/>
      <c r="J559" s="80"/>
      <c r="K559" s="80"/>
      <c r="L559" s="2"/>
      <c r="M559" s="2"/>
      <c r="N559" s="2"/>
      <c r="O559" s="2"/>
      <c r="P559" s="2"/>
      <c r="Q559" s="2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0"/>
      <c r="AD559" s="80"/>
      <c r="AE559" s="80"/>
      <c r="AF559" s="80"/>
      <c r="AG559" s="80"/>
    </row>
    <row r="560" spans="1:33" x14ac:dyDescent="0.2">
      <c r="A560" s="2"/>
      <c r="B560" s="80"/>
      <c r="C560" s="80"/>
      <c r="D560" s="80"/>
      <c r="E560" s="80"/>
      <c r="F560" s="80"/>
      <c r="G560" s="80"/>
      <c r="H560" s="80"/>
      <c r="I560" s="80"/>
      <c r="J560" s="80"/>
      <c r="K560" s="80"/>
      <c r="L560" s="2"/>
      <c r="M560" s="2"/>
      <c r="N560" s="2"/>
      <c r="O560" s="2"/>
      <c r="P560" s="2"/>
      <c r="Q560" s="2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0"/>
      <c r="AD560" s="80"/>
      <c r="AE560" s="80"/>
      <c r="AF560" s="80"/>
      <c r="AG560" s="80"/>
    </row>
    <row r="561" spans="1:33" x14ac:dyDescent="0.2">
      <c r="A561" s="2"/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2"/>
      <c r="M561" s="2"/>
      <c r="N561" s="2"/>
      <c r="O561" s="2"/>
      <c r="P561" s="2"/>
      <c r="Q561" s="2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0"/>
      <c r="AD561" s="80"/>
      <c r="AE561" s="80"/>
      <c r="AF561" s="80"/>
      <c r="AG561" s="80"/>
    </row>
    <row r="562" spans="1:33" x14ac:dyDescent="0.2">
      <c r="A562" s="2"/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2"/>
      <c r="M562" s="2"/>
      <c r="N562" s="2"/>
      <c r="O562" s="2"/>
      <c r="P562" s="2"/>
      <c r="Q562" s="2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0"/>
      <c r="AD562" s="80"/>
      <c r="AE562" s="80"/>
      <c r="AF562" s="80"/>
      <c r="AG562" s="80"/>
    </row>
    <row r="563" spans="1:33" x14ac:dyDescent="0.2">
      <c r="A563" s="2"/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2"/>
      <c r="M563" s="2"/>
      <c r="N563" s="2"/>
      <c r="O563" s="2"/>
      <c r="P563" s="2"/>
      <c r="Q563" s="2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0"/>
      <c r="AD563" s="80"/>
      <c r="AE563" s="80"/>
      <c r="AF563" s="80"/>
      <c r="AG563" s="80"/>
    </row>
    <row r="564" spans="1:33" x14ac:dyDescent="0.2">
      <c r="A564" s="2"/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2"/>
      <c r="M564" s="2"/>
      <c r="N564" s="2"/>
      <c r="O564" s="2"/>
      <c r="P564" s="2"/>
      <c r="Q564" s="2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0"/>
      <c r="AD564" s="80"/>
      <c r="AE564" s="80"/>
      <c r="AF564" s="80"/>
      <c r="AG564" s="80"/>
    </row>
    <row r="565" spans="1:33" x14ac:dyDescent="0.2">
      <c r="A565" s="2"/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2"/>
      <c r="M565" s="2"/>
      <c r="N565" s="2"/>
      <c r="O565" s="2"/>
      <c r="P565" s="2"/>
      <c r="Q565" s="2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0"/>
      <c r="AD565" s="80"/>
      <c r="AE565" s="80"/>
      <c r="AF565" s="80"/>
      <c r="AG565" s="80"/>
    </row>
    <row r="566" spans="1:33" x14ac:dyDescent="0.2">
      <c r="A566" s="2"/>
      <c r="B566" s="80"/>
      <c r="C566" s="80"/>
      <c r="D566" s="80"/>
      <c r="E566" s="80"/>
      <c r="F566" s="80"/>
      <c r="G566" s="80"/>
      <c r="H566" s="80"/>
      <c r="I566" s="80"/>
      <c r="J566" s="80"/>
      <c r="K566" s="80"/>
      <c r="L566" s="2"/>
      <c r="M566" s="2"/>
      <c r="N566" s="2"/>
      <c r="O566" s="2"/>
      <c r="P566" s="2"/>
      <c r="Q566" s="2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0"/>
      <c r="AD566" s="80"/>
      <c r="AE566" s="80"/>
      <c r="AF566" s="80"/>
      <c r="AG566" s="80"/>
    </row>
    <row r="567" spans="1:33" x14ac:dyDescent="0.2">
      <c r="A567" s="2"/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2"/>
      <c r="M567" s="2"/>
      <c r="N567" s="2"/>
      <c r="O567" s="2"/>
      <c r="P567" s="2"/>
      <c r="Q567" s="2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0"/>
      <c r="AD567" s="80"/>
      <c r="AE567" s="80"/>
      <c r="AF567" s="80"/>
      <c r="AG567" s="80"/>
    </row>
    <row r="568" spans="1:33" x14ac:dyDescent="0.2">
      <c r="A568" s="2"/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2"/>
      <c r="M568" s="2"/>
      <c r="N568" s="2"/>
      <c r="O568" s="2"/>
      <c r="P568" s="2"/>
      <c r="Q568" s="2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0"/>
      <c r="AD568" s="80"/>
      <c r="AE568" s="80"/>
      <c r="AF568" s="80"/>
      <c r="AG568" s="80"/>
    </row>
    <row r="569" spans="1:33" x14ac:dyDescent="0.2">
      <c r="A569" s="2"/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2"/>
      <c r="M569" s="2"/>
      <c r="N569" s="2"/>
      <c r="O569" s="2"/>
      <c r="P569" s="2"/>
      <c r="Q569" s="2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0"/>
      <c r="AD569" s="80"/>
      <c r="AE569" s="80"/>
      <c r="AF569" s="80"/>
      <c r="AG569" s="80"/>
    </row>
    <row r="570" spans="1:33" x14ac:dyDescent="0.2">
      <c r="A570" s="2"/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2"/>
      <c r="M570" s="2"/>
      <c r="N570" s="2"/>
      <c r="O570" s="2"/>
      <c r="P570" s="2"/>
      <c r="Q570" s="2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0"/>
      <c r="AD570" s="80"/>
      <c r="AE570" s="80"/>
      <c r="AF570" s="80"/>
      <c r="AG570" s="80"/>
    </row>
    <row r="571" spans="1:33" x14ac:dyDescent="0.2">
      <c r="A571" s="2"/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2"/>
      <c r="M571" s="2"/>
      <c r="N571" s="2"/>
      <c r="O571" s="2"/>
      <c r="P571" s="2"/>
      <c r="Q571" s="2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0"/>
      <c r="AD571" s="80"/>
      <c r="AE571" s="80"/>
      <c r="AF571" s="80"/>
      <c r="AG571" s="80"/>
    </row>
    <row r="572" spans="1:33" x14ac:dyDescent="0.2">
      <c r="A572" s="2"/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2"/>
      <c r="M572" s="2"/>
      <c r="N572" s="2"/>
      <c r="O572" s="2"/>
      <c r="P572" s="2"/>
      <c r="Q572" s="2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0"/>
      <c r="AD572" s="80"/>
      <c r="AE572" s="80"/>
      <c r="AF572" s="80"/>
      <c r="AG572" s="80"/>
    </row>
    <row r="573" spans="1:33" x14ac:dyDescent="0.2">
      <c r="A573" s="2"/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2"/>
      <c r="M573" s="2"/>
      <c r="N573" s="2"/>
      <c r="O573" s="2"/>
      <c r="P573" s="2"/>
      <c r="Q573" s="2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0"/>
      <c r="AD573" s="80"/>
      <c r="AE573" s="80"/>
      <c r="AF573" s="80"/>
      <c r="AG573" s="80"/>
    </row>
    <row r="574" spans="1:33" x14ac:dyDescent="0.2">
      <c r="A574" s="2"/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2"/>
      <c r="M574" s="2"/>
      <c r="N574" s="2"/>
      <c r="O574" s="2"/>
      <c r="P574" s="2"/>
      <c r="Q574" s="2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0"/>
      <c r="AD574" s="80"/>
      <c r="AE574" s="80"/>
      <c r="AF574" s="80"/>
      <c r="AG574" s="80"/>
    </row>
    <row r="575" spans="1:33" x14ac:dyDescent="0.2">
      <c r="A575" s="2"/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2"/>
      <c r="M575" s="2"/>
      <c r="N575" s="2"/>
      <c r="O575" s="2"/>
      <c r="P575" s="2"/>
      <c r="Q575" s="2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0"/>
      <c r="AD575" s="80"/>
      <c r="AE575" s="80"/>
      <c r="AF575" s="80"/>
      <c r="AG575" s="80"/>
    </row>
    <row r="576" spans="1:33" x14ac:dyDescent="0.2">
      <c r="A576" s="2"/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2"/>
      <c r="M576" s="2"/>
      <c r="N576" s="2"/>
      <c r="O576" s="2"/>
      <c r="P576" s="2"/>
      <c r="Q576" s="2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0"/>
      <c r="AD576" s="80"/>
      <c r="AE576" s="80"/>
      <c r="AF576" s="80"/>
      <c r="AG576" s="80"/>
    </row>
    <row r="577" spans="1:33" x14ac:dyDescent="0.2">
      <c r="A577" s="2"/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2"/>
      <c r="M577" s="2"/>
      <c r="N577" s="2"/>
      <c r="O577" s="2"/>
      <c r="P577" s="2"/>
      <c r="Q577" s="2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0"/>
      <c r="AD577" s="80"/>
      <c r="AE577" s="80"/>
      <c r="AF577" s="80"/>
      <c r="AG577" s="80"/>
    </row>
    <row r="578" spans="1:33" x14ac:dyDescent="0.2">
      <c r="A578" s="2"/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2"/>
      <c r="M578" s="2"/>
      <c r="N578" s="2"/>
      <c r="O578" s="2"/>
      <c r="P578" s="2"/>
      <c r="Q578" s="2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0"/>
      <c r="AD578" s="80"/>
      <c r="AE578" s="80"/>
      <c r="AF578" s="80"/>
      <c r="AG578" s="80"/>
    </row>
    <row r="579" spans="1:33" x14ac:dyDescent="0.2">
      <c r="A579" s="2"/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2"/>
      <c r="M579" s="2"/>
      <c r="N579" s="2"/>
      <c r="O579" s="2"/>
      <c r="P579" s="2"/>
      <c r="Q579" s="2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0"/>
      <c r="AD579" s="80"/>
      <c r="AE579" s="80"/>
      <c r="AF579" s="80"/>
      <c r="AG579" s="80"/>
    </row>
    <row r="580" spans="1:33" x14ac:dyDescent="0.2">
      <c r="A580" s="2"/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2"/>
      <c r="M580" s="2"/>
      <c r="N580" s="2"/>
      <c r="O580" s="2"/>
      <c r="P580" s="2"/>
      <c r="Q580" s="2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0"/>
      <c r="AD580" s="80"/>
      <c r="AE580" s="80"/>
      <c r="AF580" s="80"/>
      <c r="AG580" s="80"/>
    </row>
    <row r="581" spans="1:33" x14ac:dyDescent="0.2">
      <c r="A581" s="2"/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2"/>
      <c r="M581" s="2"/>
      <c r="N581" s="2"/>
      <c r="O581" s="2"/>
      <c r="P581" s="2"/>
      <c r="Q581" s="2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0"/>
      <c r="AD581" s="80"/>
      <c r="AE581" s="80"/>
      <c r="AF581" s="80"/>
      <c r="AG581" s="80"/>
    </row>
    <row r="582" spans="1:33" x14ac:dyDescent="0.2">
      <c r="A582" s="2"/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2"/>
      <c r="M582" s="2"/>
      <c r="N582" s="2"/>
      <c r="O582" s="2"/>
      <c r="P582" s="2"/>
      <c r="Q582" s="2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0"/>
      <c r="AD582" s="80"/>
      <c r="AE582" s="80"/>
      <c r="AF582" s="80"/>
      <c r="AG582" s="80"/>
    </row>
    <row r="583" spans="1:33" x14ac:dyDescent="0.2">
      <c r="A583" s="2"/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2"/>
      <c r="M583" s="2"/>
      <c r="N583" s="2"/>
      <c r="O583" s="2"/>
      <c r="P583" s="2"/>
      <c r="Q583" s="2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0"/>
      <c r="AD583" s="80"/>
      <c r="AE583" s="80"/>
      <c r="AF583" s="80"/>
      <c r="AG583" s="80"/>
    </row>
    <row r="584" spans="1:33" x14ac:dyDescent="0.2">
      <c r="A584" s="2"/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2"/>
      <c r="M584" s="2"/>
      <c r="N584" s="2"/>
      <c r="O584" s="2"/>
      <c r="P584" s="2"/>
      <c r="Q584" s="2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0"/>
      <c r="AD584" s="80"/>
      <c r="AE584" s="80"/>
      <c r="AF584" s="80"/>
      <c r="AG584" s="80"/>
    </row>
    <row r="585" spans="1:33" x14ac:dyDescent="0.2">
      <c r="A585" s="2"/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2"/>
      <c r="M585" s="2"/>
      <c r="N585" s="2"/>
      <c r="O585" s="2"/>
      <c r="P585" s="2"/>
      <c r="Q585" s="2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0"/>
      <c r="AD585" s="80"/>
      <c r="AE585" s="80"/>
      <c r="AF585" s="80"/>
      <c r="AG585" s="80"/>
    </row>
    <row r="586" spans="1:33" x14ac:dyDescent="0.2">
      <c r="A586" s="2"/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2"/>
      <c r="M586" s="2"/>
      <c r="N586" s="2"/>
      <c r="O586" s="2"/>
      <c r="P586" s="2"/>
      <c r="Q586" s="2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0"/>
      <c r="AD586" s="80"/>
      <c r="AE586" s="80"/>
      <c r="AF586" s="80"/>
      <c r="AG586" s="80"/>
    </row>
    <row r="587" spans="1:33" x14ac:dyDescent="0.2">
      <c r="A587" s="2"/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2"/>
      <c r="M587" s="2"/>
      <c r="N587" s="2"/>
      <c r="O587" s="2"/>
      <c r="P587" s="2"/>
      <c r="Q587" s="2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0"/>
      <c r="AD587" s="80"/>
      <c r="AE587" s="80"/>
      <c r="AF587" s="80"/>
      <c r="AG587" s="80"/>
    </row>
    <row r="588" spans="1:33" x14ac:dyDescent="0.2">
      <c r="A588" s="2"/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2"/>
      <c r="M588" s="2"/>
      <c r="N588" s="2"/>
      <c r="O588" s="2"/>
      <c r="P588" s="2"/>
      <c r="Q588" s="2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0"/>
      <c r="AD588" s="80"/>
      <c r="AE588" s="80"/>
      <c r="AF588" s="80"/>
      <c r="AG588" s="80"/>
    </row>
    <row r="589" spans="1:33" x14ac:dyDescent="0.2">
      <c r="A589" s="2"/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2"/>
      <c r="M589" s="2"/>
      <c r="N589" s="2"/>
      <c r="O589" s="2"/>
      <c r="P589" s="2"/>
      <c r="Q589" s="2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0"/>
      <c r="AD589" s="80"/>
      <c r="AE589" s="80"/>
      <c r="AF589" s="80"/>
      <c r="AG589" s="80"/>
    </row>
    <row r="590" spans="1:33" x14ac:dyDescent="0.2">
      <c r="A590" s="2"/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2"/>
      <c r="M590" s="2"/>
      <c r="N590" s="2"/>
      <c r="O590" s="2"/>
      <c r="P590" s="2"/>
      <c r="Q590" s="2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0"/>
      <c r="AD590" s="80"/>
      <c r="AE590" s="80"/>
      <c r="AF590" s="80"/>
      <c r="AG590" s="80"/>
    </row>
    <row r="591" spans="1:33" x14ac:dyDescent="0.2">
      <c r="A591" s="2"/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2"/>
      <c r="M591" s="2"/>
      <c r="N591" s="2"/>
      <c r="O591" s="2"/>
      <c r="P591" s="2"/>
      <c r="Q591" s="2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0"/>
      <c r="AD591" s="80"/>
      <c r="AE591" s="80"/>
      <c r="AF591" s="80"/>
      <c r="AG591" s="80"/>
    </row>
    <row r="592" spans="1:33" x14ac:dyDescent="0.2">
      <c r="A592" s="2"/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2"/>
      <c r="M592" s="2"/>
      <c r="N592" s="2"/>
      <c r="O592" s="2"/>
      <c r="P592" s="2"/>
      <c r="Q592" s="2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0"/>
      <c r="AD592" s="80"/>
      <c r="AE592" s="80"/>
      <c r="AF592" s="80"/>
      <c r="AG592" s="80"/>
    </row>
    <row r="593" spans="1:33" x14ac:dyDescent="0.2">
      <c r="A593" s="2"/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2"/>
      <c r="M593" s="2"/>
      <c r="N593" s="2"/>
      <c r="O593" s="2"/>
      <c r="P593" s="2"/>
      <c r="Q593" s="2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0"/>
      <c r="AD593" s="80"/>
      <c r="AE593" s="80"/>
      <c r="AF593" s="80"/>
      <c r="AG593" s="80"/>
    </row>
    <row r="594" spans="1:33" x14ac:dyDescent="0.2">
      <c r="A594" s="2"/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2"/>
      <c r="M594" s="2"/>
      <c r="N594" s="2"/>
      <c r="O594" s="2"/>
      <c r="P594" s="2"/>
      <c r="Q594" s="2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0"/>
      <c r="AD594" s="80"/>
      <c r="AE594" s="80"/>
      <c r="AF594" s="80"/>
      <c r="AG594" s="80"/>
    </row>
    <row r="595" spans="1:33" x14ac:dyDescent="0.2">
      <c r="A595" s="2"/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2"/>
      <c r="M595" s="2"/>
      <c r="N595" s="2"/>
      <c r="O595" s="2"/>
      <c r="P595" s="2"/>
      <c r="Q595" s="2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0"/>
      <c r="AD595" s="80"/>
      <c r="AE595" s="80"/>
      <c r="AF595" s="80"/>
      <c r="AG595" s="80"/>
    </row>
    <row r="596" spans="1:33" x14ac:dyDescent="0.2">
      <c r="A596" s="2"/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2"/>
      <c r="M596" s="2"/>
      <c r="N596" s="2"/>
      <c r="O596" s="2"/>
      <c r="P596" s="2"/>
      <c r="Q596" s="2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0"/>
      <c r="AD596" s="80"/>
      <c r="AE596" s="80"/>
      <c r="AF596" s="80"/>
      <c r="AG596" s="80"/>
    </row>
    <row r="597" spans="1:33" x14ac:dyDescent="0.2">
      <c r="A597" s="2"/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2"/>
      <c r="M597" s="2"/>
      <c r="N597" s="2"/>
      <c r="O597" s="2"/>
      <c r="P597" s="2"/>
      <c r="Q597" s="2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0"/>
      <c r="AD597" s="80"/>
      <c r="AE597" s="80"/>
      <c r="AF597" s="80"/>
      <c r="AG597" s="80"/>
    </row>
    <row r="598" spans="1:33" x14ac:dyDescent="0.2">
      <c r="A598" s="2"/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2"/>
      <c r="M598" s="2"/>
      <c r="N598" s="2"/>
      <c r="O598" s="2"/>
      <c r="P598" s="2"/>
      <c r="Q598" s="2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0"/>
      <c r="AD598" s="80"/>
      <c r="AE598" s="80"/>
      <c r="AF598" s="80"/>
      <c r="AG598" s="80"/>
    </row>
    <row r="599" spans="1:33" x14ac:dyDescent="0.2">
      <c r="A599" s="2"/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2"/>
      <c r="M599" s="2"/>
      <c r="N599" s="2"/>
      <c r="O599" s="2"/>
      <c r="P599" s="2"/>
      <c r="Q599" s="2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0"/>
      <c r="AD599" s="80"/>
      <c r="AE599" s="80"/>
      <c r="AF599" s="80"/>
      <c r="AG599" s="80"/>
    </row>
    <row r="600" spans="1:33" x14ac:dyDescent="0.2">
      <c r="A600" s="2"/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2"/>
      <c r="M600" s="2"/>
      <c r="N600" s="2"/>
      <c r="O600" s="2"/>
      <c r="P600" s="2"/>
      <c r="Q600" s="2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E600" s="80"/>
      <c r="AF600" s="80"/>
      <c r="AG600" s="80"/>
    </row>
    <row r="601" spans="1:33" x14ac:dyDescent="0.2">
      <c r="A601" s="2"/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2"/>
      <c r="M601" s="2"/>
      <c r="N601" s="2"/>
      <c r="O601" s="2"/>
      <c r="P601" s="2"/>
      <c r="Q601" s="2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0"/>
      <c r="AD601" s="80"/>
      <c r="AE601" s="80"/>
      <c r="AF601" s="80"/>
      <c r="AG601" s="80"/>
    </row>
    <row r="602" spans="1:33" x14ac:dyDescent="0.2">
      <c r="A602" s="2"/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2"/>
      <c r="M602" s="2"/>
      <c r="N602" s="2"/>
      <c r="O602" s="2"/>
      <c r="P602" s="2"/>
      <c r="Q602" s="2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  <c r="AD602" s="80"/>
      <c r="AE602" s="80"/>
      <c r="AF602" s="80"/>
      <c r="AG602" s="80"/>
    </row>
    <row r="603" spans="1:33" x14ac:dyDescent="0.2">
      <c r="A603" s="2"/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2"/>
      <c r="M603" s="2"/>
      <c r="N603" s="2"/>
      <c r="O603" s="2"/>
      <c r="P603" s="2"/>
      <c r="Q603" s="2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0"/>
      <c r="AD603" s="80"/>
      <c r="AE603" s="80"/>
      <c r="AF603" s="80"/>
      <c r="AG603" s="80"/>
    </row>
    <row r="604" spans="1:33" x14ac:dyDescent="0.2">
      <c r="A604" s="2"/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2"/>
      <c r="M604" s="2"/>
      <c r="N604" s="2"/>
      <c r="O604" s="2"/>
      <c r="P604" s="2"/>
      <c r="Q604" s="2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0"/>
      <c r="AD604" s="80"/>
      <c r="AE604" s="80"/>
      <c r="AF604" s="80"/>
      <c r="AG604" s="80"/>
    </row>
    <row r="605" spans="1:33" x14ac:dyDescent="0.2">
      <c r="A605" s="2"/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2"/>
      <c r="M605" s="2"/>
      <c r="N605" s="2"/>
      <c r="O605" s="2"/>
      <c r="P605" s="2"/>
      <c r="Q605" s="2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0"/>
      <c r="AD605" s="80"/>
      <c r="AE605" s="80"/>
      <c r="AF605" s="80"/>
      <c r="AG605" s="80"/>
    </row>
    <row r="606" spans="1:33" x14ac:dyDescent="0.2">
      <c r="A606" s="2"/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2"/>
      <c r="M606" s="2"/>
      <c r="N606" s="2"/>
      <c r="O606" s="2"/>
      <c r="P606" s="2"/>
      <c r="Q606" s="2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0"/>
      <c r="AD606" s="80"/>
      <c r="AE606" s="80"/>
      <c r="AF606" s="80"/>
      <c r="AG606" s="80"/>
    </row>
    <row r="607" spans="1:33" x14ac:dyDescent="0.2">
      <c r="A607" s="2"/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2"/>
      <c r="M607" s="2"/>
      <c r="N607" s="2"/>
      <c r="O607" s="2"/>
      <c r="P607" s="2"/>
      <c r="Q607" s="2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0"/>
      <c r="AD607" s="80"/>
      <c r="AE607" s="80"/>
      <c r="AF607" s="80"/>
      <c r="AG607" s="80"/>
    </row>
    <row r="608" spans="1:33" x14ac:dyDescent="0.2">
      <c r="A608" s="2"/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2"/>
      <c r="M608" s="2"/>
      <c r="N608" s="2"/>
      <c r="O608" s="2"/>
      <c r="P608" s="2"/>
      <c r="Q608" s="2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0"/>
      <c r="AD608" s="80"/>
      <c r="AE608" s="80"/>
      <c r="AF608" s="80"/>
      <c r="AG608" s="80"/>
    </row>
    <row r="609" spans="1:33" x14ac:dyDescent="0.2">
      <c r="A609" s="2"/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2"/>
      <c r="M609" s="2"/>
      <c r="N609" s="2"/>
      <c r="O609" s="2"/>
      <c r="P609" s="2"/>
      <c r="Q609" s="2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0"/>
      <c r="AD609" s="80"/>
      <c r="AE609" s="80"/>
      <c r="AF609" s="80"/>
      <c r="AG609" s="80"/>
    </row>
    <row r="610" spans="1:33" x14ac:dyDescent="0.2">
      <c r="A610" s="2"/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2"/>
      <c r="M610" s="2"/>
      <c r="N610" s="2"/>
      <c r="O610" s="2"/>
      <c r="P610" s="2"/>
      <c r="Q610" s="2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0"/>
      <c r="AD610" s="80"/>
      <c r="AE610" s="80"/>
      <c r="AF610" s="80"/>
      <c r="AG610" s="80"/>
    </row>
    <row r="611" spans="1:33" x14ac:dyDescent="0.2">
      <c r="A611" s="2"/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2"/>
      <c r="M611" s="2"/>
      <c r="N611" s="2"/>
      <c r="O611" s="2"/>
      <c r="P611" s="2"/>
      <c r="Q611" s="2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0"/>
      <c r="AD611" s="80"/>
      <c r="AE611" s="80"/>
      <c r="AF611" s="80"/>
      <c r="AG611" s="80"/>
    </row>
    <row r="612" spans="1:33" x14ac:dyDescent="0.2">
      <c r="A612" s="2"/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2"/>
      <c r="M612" s="2"/>
      <c r="N612" s="2"/>
      <c r="O612" s="2"/>
      <c r="P612" s="2"/>
      <c r="Q612" s="2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0"/>
      <c r="AD612" s="80"/>
      <c r="AE612" s="80"/>
      <c r="AF612" s="80"/>
      <c r="AG612" s="80"/>
    </row>
    <row r="613" spans="1:33" x14ac:dyDescent="0.2">
      <c r="A613" s="2"/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2"/>
      <c r="M613" s="2"/>
      <c r="N613" s="2"/>
      <c r="O613" s="2"/>
      <c r="P613" s="2"/>
      <c r="Q613" s="2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0"/>
      <c r="AD613" s="80"/>
      <c r="AE613" s="80"/>
      <c r="AF613" s="80"/>
      <c r="AG613" s="80"/>
    </row>
    <row r="614" spans="1:33" x14ac:dyDescent="0.2">
      <c r="A614" s="2"/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2"/>
      <c r="M614" s="2"/>
      <c r="N614" s="2"/>
      <c r="O614" s="2"/>
      <c r="P614" s="2"/>
      <c r="Q614" s="2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0"/>
      <c r="AD614" s="80"/>
      <c r="AE614" s="80"/>
      <c r="AF614" s="80"/>
      <c r="AG614" s="80"/>
    </row>
    <row r="615" spans="1:33" x14ac:dyDescent="0.2">
      <c r="A615" s="2"/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2"/>
      <c r="M615" s="2"/>
      <c r="N615" s="2"/>
      <c r="O615" s="2"/>
      <c r="P615" s="2"/>
      <c r="Q615" s="2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0"/>
      <c r="AD615" s="80"/>
      <c r="AE615" s="80"/>
      <c r="AF615" s="80"/>
      <c r="AG615" s="80"/>
    </row>
    <row r="616" spans="1:33" x14ac:dyDescent="0.2">
      <c r="A616" s="2"/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2"/>
      <c r="M616" s="2"/>
      <c r="N616" s="2"/>
      <c r="O616" s="2"/>
      <c r="P616" s="2"/>
      <c r="Q616" s="2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0"/>
      <c r="AD616" s="80"/>
      <c r="AE616" s="80"/>
      <c r="AF616" s="80"/>
      <c r="AG616" s="80"/>
    </row>
    <row r="617" spans="1:33" x14ac:dyDescent="0.2">
      <c r="A617" s="2"/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2"/>
      <c r="M617" s="2"/>
      <c r="N617" s="2"/>
      <c r="O617" s="2"/>
      <c r="P617" s="2"/>
      <c r="Q617" s="2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0"/>
      <c r="AD617" s="80"/>
      <c r="AE617" s="80"/>
      <c r="AF617" s="80"/>
      <c r="AG617" s="80"/>
    </row>
    <row r="618" spans="1:33" x14ac:dyDescent="0.2">
      <c r="A618" s="2"/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2"/>
      <c r="M618" s="2"/>
      <c r="N618" s="2"/>
      <c r="O618" s="2"/>
      <c r="P618" s="2"/>
      <c r="Q618" s="2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0"/>
      <c r="AD618" s="80"/>
      <c r="AE618" s="80"/>
      <c r="AF618" s="80"/>
      <c r="AG618" s="80"/>
    </row>
    <row r="619" spans="1:33" x14ac:dyDescent="0.2">
      <c r="A619" s="2"/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2"/>
      <c r="M619" s="2"/>
      <c r="N619" s="2"/>
      <c r="O619" s="2"/>
      <c r="P619" s="2"/>
      <c r="Q619" s="2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0"/>
      <c r="AD619" s="80"/>
      <c r="AE619" s="80"/>
      <c r="AF619" s="80"/>
      <c r="AG619" s="80"/>
    </row>
    <row r="620" spans="1:33" x14ac:dyDescent="0.2">
      <c r="A620" s="2"/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2"/>
      <c r="M620" s="2"/>
      <c r="N620" s="2"/>
      <c r="O620" s="2"/>
      <c r="P620" s="2"/>
      <c r="Q620" s="2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0"/>
      <c r="AD620" s="80"/>
      <c r="AE620" s="80"/>
      <c r="AF620" s="80"/>
      <c r="AG620" s="80"/>
    </row>
    <row r="621" spans="1:33" x14ac:dyDescent="0.2">
      <c r="A621" s="2"/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2"/>
      <c r="M621" s="2"/>
      <c r="N621" s="2"/>
      <c r="O621" s="2"/>
      <c r="P621" s="2"/>
      <c r="Q621" s="2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0"/>
      <c r="AD621" s="80"/>
      <c r="AE621" s="80"/>
      <c r="AF621" s="80"/>
      <c r="AG621" s="80"/>
    </row>
    <row r="622" spans="1:33" x14ac:dyDescent="0.2">
      <c r="A622" s="2"/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2"/>
      <c r="M622" s="2"/>
      <c r="N622" s="2"/>
      <c r="O622" s="2"/>
      <c r="P622" s="2"/>
      <c r="Q622" s="2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0"/>
      <c r="AD622" s="80"/>
      <c r="AE622" s="80"/>
      <c r="AF622" s="80"/>
      <c r="AG622" s="80"/>
    </row>
    <row r="623" spans="1:33" x14ac:dyDescent="0.2">
      <c r="A623" s="2"/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2"/>
      <c r="M623" s="2"/>
      <c r="N623" s="2"/>
      <c r="O623" s="2"/>
      <c r="P623" s="2"/>
      <c r="Q623" s="2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0"/>
      <c r="AD623" s="80"/>
      <c r="AE623" s="80"/>
      <c r="AF623" s="80"/>
      <c r="AG623" s="80"/>
    </row>
    <row r="624" spans="1:33" x14ac:dyDescent="0.2">
      <c r="A624" s="2"/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2"/>
      <c r="M624" s="2"/>
      <c r="N624" s="2"/>
      <c r="O624" s="2"/>
      <c r="P624" s="2"/>
      <c r="Q624" s="2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0"/>
      <c r="AD624" s="80"/>
      <c r="AE624" s="80"/>
      <c r="AF624" s="80"/>
      <c r="AG624" s="80"/>
    </row>
    <row r="625" spans="1:33" x14ac:dyDescent="0.2">
      <c r="A625" s="2"/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2"/>
      <c r="M625" s="2"/>
      <c r="N625" s="2"/>
      <c r="O625" s="2"/>
      <c r="P625" s="2"/>
      <c r="Q625" s="2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0"/>
      <c r="AD625" s="80"/>
      <c r="AE625" s="80"/>
      <c r="AF625" s="80"/>
      <c r="AG625" s="80"/>
    </row>
    <row r="626" spans="1:33" x14ac:dyDescent="0.2">
      <c r="A626" s="2"/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2"/>
      <c r="M626" s="2"/>
      <c r="N626" s="2"/>
      <c r="O626" s="2"/>
      <c r="P626" s="2"/>
      <c r="Q626" s="2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0"/>
      <c r="AD626" s="80"/>
      <c r="AE626" s="80"/>
      <c r="AF626" s="80"/>
      <c r="AG626" s="80"/>
    </row>
    <row r="627" spans="1:33" x14ac:dyDescent="0.2">
      <c r="A627" s="2"/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2"/>
      <c r="M627" s="2"/>
      <c r="N627" s="2"/>
      <c r="O627" s="2"/>
      <c r="P627" s="2"/>
      <c r="Q627" s="2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0"/>
      <c r="AD627" s="80"/>
      <c r="AE627" s="80"/>
      <c r="AF627" s="80"/>
      <c r="AG627" s="80"/>
    </row>
    <row r="628" spans="1:33" x14ac:dyDescent="0.2">
      <c r="A628" s="2"/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2"/>
      <c r="M628" s="2"/>
      <c r="N628" s="2"/>
      <c r="O628" s="2"/>
      <c r="P628" s="2"/>
      <c r="Q628" s="2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0"/>
      <c r="AD628" s="80"/>
      <c r="AE628" s="80"/>
      <c r="AF628" s="80"/>
      <c r="AG628" s="80"/>
    </row>
    <row r="629" spans="1:33" x14ac:dyDescent="0.2">
      <c r="A629" s="2"/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2"/>
      <c r="M629" s="2"/>
      <c r="N629" s="2"/>
      <c r="O629" s="2"/>
      <c r="P629" s="2"/>
      <c r="Q629" s="2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0"/>
      <c r="AD629" s="80"/>
      <c r="AE629" s="80"/>
      <c r="AF629" s="80"/>
      <c r="AG629" s="80"/>
    </row>
    <row r="630" spans="1:33" x14ac:dyDescent="0.2">
      <c r="A630" s="2"/>
      <c r="B630" s="80"/>
      <c r="C630" s="80"/>
      <c r="D630" s="80"/>
      <c r="E630" s="80"/>
      <c r="F630" s="80"/>
      <c r="G630" s="80"/>
      <c r="H630" s="80"/>
      <c r="I630" s="80"/>
      <c r="J630" s="80"/>
      <c r="K630" s="80"/>
      <c r="L630" s="2"/>
      <c r="M630" s="2"/>
      <c r="N630" s="2"/>
      <c r="O630" s="2"/>
      <c r="P630" s="2"/>
      <c r="Q630" s="2"/>
      <c r="R630" s="80"/>
      <c r="S630" s="80"/>
      <c r="T630" s="80"/>
      <c r="U630" s="80"/>
      <c r="V630" s="80"/>
      <c r="W630" s="80"/>
      <c r="X630" s="80"/>
      <c r="Y630" s="80"/>
      <c r="Z630" s="80"/>
      <c r="AA630" s="80"/>
      <c r="AB630" s="80"/>
      <c r="AC630" s="80"/>
      <c r="AD630" s="80"/>
      <c r="AE630" s="80"/>
      <c r="AF630" s="80"/>
      <c r="AG630" s="80"/>
    </row>
    <row r="631" spans="1:33" x14ac:dyDescent="0.2">
      <c r="A631" s="2"/>
      <c r="B631" s="80"/>
      <c r="C631" s="80"/>
      <c r="D631" s="80"/>
      <c r="E631" s="80"/>
      <c r="F631" s="80"/>
      <c r="G631" s="80"/>
      <c r="H631" s="80"/>
      <c r="I631" s="80"/>
      <c r="J631" s="80"/>
      <c r="K631" s="80"/>
      <c r="L631" s="2"/>
      <c r="M631" s="2"/>
      <c r="N631" s="2"/>
      <c r="O631" s="2"/>
      <c r="P631" s="2"/>
      <c r="Q631" s="2"/>
      <c r="R631" s="80"/>
      <c r="S631" s="80"/>
      <c r="T631" s="80"/>
      <c r="U631" s="80"/>
      <c r="V631" s="80"/>
      <c r="W631" s="80"/>
      <c r="X631" s="80"/>
      <c r="Y631" s="80"/>
      <c r="Z631" s="80"/>
      <c r="AA631" s="80"/>
      <c r="AB631" s="80"/>
      <c r="AC631" s="80"/>
      <c r="AD631" s="80"/>
      <c r="AE631" s="80"/>
      <c r="AF631" s="80"/>
      <c r="AG631" s="80"/>
    </row>
    <row r="632" spans="1:33" x14ac:dyDescent="0.2">
      <c r="A632" s="2"/>
      <c r="B632" s="80"/>
      <c r="C632" s="80"/>
      <c r="D632" s="80"/>
      <c r="E632" s="80"/>
      <c r="F632" s="80"/>
      <c r="G632" s="80"/>
      <c r="H632" s="80"/>
      <c r="I632" s="80"/>
      <c r="J632" s="80"/>
      <c r="K632" s="80"/>
      <c r="L632" s="2"/>
      <c r="M632" s="2"/>
      <c r="N632" s="2"/>
      <c r="O632" s="2"/>
      <c r="P632" s="2"/>
      <c r="Q632" s="2"/>
      <c r="R632" s="80"/>
      <c r="S632" s="80"/>
      <c r="T632" s="80"/>
      <c r="U632" s="80"/>
      <c r="V632" s="80"/>
      <c r="W632" s="80"/>
      <c r="X632" s="80"/>
      <c r="Y632" s="80"/>
      <c r="Z632" s="80"/>
      <c r="AA632" s="80"/>
      <c r="AB632" s="80"/>
      <c r="AC632" s="80"/>
      <c r="AD632" s="80"/>
      <c r="AE632" s="80"/>
      <c r="AF632" s="80"/>
      <c r="AG632" s="80"/>
    </row>
    <row r="633" spans="1:33" x14ac:dyDescent="0.2">
      <c r="A633" s="2"/>
      <c r="B633" s="80"/>
      <c r="C633" s="80"/>
      <c r="D633" s="80"/>
      <c r="E633" s="80"/>
      <c r="F633" s="80"/>
      <c r="G633" s="80"/>
      <c r="H633" s="80"/>
      <c r="I633" s="80"/>
      <c r="J633" s="80"/>
      <c r="K633" s="80"/>
      <c r="L633" s="2"/>
      <c r="M633" s="2"/>
      <c r="N633" s="2"/>
      <c r="O633" s="2"/>
      <c r="P633" s="2"/>
      <c r="Q633" s="2"/>
      <c r="R633" s="80"/>
      <c r="S633" s="80"/>
      <c r="T633" s="80"/>
      <c r="U633" s="80"/>
      <c r="V633" s="80"/>
      <c r="W633" s="80"/>
      <c r="X633" s="80"/>
      <c r="Y633" s="80"/>
      <c r="Z633" s="80"/>
      <c r="AA633" s="80"/>
      <c r="AB633" s="80"/>
      <c r="AC633" s="80"/>
      <c r="AD633" s="80"/>
      <c r="AE633" s="80"/>
      <c r="AF633" s="80"/>
      <c r="AG633" s="80"/>
    </row>
    <row r="634" spans="1:33" x14ac:dyDescent="0.2">
      <c r="A634" s="2"/>
      <c r="B634" s="80"/>
      <c r="C634" s="80"/>
      <c r="D634" s="80"/>
      <c r="E634" s="80"/>
      <c r="F634" s="80"/>
      <c r="G634" s="80"/>
      <c r="H634" s="80"/>
      <c r="I634" s="80"/>
      <c r="J634" s="80"/>
      <c r="K634" s="80"/>
      <c r="L634" s="2"/>
      <c r="M634" s="2"/>
      <c r="N634" s="2"/>
      <c r="O634" s="2"/>
      <c r="P634" s="2"/>
      <c r="Q634" s="2"/>
      <c r="R634" s="80"/>
      <c r="S634" s="80"/>
      <c r="T634" s="80"/>
      <c r="U634" s="80"/>
      <c r="V634" s="80"/>
      <c r="W634" s="80"/>
      <c r="X634" s="80"/>
      <c r="Y634" s="80"/>
      <c r="Z634" s="80"/>
      <c r="AA634" s="80"/>
      <c r="AB634" s="80"/>
      <c r="AC634" s="80"/>
      <c r="AD634" s="80"/>
      <c r="AE634" s="80"/>
      <c r="AF634" s="80"/>
      <c r="AG634" s="80"/>
    </row>
    <row r="635" spans="1:33" x14ac:dyDescent="0.2">
      <c r="A635" s="2"/>
      <c r="B635" s="80"/>
      <c r="C635" s="80"/>
      <c r="D635" s="80"/>
      <c r="E635" s="80"/>
      <c r="F635" s="80"/>
      <c r="G635" s="80"/>
      <c r="H635" s="80"/>
      <c r="I635" s="80"/>
      <c r="J635" s="80"/>
      <c r="K635" s="80"/>
      <c r="L635" s="2"/>
      <c r="M635" s="2"/>
      <c r="N635" s="2"/>
      <c r="O635" s="2"/>
      <c r="P635" s="2"/>
      <c r="Q635" s="2"/>
      <c r="R635" s="80"/>
      <c r="S635" s="80"/>
      <c r="T635" s="80"/>
      <c r="U635" s="80"/>
      <c r="V635" s="80"/>
      <c r="W635" s="80"/>
      <c r="X635" s="80"/>
      <c r="Y635" s="80"/>
      <c r="Z635" s="80"/>
      <c r="AA635" s="80"/>
      <c r="AB635" s="80"/>
      <c r="AC635" s="80"/>
      <c r="AD635" s="80"/>
      <c r="AE635" s="80"/>
      <c r="AF635" s="80"/>
      <c r="AG635" s="80"/>
    </row>
    <row r="636" spans="1:33" x14ac:dyDescent="0.2">
      <c r="A636" s="2"/>
      <c r="B636" s="80"/>
      <c r="C636" s="80"/>
      <c r="D636" s="80"/>
      <c r="E636" s="80"/>
      <c r="F636" s="80"/>
      <c r="G636" s="80"/>
      <c r="H636" s="80"/>
      <c r="I636" s="80"/>
      <c r="J636" s="80"/>
      <c r="K636" s="80"/>
      <c r="L636" s="2"/>
      <c r="M636" s="2"/>
      <c r="N636" s="2"/>
      <c r="O636" s="2"/>
      <c r="P636" s="2"/>
      <c r="Q636" s="2"/>
      <c r="R636" s="80"/>
      <c r="S636" s="80"/>
      <c r="T636" s="80"/>
      <c r="U636" s="80"/>
      <c r="V636" s="80"/>
      <c r="W636" s="80"/>
      <c r="X636" s="80"/>
      <c r="Y636" s="80"/>
      <c r="Z636" s="80"/>
      <c r="AA636" s="80"/>
      <c r="AB636" s="80"/>
      <c r="AC636" s="80"/>
      <c r="AD636" s="80"/>
      <c r="AE636" s="80"/>
      <c r="AF636" s="80"/>
      <c r="AG636" s="80"/>
    </row>
    <row r="637" spans="1:33" x14ac:dyDescent="0.2">
      <c r="A637" s="2"/>
      <c r="B637" s="80"/>
      <c r="C637" s="80"/>
      <c r="D637" s="80"/>
      <c r="E637" s="80"/>
      <c r="F637" s="80"/>
      <c r="G637" s="80"/>
      <c r="H637" s="80"/>
      <c r="I637" s="80"/>
      <c r="J637" s="80"/>
      <c r="K637" s="80"/>
      <c r="L637" s="2"/>
      <c r="M637" s="2"/>
      <c r="N637" s="2"/>
      <c r="O637" s="2"/>
      <c r="P637" s="2"/>
      <c r="Q637" s="2"/>
      <c r="R637" s="80"/>
      <c r="S637" s="80"/>
      <c r="T637" s="80"/>
      <c r="U637" s="80"/>
      <c r="V637" s="80"/>
      <c r="W637" s="80"/>
      <c r="X637" s="80"/>
      <c r="Y637" s="80"/>
      <c r="Z637" s="80"/>
      <c r="AA637" s="80"/>
      <c r="AB637" s="80"/>
      <c r="AC637" s="80"/>
      <c r="AD637" s="80"/>
      <c r="AE637" s="80"/>
      <c r="AF637" s="80"/>
      <c r="AG637" s="80"/>
    </row>
    <row r="638" spans="1:33" x14ac:dyDescent="0.2">
      <c r="A638" s="2"/>
      <c r="B638" s="80"/>
      <c r="C638" s="80"/>
      <c r="D638" s="80"/>
      <c r="E638" s="80"/>
      <c r="F638" s="80"/>
      <c r="G638" s="80"/>
      <c r="H638" s="80"/>
      <c r="I638" s="80"/>
      <c r="J638" s="80"/>
      <c r="K638" s="80"/>
      <c r="L638" s="2"/>
      <c r="M638" s="2"/>
      <c r="N638" s="2"/>
      <c r="O638" s="2"/>
      <c r="P638" s="2"/>
      <c r="Q638" s="2"/>
      <c r="R638" s="80"/>
      <c r="S638" s="80"/>
      <c r="T638" s="80"/>
      <c r="U638" s="80"/>
      <c r="V638" s="80"/>
      <c r="W638" s="80"/>
      <c r="X638" s="80"/>
      <c r="Y638" s="80"/>
      <c r="Z638" s="80"/>
      <c r="AA638" s="80"/>
      <c r="AB638" s="80"/>
      <c r="AC638" s="80"/>
      <c r="AD638" s="80"/>
      <c r="AE638" s="80"/>
      <c r="AF638" s="80"/>
      <c r="AG638" s="80"/>
    </row>
    <row r="639" spans="1:33" x14ac:dyDescent="0.2">
      <c r="A639" s="2"/>
      <c r="B639" s="80"/>
      <c r="C639" s="80"/>
      <c r="D639" s="80"/>
      <c r="E639" s="80"/>
      <c r="F639" s="80"/>
      <c r="G639" s="80"/>
      <c r="H639" s="80"/>
      <c r="I639" s="80"/>
      <c r="J639" s="80"/>
      <c r="K639" s="80"/>
      <c r="L639" s="2"/>
      <c r="M639" s="2"/>
      <c r="N639" s="2"/>
      <c r="O639" s="2"/>
      <c r="P639" s="2"/>
      <c r="Q639" s="2"/>
      <c r="R639" s="80"/>
      <c r="S639" s="80"/>
      <c r="T639" s="80"/>
      <c r="U639" s="80"/>
      <c r="V639" s="80"/>
      <c r="W639" s="80"/>
      <c r="X639" s="80"/>
      <c r="Y639" s="80"/>
      <c r="Z639" s="80"/>
      <c r="AA639" s="80"/>
      <c r="AB639" s="80"/>
      <c r="AC639" s="80"/>
      <c r="AD639" s="80"/>
      <c r="AE639" s="80"/>
      <c r="AF639" s="80"/>
      <c r="AG639" s="80"/>
    </row>
    <row r="640" spans="1:33" x14ac:dyDescent="0.2">
      <c r="A640" s="2"/>
      <c r="B640" s="80"/>
      <c r="C640" s="80"/>
      <c r="D640" s="80"/>
      <c r="E640" s="80"/>
      <c r="F640" s="80"/>
      <c r="G640" s="80"/>
      <c r="H640" s="80"/>
      <c r="I640" s="80"/>
      <c r="J640" s="80"/>
      <c r="K640" s="80"/>
      <c r="L640" s="2"/>
      <c r="M640" s="2"/>
      <c r="N640" s="2"/>
      <c r="O640" s="2"/>
      <c r="P640" s="2"/>
      <c r="Q640" s="2"/>
      <c r="R640" s="80"/>
      <c r="S640" s="80"/>
      <c r="T640" s="80"/>
      <c r="U640" s="80"/>
      <c r="V640" s="80"/>
      <c r="W640" s="80"/>
      <c r="X640" s="80"/>
      <c r="Y640" s="80"/>
      <c r="Z640" s="80"/>
      <c r="AA640" s="80"/>
      <c r="AB640" s="80"/>
      <c r="AC640" s="80"/>
      <c r="AD640" s="80"/>
      <c r="AE640" s="80"/>
      <c r="AF640" s="80"/>
      <c r="AG640" s="80"/>
    </row>
    <row r="641" spans="1:33" x14ac:dyDescent="0.2">
      <c r="A641" s="2"/>
      <c r="B641" s="80"/>
      <c r="C641" s="80"/>
      <c r="D641" s="80"/>
      <c r="E641" s="80"/>
      <c r="F641" s="80"/>
      <c r="G641" s="80"/>
      <c r="H641" s="80"/>
      <c r="I641" s="80"/>
      <c r="J641" s="80"/>
      <c r="K641" s="80"/>
      <c r="L641" s="2"/>
      <c r="M641" s="2"/>
      <c r="N641" s="2"/>
      <c r="O641" s="2"/>
      <c r="P641" s="2"/>
      <c r="Q641" s="2"/>
      <c r="R641" s="80"/>
      <c r="S641" s="80"/>
      <c r="T641" s="80"/>
      <c r="U641" s="80"/>
      <c r="V641" s="80"/>
      <c r="W641" s="80"/>
      <c r="X641" s="80"/>
      <c r="Y641" s="80"/>
      <c r="Z641" s="80"/>
      <c r="AA641" s="80"/>
      <c r="AB641" s="80"/>
      <c r="AC641" s="80"/>
      <c r="AD641" s="80"/>
      <c r="AE641" s="80"/>
      <c r="AF641" s="80"/>
      <c r="AG641" s="80"/>
    </row>
    <row r="642" spans="1:33" x14ac:dyDescent="0.2">
      <c r="A642" s="2"/>
      <c r="B642" s="80"/>
      <c r="C642" s="80"/>
      <c r="D642" s="80"/>
      <c r="E642" s="80"/>
      <c r="F642" s="80"/>
      <c r="G642" s="80"/>
      <c r="H642" s="80"/>
      <c r="I642" s="80"/>
      <c r="J642" s="80"/>
      <c r="K642" s="80"/>
      <c r="L642" s="2"/>
      <c r="M642" s="2"/>
      <c r="N642" s="2"/>
      <c r="O642" s="2"/>
      <c r="P642" s="2"/>
      <c r="Q642" s="2"/>
      <c r="R642" s="80"/>
      <c r="S642" s="80"/>
      <c r="T642" s="80"/>
      <c r="U642" s="80"/>
      <c r="V642" s="80"/>
      <c r="W642" s="80"/>
      <c r="X642" s="80"/>
      <c r="Y642" s="80"/>
      <c r="Z642" s="80"/>
      <c r="AA642" s="80"/>
      <c r="AB642" s="80"/>
      <c r="AC642" s="80"/>
      <c r="AD642" s="80"/>
      <c r="AE642" s="80"/>
      <c r="AF642" s="80"/>
      <c r="AG642" s="80"/>
    </row>
    <row r="643" spans="1:33" x14ac:dyDescent="0.2">
      <c r="A643" s="2"/>
      <c r="B643" s="80"/>
      <c r="C643" s="80"/>
      <c r="D643" s="80"/>
      <c r="E643" s="80"/>
      <c r="F643" s="80"/>
      <c r="G643" s="80"/>
      <c r="H643" s="80"/>
      <c r="I643" s="80"/>
      <c r="J643" s="80"/>
      <c r="K643" s="80"/>
      <c r="L643" s="2"/>
      <c r="M643" s="2"/>
      <c r="N643" s="2"/>
      <c r="O643" s="2"/>
      <c r="P643" s="2"/>
      <c r="Q643" s="2"/>
      <c r="R643" s="80"/>
      <c r="S643" s="80"/>
      <c r="T643" s="80"/>
      <c r="U643" s="80"/>
      <c r="V643" s="80"/>
      <c r="W643" s="80"/>
      <c r="X643" s="80"/>
      <c r="Y643" s="80"/>
      <c r="Z643" s="80"/>
      <c r="AA643" s="80"/>
      <c r="AB643" s="80"/>
      <c r="AC643" s="80"/>
      <c r="AD643" s="80"/>
      <c r="AE643" s="80"/>
      <c r="AF643" s="80"/>
      <c r="AG643" s="80"/>
    </row>
    <row r="644" spans="1:33" x14ac:dyDescent="0.2">
      <c r="A644" s="2"/>
      <c r="B644" s="80"/>
      <c r="C644" s="80"/>
      <c r="D644" s="80"/>
      <c r="E644" s="80"/>
      <c r="F644" s="80"/>
      <c r="G644" s="80"/>
      <c r="H644" s="80"/>
      <c r="I644" s="80"/>
      <c r="J644" s="80"/>
      <c r="K644" s="80"/>
      <c r="L644" s="2"/>
      <c r="M644" s="2"/>
      <c r="N644" s="2"/>
      <c r="O644" s="2"/>
      <c r="P644" s="2"/>
      <c r="Q644" s="2"/>
      <c r="R644" s="80"/>
      <c r="S644" s="80"/>
      <c r="T644" s="80"/>
      <c r="U644" s="80"/>
      <c r="V644" s="80"/>
      <c r="W644" s="80"/>
      <c r="X644" s="80"/>
      <c r="Y644" s="80"/>
      <c r="Z644" s="80"/>
      <c r="AA644" s="80"/>
      <c r="AB644" s="80"/>
      <c r="AC644" s="80"/>
      <c r="AD644" s="80"/>
      <c r="AE644" s="80"/>
      <c r="AF644" s="80"/>
      <c r="AG644" s="80"/>
    </row>
    <row r="645" spans="1:33" x14ac:dyDescent="0.2">
      <c r="A645" s="2"/>
      <c r="B645" s="80"/>
      <c r="C645" s="80"/>
      <c r="D645" s="80"/>
      <c r="E645" s="80"/>
      <c r="F645" s="80"/>
      <c r="G645" s="80"/>
      <c r="H645" s="80"/>
      <c r="I645" s="80"/>
      <c r="J645" s="80"/>
      <c r="K645" s="80"/>
      <c r="L645" s="2"/>
      <c r="M645" s="2"/>
      <c r="N645" s="2"/>
      <c r="O645" s="2"/>
      <c r="P645" s="2"/>
      <c r="Q645" s="2"/>
      <c r="R645" s="80"/>
      <c r="S645" s="80"/>
      <c r="T645" s="80"/>
      <c r="U645" s="80"/>
      <c r="V645" s="80"/>
      <c r="W645" s="80"/>
      <c r="X645" s="80"/>
      <c r="Y645" s="80"/>
      <c r="Z645" s="80"/>
      <c r="AA645" s="80"/>
      <c r="AB645" s="80"/>
      <c r="AC645" s="80"/>
      <c r="AD645" s="80"/>
      <c r="AE645" s="80"/>
      <c r="AF645" s="80"/>
      <c r="AG645" s="80"/>
    </row>
    <row r="646" spans="1:33" x14ac:dyDescent="0.2">
      <c r="A646" s="2"/>
      <c r="B646" s="80"/>
      <c r="C646" s="80"/>
      <c r="D646" s="80"/>
      <c r="E646" s="80"/>
      <c r="F646" s="80"/>
      <c r="G646" s="80"/>
      <c r="H646" s="80"/>
      <c r="I646" s="80"/>
      <c r="J646" s="80"/>
      <c r="K646" s="80"/>
      <c r="L646" s="2"/>
      <c r="M646" s="2"/>
      <c r="N646" s="2"/>
      <c r="O646" s="2"/>
      <c r="P646" s="2"/>
      <c r="Q646" s="2"/>
      <c r="R646" s="80"/>
      <c r="S646" s="80"/>
      <c r="T646" s="80"/>
      <c r="U646" s="80"/>
      <c r="V646" s="80"/>
      <c r="W646" s="80"/>
      <c r="X646" s="80"/>
      <c r="Y646" s="80"/>
      <c r="Z646" s="80"/>
      <c r="AA646" s="80"/>
      <c r="AB646" s="80"/>
      <c r="AC646" s="80"/>
      <c r="AD646" s="80"/>
      <c r="AE646" s="80"/>
      <c r="AF646" s="80"/>
      <c r="AG646" s="80"/>
    </row>
    <row r="647" spans="1:33" x14ac:dyDescent="0.2">
      <c r="A647" s="2"/>
      <c r="B647" s="80"/>
      <c r="C647" s="80"/>
      <c r="D647" s="80"/>
      <c r="E647" s="80"/>
      <c r="F647" s="80"/>
      <c r="G647" s="80"/>
      <c r="H647" s="80"/>
      <c r="I647" s="80"/>
      <c r="J647" s="80"/>
      <c r="K647" s="80"/>
      <c r="L647" s="2"/>
      <c r="M647" s="2"/>
      <c r="N647" s="2"/>
      <c r="O647" s="2"/>
      <c r="P647" s="2"/>
      <c r="Q647" s="2"/>
      <c r="R647" s="80"/>
      <c r="S647" s="80"/>
      <c r="T647" s="80"/>
      <c r="U647" s="80"/>
      <c r="V647" s="80"/>
      <c r="W647" s="80"/>
      <c r="X647" s="80"/>
      <c r="Y647" s="80"/>
      <c r="Z647" s="80"/>
      <c r="AA647" s="80"/>
      <c r="AB647" s="80"/>
      <c r="AC647" s="80"/>
      <c r="AD647" s="80"/>
      <c r="AE647" s="80"/>
      <c r="AF647" s="80"/>
      <c r="AG647" s="80"/>
    </row>
    <row r="648" spans="1:33" x14ac:dyDescent="0.2">
      <c r="A648" s="2"/>
      <c r="B648" s="80"/>
      <c r="C648" s="80"/>
      <c r="D648" s="80"/>
      <c r="E648" s="80"/>
      <c r="F648" s="80"/>
      <c r="G648" s="80"/>
      <c r="H648" s="80"/>
      <c r="I648" s="80"/>
      <c r="J648" s="80"/>
      <c r="K648" s="80"/>
      <c r="L648" s="2"/>
      <c r="M648" s="2"/>
      <c r="N648" s="2"/>
      <c r="O648" s="2"/>
      <c r="P648" s="2"/>
      <c r="Q648" s="2"/>
      <c r="R648" s="80"/>
      <c r="S648" s="80"/>
      <c r="T648" s="80"/>
      <c r="U648" s="80"/>
      <c r="V648" s="80"/>
      <c r="W648" s="80"/>
      <c r="X648" s="80"/>
      <c r="Y648" s="80"/>
      <c r="Z648" s="80"/>
      <c r="AA648" s="80"/>
      <c r="AB648" s="80"/>
      <c r="AC648" s="80"/>
      <c r="AD648" s="80"/>
      <c r="AE648" s="80"/>
      <c r="AF648" s="80"/>
      <c r="AG648" s="80"/>
    </row>
    <row r="649" spans="1:33" x14ac:dyDescent="0.2">
      <c r="A649" s="2"/>
      <c r="B649" s="80"/>
      <c r="C649" s="80"/>
      <c r="D649" s="80"/>
      <c r="E649" s="80"/>
      <c r="F649" s="80"/>
      <c r="G649" s="80"/>
      <c r="H649" s="80"/>
      <c r="I649" s="80"/>
      <c r="J649" s="80"/>
      <c r="K649" s="80"/>
      <c r="L649" s="2"/>
      <c r="M649" s="2"/>
      <c r="N649" s="2"/>
      <c r="O649" s="2"/>
      <c r="P649" s="2"/>
      <c r="Q649" s="2"/>
      <c r="R649" s="80"/>
      <c r="S649" s="80"/>
      <c r="T649" s="80"/>
      <c r="U649" s="80"/>
      <c r="V649" s="80"/>
      <c r="W649" s="80"/>
      <c r="X649" s="80"/>
      <c r="Y649" s="80"/>
      <c r="Z649" s="80"/>
      <c r="AA649" s="80"/>
      <c r="AB649" s="80"/>
      <c r="AC649" s="80"/>
      <c r="AD649" s="80"/>
      <c r="AE649" s="80"/>
      <c r="AF649" s="80"/>
      <c r="AG649" s="80"/>
    </row>
    <row r="650" spans="1:33" x14ac:dyDescent="0.2">
      <c r="A650" s="2"/>
      <c r="B650" s="80"/>
      <c r="C650" s="80"/>
      <c r="D650" s="80"/>
      <c r="E650" s="80"/>
      <c r="F650" s="80"/>
      <c r="G650" s="80"/>
      <c r="H650" s="80"/>
      <c r="I650" s="80"/>
      <c r="J650" s="80"/>
      <c r="K650" s="80"/>
      <c r="L650" s="2"/>
      <c r="M650" s="2"/>
      <c r="N650" s="2"/>
      <c r="O650" s="2"/>
      <c r="P650" s="2"/>
      <c r="Q650" s="2"/>
      <c r="R650" s="80"/>
      <c r="S650" s="80"/>
      <c r="T650" s="80"/>
      <c r="U650" s="80"/>
      <c r="V650" s="80"/>
      <c r="W650" s="80"/>
      <c r="X650" s="80"/>
      <c r="Y650" s="80"/>
      <c r="Z650" s="80"/>
      <c r="AA650" s="80"/>
      <c r="AB650" s="80"/>
      <c r="AC650" s="80"/>
      <c r="AD650" s="80"/>
      <c r="AE650" s="80"/>
      <c r="AF650" s="80"/>
      <c r="AG650" s="80"/>
    </row>
    <row r="651" spans="1:33" x14ac:dyDescent="0.2">
      <c r="A651" s="2"/>
      <c r="B651" s="80"/>
      <c r="C651" s="80"/>
      <c r="D651" s="80"/>
      <c r="E651" s="80"/>
      <c r="F651" s="80"/>
      <c r="G651" s="80"/>
      <c r="H651" s="80"/>
      <c r="I651" s="80"/>
      <c r="J651" s="80"/>
      <c r="K651" s="80"/>
      <c r="L651" s="2"/>
      <c r="M651" s="2"/>
      <c r="N651" s="2"/>
      <c r="O651" s="2"/>
      <c r="P651" s="2"/>
      <c r="Q651" s="2"/>
      <c r="R651" s="80"/>
      <c r="S651" s="80"/>
      <c r="T651" s="80"/>
      <c r="U651" s="80"/>
      <c r="V651" s="80"/>
      <c r="W651" s="80"/>
      <c r="X651" s="80"/>
      <c r="Y651" s="80"/>
      <c r="Z651" s="80"/>
      <c r="AA651" s="80"/>
      <c r="AB651" s="80"/>
      <c r="AC651" s="80"/>
      <c r="AD651" s="80"/>
      <c r="AE651" s="80"/>
      <c r="AF651" s="80"/>
      <c r="AG651" s="80"/>
    </row>
    <row r="652" spans="1:33" x14ac:dyDescent="0.2">
      <c r="A652" s="2"/>
      <c r="B652" s="80"/>
      <c r="C652" s="80"/>
      <c r="D652" s="80"/>
      <c r="E652" s="80"/>
      <c r="F652" s="80"/>
      <c r="G652" s="80"/>
      <c r="H652" s="80"/>
      <c r="I652" s="80"/>
      <c r="J652" s="80"/>
      <c r="K652" s="80"/>
      <c r="L652" s="2"/>
      <c r="M652" s="2"/>
      <c r="N652" s="2"/>
      <c r="O652" s="2"/>
      <c r="P652" s="2"/>
      <c r="Q652" s="2"/>
      <c r="R652" s="80"/>
      <c r="S652" s="80"/>
      <c r="T652" s="80"/>
      <c r="U652" s="80"/>
      <c r="V652" s="80"/>
      <c r="W652" s="80"/>
      <c r="X652" s="80"/>
      <c r="Y652" s="80"/>
      <c r="Z652" s="80"/>
      <c r="AA652" s="80"/>
      <c r="AB652" s="80"/>
      <c r="AC652" s="80"/>
      <c r="AD652" s="80"/>
      <c r="AE652" s="80"/>
      <c r="AF652" s="80"/>
      <c r="AG652" s="80"/>
    </row>
    <row r="653" spans="1:33" x14ac:dyDescent="0.2">
      <c r="A653" s="2"/>
      <c r="B653" s="80"/>
      <c r="C653" s="80"/>
      <c r="D653" s="80"/>
      <c r="E653" s="80"/>
      <c r="F653" s="80"/>
      <c r="G653" s="80"/>
      <c r="H653" s="80"/>
      <c r="I653" s="80"/>
      <c r="J653" s="80"/>
      <c r="K653" s="80"/>
      <c r="L653" s="2"/>
      <c r="M653" s="2"/>
      <c r="N653" s="2"/>
      <c r="O653" s="2"/>
      <c r="P653" s="2"/>
      <c r="Q653" s="2"/>
      <c r="R653" s="80"/>
      <c r="S653" s="80"/>
      <c r="T653" s="80"/>
      <c r="U653" s="80"/>
      <c r="V653" s="80"/>
      <c r="W653" s="80"/>
      <c r="X653" s="80"/>
      <c r="Y653" s="80"/>
      <c r="Z653" s="80"/>
      <c r="AA653" s="80"/>
      <c r="AB653" s="80"/>
      <c r="AC653" s="80"/>
      <c r="AD653" s="80"/>
      <c r="AE653" s="80"/>
      <c r="AF653" s="80"/>
      <c r="AG653" s="80"/>
    </row>
    <row r="654" spans="1:33" x14ac:dyDescent="0.2">
      <c r="A654" s="2"/>
      <c r="B654" s="80"/>
      <c r="C654" s="80"/>
      <c r="D654" s="80"/>
      <c r="E654" s="80"/>
      <c r="F654" s="80"/>
      <c r="G654" s="80"/>
      <c r="H654" s="80"/>
      <c r="I654" s="80"/>
      <c r="J654" s="80"/>
      <c r="K654" s="80"/>
      <c r="L654" s="2"/>
      <c r="M654" s="2"/>
      <c r="N654" s="2"/>
      <c r="O654" s="2"/>
      <c r="P654" s="2"/>
      <c r="Q654" s="2"/>
      <c r="R654" s="80"/>
      <c r="S654" s="80"/>
      <c r="T654" s="80"/>
      <c r="U654" s="80"/>
      <c r="V654" s="80"/>
      <c r="W654" s="80"/>
      <c r="X654" s="80"/>
      <c r="Y654" s="80"/>
      <c r="Z654" s="80"/>
      <c r="AA654" s="80"/>
      <c r="AB654" s="80"/>
      <c r="AC654" s="80"/>
      <c r="AD654" s="80"/>
      <c r="AE654" s="80"/>
      <c r="AF654" s="80"/>
      <c r="AG654" s="80"/>
    </row>
    <row r="655" spans="1:33" x14ac:dyDescent="0.2">
      <c r="A655" s="2"/>
      <c r="B655" s="80"/>
      <c r="C655" s="80"/>
      <c r="D655" s="80"/>
      <c r="E655" s="80"/>
      <c r="F655" s="80"/>
      <c r="G655" s="80"/>
      <c r="H655" s="80"/>
      <c r="I655" s="80"/>
      <c r="J655" s="80"/>
      <c r="K655" s="80"/>
      <c r="L655" s="2"/>
      <c r="M655" s="2"/>
      <c r="N655" s="2"/>
      <c r="O655" s="2"/>
      <c r="P655" s="2"/>
      <c r="Q655" s="2"/>
      <c r="R655" s="80"/>
      <c r="S655" s="80"/>
      <c r="T655" s="80"/>
      <c r="U655" s="80"/>
      <c r="V655" s="80"/>
      <c r="W655" s="80"/>
      <c r="X655" s="80"/>
      <c r="Y655" s="80"/>
      <c r="Z655" s="80"/>
      <c r="AA655" s="80"/>
      <c r="AB655" s="80"/>
      <c r="AC655" s="80"/>
      <c r="AD655" s="80"/>
      <c r="AE655" s="80"/>
      <c r="AF655" s="80"/>
      <c r="AG655" s="80"/>
    </row>
    <row r="656" spans="1:33" x14ac:dyDescent="0.2">
      <c r="A656" s="2"/>
      <c r="B656" s="80"/>
      <c r="C656" s="80"/>
      <c r="D656" s="80"/>
      <c r="E656" s="80"/>
      <c r="F656" s="80"/>
      <c r="G656" s="80"/>
      <c r="H656" s="80"/>
      <c r="I656" s="80"/>
      <c r="J656" s="80"/>
      <c r="K656" s="80"/>
      <c r="L656" s="2"/>
      <c r="M656" s="2"/>
      <c r="N656" s="2"/>
      <c r="O656" s="2"/>
      <c r="P656" s="2"/>
      <c r="Q656" s="2"/>
      <c r="R656" s="80"/>
      <c r="S656" s="80"/>
      <c r="T656" s="80"/>
      <c r="U656" s="80"/>
      <c r="V656" s="80"/>
      <c r="W656" s="80"/>
      <c r="X656" s="80"/>
      <c r="Y656" s="80"/>
      <c r="Z656" s="80"/>
      <c r="AA656" s="80"/>
      <c r="AB656" s="80"/>
      <c r="AC656" s="80"/>
      <c r="AD656" s="80"/>
      <c r="AE656" s="80"/>
      <c r="AF656" s="80"/>
      <c r="AG656" s="80"/>
    </row>
    <row r="657" spans="1:33" x14ac:dyDescent="0.2">
      <c r="A657" s="2"/>
      <c r="B657" s="80"/>
      <c r="C657" s="80"/>
      <c r="D657" s="80"/>
      <c r="E657" s="80"/>
      <c r="F657" s="80"/>
      <c r="G657" s="80"/>
      <c r="H657" s="80"/>
      <c r="I657" s="80"/>
      <c r="J657" s="80"/>
      <c r="K657" s="80"/>
      <c r="L657" s="2"/>
      <c r="M657" s="2"/>
      <c r="N657" s="2"/>
      <c r="O657" s="2"/>
      <c r="P657" s="2"/>
      <c r="Q657" s="2"/>
      <c r="R657" s="80"/>
      <c r="S657" s="80"/>
      <c r="T657" s="80"/>
      <c r="U657" s="80"/>
      <c r="V657" s="80"/>
      <c r="W657" s="80"/>
      <c r="X657" s="80"/>
      <c r="Y657" s="80"/>
      <c r="Z657" s="80"/>
      <c r="AA657" s="80"/>
      <c r="AB657" s="80"/>
      <c r="AC657" s="80"/>
      <c r="AD657" s="80"/>
      <c r="AE657" s="80"/>
      <c r="AF657" s="80"/>
      <c r="AG657" s="80"/>
    </row>
    <row r="658" spans="1:33" x14ac:dyDescent="0.2">
      <c r="A658" s="2"/>
      <c r="B658" s="80"/>
      <c r="C658" s="80"/>
      <c r="D658" s="80"/>
      <c r="E658" s="80"/>
      <c r="F658" s="80"/>
      <c r="G658" s="80"/>
      <c r="H658" s="80"/>
      <c r="I658" s="80"/>
      <c r="J658" s="80"/>
      <c r="K658" s="80"/>
      <c r="L658" s="2"/>
      <c r="M658" s="2"/>
      <c r="N658" s="2"/>
      <c r="O658" s="2"/>
      <c r="P658" s="2"/>
      <c r="Q658" s="2"/>
      <c r="R658" s="80"/>
      <c r="S658" s="80"/>
      <c r="T658" s="80"/>
      <c r="U658" s="80"/>
      <c r="V658" s="80"/>
      <c r="W658" s="80"/>
      <c r="X658" s="80"/>
      <c r="Y658" s="80"/>
      <c r="Z658" s="80"/>
      <c r="AA658" s="80"/>
      <c r="AB658" s="80"/>
      <c r="AC658" s="80"/>
      <c r="AD658" s="80"/>
      <c r="AE658" s="80"/>
      <c r="AF658" s="80"/>
      <c r="AG658" s="80"/>
    </row>
    <row r="659" spans="1:33" x14ac:dyDescent="0.2">
      <c r="A659" s="2"/>
      <c r="B659" s="80"/>
      <c r="C659" s="80"/>
      <c r="D659" s="80"/>
      <c r="E659" s="80"/>
      <c r="F659" s="80"/>
      <c r="G659" s="80"/>
      <c r="H659" s="80"/>
      <c r="I659" s="80"/>
      <c r="J659" s="80"/>
      <c r="K659" s="80"/>
      <c r="L659" s="2"/>
      <c r="M659" s="2"/>
      <c r="N659" s="2"/>
      <c r="O659" s="2"/>
      <c r="P659" s="2"/>
      <c r="Q659" s="2"/>
      <c r="R659" s="80"/>
      <c r="S659" s="80"/>
      <c r="T659" s="80"/>
      <c r="U659" s="80"/>
      <c r="V659" s="80"/>
      <c r="W659" s="80"/>
      <c r="X659" s="80"/>
      <c r="Y659" s="80"/>
      <c r="Z659" s="80"/>
      <c r="AA659" s="80"/>
      <c r="AB659" s="80"/>
      <c r="AC659" s="80"/>
      <c r="AD659" s="80"/>
      <c r="AE659" s="80"/>
      <c r="AF659" s="80"/>
      <c r="AG659" s="80"/>
    </row>
    <row r="660" spans="1:33" x14ac:dyDescent="0.2">
      <c r="A660" s="2"/>
      <c r="B660" s="80"/>
      <c r="C660" s="80"/>
      <c r="D660" s="80"/>
      <c r="E660" s="80"/>
      <c r="F660" s="80"/>
      <c r="G660" s="80"/>
      <c r="H660" s="80"/>
      <c r="I660" s="80"/>
      <c r="J660" s="80"/>
      <c r="K660" s="80"/>
      <c r="L660" s="2"/>
      <c r="M660" s="2"/>
      <c r="N660" s="2"/>
      <c r="O660" s="2"/>
      <c r="P660" s="2"/>
      <c r="Q660" s="2"/>
      <c r="R660" s="80"/>
      <c r="S660" s="80"/>
      <c r="T660" s="80"/>
      <c r="U660" s="80"/>
      <c r="V660" s="80"/>
      <c r="W660" s="80"/>
      <c r="X660" s="80"/>
      <c r="Y660" s="80"/>
      <c r="Z660" s="80"/>
      <c r="AA660" s="80"/>
      <c r="AB660" s="80"/>
      <c r="AC660" s="80"/>
      <c r="AD660" s="80"/>
      <c r="AE660" s="80"/>
      <c r="AF660" s="80"/>
      <c r="AG660" s="80"/>
    </row>
    <row r="661" spans="1:33" x14ac:dyDescent="0.2">
      <c r="A661" s="2"/>
      <c r="B661" s="80"/>
      <c r="C661" s="80"/>
      <c r="D661" s="80"/>
      <c r="E661" s="80"/>
      <c r="F661" s="80"/>
      <c r="G661" s="80"/>
      <c r="H661" s="80"/>
      <c r="I661" s="80"/>
      <c r="J661" s="80"/>
      <c r="K661" s="80"/>
      <c r="L661" s="2"/>
      <c r="M661" s="2"/>
      <c r="N661" s="2"/>
      <c r="O661" s="2"/>
      <c r="P661" s="2"/>
      <c r="Q661" s="2"/>
      <c r="R661" s="80"/>
      <c r="S661" s="80"/>
      <c r="T661" s="80"/>
      <c r="U661" s="80"/>
      <c r="V661" s="80"/>
      <c r="W661" s="80"/>
      <c r="X661" s="80"/>
      <c r="Y661" s="80"/>
      <c r="Z661" s="80"/>
      <c r="AA661" s="80"/>
      <c r="AB661" s="80"/>
      <c r="AC661" s="80"/>
      <c r="AD661" s="80"/>
      <c r="AE661" s="80"/>
      <c r="AF661" s="80"/>
      <c r="AG661" s="80"/>
    </row>
    <row r="662" spans="1:33" x14ac:dyDescent="0.2">
      <c r="A662" s="2"/>
      <c r="B662" s="80"/>
      <c r="C662" s="80"/>
      <c r="D662" s="80"/>
      <c r="E662" s="80"/>
      <c r="F662" s="80"/>
      <c r="G662" s="80"/>
      <c r="H662" s="80"/>
      <c r="I662" s="80"/>
      <c r="J662" s="80"/>
      <c r="K662" s="80"/>
      <c r="L662" s="2"/>
      <c r="M662" s="2"/>
      <c r="N662" s="2"/>
      <c r="O662" s="2"/>
      <c r="P662" s="2"/>
      <c r="Q662" s="2"/>
      <c r="R662" s="80"/>
      <c r="S662" s="80"/>
      <c r="T662" s="80"/>
      <c r="U662" s="80"/>
      <c r="V662" s="80"/>
      <c r="W662" s="80"/>
      <c r="X662" s="80"/>
      <c r="Y662" s="80"/>
      <c r="Z662" s="80"/>
      <c r="AA662" s="80"/>
      <c r="AB662" s="80"/>
      <c r="AC662" s="80"/>
      <c r="AD662" s="80"/>
      <c r="AE662" s="80"/>
      <c r="AF662" s="80"/>
      <c r="AG662" s="80"/>
    </row>
    <row r="663" spans="1:33" x14ac:dyDescent="0.2">
      <c r="A663" s="2"/>
      <c r="B663" s="80"/>
      <c r="C663" s="80"/>
      <c r="D663" s="80"/>
      <c r="E663" s="80"/>
      <c r="F663" s="80"/>
      <c r="G663" s="80"/>
      <c r="H663" s="80"/>
      <c r="I663" s="80"/>
      <c r="J663" s="80"/>
      <c r="K663" s="80"/>
      <c r="L663" s="2"/>
      <c r="M663" s="2"/>
      <c r="N663" s="2"/>
      <c r="O663" s="2"/>
      <c r="P663" s="2"/>
      <c r="Q663" s="2"/>
      <c r="R663" s="80"/>
      <c r="S663" s="80"/>
      <c r="T663" s="80"/>
      <c r="U663" s="80"/>
      <c r="V663" s="80"/>
      <c r="W663" s="80"/>
      <c r="X663" s="80"/>
      <c r="Y663" s="80"/>
      <c r="Z663" s="80"/>
      <c r="AA663" s="80"/>
      <c r="AB663" s="80"/>
      <c r="AC663" s="80"/>
      <c r="AD663" s="80"/>
      <c r="AE663" s="80"/>
      <c r="AF663" s="80"/>
      <c r="AG663" s="80"/>
    </row>
    <row r="664" spans="1:33" x14ac:dyDescent="0.2">
      <c r="A664" s="2"/>
      <c r="B664" s="80"/>
      <c r="C664" s="80"/>
      <c r="D664" s="80"/>
      <c r="E664" s="80"/>
      <c r="F664" s="80"/>
      <c r="G664" s="80"/>
      <c r="H664" s="80"/>
      <c r="I664" s="80"/>
      <c r="J664" s="80"/>
      <c r="K664" s="80"/>
      <c r="L664" s="2"/>
      <c r="M664" s="2"/>
      <c r="N664" s="2"/>
      <c r="O664" s="2"/>
      <c r="P664" s="2"/>
      <c r="Q664" s="2"/>
      <c r="R664" s="80"/>
      <c r="S664" s="80"/>
      <c r="T664" s="80"/>
      <c r="U664" s="80"/>
      <c r="V664" s="80"/>
      <c r="W664" s="80"/>
      <c r="X664" s="80"/>
      <c r="Y664" s="80"/>
      <c r="Z664" s="80"/>
      <c r="AA664" s="80"/>
      <c r="AB664" s="80"/>
      <c r="AC664" s="80"/>
      <c r="AD664" s="80"/>
      <c r="AE664" s="80"/>
      <c r="AF664" s="80"/>
      <c r="AG664" s="80"/>
    </row>
    <row r="665" spans="1:33" x14ac:dyDescent="0.2">
      <c r="A665" s="2"/>
      <c r="B665" s="80"/>
      <c r="C665" s="80"/>
      <c r="D665" s="80"/>
      <c r="E665" s="80"/>
      <c r="F665" s="80"/>
      <c r="G665" s="80"/>
      <c r="H665" s="80"/>
      <c r="I665" s="80"/>
      <c r="J665" s="80"/>
      <c r="K665" s="80"/>
      <c r="L665" s="2"/>
      <c r="M665" s="2"/>
      <c r="N665" s="2"/>
      <c r="O665" s="2"/>
      <c r="P665" s="2"/>
      <c r="Q665" s="2"/>
      <c r="R665" s="80"/>
      <c r="S665" s="80"/>
      <c r="T665" s="80"/>
      <c r="U665" s="80"/>
      <c r="V665" s="80"/>
      <c r="W665" s="80"/>
      <c r="X665" s="80"/>
      <c r="Y665" s="80"/>
      <c r="Z665" s="80"/>
      <c r="AA665" s="80"/>
      <c r="AB665" s="80"/>
      <c r="AC665" s="80"/>
      <c r="AD665" s="80"/>
      <c r="AE665" s="80"/>
      <c r="AF665" s="80"/>
      <c r="AG665" s="80"/>
    </row>
    <row r="666" spans="1:33" x14ac:dyDescent="0.2">
      <c r="A666" s="2"/>
      <c r="B666" s="80"/>
      <c r="C666" s="80"/>
      <c r="D666" s="80"/>
      <c r="E666" s="80"/>
      <c r="F666" s="80"/>
      <c r="G666" s="80"/>
      <c r="H666" s="80"/>
      <c r="I666" s="80"/>
      <c r="J666" s="80"/>
      <c r="K666" s="80"/>
      <c r="L666" s="2"/>
      <c r="M666" s="2"/>
      <c r="N666" s="2"/>
      <c r="O666" s="2"/>
      <c r="P666" s="2"/>
      <c r="Q666" s="2"/>
      <c r="R666" s="80"/>
      <c r="S666" s="80"/>
      <c r="T666" s="80"/>
      <c r="U666" s="80"/>
      <c r="V666" s="80"/>
      <c r="W666" s="80"/>
      <c r="X666" s="80"/>
      <c r="Y666" s="80"/>
      <c r="Z666" s="80"/>
      <c r="AA666" s="80"/>
      <c r="AB666" s="80"/>
      <c r="AC666" s="80"/>
      <c r="AD666" s="80"/>
      <c r="AE666" s="80"/>
      <c r="AF666" s="80"/>
      <c r="AG666" s="80"/>
    </row>
    <row r="667" spans="1:33" x14ac:dyDescent="0.2">
      <c r="A667" s="2"/>
      <c r="B667" s="80"/>
      <c r="C667" s="80"/>
      <c r="D667" s="80"/>
      <c r="E667" s="80"/>
      <c r="F667" s="80"/>
      <c r="G667" s="80"/>
      <c r="H667" s="80"/>
      <c r="I667" s="80"/>
      <c r="J667" s="80"/>
      <c r="K667" s="80"/>
      <c r="L667" s="2"/>
      <c r="M667" s="2"/>
      <c r="N667" s="2"/>
      <c r="O667" s="2"/>
      <c r="P667" s="2"/>
      <c r="Q667" s="2"/>
      <c r="R667" s="80"/>
      <c r="S667" s="80"/>
      <c r="T667" s="80"/>
      <c r="U667" s="80"/>
      <c r="V667" s="80"/>
      <c r="W667" s="80"/>
      <c r="X667" s="80"/>
      <c r="Y667" s="80"/>
      <c r="Z667" s="80"/>
      <c r="AA667" s="80"/>
      <c r="AB667" s="80"/>
      <c r="AC667" s="80"/>
      <c r="AD667" s="80"/>
      <c r="AE667" s="80"/>
      <c r="AF667" s="80"/>
      <c r="AG667" s="80"/>
    </row>
    <row r="668" spans="1:33" x14ac:dyDescent="0.2">
      <c r="A668" s="2"/>
      <c r="B668" s="80"/>
      <c r="C668" s="80"/>
      <c r="D668" s="80"/>
      <c r="E668" s="80"/>
      <c r="F668" s="80"/>
      <c r="G668" s="80"/>
      <c r="H668" s="80"/>
      <c r="I668" s="80"/>
      <c r="J668" s="80"/>
      <c r="K668" s="80"/>
      <c r="L668" s="2"/>
      <c r="M668" s="2"/>
      <c r="N668" s="2"/>
      <c r="O668" s="2"/>
      <c r="P668" s="2"/>
      <c r="Q668" s="2"/>
      <c r="R668" s="80"/>
      <c r="S668" s="80"/>
      <c r="T668" s="80"/>
      <c r="U668" s="80"/>
      <c r="V668" s="80"/>
      <c r="W668" s="80"/>
      <c r="X668" s="80"/>
      <c r="Y668" s="80"/>
      <c r="Z668" s="80"/>
      <c r="AA668" s="80"/>
      <c r="AB668" s="80"/>
      <c r="AC668" s="80"/>
      <c r="AD668" s="80"/>
      <c r="AE668" s="80"/>
      <c r="AF668" s="80"/>
      <c r="AG668" s="80"/>
    </row>
    <row r="669" spans="1:33" x14ac:dyDescent="0.2">
      <c r="A669" s="2"/>
      <c r="B669" s="80"/>
      <c r="C669" s="80"/>
      <c r="D669" s="80"/>
      <c r="E669" s="80"/>
      <c r="F669" s="80"/>
      <c r="G669" s="80"/>
      <c r="H669" s="80"/>
      <c r="I669" s="80"/>
      <c r="J669" s="80"/>
      <c r="K669" s="80"/>
      <c r="L669" s="2"/>
      <c r="M669" s="2"/>
      <c r="N669" s="2"/>
      <c r="O669" s="2"/>
      <c r="P669" s="2"/>
      <c r="Q669" s="2"/>
      <c r="R669" s="80"/>
      <c r="S669" s="80"/>
      <c r="T669" s="80"/>
      <c r="U669" s="80"/>
      <c r="V669" s="80"/>
      <c r="W669" s="80"/>
      <c r="X669" s="80"/>
      <c r="Y669" s="80"/>
      <c r="Z669" s="80"/>
      <c r="AA669" s="80"/>
      <c r="AB669" s="80"/>
      <c r="AC669" s="80"/>
      <c r="AD669" s="80"/>
      <c r="AE669" s="80"/>
      <c r="AF669" s="80"/>
      <c r="AG669" s="80"/>
    </row>
    <row r="670" spans="1:33" x14ac:dyDescent="0.2">
      <c r="A670" s="2"/>
      <c r="B670" s="80"/>
      <c r="C670" s="80"/>
      <c r="D670" s="80"/>
      <c r="E670" s="80"/>
      <c r="F670" s="80"/>
      <c r="G670" s="80"/>
      <c r="H670" s="80"/>
      <c r="I670" s="80"/>
      <c r="J670" s="80"/>
      <c r="K670" s="80"/>
      <c r="L670" s="2"/>
      <c r="M670" s="2"/>
      <c r="N670" s="2"/>
      <c r="O670" s="2"/>
      <c r="P670" s="2"/>
      <c r="Q670" s="2"/>
      <c r="R670" s="80"/>
      <c r="S670" s="80"/>
      <c r="T670" s="80"/>
      <c r="U670" s="80"/>
      <c r="V670" s="80"/>
      <c r="W670" s="80"/>
      <c r="X670" s="80"/>
      <c r="Y670" s="80"/>
      <c r="Z670" s="80"/>
      <c r="AA670" s="80"/>
      <c r="AB670" s="80"/>
      <c r="AC670" s="80"/>
      <c r="AD670" s="80"/>
      <c r="AE670" s="80"/>
      <c r="AF670" s="80"/>
      <c r="AG670" s="80"/>
    </row>
    <row r="671" spans="1:33" x14ac:dyDescent="0.2">
      <c r="A671" s="2"/>
      <c r="B671" s="80"/>
      <c r="C671" s="80"/>
      <c r="D671" s="80"/>
      <c r="E671" s="80"/>
      <c r="F671" s="80"/>
      <c r="G671" s="80"/>
      <c r="H671" s="80"/>
      <c r="I671" s="80"/>
      <c r="J671" s="80"/>
      <c r="K671" s="80"/>
      <c r="L671" s="2"/>
      <c r="M671" s="2"/>
      <c r="N671" s="2"/>
      <c r="O671" s="2"/>
      <c r="P671" s="2"/>
      <c r="Q671" s="2"/>
      <c r="R671" s="80"/>
      <c r="S671" s="80"/>
      <c r="T671" s="80"/>
      <c r="U671" s="80"/>
      <c r="V671" s="80"/>
      <c r="W671" s="80"/>
      <c r="X671" s="80"/>
      <c r="Y671" s="80"/>
      <c r="Z671" s="80"/>
      <c r="AA671" s="80"/>
      <c r="AB671" s="80"/>
      <c r="AC671" s="80"/>
      <c r="AD671" s="80"/>
      <c r="AE671" s="80"/>
      <c r="AF671" s="80"/>
      <c r="AG671" s="80"/>
    </row>
    <row r="672" spans="1:33" x14ac:dyDescent="0.2">
      <c r="A672" s="2"/>
      <c r="B672" s="80"/>
      <c r="C672" s="80"/>
      <c r="D672" s="80"/>
      <c r="E672" s="80"/>
      <c r="F672" s="80"/>
      <c r="G672" s="80"/>
      <c r="H672" s="80"/>
      <c r="I672" s="80"/>
      <c r="J672" s="80"/>
      <c r="K672" s="80"/>
      <c r="L672" s="2"/>
      <c r="M672" s="2"/>
      <c r="N672" s="2"/>
      <c r="O672" s="2"/>
      <c r="P672" s="2"/>
      <c r="Q672" s="2"/>
      <c r="R672" s="80"/>
      <c r="S672" s="80"/>
      <c r="T672" s="80"/>
      <c r="U672" s="80"/>
      <c r="V672" s="80"/>
      <c r="W672" s="80"/>
      <c r="X672" s="80"/>
      <c r="Y672" s="80"/>
      <c r="Z672" s="80"/>
      <c r="AA672" s="80"/>
      <c r="AB672" s="80"/>
      <c r="AC672" s="80"/>
      <c r="AD672" s="80"/>
      <c r="AE672" s="80"/>
      <c r="AF672" s="80"/>
      <c r="AG672" s="80"/>
    </row>
    <row r="673" spans="1:33" x14ac:dyDescent="0.2">
      <c r="A673" s="2"/>
      <c r="B673" s="80"/>
      <c r="C673" s="80"/>
      <c r="D673" s="80"/>
      <c r="E673" s="80"/>
      <c r="F673" s="80"/>
      <c r="G673" s="80"/>
      <c r="H673" s="80"/>
      <c r="I673" s="80"/>
      <c r="J673" s="80"/>
      <c r="K673" s="80"/>
      <c r="L673" s="2"/>
      <c r="M673" s="2"/>
      <c r="N673" s="2"/>
      <c r="O673" s="2"/>
      <c r="P673" s="2"/>
      <c r="Q673" s="2"/>
      <c r="R673" s="80"/>
      <c r="S673" s="80"/>
      <c r="T673" s="80"/>
      <c r="U673" s="80"/>
      <c r="V673" s="80"/>
      <c r="W673" s="80"/>
      <c r="X673" s="80"/>
      <c r="Y673" s="80"/>
      <c r="Z673" s="80"/>
      <c r="AA673" s="80"/>
      <c r="AB673" s="80"/>
      <c r="AC673" s="80"/>
      <c r="AD673" s="80"/>
      <c r="AE673" s="80"/>
      <c r="AF673" s="80"/>
      <c r="AG673" s="80"/>
    </row>
    <row r="674" spans="1:33" x14ac:dyDescent="0.2">
      <c r="A674" s="2"/>
      <c r="B674" s="80"/>
      <c r="C674" s="80"/>
      <c r="D674" s="80"/>
      <c r="E674" s="80"/>
      <c r="F674" s="80"/>
      <c r="G674" s="80"/>
      <c r="H674" s="80"/>
      <c r="I674" s="80"/>
      <c r="J674" s="80"/>
      <c r="K674" s="80"/>
      <c r="L674" s="2"/>
      <c r="M674" s="2"/>
      <c r="N674" s="2"/>
      <c r="O674" s="2"/>
      <c r="P674" s="2"/>
      <c r="Q674" s="2"/>
      <c r="R674" s="80"/>
      <c r="S674" s="80"/>
      <c r="T674" s="80"/>
      <c r="U674" s="80"/>
      <c r="V674" s="80"/>
      <c r="W674" s="80"/>
      <c r="X674" s="80"/>
      <c r="Y674" s="80"/>
      <c r="Z674" s="80"/>
      <c r="AA674" s="80"/>
      <c r="AB674" s="80"/>
      <c r="AC674" s="80"/>
      <c r="AD674" s="80"/>
      <c r="AE674" s="80"/>
      <c r="AF674" s="80"/>
      <c r="AG674" s="80"/>
    </row>
    <row r="675" spans="1:33" x14ac:dyDescent="0.2">
      <c r="A675" s="2"/>
      <c r="B675" s="80"/>
      <c r="C675" s="80"/>
      <c r="D675" s="80"/>
      <c r="E675" s="80"/>
      <c r="F675" s="80"/>
      <c r="G675" s="80"/>
      <c r="H675" s="80"/>
      <c r="I675" s="80"/>
      <c r="J675" s="80"/>
      <c r="K675" s="80"/>
      <c r="L675" s="2"/>
      <c r="M675" s="2"/>
      <c r="N675" s="2"/>
      <c r="O675" s="2"/>
      <c r="P675" s="2"/>
      <c r="Q675" s="2"/>
      <c r="R675" s="80"/>
      <c r="S675" s="80"/>
      <c r="T675" s="80"/>
      <c r="U675" s="80"/>
      <c r="V675" s="80"/>
      <c r="W675" s="80"/>
      <c r="X675" s="80"/>
      <c r="Y675" s="80"/>
      <c r="Z675" s="80"/>
      <c r="AA675" s="80"/>
      <c r="AB675" s="80"/>
      <c r="AC675" s="80"/>
      <c r="AD675" s="80"/>
      <c r="AE675" s="80"/>
      <c r="AF675" s="80"/>
      <c r="AG675" s="80"/>
    </row>
    <row r="676" spans="1:33" x14ac:dyDescent="0.2">
      <c r="A676" s="2"/>
      <c r="B676" s="80"/>
      <c r="C676" s="80"/>
      <c r="D676" s="80"/>
      <c r="E676" s="80"/>
      <c r="F676" s="80"/>
      <c r="G676" s="80"/>
      <c r="H676" s="80"/>
      <c r="I676" s="80"/>
      <c r="J676" s="80"/>
      <c r="K676" s="80"/>
      <c r="L676" s="2"/>
      <c r="M676" s="2"/>
      <c r="N676" s="2"/>
      <c r="O676" s="2"/>
      <c r="P676" s="2"/>
      <c r="Q676" s="2"/>
      <c r="R676" s="80"/>
      <c r="S676" s="80"/>
      <c r="T676" s="80"/>
      <c r="U676" s="80"/>
      <c r="V676" s="80"/>
      <c r="W676" s="80"/>
      <c r="X676" s="80"/>
      <c r="Y676" s="80"/>
      <c r="Z676" s="80"/>
      <c r="AA676" s="80"/>
      <c r="AB676" s="80"/>
      <c r="AC676" s="80"/>
      <c r="AD676" s="80"/>
      <c r="AE676" s="80"/>
      <c r="AF676" s="80"/>
      <c r="AG676" s="80"/>
    </row>
    <row r="677" spans="1:33" x14ac:dyDescent="0.2">
      <c r="A677" s="2"/>
      <c r="B677" s="80"/>
      <c r="C677" s="80"/>
      <c r="D677" s="80"/>
      <c r="E677" s="80"/>
      <c r="F677" s="80"/>
      <c r="G677" s="80"/>
      <c r="H677" s="80"/>
      <c r="I677" s="80"/>
      <c r="J677" s="80"/>
      <c r="K677" s="80"/>
      <c r="L677" s="2"/>
      <c r="M677" s="2"/>
      <c r="N677" s="2"/>
      <c r="O677" s="2"/>
      <c r="P677" s="2"/>
      <c r="Q677" s="2"/>
      <c r="R677" s="80"/>
      <c r="S677" s="80"/>
      <c r="T677" s="80"/>
      <c r="U677" s="80"/>
      <c r="V677" s="80"/>
      <c r="W677" s="80"/>
      <c r="X677" s="80"/>
      <c r="Y677" s="80"/>
      <c r="Z677" s="80"/>
      <c r="AA677" s="80"/>
      <c r="AB677" s="80"/>
      <c r="AC677" s="80"/>
      <c r="AD677" s="80"/>
      <c r="AE677" s="80"/>
      <c r="AF677" s="80"/>
      <c r="AG677" s="80"/>
    </row>
    <row r="678" spans="1:33" x14ac:dyDescent="0.2">
      <c r="A678" s="2"/>
      <c r="B678" s="80"/>
      <c r="C678" s="80"/>
      <c r="D678" s="80"/>
      <c r="E678" s="80"/>
      <c r="F678" s="80"/>
      <c r="G678" s="80"/>
      <c r="H678" s="80"/>
      <c r="I678" s="80"/>
      <c r="J678" s="80"/>
      <c r="K678" s="80"/>
      <c r="L678" s="2"/>
      <c r="M678" s="2"/>
      <c r="N678" s="2"/>
      <c r="O678" s="2"/>
      <c r="P678" s="2"/>
      <c r="Q678" s="2"/>
      <c r="R678" s="80"/>
      <c r="S678" s="80"/>
      <c r="T678" s="80"/>
      <c r="U678" s="80"/>
      <c r="V678" s="80"/>
      <c r="W678" s="80"/>
      <c r="X678" s="80"/>
      <c r="Y678" s="80"/>
      <c r="Z678" s="80"/>
      <c r="AA678" s="80"/>
      <c r="AB678" s="80"/>
      <c r="AC678" s="80"/>
      <c r="AD678" s="80"/>
      <c r="AE678" s="80"/>
      <c r="AF678" s="80"/>
      <c r="AG678" s="80"/>
    </row>
    <row r="679" spans="1:33" x14ac:dyDescent="0.2">
      <c r="A679" s="2"/>
      <c r="B679" s="80"/>
      <c r="C679" s="80"/>
      <c r="D679" s="80"/>
      <c r="E679" s="80"/>
      <c r="F679" s="80"/>
      <c r="G679" s="80"/>
      <c r="H679" s="80"/>
      <c r="I679" s="80"/>
      <c r="J679" s="80"/>
      <c r="K679" s="80"/>
      <c r="L679" s="2"/>
      <c r="M679" s="2"/>
      <c r="N679" s="2"/>
      <c r="O679" s="2"/>
      <c r="P679" s="2"/>
      <c r="Q679" s="2"/>
      <c r="R679" s="80"/>
      <c r="S679" s="80"/>
      <c r="T679" s="80"/>
      <c r="U679" s="80"/>
      <c r="V679" s="80"/>
      <c r="W679" s="80"/>
      <c r="X679" s="80"/>
      <c r="Y679" s="80"/>
      <c r="Z679" s="80"/>
      <c r="AA679" s="80"/>
      <c r="AB679" s="80"/>
      <c r="AC679" s="80"/>
      <c r="AD679" s="80"/>
      <c r="AE679" s="80"/>
      <c r="AF679" s="80"/>
      <c r="AG679" s="80"/>
    </row>
    <row r="680" spans="1:33" x14ac:dyDescent="0.2">
      <c r="A680" s="2"/>
      <c r="B680" s="80"/>
      <c r="C680" s="80"/>
      <c r="D680" s="80"/>
      <c r="E680" s="80"/>
      <c r="F680" s="80"/>
      <c r="G680" s="80"/>
      <c r="H680" s="80"/>
      <c r="I680" s="80"/>
      <c r="J680" s="80"/>
      <c r="K680" s="80"/>
      <c r="L680" s="2"/>
      <c r="M680" s="2"/>
      <c r="N680" s="2"/>
      <c r="O680" s="2"/>
      <c r="P680" s="2"/>
      <c r="Q680" s="2"/>
      <c r="R680" s="80"/>
      <c r="S680" s="80"/>
      <c r="T680" s="80"/>
      <c r="U680" s="80"/>
      <c r="V680" s="80"/>
      <c r="W680" s="80"/>
      <c r="X680" s="80"/>
      <c r="Y680" s="80"/>
      <c r="Z680" s="80"/>
      <c r="AA680" s="80"/>
      <c r="AB680" s="80"/>
      <c r="AC680" s="80"/>
      <c r="AD680" s="80"/>
      <c r="AE680" s="80"/>
      <c r="AF680" s="80"/>
      <c r="AG680" s="80"/>
    </row>
    <row r="681" spans="1:33" x14ac:dyDescent="0.2">
      <c r="A681" s="2"/>
      <c r="B681" s="80"/>
      <c r="C681" s="80"/>
      <c r="D681" s="80"/>
      <c r="E681" s="80"/>
      <c r="F681" s="80"/>
      <c r="G681" s="80"/>
      <c r="H681" s="80"/>
      <c r="I681" s="80"/>
      <c r="J681" s="80"/>
      <c r="K681" s="80"/>
      <c r="L681" s="2"/>
      <c r="M681" s="2"/>
      <c r="N681" s="2"/>
      <c r="O681" s="2"/>
      <c r="P681" s="2"/>
      <c r="Q681" s="2"/>
      <c r="R681" s="80"/>
      <c r="S681" s="80"/>
      <c r="T681" s="80"/>
      <c r="U681" s="80"/>
      <c r="V681" s="80"/>
      <c r="W681" s="80"/>
      <c r="X681" s="80"/>
      <c r="Y681" s="80"/>
      <c r="Z681" s="80"/>
      <c r="AA681" s="80"/>
      <c r="AB681" s="80"/>
      <c r="AC681" s="80"/>
      <c r="AD681" s="80"/>
      <c r="AE681" s="80"/>
      <c r="AF681" s="80"/>
      <c r="AG681" s="80"/>
    </row>
    <row r="682" spans="1:33" x14ac:dyDescent="0.2">
      <c r="A682" s="2"/>
      <c r="B682" s="80"/>
      <c r="C682" s="80"/>
      <c r="D682" s="80"/>
      <c r="E682" s="80"/>
      <c r="F682" s="80"/>
      <c r="G682" s="80"/>
      <c r="H682" s="80"/>
      <c r="I682" s="80"/>
      <c r="J682" s="80"/>
      <c r="K682" s="80"/>
      <c r="L682" s="2"/>
      <c r="M682" s="2"/>
      <c r="N682" s="2"/>
      <c r="O682" s="2"/>
      <c r="P682" s="2"/>
      <c r="Q682" s="2"/>
      <c r="R682" s="80"/>
      <c r="S682" s="80"/>
      <c r="T682" s="80"/>
      <c r="U682" s="80"/>
      <c r="V682" s="80"/>
      <c r="W682" s="80"/>
      <c r="X682" s="80"/>
      <c r="Y682" s="80"/>
      <c r="Z682" s="80"/>
      <c r="AA682" s="80"/>
      <c r="AB682" s="80"/>
      <c r="AC682" s="80"/>
      <c r="AD682" s="80"/>
      <c r="AE682" s="80"/>
      <c r="AF682" s="80"/>
      <c r="AG682" s="80"/>
    </row>
    <row r="683" spans="1:33" x14ac:dyDescent="0.2">
      <c r="A683" s="2"/>
      <c r="B683" s="80"/>
      <c r="C683" s="80"/>
      <c r="D683" s="80"/>
      <c r="E683" s="80"/>
      <c r="F683" s="80"/>
      <c r="G683" s="80"/>
      <c r="H683" s="80"/>
      <c r="I683" s="80"/>
      <c r="J683" s="80"/>
      <c r="K683" s="80"/>
      <c r="L683" s="2"/>
      <c r="M683" s="2"/>
      <c r="N683" s="2"/>
      <c r="O683" s="2"/>
      <c r="P683" s="2"/>
      <c r="Q683" s="2"/>
      <c r="R683" s="80"/>
      <c r="S683" s="80"/>
      <c r="T683" s="80"/>
      <c r="U683" s="80"/>
      <c r="V683" s="80"/>
      <c r="W683" s="80"/>
      <c r="X683" s="80"/>
      <c r="Y683" s="80"/>
      <c r="Z683" s="80"/>
      <c r="AA683" s="80"/>
      <c r="AB683" s="80"/>
      <c r="AC683" s="80"/>
      <c r="AD683" s="80"/>
      <c r="AE683" s="80"/>
      <c r="AF683" s="80"/>
      <c r="AG683" s="80"/>
    </row>
    <row r="684" spans="1:33" x14ac:dyDescent="0.2">
      <c r="A684" s="2"/>
      <c r="B684" s="80"/>
      <c r="C684" s="80"/>
      <c r="D684" s="80"/>
      <c r="E684" s="80"/>
      <c r="F684" s="80"/>
      <c r="G684" s="80"/>
      <c r="H684" s="80"/>
      <c r="I684" s="80"/>
      <c r="J684" s="80"/>
      <c r="K684" s="80"/>
      <c r="L684" s="2"/>
      <c r="M684" s="2"/>
      <c r="N684" s="2"/>
      <c r="O684" s="2"/>
      <c r="P684" s="2"/>
      <c r="Q684" s="2"/>
      <c r="R684" s="80"/>
      <c r="S684" s="80"/>
      <c r="T684" s="80"/>
      <c r="U684" s="80"/>
      <c r="V684" s="80"/>
      <c r="W684" s="80"/>
      <c r="X684" s="80"/>
      <c r="Y684" s="80"/>
      <c r="Z684" s="80"/>
      <c r="AA684" s="80"/>
      <c r="AB684" s="80"/>
      <c r="AC684" s="80"/>
      <c r="AD684" s="80"/>
      <c r="AE684" s="80"/>
      <c r="AF684" s="80"/>
      <c r="AG684" s="80"/>
    </row>
    <row r="685" spans="1:33" x14ac:dyDescent="0.2">
      <c r="A685" s="2"/>
      <c r="B685" s="80"/>
      <c r="C685" s="80"/>
      <c r="D685" s="80"/>
      <c r="E685" s="80"/>
      <c r="F685" s="80"/>
      <c r="G685" s="80"/>
      <c r="H685" s="80"/>
      <c r="I685" s="80"/>
      <c r="J685" s="80"/>
      <c r="K685" s="80"/>
      <c r="L685" s="2"/>
      <c r="M685" s="2"/>
      <c r="N685" s="2"/>
      <c r="O685" s="2"/>
      <c r="P685" s="2"/>
      <c r="Q685" s="2"/>
      <c r="R685" s="80"/>
      <c r="S685" s="80"/>
      <c r="T685" s="80"/>
      <c r="U685" s="80"/>
      <c r="V685" s="80"/>
      <c r="W685" s="80"/>
      <c r="X685" s="80"/>
      <c r="Y685" s="80"/>
      <c r="Z685" s="80"/>
      <c r="AA685" s="80"/>
      <c r="AB685" s="80"/>
      <c r="AC685" s="80"/>
      <c r="AD685" s="80"/>
      <c r="AE685" s="80"/>
      <c r="AF685" s="80"/>
      <c r="AG685" s="80"/>
    </row>
    <row r="686" spans="1:33" x14ac:dyDescent="0.2">
      <c r="A686" s="2"/>
      <c r="B686" s="80"/>
      <c r="C686" s="80"/>
      <c r="D686" s="80"/>
      <c r="E686" s="80"/>
      <c r="F686" s="80"/>
      <c r="G686" s="80"/>
      <c r="H686" s="80"/>
      <c r="I686" s="80"/>
      <c r="J686" s="80"/>
      <c r="K686" s="80"/>
      <c r="L686" s="2"/>
      <c r="M686" s="2"/>
      <c r="N686" s="2"/>
      <c r="O686" s="2"/>
      <c r="P686" s="2"/>
      <c r="Q686" s="2"/>
      <c r="R686" s="80"/>
      <c r="S686" s="80"/>
      <c r="T686" s="80"/>
      <c r="U686" s="80"/>
      <c r="V686" s="80"/>
      <c r="W686" s="80"/>
      <c r="X686" s="80"/>
      <c r="Y686" s="80"/>
      <c r="Z686" s="80"/>
      <c r="AA686" s="80"/>
      <c r="AB686" s="80"/>
      <c r="AC686" s="80"/>
      <c r="AD686" s="80"/>
      <c r="AE686" s="80"/>
      <c r="AF686" s="80"/>
      <c r="AG686" s="80"/>
    </row>
    <row r="687" spans="1:33" x14ac:dyDescent="0.2">
      <c r="A687" s="2"/>
      <c r="B687" s="80"/>
      <c r="C687" s="80"/>
      <c r="D687" s="80"/>
      <c r="E687" s="80"/>
      <c r="F687" s="80"/>
      <c r="G687" s="80"/>
      <c r="H687" s="80"/>
      <c r="I687" s="80"/>
      <c r="J687" s="80"/>
      <c r="K687" s="80"/>
      <c r="L687" s="2"/>
      <c r="M687" s="2"/>
      <c r="N687" s="2"/>
      <c r="O687" s="2"/>
      <c r="P687" s="2"/>
      <c r="Q687" s="2"/>
      <c r="R687" s="80"/>
      <c r="S687" s="80"/>
      <c r="T687" s="80"/>
      <c r="U687" s="80"/>
      <c r="V687" s="80"/>
      <c r="W687" s="80"/>
      <c r="X687" s="80"/>
      <c r="Y687" s="80"/>
      <c r="Z687" s="80"/>
      <c r="AA687" s="80"/>
      <c r="AB687" s="80"/>
      <c r="AC687" s="80"/>
      <c r="AD687" s="80"/>
      <c r="AE687" s="80"/>
      <c r="AF687" s="80"/>
      <c r="AG687" s="80"/>
    </row>
    <row r="688" spans="1:33" x14ac:dyDescent="0.2">
      <c r="A688" s="2"/>
      <c r="B688" s="80"/>
      <c r="C688" s="80"/>
      <c r="D688" s="80"/>
      <c r="E688" s="80"/>
      <c r="F688" s="80"/>
      <c r="G688" s="80"/>
      <c r="H688" s="80"/>
      <c r="I688" s="80"/>
      <c r="J688" s="80"/>
      <c r="K688" s="80"/>
      <c r="L688" s="2"/>
      <c r="M688" s="2"/>
      <c r="N688" s="2"/>
      <c r="O688" s="2"/>
      <c r="P688" s="2"/>
      <c r="Q688" s="2"/>
      <c r="R688" s="80"/>
      <c r="S688" s="80"/>
      <c r="T688" s="80"/>
      <c r="U688" s="80"/>
      <c r="V688" s="80"/>
      <c r="W688" s="80"/>
      <c r="X688" s="80"/>
      <c r="Y688" s="80"/>
      <c r="Z688" s="80"/>
      <c r="AA688" s="80"/>
      <c r="AB688" s="80"/>
      <c r="AC688" s="80"/>
      <c r="AD688" s="80"/>
      <c r="AE688" s="80"/>
      <c r="AF688" s="80"/>
      <c r="AG688" s="80"/>
    </row>
    <row r="689" spans="1:33" x14ac:dyDescent="0.2">
      <c r="A689" s="2"/>
      <c r="B689" s="80"/>
      <c r="C689" s="80"/>
      <c r="D689" s="80"/>
      <c r="E689" s="80"/>
      <c r="F689" s="80"/>
      <c r="G689" s="80"/>
      <c r="H689" s="80"/>
      <c r="I689" s="80"/>
      <c r="J689" s="80"/>
      <c r="K689" s="80"/>
      <c r="L689" s="2"/>
      <c r="M689" s="2"/>
      <c r="N689" s="2"/>
      <c r="O689" s="2"/>
      <c r="P689" s="2"/>
      <c r="Q689" s="2"/>
      <c r="R689" s="80"/>
      <c r="S689" s="80"/>
      <c r="T689" s="80"/>
      <c r="U689" s="80"/>
      <c r="V689" s="80"/>
      <c r="W689" s="80"/>
      <c r="X689" s="80"/>
      <c r="Y689" s="80"/>
      <c r="Z689" s="80"/>
      <c r="AA689" s="80"/>
      <c r="AB689" s="80"/>
      <c r="AC689" s="80"/>
      <c r="AD689" s="80"/>
      <c r="AE689" s="80"/>
      <c r="AF689" s="80"/>
      <c r="AG689" s="80"/>
    </row>
    <row r="690" spans="1:33" x14ac:dyDescent="0.2">
      <c r="A690" s="2"/>
      <c r="B690" s="80"/>
      <c r="C690" s="80"/>
      <c r="D690" s="80"/>
      <c r="E690" s="80"/>
      <c r="F690" s="80"/>
      <c r="G690" s="80"/>
      <c r="H690" s="80"/>
      <c r="I690" s="80"/>
      <c r="J690" s="80"/>
      <c r="K690" s="80"/>
      <c r="L690" s="2"/>
      <c r="M690" s="2"/>
      <c r="N690" s="2"/>
      <c r="O690" s="2"/>
      <c r="P690" s="2"/>
      <c r="Q690" s="2"/>
      <c r="R690" s="80"/>
      <c r="S690" s="80"/>
      <c r="T690" s="80"/>
      <c r="U690" s="80"/>
      <c r="V690" s="80"/>
      <c r="W690" s="80"/>
      <c r="X690" s="80"/>
      <c r="Y690" s="80"/>
      <c r="Z690" s="80"/>
      <c r="AA690" s="80"/>
      <c r="AB690" s="80"/>
      <c r="AC690" s="80"/>
      <c r="AD690" s="80"/>
      <c r="AE690" s="80"/>
      <c r="AF690" s="80"/>
      <c r="AG690" s="80"/>
    </row>
    <row r="691" spans="1:33" x14ac:dyDescent="0.2">
      <c r="A691" s="2"/>
      <c r="B691" s="80"/>
      <c r="C691" s="80"/>
      <c r="D691" s="80"/>
      <c r="E691" s="80"/>
      <c r="F691" s="80"/>
      <c r="G691" s="80"/>
      <c r="H691" s="80"/>
      <c r="I691" s="80"/>
      <c r="J691" s="80"/>
      <c r="K691" s="80"/>
      <c r="L691" s="2"/>
      <c r="M691" s="2"/>
      <c r="N691" s="2"/>
      <c r="O691" s="2"/>
      <c r="P691" s="2"/>
      <c r="Q691" s="2"/>
      <c r="R691" s="80"/>
      <c r="S691" s="80"/>
      <c r="T691" s="80"/>
      <c r="U691" s="80"/>
      <c r="V691" s="80"/>
      <c r="W691" s="80"/>
      <c r="X691" s="80"/>
      <c r="Y691" s="80"/>
      <c r="Z691" s="80"/>
      <c r="AA691" s="80"/>
      <c r="AB691" s="80"/>
      <c r="AC691" s="80"/>
      <c r="AD691" s="80"/>
      <c r="AE691" s="80"/>
      <c r="AF691" s="80"/>
      <c r="AG691" s="80"/>
    </row>
    <row r="692" spans="1:33" x14ac:dyDescent="0.2">
      <c r="A692" s="2"/>
      <c r="B692" s="80"/>
      <c r="C692" s="80"/>
      <c r="D692" s="80"/>
      <c r="E692" s="80"/>
      <c r="F692" s="80"/>
      <c r="G692" s="80"/>
      <c r="H692" s="80"/>
      <c r="I692" s="80"/>
      <c r="J692" s="80"/>
      <c r="K692" s="80"/>
      <c r="L692" s="2"/>
      <c r="M692" s="2"/>
      <c r="N692" s="2"/>
      <c r="O692" s="2"/>
      <c r="P692" s="2"/>
      <c r="Q692" s="2"/>
      <c r="R692" s="80"/>
      <c r="S692" s="80"/>
      <c r="T692" s="80"/>
      <c r="U692" s="80"/>
      <c r="V692" s="80"/>
      <c r="W692" s="80"/>
      <c r="X692" s="80"/>
      <c r="Y692" s="80"/>
      <c r="Z692" s="80"/>
      <c r="AA692" s="80"/>
      <c r="AB692" s="80"/>
      <c r="AC692" s="80"/>
      <c r="AD692" s="80"/>
      <c r="AE692" s="80"/>
      <c r="AF692" s="80"/>
      <c r="AG692" s="80"/>
    </row>
    <row r="693" spans="1:33" x14ac:dyDescent="0.2">
      <c r="A693" s="2"/>
      <c r="B693" s="80"/>
      <c r="C693" s="80"/>
      <c r="D693" s="80"/>
      <c r="E693" s="80"/>
      <c r="F693" s="80"/>
      <c r="G693" s="80"/>
      <c r="H693" s="80"/>
      <c r="I693" s="80"/>
      <c r="J693" s="80"/>
      <c r="K693" s="80"/>
      <c r="L693" s="2"/>
      <c r="M693" s="2"/>
      <c r="N693" s="2"/>
      <c r="O693" s="2"/>
      <c r="P693" s="2"/>
      <c r="Q693" s="2"/>
      <c r="R693" s="80"/>
      <c r="S693" s="80"/>
      <c r="T693" s="80"/>
      <c r="U693" s="80"/>
      <c r="V693" s="80"/>
      <c r="W693" s="80"/>
      <c r="X693" s="80"/>
      <c r="Y693" s="80"/>
      <c r="Z693" s="80"/>
      <c r="AA693" s="80"/>
      <c r="AB693" s="80"/>
      <c r="AC693" s="80"/>
      <c r="AD693" s="80"/>
      <c r="AE693" s="80"/>
      <c r="AF693" s="80"/>
      <c r="AG693" s="80"/>
    </row>
    <row r="694" spans="1:33" x14ac:dyDescent="0.2">
      <c r="A694" s="2"/>
      <c r="B694" s="80"/>
      <c r="C694" s="80"/>
      <c r="D694" s="80"/>
      <c r="E694" s="80"/>
      <c r="F694" s="80"/>
      <c r="G694" s="80"/>
      <c r="H694" s="80"/>
      <c r="I694" s="80"/>
      <c r="J694" s="80"/>
      <c r="K694" s="80"/>
      <c r="L694" s="2"/>
      <c r="M694" s="2"/>
      <c r="N694" s="2"/>
      <c r="O694" s="2"/>
      <c r="P694" s="2"/>
      <c r="Q694" s="2"/>
      <c r="R694" s="80"/>
      <c r="S694" s="80"/>
      <c r="T694" s="80"/>
      <c r="U694" s="80"/>
      <c r="V694" s="80"/>
      <c r="W694" s="80"/>
      <c r="X694" s="80"/>
      <c r="Y694" s="80"/>
      <c r="Z694" s="80"/>
      <c r="AA694" s="80"/>
      <c r="AB694" s="80"/>
      <c r="AC694" s="80"/>
      <c r="AD694" s="80"/>
      <c r="AE694" s="80"/>
      <c r="AF694" s="80"/>
      <c r="AG694" s="80"/>
    </row>
    <row r="695" spans="1:33" x14ac:dyDescent="0.2">
      <c r="A695" s="2"/>
      <c r="B695" s="80"/>
      <c r="C695" s="80"/>
      <c r="D695" s="80"/>
      <c r="E695" s="80"/>
      <c r="F695" s="80"/>
      <c r="G695" s="80"/>
      <c r="H695" s="80"/>
      <c r="I695" s="80"/>
      <c r="J695" s="80"/>
      <c r="K695" s="80"/>
      <c r="L695" s="2"/>
      <c r="M695" s="2"/>
      <c r="N695" s="2"/>
      <c r="O695" s="2"/>
      <c r="P695" s="2"/>
      <c r="Q695" s="2"/>
      <c r="R695" s="80"/>
      <c r="S695" s="80"/>
      <c r="T695" s="80"/>
      <c r="U695" s="80"/>
      <c r="V695" s="80"/>
      <c r="W695" s="80"/>
      <c r="X695" s="80"/>
      <c r="Y695" s="80"/>
      <c r="Z695" s="80"/>
      <c r="AA695" s="80"/>
      <c r="AB695" s="80"/>
      <c r="AC695" s="80"/>
      <c r="AD695" s="80"/>
      <c r="AE695" s="80"/>
      <c r="AF695" s="80"/>
      <c r="AG695" s="80"/>
    </row>
    <row r="696" spans="1:33" x14ac:dyDescent="0.2">
      <c r="A696" s="2"/>
      <c r="B696" s="80"/>
      <c r="C696" s="80"/>
      <c r="D696" s="80"/>
      <c r="E696" s="80"/>
      <c r="F696" s="80"/>
      <c r="G696" s="80"/>
      <c r="H696" s="80"/>
      <c r="I696" s="80"/>
      <c r="J696" s="80"/>
      <c r="K696" s="80"/>
      <c r="L696" s="2"/>
      <c r="M696" s="2"/>
      <c r="N696" s="2"/>
      <c r="O696" s="2"/>
      <c r="P696" s="2"/>
      <c r="Q696" s="2"/>
      <c r="R696" s="80"/>
      <c r="S696" s="80"/>
      <c r="T696" s="80"/>
      <c r="U696" s="80"/>
      <c r="V696" s="80"/>
      <c r="W696" s="80"/>
      <c r="X696" s="80"/>
      <c r="Y696" s="80"/>
      <c r="Z696" s="80"/>
      <c r="AA696" s="80"/>
      <c r="AB696" s="80"/>
      <c r="AC696" s="80"/>
      <c r="AD696" s="80"/>
      <c r="AE696" s="80"/>
      <c r="AF696" s="80"/>
      <c r="AG696" s="80"/>
    </row>
    <row r="697" spans="1:33" x14ac:dyDescent="0.2">
      <c r="A697" s="2"/>
      <c r="B697" s="80"/>
      <c r="C697" s="80"/>
      <c r="D697" s="80"/>
      <c r="E697" s="80"/>
      <c r="F697" s="80"/>
      <c r="G697" s="80"/>
      <c r="H697" s="80"/>
      <c r="I697" s="80"/>
      <c r="J697" s="80"/>
      <c r="K697" s="80"/>
      <c r="L697" s="2"/>
      <c r="M697" s="2"/>
      <c r="N697" s="2"/>
      <c r="O697" s="2"/>
      <c r="P697" s="2"/>
      <c r="Q697" s="2"/>
      <c r="R697" s="80"/>
      <c r="S697" s="80"/>
      <c r="T697" s="80"/>
      <c r="U697" s="80"/>
      <c r="V697" s="80"/>
      <c r="W697" s="80"/>
      <c r="X697" s="80"/>
      <c r="Y697" s="80"/>
      <c r="Z697" s="80"/>
      <c r="AA697" s="80"/>
      <c r="AB697" s="80"/>
      <c r="AC697" s="80"/>
      <c r="AD697" s="80"/>
      <c r="AE697" s="80"/>
      <c r="AF697" s="80"/>
      <c r="AG697" s="80"/>
    </row>
    <row r="698" spans="1:33" x14ac:dyDescent="0.2">
      <c r="A698" s="2"/>
      <c r="B698" s="80"/>
      <c r="C698" s="80"/>
      <c r="D698" s="80"/>
      <c r="E698" s="80"/>
      <c r="F698" s="80"/>
      <c r="G698" s="80"/>
      <c r="H698" s="80"/>
      <c r="I698" s="80"/>
      <c r="J698" s="80"/>
      <c r="K698" s="80"/>
      <c r="L698" s="2"/>
      <c r="M698" s="2"/>
      <c r="N698" s="2"/>
      <c r="O698" s="2"/>
      <c r="P698" s="2"/>
      <c r="Q698" s="2"/>
      <c r="R698" s="80"/>
      <c r="S698" s="80"/>
      <c r="T698" s="80"/>
      <c r="U698" s="80"/>
      <c r="V698" s="80"/>
      <c r="W698" s="80"/>
      <c r="X698" s="80"/>
      <c r="Y698" s="80"/>
      <c r="Z698" s="80"/>
      <c r="AA698" s="80"/>
      <c r="AB698" s="80"/>
      <c r="AC698" s="80"/>
      <c r="AD698" s="80"/>
      <c r="AE698" s="80"/>
      <c r="AF698" s="80"/>
      <c r="AG698" s="80"/>
    </row>
    <row r="699" spans="1:33" x14ac:dyDescent="0.2">
      <c r="A699" s="2"/>
      <c r="B699" s="80"/>
      <c r="C699" s="80"/>
      <c r="D699" s="80"/>
      <c r="E699" s="80"/>
      <c r="F699" s="80"/>
      <c r="G699" s="80"/>
      <c r="H699" s="80"/>
      <c r="I699" s="80"/>
      <c r="J699" s="80"/>
      <c r="K699" s="80"/>
      <c r="L699" s="2"/>
      <c r="M699" s="2"/>
      <c r="N699" s="2"/>
      <c r="O699" s="2"/>
      <c r="P699" s="2"/>
      <c r="Q699" s="2"/>
      <c r="R699" s="80"/>
      <c r="S699" s="80"/>
      <c r="T699" s="80"/>
      <c r="U699" s="80"/>
      <c r="V699" s="80"/>
      <c r="W699" s="80"/>
      <c r="X699" s="80"/>
      <c r="Y699" s="80"/>
      <c r="Z699" s="80"/>
      <c r="AA699" s="80"/>
      <c r="AB699" s="80"/>
      <c r="AC699" s="80"/>
      <c r="AD699" s="80"/>
      <c r="AE699" s="80"/>
      <c r="AF699" s="80"/>
      <c r="AG699" s="80"/>
    </row>
    <row r="700" spans="1:33" x14ac:dyDescent="0.2">
      <c r="A700" s="2"/>
      <c r="B700" s="80"/>
      <c r="C700" s="80"/>
      <c r="D700" s="80"/>
      <c r="E700" s="80"/>
      <c r="F700" s="80"/>
      <c r="G700" s="80"/>
      <c r="H700" s="80"/>
      <c r="I700" s="80"/>
      <c r="J700" s="80"/>
      <c r="K700" s="80"/>
      <c r="L700" s="2"/>
      <c r="M700" s="2"/>
      <c r="N700" s="2"/>
      <c r="O700" s="2"/>
      <c r="P700" s="2"/>
      <c r="Q700" s="2"/>
      <c r="R700" s="80"/>
      <c r="S700" s="80"/>
      <c r="T700" s="80"/>
      <c r="U700" s="80"/>
      <c r="V700" s="80"/>
      <c r="W700" s="80"/>
      <c r="X700" s="80"/>
      <c r="Y700" s="80"/>
      <c r="Z700" s="80"/>
      <c r="AA700" s="80"/>
      <c r="AB700" s="80"/>
      <c r="AC700" s="80"/>
      <c r="AD700" s="80"/>
      <c r="AE700" s="80"/>
      <c r="AF700" s="80"/>
      <c r="AG700" s="80"/>
    </row>
    <row r="701" spans="1:33" x14ac:dyDescent="0.2">
      <c r="A701" s="2"/>
      <c r="B701" s="80"/>
      <c r="C701" s="80"/>
      <c r="D701" s="80"/>
      <c r="E701" s="80"/>
      <c r="F701" s="80"/>
      <c r="G701" s="80"/>
      <c r="H701" s="80"/>
      <c r="I701" s="80"/>
      <c r="J701" s="80"/>
      <c r="K701" s="80"/>
      <c r="L701" s="2"/>
      <c r="M701" s="2"/>
      <c r="N701" s="2"/>
      <c r="O701" s="2"/>
      <c r="P701" s="2"/>
      <c r="Q701" s="2"/>
      <c r="R701" s="80"/>
      <c r="S701" s="80"/>
      <c r="T701" s="80"/>
      <c r="U701" s="80"/>
      <c r="V701" s="80"/>
      <c r="W701" s="80"/>
      <c r="X701" s="80"/>
      <c r="Y701" s="80"/>
      <c r="Z701" s="80"/>
      <c r="AA701" s="80"/>
      <c r="AB701" s="80"/>
      <c r="AC701" s="80"/>
      <c r="AD701" s="80"/>
      <c r="AE701" s="80"/>
      <c r="AF701" s="80"/>
      <c r="AG701" s="80"/>
    </row>
    <row r="702" spans="1:33" x14ac:dyDescent="0.2">
      <c r="A702" s="2"/>
      <c r="B702" s="80"/>
      <c r="C702" s="80"/>
      <c r="D702" s="80"/>
      <c r="E702" s="80"/>
      <c r="F702" s="80"/>
      <c r="G702" s="80"/>
      <c r="H702" s="80"/>
      <c r="I702" s="80"/>
      <c r="J702" s="80"/>
      <c r="K702" s="80"/>
      <c r="L702" s="2"/>
      <c r="M702" s="2"/>
      <c r="N702" s="2"/>
      <c r="O702" s="2"/>
      <c r="P702" s="2"/>
      <c r="Q702" s="2"/>
      <c r="R702" s="80"/>
      <c r="S702" s="80"/>
      <c r="T702" s="80"/>
      <c r="U702" s="80"/>
      <c r="V702" s="80"/>
      <c r="W702" s="80"/>
      <c r="X702" s="80"/>
      <c r="Y702" s="80"/>
      <c r="Z702" s="80"/>
      <c r="AA702" s="80"/>
      <c r="AB702" s="80"/>
      <c r="AC702" s="80"/>
      <c r="AD702" s="80"/>
      <c r="AE702" s="80"/>
      <c r="AF702" s="80"/>
      <c r="AG702" s="80"/>
    </row>
    <row r="703" spans="1:33" x14ac:dyDescent="0.2">
      <c r="A703" s="2"/>
      <c r="B703" s="80"/>
      <c r="C703" s="80"/>
      <c r="D703" s="80"/>
      <c r="E703" s="80"/>
      <c r="F703" s="80"/>
      <c r="G703" s="80"/>
      <c r="H703" s="80"/>
      <c r="I703" s="80"/>
      <c r="J703" s="80"/>
      <c r="K703" s="80"/>
      <c r="L703" s="2"/>
      <c r="M703" s="2"/>
      <c r="N703" s="2"/>
      <c r="O703" s="2"/>
      <c r="P703" s="2"/>
      <c r="Q703" s="2"/>
      <c r="R703" s="80"/>
      <c r="S703" s="80"/>
      <c r="T703" s="80"/>
      <c r="U703" s="80"/>
      <c r="V703" s="80"/>
      <c r="W703" s="80"/>
      <c r="X703" s="80"/>
      <c r="Y703" s="80"/>
      <c r="Z703" s="80"/>
      <c r="AA703" s="80"/>
      <c r="AB703" s="80"/>
      <c r="AC703" s="80"/>
      <c r="AD703" s="80"/>
      <c r="AE703" s="80"/>
      <c r="AF703" s="80"/>
      <c r="AG703" s="80"/>
    </row>
    <row r="704" spans="1:33" x14ac:dyDescent="0.2">
      <c r="A704" s="2"/>
      <c r="B704" s="80"/>
      <c r="C704" s="80"/>
      <c r="D704" s="80"/>
      <c r="E704" s="80"/>
      <c r="F704" s="80"/>
      <c r="G704" s="80"/>
      <c r="H704" s="80"/>
      <c r="I704" s="80"/>
      <c r="J704" s="80"/>
      <c r="K704" s="80"/>
      <c r="L704" s="2"/>
      <c r="M704" s="2"/>
      <c r="N704" s="2"/>
      <c r="O704" s="2"/>
      <c r="P704" s="2"/>
      <c r="Q704" s="2"/>
      <c r="R704" s="80"/>
      <c r="S704" s="80"/>
      <c r="T704" s="80"/>
      <c r="U704" s="80"/>
      <c r="V704" s="80"/>
      <c r="W704" s="80"/>
      <c r="X704" s="80"/>
      <c r="Y704" s="80"/>
      <c r="Z704" s="80"/>
      <c r="AA704" s="80"/>
      <c r="AB704" s="80"/>
      <c r="AC704" s="80"/>
      <c r="AD704" s="80"/>
      <c r="AE704" s="80"/>
      <c r="AF704" s="80"/>
      <c r="AG704" s="80"/>
    </row>
    <row r="705" spans="1:33" x14ac:dyDescent="0.2">
      <c r="A705" s="2"/>
      <c r="B705" s="80"/>
      <c r="C705" s="80"/>
      <c r="D705" s="80"/>
      <c r="E705" s="80"/>
      <c r="F705" s="80"/>
      <c r="G705" s="80"/>
      <c r="H705" s="80"/>
      <c r="I705" s="80"/>
      <c r="J705" s="80"/>
      <c r="K705" s="80"/>
      <c r="L705" s="2"/>
      <c r="M705" s="2"/>
      <c r="N705" s="2"/>
      <c r="O705" s="2"/>
      <c r="P705" s="2"/>
      <c r="Q705" s="2"/>
      <c r="R705" s="80"/>
      <c r="S705" s="80"/>
      <c r="T705" s="80"/>
      <c r="U705" s="80"/>
      <c r="V705" s="80"/>
      <c r="W705" s="80"/>
      <c r="X705" s="80"/>
      <c r="Y705" s="80"/>
      <c r="Z705" s="80"/>
      <c r="AA705" s="80"/>
      <c r="AB705" s="80"/>
      <c r="AC705" s="80"/>
      <c r="AD705" s="80"/>
      <c r="AE705" s="80"/>
      <c r="AF705" s="80"/>
      <c r="AG705" s="80"/>
    </row>
    <row r="706" spans="1:33" x14ac:dyDescent="0.2">
      <c r="A706" s="2"/>
      <c r="B706" s="80"/>
      <c r="C706" s="80"/>
      <c r="D706" s="80"/>
      <c r="E706" s="80"/>
      <c r="F706" s="80"/>
      <c r="G706" s="80"/>
      <c r="H706" s="80"/>
      <c r="I706" s="80"/>
      <c r="J706" s="80"/>
      <c r="K706" s="80"/>
      <c r="L706" s="2"/>
      <c r="M706" s="2"/>
      <c r="N706" s="2"/>
      <c r="O706" s="2"/>
      <c r="P706" s="2"/>
      <c r="Q706" s="2"/>
      <c r="R706" s="80"/>
      <c r="S706" s="80"/>
      <c r="T706" s="80"/>
      <c r="U706" s="80"/>
      <c r="V706" s="80"/>
      <c r="W706" s="80"/>
      <c r="X706" s="80"/>
      <c r="Y706" s="80"/>
      <c r="Z706" s="80"/>
      <c r="AA706" s="80"/>
      <c r="AB706" s="80"/>
      <c r="AC706" s="80"/>
      <c r="AD706" s="80"/>
      <c r="AE706" s="80"/>
      <c r="AF706" s="80"/>
      <c r="AG706" s="80"/>
    </row>
    <row r="707" spans="1:33" x14ac:dyDescent="0.2">
      <c r="A707" s="2"/>
      <c r="B707" s="80"/>
      <c r="C707" s="80"/>
      <c r="D707" s="80"/>
      <c r="E707" s="80"/>
      <c r="F707" s="80"/>
      <c r="G707" s="80"/>
      <c r="H707" s="80"/>
      <c r="I707" s="80"/>
      <c r="J707" s="80"/>
      <c r="K707" s="80"/>
      <c r="L707" s="2"/>
      <c r="M707" s="2"/>
      <c r="N707" s="2"/>
      <c r="O707" s="2"/>
      <c r="P707" s="2"/>
      <c r="Q707" s="2"/>
      <c r="R707" s="80"/>
      <c r="S707" s="80"/>
      <c r="T707" s="80"/>
      <c r="U707" s="80"/>
      <c r="V707" s="80"/>
      <c r="W707" s="80"/>
      <c r="X707" s="80"/>
      <c r="Y707" s="80"/>
      <c r="Z707" s="80"/>
      <c r="AA707" s="80"/>
      <c r="AB707" s="80"/>
      <c r="AC707" s="80"/>
      <c r="AD707" s="80"/>
      <c r="AE707" s="80"/>
      <c r="AF707" s="80"/>
      <c r="AG707" s="80"/>
    </row>
    <row r="708" spans="1:33" x14ac:dyDescent="0.2">
      <c r="A708" s="2"/>
      <c r="B708" s="80"/>
      <c r="C708" s="80"/>
      <c r="D708" s="80"/>
      <c r="E708" s="80"/>
      <c r="F708" s="80"/>
      <c r="G708" s="80"/>
      <c r="H708" s="80"/>
      <c r="I708" s="80"/>
      <c r="J708" s="80"/>
      <c r="K708" s="80"/>
      <c r="L708" s="2"/>
      <c r="M708" s="2"/>
      <c r="N708" s="2"/>
      <c r="O708" s="2"/>
      <c r="P708" s="2"/>
      <c r="Q708" s="2"/>
      <c r="R708" s="80"/>
      <c r="S708" s="80"/>
      <c r="T708" s="80"/>
      <c r="U708" s="80"/>
      <c r="V708" s="80"/>
      <c r="W708" s="80"/>
      <c r="X708" s="80"/>
      <c r="Y708" s="80"/>
      <c r="Z708" s="80"/>
      <c r="AA708" s="80"/>
      <c r="AB708" s="80"/>
      <c r="AC708" s="80"/>
      <c r="AD708" s="80"/>
      <c r="AE708" s="80"/>
      <c r="AF708" s="80"/>
      <c r="AG708" s="80"/>
    </row>
    <row r="709" spans="1:33" x14ac:dyDescent="0.2">
      <c r="A709" s="2"/>
      <c r="B709" s="80"/>
      <c r="C709" s="80"/>
      <c r="D709" s="80"/>
      <c r="E709" s="80"/>
      <c r="F709" s="80"/>
      <c r="G709" s="80"/>
      <c r="H709" s="80"/>
      <c r="I709" s="80"/>
      <c r="J709" s="80"/>
      <c r="K709" s="80"/>
      <c r="L709" s="2"/>
      <c r="M709" s="2"/>
      <c r="N709" s="2"/>
      <c r="O709" s="2"/>
      <c r="P709" s="2"/>
      <c r="Q709" s="2"/>
      <c r="R709" s="80"/>
      <c r="S709" s="80"/>
      <c r="T709" s="80"/>
      <c r="U709" s="80"/>
      <c r="V709" s="80"/>
      <c r="W709" s="80"/>
      <c r="X709" s="80"/>
      <c r="Y709" s="80"/>
      <c r="Z709" s="80"/>
      <c r="AA709" s="80"/>
      <c r="AB709" s="80"/>
      <c r="AC709" s="80"/>
      <c r="AD709" s="80"/>
      <c r="AE709" s="80"/>
      <c r="AF709" s="80"/>
      <c r="AG709" s="80"/>
    </row>
    <row r="710" spans="1:33" x14ac:dyDescent="0.2">
      <c r="A710" s="2"/>
      <c r="B710" s="80"/>
      <c r="C710" s="80"/>
      <c r="D710" s="80"/>
      <c r="E710" s="80"/>
      <c r="F710" s="80"/>
      <c r="G710" s="80"/>
      <c r="H710" s="80"/>
      <c r="I710" s="80"/>
      <c r="J710" s="80"/>
      <c r="K710" s="80"/>
      <c r="L710" s="2"/>
      <c r="M710" s="2"/>
      <c r="N710" s="2"/>
      <c r="O710" s="2"/>
      <c r="P710" s="2"/>
      <c r="Q710" s="2"/>
      <c r="R710" s="80"/>
      <c r="S710" s="80"/>
      <c r="T710" s="80"/>
      <c r="U710" s="80"/>
      <c r="V710" s="80"/>
      <c r="W710" s="80"/>
      <c r="X710" s="80"/>
      <c r="Y710" s="80"/>
      <c r="Z710" s="80"/>
      <c r="AA710" s="80"/>
      <c r="AB710" s="80"/>
      <c r="AC710" s="80"/>
      <c r="AD710" s="80"/>
      <c r="AE710" s="80"/>
      <c r="AF710" s="80"/>
      <c r="AG710" s="80"/>
    </row>
    <row r="711" spans="1:33" x14ac:dyDescent="0.2">
      <c r="A711" s="2"/>
      <c r="B711" s="80"/>
      <c r="C711" s="80"/>
      <c r="D711" s="80"/>
      <c r="E711" s="80"/>
      <c r="F711" s="80"/>
      <c r="G711" s="80"/>
      <c r="H711" s="80"/>
      <c r="I711" s="80"/>
      <c r="J711" s="80"/>
      <c r="K711" s="80"/>
      <c r="L711" s="2"/>
      <c r="M711" s="2"/>
      <c r="N711" s="2"/>
      <c r="O711" s="2"/>
      <c r="P711" s="2"/>
      <c r="Q711" s="2"/>
      <c r="R711" s="80"/>
      <c r="S711" s="80"/>
      <c r="T711" s="80"/>
      <c r="U711" s="80"/>
      <c r="V711" s="80"/>
      <c r="W711" s="80"/>
      <c r="X711" s="80"/>
      <c r="Y711" s="80"/>
      <c r="Z711" s="80"/>
      <c r="AA711" s="80"/>
      <c r="AB711" s="80"/>
      <c r="AC711" s="80"/>
      <c r="AD711" s="80"/>
      <c r="AE711" s="80"/>
      <c r="AF711" s="80"/>
      <c r="AG711" s="80"/>
    </row>
    <row r="712" spans="1:33" x14ac:dyDescent="0.2">
      <c r="A712" s="2"/>
      <c r="B712" s="80"/>
      <c r="C712" s="80"/>
      <c r="D712" s="80"/>
      <c r="E712" s="80"/>
      <c r="F712" s="80"/>
      <c r="G712" s="80"/>
      <c r="H712" s="80"/>
      <c r="I712" s="80"/>
      <c r="J712" s="80"/>
      <c r="K712" s="80"/>
      <c r="L712" s="2"/>
      <c r="M712" s="2"/>
      <c r="N712" s="2"/>
      <c r="O712" s="2"/>
      <c r="P712" s="2"/>
      <c r="Q712" s="2"/>
      <c r="R712" s="80"/>
      <c r="S712" s="80"/>
      <c r="T712" s="80"/>
      <c r="U712" s="80"/>
      <c r="V712" s="80"/>
      <c r="W712" s="80"/>
      <c r="X712" s="80"/>
      <c r="Y712" s="80"/>
      <c r="Z712" s="80"/>
      <c r="AA712" s="80"/>
      <c r="AB712" s="80"/>
      <c r="AC712" s="80"/>
      <c r="AD712" s="80"/>
      <c r="AE712" s="80"/>
      <c r="AF712" s="80"/>
      <c r="AG712" s="80"/>
    </row>
    <row r="713" spans="1:33" x14ac:dyDescent="0.2">
      <c r="A713" s="2"/>
      <c r="B713" s="80"/>
      <c r="C713" s="80"/>
      <c r="D713" s="80"/>
      <c r="E713" s="80"/>
      <c r="F713" s="80"/>
      <c r="G713" s="80"/>
      <c r="H713" s="80"/>
      <c r="I713" s="80"/>
      <c r="J713" s="80"/>
      <c r="K713" s="80"/>
      <c r="L713" s="2"/>
      <c r="M713" s="2"/>
      <c r="N713" s="2"/>
      <c r="O713" s="2"/>
      <c r="P713" s="2"/>
      <c r="Q713" s="2"/>
      <c r="R713" s="80"/>
      <c r="S713" s="80"/>
      <c r="T713" s="80"/>
      <c r="U713" s="80"/>
      <c r="V713" s="80"/>
      <c r="W713" s="80"/>
      <c r="X713" s="80"/>
      <c r="Y713" s="80"/>
      <c r="Z713" s="80"/>
      <c r="AA713" s="80"/>
      <c r="AB713" s="80"/>
      <c r="AC713" s="80"/>
      <c r="AD713" s="80"/>
      <c r="AE713" s="80"/>
      <c r="AF713" s="80"/>
      <c r="AG713" s="80"/>
    </row>
    <row r="714" spans="1:33" x14ac:dyDescent="0.2">
      <c r="A714" s="2"/>
      <c r="B714" s="80"/>
      <c r="C714" s="80"/>
      <c r="D714" s="80"/>
      <c r="E714" s="80"/>
      <c r="F714" s="80"/>
      <c r="G714" s="80"/>
      <c r="H714" s="80"/>
      <c r="I714" s="80"/>
      <c r="J714" s="80"/>
      <c r="K714" s="80"/>
      <c r="L714" s="2"/>
      <c r="M714" s="2"/>
      <c r="N714" s="2"/>
      <c r="O714" s="2"/>
      <c r="P714" s="2"/>
      <c r="Q714" s="2"/>
      <c r="R714" s="80"/>
      <c r="S714" s="80"/>
      <c r="T714" s="80"/>
      <c r="U714" s="80"/>
      <c r="V714" s="80"/>
      <c r="W714" s="80"/>
      <c r="X714" s="80"/>
      <c r="Y714" s="80"/>
      <c r="Z714" s="80"/>
      <c r="AA714" s="80"/>
      <c r="AB714" s="80"/>
      <c r="AC714" s="80"/>
      <c r="AD714" s="80"/>
      <c r="AE714" s="80"/>
      <c r="AF714" s="80"/>
      <c r="AG714" s="80"/>
    </row>
    <row r="715" spans="1:33" x14ac:dyDescent="0.2">
      <c r="A715" s="2"/>
      <c r="B715" s="80"/>
      <c r="C715" s="80"/>
      <c r="D715" s="80"/>
      <c r="E715" s="80"/>
      <c r="F715" s="80"/>
      <c r="G715" s="80"/>
      <c r="H715" s="80"/>
      <c r="I715" s="80"/>
      <c r="J715" s="80"/>
      <c r="K715" s="80"/>
      <c r="L715" s="2"/>
      <c r="M715" s="2"/>
      <c r="N715" s="2"/>
      <c r="O715" s="2"/>
      <c r="P715" s="2"/>
      <c r="Q715" s="2"/>
      <c r="R715" s="80"/>
      <c r="S715" s="80"/>
      <c r="T715" s="80"/>
      <c r="U715" s="80"/>
      <c r="V715" s="80"/>
      <c r="W715" s="80"/>
      <c r="X715" s="80"/>
      <c r="Y715" s="80"/>
      <c r="Z715" s="80"/>
      <c r="AA715" s="80"/>
      <c r="AB715" s="80"/>
      <c r="AC715" s="80"/>
      <c r="AD715" s="80"/>
      <c r="AE715" s="80"/>
      <c r="AF715" s="80"/>
      <c r="AG715" s="80"/>
    </row>
    <row r="716" spans="1:33" x14ac:dyDescent="0.2">
      <c r="A716" s="2"/>
      <c r="B716" s="80"/>
      <c r="C716" s="80"/>
      <c r="D716" s="80"/>
      <c r="E716" s="80"/>
      <c r="F716" s="80"/>
      <c r="G716" s="80"/>
      <c r="H716" s="80"/>
      <c r="I716" s="80"/>
      <c r="J716" s="80"/>
      <c r="K716" s="80"/>
      <c r="L716" s="2"/>
      <c r="M716" s="2"/>
      <c r="N716" s="2"/>
      <c r="O716" s="2"/>
      <c r="P716" s="2"/>
      <c r="Q716" s="2"/>
      <c r="R716" s="80"/>
      <c r="S716" s="80"/>
      <c r="T716" s="80"/>
      <c r="U716" s="80"/>
      <c r="V716" s="80"/>
      <c r="W716" s="80"/>
      <c r="X716" s="80"/>
      <c r="Y716" s="80"/>
      <c r="Z716" s="80"/>
      <c r="AA716" s="80"/>
      <c r="AB716" s="80"/>
      <c r="AC716" s="80"/>
      <c r="AD716" s="80"/>
      <c r="AE716" s="80"/>
      <c r="AF716" s="80"/>
      <c r="AG716" s="80"/>
    </row>
    <row r="717" spans="1:33" x14ac:dyDescent="0.2">
      <c r="A717" s="2"/>
      <c r="B717" s="80"/>
      <c r="C717" s="80"/>
      <c r="D717" s="80"/>
      <c r="E717" s="80"/>
      <c r="F717" s="80"/>
      <c r="G717" s="80"/>
      <c r="H717" s="80"/>
      <c r="I717" s="80"/>
      <c r="J717" s="80"/>
      <c r="K717" s="80"/>
      <c r="L717" s="2"/>
      <c r="M717" s="2"/>
      <c r="N717" s="2"/>
      <c r="O717" s="2"/>
      <c r="P717" s="2"/>
      <c r="Q717" s="2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E717" s="80"/>
      <c r="AF717" s="80"/>
      <c r="AG717" s="80"/>
    </row>
    <row r="718" spans="1:33" x14ac:dyDescent="0.2">
      <c r="A718" s="2"/>
      <c r="B718" s="80"/>
      <c r="C718" s="80"/>
      <c r="D718" s="80"/>
      <c r="E718" s="80"/>
      <c r="F718" s="80"/>
      <c r="G718" s="80"/>
      <c r="H718" s="80"/>
      <c r="I718" s="80"/>
      <c r="J718" s="80"/>
      <c r="K718" s="80"/>
      <c r="L718" s="2"/>
      <c r="M718" s="2"/>
      <c r="N718" s="2"/>
      <c r="O718" s="2"/>
      <c r="P718" s="2"/>
      <c r="Q718" s="2"/>
      <c r="R718" s="80"/>
      <c r="S718" s="80"/>
      <c r="T718" s="80"/>
      <c r="U718" s="80"/>
      <c r="V718" s="80"/>
      <c r="W718" s="80"/>
      <c r="X718" s="80"/>
      <c r="Y718" s="80"/>
      <c r="Z718" s="80"/>
      <c r="AA718" s="80"/>
      <c r="AB718" s="80"/>
      <c r="AC718" s="80"/>
      <c r="AD718" s="80"/>
      <c r="AE718" s="80"/>
      <c r="AF718" s="80"/>
      <c r="AG718" s="80"/>
    </row>
    <row r="719" spans="1:33" x14ac:dyDescent="0.2">
      <c r="A719" s="2"/>
      <c r="B719" s="80"/>
      <c r="C719" s="80"/>
      <c r="D719" s="80"/>
      <c r="E719" s="80"/>
      <c r="F719" s="80"/>
      <c r="G719" s="80"/>
      <c r="H719" s="80"/>
      <c r="I719" s="80"/>
      <c r="J719" s="80"/>
      <c r="K719" s="80"/>
      <c r="L719" s="2"/>
      <c r="M719" s="2"/>
      <c r="N719" s="2"/>
      <c r="O719" s="2"/>
      <c r="P719" s="2"/>
      <c r="Q719" s="2"/>
      <c r="R719" s="80"/>
      <c r="S719" s="80"/>
      <c r="T719" s="80"/>
      <c r="U719" s="80"/>
      <c r="V719" s="80"/>
      <c r="W719" s="80"/>
      <c r="X719" s="80"/>
      <c r="Y719" s="80"/>
      <c r="Z719" s="80"/>
      <c r="AA719" s="80"/>
      <c r="AB719" s="80"/>
      <c r="AC719" s="80"/>
      <c r="AD719" s="80"/>
      <c r="AE719" s="80"/>
      <c r="AF719" s="80"/>
      <c r="AG719" s="80"/>
    </row>
    <row r="720" spans="1:33" x14ac:dyDescent="0.2">
      <c r="A720" s="2"/>
      <c r="B720" s="80"/>
      <c r="C720" s="80"/>
      <c r="D720" s="80"/>
      <c r="E720" s="80"/>
      <c r="F720" s="80"/>
      <c r="G720" s="80"/>
      <c r="H720" s="80"/>
      <c r="I720" s="80"/>
      <c r="J720" s="80"/>
      <c r="K720" s="80"/>
      <c r="L720" s="2"/>
      <c r="M720" s="2"/>
      <c r="N720" s="2"/>
      <c r="O720" s="2"/>
      <c r="P720" s="2"/>
      <c r="Q720" s="2"/>
      <c r="R720" s="80"/>
      <c r="S720" s="80"/>
      <c r="T720" s="80"/>
      <c r="U720" s="80"/>
      <c r="V720" s="80"/>
      <c r="W720" s="80"/>
      <c r="X720" s="80"/>
      <c r="Y720" s="80"/>
      <c r="Z720" s="80"/>
      <c r="AA720" s="80"/>
      <c r="AB720" s="80"/>
      <c r="AC720" s="80"/>
      <c r="AD720" s="80"/>
      <c r="AE720" s="80"/>
      <c r="AF720" s="80"/>
      <c r="AG720" s="80"/>
    </row>
    <row r="721" spans="1:33" x14ac:dyDescent="0.2">
      <c r="A721" s="2"/>
      <c r="B721" s="80"/>
      <c r="C721" s="80"/>
      <c r="D721" s="80"/>
      <c r="E721" s="80"/>
      <c r="F721" s="80"/>
      <c r="G721" s="80"/>
      <c r="H721" s="80"/>
      <c r="I721" s="80"/>
      <c r="J721" s="80"/>
      <c r="K721" s="80"/>
      <c r="L721" s="2"/>
      <c r="M721" s="2"/>
      <c r="N721" s="2"/>
      <c r="O721" s="2"/>
      <c r="P721" s="2"/>
      <c r="Q721" s="2"/>
      <c r="R721" s="80"/>
      <c r="S721" s="80"/>
      <c r="T721" s="80"/>
      <c r="U721" s="80"/>
      <c r="V721" s="80"/>
      <c r="W721" s="80"/>
      <c r="X721" s="80"/>
      <c r="Y721" s="80"/>
      <c r="Z721" s="80"/>
      <c r="AA721" s="80"/>
      <c r="AB721" s="80"/>
      <c r="AC721" s="80"/>
      <c r="AD721" s="80"/>
      <c r="AE721" s="80"/>
      <c r="AF721" s="80"/>
      <c r="AG721" s="80"/>
    </row>
    <row r="722" spans="1:33" x14ac:dyDescent="0.2">
      <c r="A722" s="2"/>
      <c r="B722" s="80"/>
      <c r="C722" s="80"/>
      <c r="D722" s="80"/>
      <c r="E722" s="80"/>
      <c r="F722" s="80"/>
      <c r="G722" s="80"/>
      <c r="H722" s="80"/>
      <c r="I722" s="80"/>
      <c r="J722" s="80"/>
      <c r="K722" s="80"/>
      <c r="L722" s="2"/>
      <c r="M722" s="2"/>
      <c r="N722" s="2"/>
      <c r="O722" s="2"/>
      <c r="P722" s="2"/>
      <c r="Q722" s="2"/>
      <c r="R722" s="80"/>
      <c r="S722" s="80"/>
      <c r="T722" s="80"/>
      <c r="U722" s="80"/>
      <c r="V722" s="80"/>
      <c r="W722" s="80"/>
      <c r="X722" s="80"/>
      <c r="Y722" s="80"/>
      <c r="Z722" s="80"/>
      <c r="AA722" s="80"/>
      <c r="AB722" s="80"/>
      <c r="AC722" s="80"/>
      <c r="AD722" s="80"/>
      <c r="AE722" s="80"/>
      <c r="AF722" s="80"/>
      <c r="AG722" s="80"/>
    </row>
    <row r="723" spans="1:33" x14ac:dyDescent="0.2">
      <c r="A723" s="2"/>
      <c r="B723" s="80"/>
      <c r="C723" s="80"/>
      <c r="D723" s="80"/>
      <c r="E723" s="80"/>
      <c r="F723" s="80"/>
      <c r="G723" s="80"/>
      <c r="H723" s="80"/>
      <c r="I723" s="80"/>
      <c r="J723" s="80"/>
      <c r="K723" s="80"/>
      <c r="L723" s="2"/>
      <c r="M723" s="2"/>
      <c r="N723" s="2"/>
      <c r="O723" s="2"/>
      <c r="P723" s="2"/>
      <c r="Q723" s="2"/>
      <c r="R723" s="80"/>
      <c r="S723" s="80"/>
      <c r="T723" s="80"/>
      <c r="U723" s="80"/>
      <c r="V723" s="80"/>
      <c r="W723" s="80"/>
      <c r="X723" s="80"/>
      <c r="Y723" s="80"/>
      <c r="Z723" s="80"/>
      <c r="AA723" s="80"/>
      <c r="AB723" s="80"/>
      <c r="AC723" s="80"/>
      <c r="AD723" s="80"/>
      <c r="AE723" s="80"/>
      <c r="AF723" s="80"/>
      <c r="AG723" s="80"/>
    </row>
    <row r="724" spans="1:33" x14ac:dyDescent="0.2">
      <c r="A724" s="2"/>
      <c r="B724" s="80"/>
      <c r="C724" s="80"/>
      <c r="D724" s="80"/>
      <c r="E724" s="80"/>
      <c r="F724" s="80"/>
      <c r="G724" s="80"/>
      <c r="H724" s="80"/>
      <c r="I724" s="80"/>
      <c r="J724" s="80"/>
      <c r="K724" s="80"/>
      <c r="L724" s="2"/>
      <c r="M724" s="2"/>
      <c r="N724" s="2"/>
      <c r="O724" s="2"/>
      <c r="P724" s="2"/>
      <c r="Q724" s="2"/>
      <c r="R724" s="80"/>
      <c r="S724" s="80"/>
      <c r="T724" s="80"/>
      <c r="U724" s="80"/>
      <c r="V724" s="80"/>
      <c r="W724" s="80"/>
      <c r="X724" s="80"/>
      <c r="Y724" s="80"/>
      <c r="Z724" s="80"/>
      <c r="AA724" s="80"/>
      <c r="AB724" s="80"/>
      <c r="AC724" s="80"/>
      <c r="AD724" s="80"/>
      <c r="AE724" s="80"/>
      <c r="AF724" s="80"/>
      <c r="AG724" s="80"/>
    </row>
    <row r="725" spans="1:33" x14ac:dyDescent="0.2">
      <c r="A725" s="2"/>
      <c r="B725" s="80"/>
      <c r="C725" s="80"/>
      <c r="D725" s="80"/>
      <c r="E725" s="80"/>
      <c r="F725" s="80"/>
      <c r="G725" s="80"/>
      <c r="H725" s="80"/>
      <c r="I725" s="80"/>
      <c r="J725" s="80"/>
      <c r="K725" s="80"/>
      <c r="L725" s="2"/>
      <c r="M725" s="2"/>
      <c r="N725" s="2"/>
      <c r="O725" s="2"/>
      <c r="P725" s="2"/>
      <c r="Q725" s="2"/>
      <c r="R725" s="80"/>
      <c r="S725" s="80"/>
      <c r="T725" s="80"/>
      <c r="U725" s="80"/>
      <c r="V725" s="80"/>
      <c r="W725" s="80"/>
      <c r="X725" s="80"/>
      <c r="Y725" s="80"/>
      <c r="Z725" s="80"/>
      <c r="AA725" s="80"/>
      <c r="AB725" s="80"/>
      <c r="AC725" s="80"/>
      <c r="AD725" s="80"/>
      <c r="AE725" s="80"/>
      <c r="AF725" s="80"/>
      <c r="AG725" s="80"/>
    </row>
    <row r="726" spans="1:33" x14ac:dyDescent="0.2">
      <c r="A726" s="2"/>
      <c r="B726" s="80"/>
      <c r="C726" s="80"/>
      <c r="D726" s="80"/>
      <c r="E726" s="80"/>
      <c r="F726" s="80"/>
      <c r="G726" s="80"/>
      <c r="H726" s="80"/>
      <c r="I726" s="80"/>
      <c r="J726" s="80"/>
      <c r="K726" s="80"/>
      <c r="L726" s="2"/>
      <c r="M726" s="2"/>
      <c r="N726" s="2"/>
      <c r="O726" s="2"/>
      <c r="P726" s="2"/>
      <c r="Q726" s="2"/>
      <c r="R726" s="80"/>
      <c r="S726" s="80"/>
      <c r="T726" s="80"/>
      <c r="U726" s="80"/>
      <c r="V726" s="80"/>
      <c r="W726" s="80"/>
      <c r="X726" s="80"/>
      <c r="Y726" s="80"/>
      <c r="Z726" s="80"/>
      <c r="AA726" s="80"/>
      <c r="AB726" s="80"/>
      <c r="AC726" s="80"/>
      <c r="AD726" s="80"/>
      <c r="AE726" s="80"/>
      <c r="AF726" s="80"/>
      <c r="AG726" s="80"/>
    </row>
    <row r="727" spans="1:33" x14ac:dyDescent="0.2">
      <c r="A727" s="2"/>
      <c r="B727" s="80"/>
      <c r="C727" s="80"/>
      <c r="D727" s="80"/>
      <c r="E727" s="80"/>
      <c r="F727" s="80"/>
      <c r="G727" s="80"/>
      <c r="H727" s="80"/>
      <c r="I727" s="80"/>
      <c r="J727" s="80"/>
      <c r="K727" s="80"/>
      <c r="L727" s="2"/>
      <c r="M727" s="2"/>
      <c r="N727" s="2"/>
      <c r="O727" s="2"/>
      <c r="P727" s="2"/>
      <c r="Q727" s="2"/>
      <c r="R727" s="80"/>
      <c r="S727" s="80"/>
      <c r="T727" s="80"/>
      <c r="U727" s="80"/>
      <c r="V727" s="80"/>
      <c r="W727" s="80"/>
      <c r="X727" s="80"/>
      <c r="Y727" s="80"/>
      <c r="Z727" s="80"/>
      <c r="AA727" s="80"/>
      <c r="AB727" s="80"/>
      <c r="AC727" s="80"/>
      <c r="AD727" s="80"/>
      <c r="AE727" s="80"/>
      <c r="AF727" s="80"/>
      <c r="AG727" s="80"/>
    </row>
    <row r="728" spans="1:33" x14ac:dyDescent="0.2">
      <c r="A728" s="2"/>
      <c r="B728" s="80"/>
      <c r="C728" s="80"/>
      <c r="D728" s="80"/>
      <c r="E728" s="80"/>
      <c r="F728" s="80"/>
      <c r="G728" s="80"/>
      <c r="H728" s="80"/>
      <c r="I728" s="80"/>
      <c r="J728" s="80"/>
      <c r="K728" s="80"/>
      <c r="L728" s="2"/>
      <c r="M728" s="2"/>
      <c r="N728" s="2"/>
      <c r="O728" s="2"/>
      <c r="P728" s="2"/>
      <c r="Q728" s="2"/>
      <c r="R728" s="80"/>
      <c r="S728" s="80"/>
      <c r="T728" s="80"/>
      <c r="U728" s="80"/>
      <c r="V728" s="80"/>
      <c r="W728" s="80"/>
      <c r="X728" s="80"/>
      <c r="Y728" s="80"/>
      <c r="Z728" s="80"/>
      <c r="AA728" s="80"/>
      <c r="AB728" s="80"/>
      <c r="AC728" s="80"/>
      <c r="AD728" s="80"/>
      <c r="AE728" s="80"/>
      <c r="AF728" s="80"/>
      <c r="AG728" s="80"/>
    </row>
    <row r="729" spans="1:33" x14ac:dyDescent="0.2">
      <c r="A729" s="2"/>
      <c r="B729" s="80"/>
      <c r="C729" s="80"/>
      <c r="D729" s="80"/>
      <c r="E729" s="80"/>
      <c r="F729" s="80"/>
      <c r="G729" s="80"/>
      <c r="H729" s="80"/>
      <c r="I729" s="80"/>
      <c r="J729" s="80"/>
      <c r="K729" s="80"/>
      <c r="L729" s="2"/>
      <c r="M729" s="2"/>
      <c r="N729" s="2"/>
      <c r="O729" s="2"/>
      <c r="P729" s="2"/>
      <c r="Q729" s="2"/>
      <c r="R729" s="80"/>
      <c r="S729" s="80"/>
      <c r="T729" s="80"/>
      <c r="U729" s="80"/>
      <c r="V729" s="80"/>
      <c r="W729" s="80"/>
      <c r="X729" s="80"/>
      <c r="Y729" s="80"/>
      <c r="Z729" s="80"/>
      <c r="AA729" s="80"/>
      <c r="AB729" s="80"/>
      <c r="AC729" s="80"/>
      <c r="AD729" s="80"/>
      <c r="AE729" s="80"/>
      <c r="AF729" s="80"/>
      <c r="AG729" s="80"/>
    </row>
    <row r="730" spans="1:33" x14ac:dyDescent="0.2">
      <c r="A730" s="2"/>
      <c r="B730" s="80"/>
      <c r="C730" s="80"/>
      <c r="D730" s="80"/>
      <c r="E730" s="80"/>
      <c r="F730" s="80"/>
      <c r="G730" s="80"/>
      <c r="H730" s="80"/>
      <c r="I730" s="80"/>
      <c r="J730" s="80"/>
      <c r="K730" s="80"/>
      <c r="L730" s="2"/>
      <c r="M730" s="2"/>
      <c r="N730" s="2"/>
      <c r="O730" s="2"/>
      <c r="P730" s="2"/>
      <c r="Q730" s="2"/>
      <c r="R730" s="80"/>
      <c r="S730" s="80"/>
      <c r="T730" s="80"/>
      <c r="U730" s="80"/>
      <c r="V730" s="80"/>
      <c r="W730" s="80"/>
      <c r="X730" s="80"/>
      <c r="Y730" s="80"/>
      <c r="Z730" s="80"/>
      <c r="AA730" s="80"/>
      <c r="AB730" s="80"/>
      <c r="AC730" s="80"/>
      <c r="AD730" s="80"/>
      <c r="AE730" s="80"/>
      <c r="AF730" s="80"/>
      <c r="AG730" s="80"/>
    </row>
    <row r="731" spans="1:33" x14ac:dyDescent="0.2">
      <c r="A731" s="2"/>
      <c r="B731" s="80"/>
      <c r="C731" s="80"/>
      <c r="D731" s="80"/>
      <c r="E731" s="80"/>
      <c r="F731" s="80"/>
      <c r="G731" s="80"/>
      <c r="H731" s="80"/>
      <c r="I731" s="80"/>
      <c r="J731" s="80"/>
      <c r="K731" s="80"/>
      <c r="L731" s="2"/>
      <c r="M731" s="2"/>
      <c r="N731" s="2"/>
      <c r="O731" s="2"/>
      <c r="P731" s="2"/>
      <c r="Q731" s="2"/>
      <c r="R731" s="80"/>
      <c r="S731" s="80"/>
      <c r="T731" s="80"/>
      <c r="U731" s="80"/>
      <c r="V731" s="80"/>
      <c r="W731" s="80"/>
      <c r="X731" s="80"/>
      <c r="Y731" s="80"/>
      <c r="Z731" s="80"/>
      <c r="AA731" s="80"/>
      <c r="AB731" s="80"/>
      <c r="AC731" s="80"/>
      <c r="AD731" s="80"/>
      <c r="AE731" s="80"/>
      <c r="AF731" s="80"/>
      <c r="AG731" s="80"/>
    </row>
    <row r="732" spans="1:33" x14ac:dyDescent="0.2">
      <c r="A732" s="2"/>
      <c r="B732" s="80"/>
      <c r="C732" s="80"/>
      <c r="D732" s="80"/>
      <c r="E732" s="80"/>
      <c r="F732" s="80"/>
      <c r="G732" s="80"/>
      <c r="H732" s="80"/>
      <c r="I732" s="80"/>
      <c r="J732" s="80"/>
      <c r="K732" s="80"/>
      <c r="L732" s="2"/>
      <c r="M732" s="2"/>
      <c r="N732" s="2"/>
      <c r="O732" s="2"/>
      <c r="P732" s="2"/>
      <c r="Q732" s="2"/>
      <c r="R732" s="80"/>
      <c r="S732" s="80"/>
      <c r="T732" s="80"/>
      <c r="U732" s="80"/>
      <c r="V732" s="80"/>
      <c r="W732" s="80"/>
      <c r="X732" s="80"/>
      <c r="Y732" s="80"/>
      <c r="Z732" s="80"/>
      <c r="AA732" s="80"/>
      <c r="AB732" s="80"/>
      <c r="AC732" s="80"/>
      <c r="AD732" s="80"/>
      <c r="AE732" s="80"/>
      <c r="AF732" s="80"/>
      <c r="AG732" s="80"/>
    </row>
    <row r="733" spans="1:33" x14ac:dyDescent="0.2">
      <c r="A733" s="2"/>
      <c r="B733" s="80"/>
      <c r="C733" s="80"/>
      <c r="D733" s="80"/>
      <c r="E733" s="80"/>
      <c r="F733" s="80"/>
      <c r="G733" s="80"/>
      <c r="H733" s="80"/>
      <c r="I733" s="80"/>
      <c r="J733" s="80"/>
      <c r="K733" s="80"/>
      <c r="L733" s="2"/>
      <c r="M733" s="2"/>
      <c r="N733" s="2"/>
      <c r="O733" s="2"/>
      <c r="P733" s="2"/>
      <c r="Q733" s="2"/>
      <c r="R733" s="80"/>
      <c r="S733" s="80"/>
      <c r="T733" s="80"/>
      <c r="U733" s="80"/>
      <c r="V733" s="80"/>
      <c r="W733" s="80"/>
      <c r="X733" s="80"/>
      <c r="Y733" s="80"/>
      <c r="Z733" s="80"/>
      <c r="AA733" s="80"/>
      <c r="AB733" s="80"/>
      <c r="AC733" s="80"/>
      <c r="AD733" s="80"/>
      <c r="AE733" s="80"/>
      <c r="AF733" s="80"/>
      <c r="AG733" s="80"/>
    </row>
    <row r="734" spans="1:33" x14ac:dyDescent="0.2">
      <c r="A734" s="2"/>
      <c r="B734" s="80"/>
      <c r="C734" s="80"/>
      <c r="D734" s="80"/>
      <c r="E734" s="80"/>
      <c r="F734" s="80"/>
      <c r="G734" s="80"/>
      <c r="H734" s="80"/>
      <c r="I734" s="80"/>
      <c r="J734" s="80"/>
      <c r="K734" s="80"/>
      <c r="L734" s="2"/>
      <c r="M734" s="2"/>
      <c r="N734" s="2"/>
      <c r="O734" s="2"/>
      <c r="P734" s="2"/>
      <c r="Q734" s="2"/>
      <c r="R734" s="80"/>
      <c r="S734" s="80"/>
      <c r="T734" s="80"/>
      <c r="U734" s="80"/>
      <c r="V734" s="80"/>
      <c r="W734" s="80"/>
      <c r="X734" s="80"/>
      <c r="Y734" s="80"/>
      <c r="Z734" s="80"/>
      <c r="AA734" s="80"/>
      <c r="AB734" s="80"/>
      <c r="AC734" s="80"/>
      <c r="AD734" s="80"/>
      <c r="AE734" s="80"/>
      <c r="AF734" s="80"/>
      <c r="AG734" s="80"/>
    </row>
    <row r="735" spans="1:33" x14ac:dyDescent="0.2">
      <c r="A735" s="2"/>
      <c r="B735" s="80"/>
      <c r="C735" s="80"/>
      <c r="D735" s="80"/>
      <c r="E735" s="80"/>
      <c r="F735" s="80"/>
      <c r="G735" s="80"/>
      <c r="H735" s="80"/>
      <c r="I735" s="80"/>
      <c r="J735" s="80"/>
      <c r="K735" s="80"/>
      <c r="L735" s="2"/>
      <c r="M735" s="2"/>
      <c r="N735" s="2"/>
      <c r="O735" s="2"/>
      <c r="P735" s="2"/>
      <c r="Q735" s="2"/>
      <c r="R735" s="80"/>
      <c r="S735" s="80"/>
      <c r="T735" s="80"/>
      <c r="U735" s="80"/>
      <c r="V735" s="80"/>
      <c r="W735" s="80"/>
      <c r="X735" s="80"/>
      <c r="Y735" s="80"/>
      <c r="Z735" s="80"/>
      <c r="AA735" s="80"/>
      <c r="AB735" s="80"/>
      <c r="AC735" s="80"/>
      <c r="AD735" s="80"/>
      <c r="AE735" s="80"/>
      <c r="AF735" s="80"/>
      <c r="AG735" s="80"/>
    </row>
    <row r="736" spans="1:33" x14ac:dyDescent="0.2">
      <c r="A736" s="2"/>
      <c r="B736" s="80"/>
      <c r="C736" s="80"/>
      <c r="D736" s="80"/>
      <c r="E736" s="80"/>
      <c r="F736" s="80"/>
      <c r="G736" s="80"/>
      <c r="H736" s="80"/>
      <c r="I736" s="80"/>
      <c r="J736" s="80"/>
      <c r="K736" s="80"/>
      <c r="L736" s="2"/>
      <c r="M736" s="2"/>
      <c r="N736" s="2"/>
      <c r="O736" s="2"/>
      <c r="P736" s="2"/>
      <c r="Q736" s="2"/>
      <c r="R736" s="80"/>
      <c r="S736" s="80"/>
      <c r="T736" s="80"/>
      <c r="U736" s="80"/>
      <c r="V736" s="80"/>
      <c r="W736" s="80"/>
      <c r="X736" s="80"/>
      <c r="Y736" s="80"/>
      <c r="Z736" s="80"/>
      <c r="AA736" s="80"/>
      <c r="AB736" s="80"/>
      <c r="AC736" s="80"/>
      <c r="AD736" s="80"/>
      <c r="AE736" s="80"/>
      <c r="AF736" s="80"/>
      <c r="AG736" s="80"/>
    </row>
    <row r="737" spans="1:33" x14ac:dyDescent="0.2">
      <c r="A737" s="2"/>
      <c r="B737" s="80"/>
      <c r="C737" s="80"/>
      <c r="D737" s="80"/>
      <c r="E737" s="80"/>
      <c r="F737" s="80"/>
      <c r="G737" s="80"/>
      <c r="H737" s="80"/>
      <c r="I737" s="80"/>
      <c r="J737" s="80"/>
      <c r="K737" s="80"/>
      <c r="L737" s="2"/>
      <c r="M737" s="2"/>
      <c r="N737" s="2"/>
      <c r="O737" s="2"/>
      <c r="P737" s="2"/>
      <c r="Q737" s="2"/>
      <c r="R737" s="80"/>
      <c r="S737" s="80"/>
      <c r="T737" s="80"/>
      <c r="U737" s="80"/>
      <c r="V737" s="80"/>
      <c r="W737" s="80"/>
      <c r="X737" s="80"/>
      <c r="Y737" s="80"/>
      <c r="Z737" s="80"/>
      <c r="AA737" s="80"/>
      <c r="AB737" s="80"/>
      <c r="AC737" s="80"/>
      <c r="AD737" s="80"/>
      <c r="AE737" s="80"/>
      <c r="AF737" s="80"/>
      <c r="AG737" s="80"/>
    </row>
    <row r="738" spans="1:33" x14ac:dyDescent="0.2">
      <c r="A738" s="2"/>
      <c r="B738" s="80"/>
      <c r="C738" s="80"/>
      <c r="D738" s="80"/>
      <c r="E738" s="80"/>
      <c r="F738" s="80"/>
      <c r="G738" s="80"/>
      <c r="H738" s="80"/>
      <c r="I738" s="80"/>
      <c r="J738" s="80"/>
      <c r="K738" s="80"/>
      <c r="L738" s="2"/>
      <c r="M738" s="2"/>
      <c r="N738" s="2"/>
      <c r="O738" s="2"/>
      <c r="P738" s="2"/>
      <c r="Q738" s="2"/>
      <c r="R738" s="80"/>
      <c r="S738" s="80"/>
      <c r="T738" s="80"/>
      <c r="U738" s="80"/>
      <c r="V738" s="80"/>
      <c r="W738" s="80"/>
      <c r="X738" s="80"/>
      <c r="Y738" s="80"/>
      <c r="Z738" s="80"/>
      <c r="AA738" s="80"/>
      <c r="AB738" s="80"/>
      <c r="AC738" s="80"/>
      <c r="AD738" s="80"/>
      <c r="AE738" s="80"/>
      <c r="AF738" s="80"/>
      <c r="AG738" s="80"/>
    </row>
    <row r="739" spans="1:33" x14ac:dyDescent="0.2">
      <c r="A739" s="2"/>
      <c r="B739" s="80"/>
      <c r="C739" s="80"/>
      <c r="D739" s="80"/>
      <c r="E739" s="80"/>
      <c r="F739" s="80"/>
      <c r="G739" s="80"/>
      <c r="H739" s="80"/>
      <c r="I739" s="80"/>
      <c r="J739" s="80"/>
      <c r="K739" s="80"/>
      <c r="L739" s="2"/>
      <c r="M739" s="2"/>
      <c r="N739" s="2"/>
      <c r="O739" s="2"/>
      <c r="P739" s="2"/>
      <c r="Q739" s="2"/>
      <c r="R739" s="80"/>
      <c r="S739" s="80"/>
      <c r="T739" s="80"/>
      <c r="U739" s="80"/>
      <c r="V739" s="80"/>
      <c r="W739" s="80"/>
      <c r="X739" s="80"/>
      <c r="Y739" s="80"/>
      <c r="Z739" s="80"/>
      <c r="AA739" s="80"/>
      <c r="AB739" s="80"/>
      <c r="AC739" s="80"/>
      <c r="AD739" s="80"/>
      <c r="AE739" s="80"/>
      <c r="AF739" s="80"/>
      <c r="AG739" s="80"/>
    </row>
    <row r="740" spans="1:33" x14ac:dyDescent="0.2">
      <c r="A740" s="2"/>
      <c r="B740" s="80"/>
      <c r="C740" s="80"/>
      <c r="D740" s="80"/>
      <c r="E740" s="80"/>
      <c r="F740" s="80"/>
      <c r="G740" s="80"/>
      <c r="H740" s="80"/>
      <c r="I740" s="80"/>
      <c r="J740" s="80"/>
      <c r="K740" s="80"/>
      <c r="L740" s="2"/>
      <c r="M740" s="2"/>
      <c r="N740" s="2"/>
      <c r="O740" s="2"/>
      <c r="P740" s="2"/>
      <c r="Q740" s="2"/>
      <c r="R740" s="80"/>
      <c r="S740" s="80"/>
      <c r="T740" s="80"/>
      <c r="U740" s="80"/>
      <c r="V740" s="80"/>
      <c r="W740" s="80"/>
      <c r="X740" s="80"/>
      <c r="Y740" s="80"/>
      <c r="Z740" s="80"/>
      <c r="AA740" s="80"/>
      <c r="AB740" s="80"/>
      <c r="AC740" s="80"/>
      <c r="AD740" s="80"/>
      <c r="AE740" s="80"/>
      <c r="AF740" s="80"/>
      <c r="AG740" s="80"/>
    </row>
    <row r="741" spans="1:33" x14ac:dyDescent="0.2">
      <c r="A741" s="2"/>
      <c r="B741" s="80"/>
      <c r="C741" s="80"/>
      <c r="D741" s="80"/>
      <c r="E741" s="80"/>
      <c r="F741" s="80"/>
      <c r="G741" s="80"/>
      <c r="H741" s="80"/>
      <c r="I741" s="80"/>
      <c r="J741" s="80"/>
      <c r="K741" s="80"/>
      <c r="L741" s="2"/>
      <c r="M741" s="2"/>
      <c r="N741" s="2"/>
      <c r="O741" s="2"/>
      <c r="P741" s="2"/>
      <c r="Q741" s="2"/>
      <c r="R741" s="80"/>
      <c r="S741" s="80"/>
      <c r="T741" s="80"/>
      <c r="U741" s="80"/>
      <c r="V741" s="80"/>
      <c r="W741" s="80"/>
      <c r="X741" s="80"/>
      <c r="Y741" s="80"/>
      <c r="Z741" s="80"/>
      <c r="AA741" s="80"/>
      <c r="AB741" s="80"/>
      <c r="AC741" s="80"/>
      <c r="AD741" s="80"/>
      <c r="AE741" s="80"/>
      <c r="AF741" s="80"/>
      <c r="AG741" s="80"/>
    </row>
    <row r="742" spans="1:33" x14ac:dyDescent="0.2">
      <c r="A742" s="2"/>
      <c r="B742" s="80"/>
      <c r="C742" s="80"/>
      <c r="D742" s="80"/>
      <c r="E742" s="80"/>
      <c r="F742" s="80"/>
      <c r="G742" s="80"/>
      <c r="H742" s="80"/>
      <c r="I742" s="80"/>
      <c r="J742" s="80"/>
      <c r="K742" s="80"/>
      <c r="L742" s="2"/>
      <c r="M742" s="2"/>
      <c r="N742" s="2"/>
      <c r="O742" s="2"/>
      <c r="P742" s="2"/>
      <c r="Q742" s="2"/>
      <c r="R742" s="80"/>
      <c r="S742" s="80"/>
      <c r="T742" s="80"/>
      <c r="U742" s="80"/>
      <c r="V742" s="80"/>
      <c r="W742" s="80"/>
      <c r="X742" s="80"/>
      <c r="Y742" s="80"/>
      <c r="Z742" s="80"/>
      <c r="AA742" s="80"/>
      <c r="AB742" s="80"/>
      <c r="AC742" s="80"/>
      <c r="AD742" s="80"/>
      <c r="AE742" s="80"/>
      <c r="AF742" s="80"/>
      <c r="AG742" s="80"/>
    </row>
    <row r="743" spans="1:33" x14ac:dyDescent="0.2">
      <c r="A743" s="2"/>
      <c r="B743" s="80"/>
      <c r="C743" s="80"/>
      <c r="D743" s="80"/>
      <c r="E743" s="80"/>
      <c r="F743" s="80"/>
      <c r="G743" s="80"/>
      <c r="H743" s="80"/>
      <c r="I743" s="80"/>
      <c r="J743" s="80"/>
      <c r="K743" s="80"/>
      <c r="L743" s="2"/>
      <c r="M743" s="2"/>
      <c r="N743" s="2"/>
      <c r="O743" s="2"/>
      <c r="P743" s="2"/>
      <c r="Q743" s="2"/>
      <c r="R743" s="80"/>
      <c r="S743" s="80"/>
      <c r="T743" s="80"/>
      <c r="U743" s="80"/>
      <c r="V743" s="80"/>
      <c r="W743" s="80"/>
      <c r="X743" s="80"/>
      <c r="Y743" s="80"/>
      <c r="Z743" s="80"/>
      <c r="AA743" s="80"/>
      <c r="AB743" s="80"/>
      <c r="AC743" s="80"/>
      <c r="AD743" s="80"/>
      <c r="AE743" s="80"/>
      <c r="AF743" s="80"/>
      <c r="AG743" s="80"/>
    </row>
    <row r="744" spans="1:33" x14ac:dyDescent="0.2">
      <c r="A744" s="2"/>
      <c r="B744" s="80"/>
      <c r="C744" s="80"/>
      <c r="D744" s="80"/>
      <c r="E744" s="80"/>
      <c r="F744" s="80"/>
      <c r="G744" s="80"/>
      <c r="H744" s="80"/>
      <c r="I744" s="80"/>
      <c r="J744" s="80"/>
      <c r="K744" s="80"/>
      <c r="L744" s="2"/>
      <c r="M744" s="2"/>
      <c r="N744" s="2"/>
      <c r="O744" s="2"/>
      <c r="P744" s="2"/>
      <c r="Q744" s="2"/>
      <c r="R744" s="80"/>
      <c r="S744" s="80"/>
      <c r="T744" s="80"/>
      <c r="U744" s="80"/>
      <c r="V744" s="80"/>
      <c r="W744" s="80"/>
      <c r="X744" s="80"/>
      <c r="Y744" s="80"/>
      <c r="Z744" s="80"/>
      <c r="AA744" s="80"/>
      <c r="AB744" s="80"/>
      <c r="AC744" s="80"/>
      <c r="AD744" s="80"/>
      <c r="AE744" s="80"/>
      <c r="AF744" s="80"/>
      <c r="AG744" s="80"/>
    </row>
    <row r="745" spans="1:33" x14ac:dyDescent="0.2">
      <c r="A745" s="2"/>
      <c r="B745" s="80"/>
      <c r="C745" s="80"/>
      <c r="D745" s="80"/>
      <c r="E745" s="80"/>
      <c r="F745" s="80"/>
      <c r="G745" s="80"/>
      <c r="H745" s="80"/>
      <c r="I745" s="80"/>
      <c r="J745" s="80"/>
      <c r="K745" s="80"/>
      <c r="L745" s="2"/>
      <c r="M745" s="2"/>
      <c r="N745" s="2"/>
      <c r="O745" s="2"/>
      <c r="P745" s="2"/>
      <c r="Q745" s="2"/>
      <c r="R745" s="80"/>
      <c r="S745" s="80"/>
      <c r="T745" s="80"/>
      <c r="U745" s="80"/>
      <c r="V745" s="80"/>
      <c r="W745" s="80"/>
      <c r="X745" s="80"/>
      <c r="Y745" s="80"/>
      <c r="Z745" s="80"/>
      <c r="AA745" s="80"/>
      <c r="AB745" s="80"/>
      <c r="AC745" s="80"/>
      <c r="AD745" s="80"/>
      <c r="AE745" s="80"/>
      <c r="AF745" s="80"/>
      <c r="AG745" s="80"/>
    </row>
    <row r="746" spans="1:33" x14ac:dyDescent="0.2">
      <c r="A746" s="2"/>
      <c r="B746" s="80"/>
      <c r="C746" s="80"/>
      <c r="D746" s="80"/>
      <c r="E746" s="80"/>
      <c r="F746" s="80"/>
      <c r="G746" s="80"/>
      <c r="H746" s="80"/>
      <c r="I746" s="80"/>
      <c r="J746" s="80"/>
      <c r="K746" s="80"/>
      <c r="L746" s="2"/>
      <c r="M746" s="2"/>
      <c r="N746" s="2"/>
      <c r="O746" s="2"/>
      <c r="P746" s="2"/>
      <c r="Q746" s="2"/>
      <c r="R746" s="80"/>
      <c r="S746" s="80"/>
      <c r="T746" s="80"/>
      <c r="U746" s="80"/>
      <c r="V746" s="80"/>
      <c r="W746" s="80"/>
      <c r="X746" s="80"/>
      <c r="Y746" s="80"/>
      <c r="Z746" s="80"/>
      <c r="AA746" s="80"/>
      <c r="AB746" s="80"/>
      <c r="AC746" s="80"/>
      <c r="AD746" s="80"/>
      <c r="AE746" s="80"/>
      <c r="AF746" s="80"/>
      <c r="AG746" s="80"/>
    </row>
    <row r="747" spans="1:33" x14ac:dyDescent="0.2">
      <c r="A747" s="2"/>
      <c r="B747" s="80"/>
      <c r="C747" s="80"/>
      <c r="D747" s="80"/>
      <c r="E747" s="80"/>
      <c r="F747" s="80"/>
      <c r="G747" s="80"/>
      <c r="H747" s="80"/>
      <c r="I747" s="80"/>
      <c r="J747" s="80"/>
      <c r="K747" s="80"/>
      <c r="L747" s="2"/>
      <c r="M747" s="2"/>
      <c r="N747" s="2"/>
      <c r="O747" s="2"/>
      <c r="P747" s="2"/>
      <c r="Q747" s="2"/>
      <c r="R747" s="80"/>
      <c r="S747" s="80"/>
      <c r="T747" s="80"/>
      <c r="U747" s="80"/>
      <c r="V747" s="80"/>
      <c r="W747" s="80"/>
      <c r="X747" s="80"/>
      <c r="Y747" s="80"/>
      <c r="Z747" s="80"/>
      <c r="AA747" s="80"/>
      <c r="AB747" s="80"/>
      <c r="AC747" s="80"/>
      <c r="AD747" s="80"/>
      <c r="AE747" s="80"/>
      <c r="AF747" s="80"/>
      <c r="AG747" s="80"/>
    </row>
    <row r="748" spans="1:33" x14ac:dyDescent="0.2">
      <c r="A748" s="2"/>
      <c r="B748" s="80"/>
      <c r="C748" s="80"/>
      <c r="D748" s="80"/>
      <c r="E748" s="80"/>
      <c r="F748" s="80"/>
      <c r="G748" s="80"/>
      <c r="H748" s="80"/>
      <c r="I748" s="80"/>
      <c r="J748" s="80"/>
      <c r="K748" s="80"/>
      <c r="L748" s="2"/>
      <c r="M748" s="2"/>
      <c r="N748" s="2"/>
      <c r="O748" s="2"/>
      <c r="P748" s="2"/>
      <c r="Q748" s="2"/>
      <c r="R748" s="80"/>
      <c r="S748" s="80"/>
      <c r="T748" s="80"/>
      <c r="U748" s="80"/>
      <c r="V748" s="80"/>
      <c r="W748" s="80"/>
      <c r="X748" s="80"/>
      <c r="Y748" s="80"/>
      <c r="Z748" s="80"/>
      <c r="AA748" s="80"/>
      <c r="AB748" s="80"/>
      <c r="AC748" s="80"/>
      <c r="AD748" s="80"/>
      <c r="AE748" s="80"/>
      <c r="AF748" s="80"/>
      <c r="AG748" s="80"/>
    </row>
    <row r="749" spans="1:33" x14ac:dyDescent="0.2">
      <c r="A749" s="2"/>
      <c r="B749" s="80"/>
      <c r="C749" s="80"/>
      <c r="D749" s="80"/>
      <c r="E749" s="80"/>
      <c r="F749" s="80"/>
      <c r="G749" s="80"/>
      <c r="H749" s="80"/>
      <c r="I749" s="80"/>
      <c r="J749" s="80"/>
      <c r="K749" s="80"/>
      <c r="L749" s="2"/>
      <c r="M749" s="2"/>
      <c r="N749" s="2"/>
      <c r="O749" s="2"/>
      <c r="P749" s="2"/>
      <c r="Q749" s="2"/>
      <c r="R749" s="80"/>
      <c r="S749" s="80"/>
      <c r="T749" s="80"/>
      <c r="U749" s="80"/>
      <c r="V749" s="80"/>
      <c r="W749" s="80"/>
      <c r="X749" s="80"/>
      <c r="Y749" s="80"/>
      <c r="Z749" s="80"/>
      <c r="AA749" s="80"/>
      <c r="AB749" s="80"/>
      <c r="AC749" s="80"/>
      <c r="AD749" s="80"/>
      <c r="AE749" s="80"/>
      <c r="AF749" s="80"/>
      <c r="AG749" s="80"/>
    </row>
    <row r="750" spans="1:33" x14ac:dyDescent="0.2">
      <c r="A750" s="2"/>
      <c r="B750" s="80"/>
      <c r="C750" s="80"/>
      <c r="D750" s="80"/>
      <c r="E750" s="80"/>
      <c r="F750" s="80"/>
      <c r="G750" s="80"/>
      <c r="H750" s="80"/>
      <c r="I750" s="80"/>
      <c r="J750" s="80"/>
      <c r="K750" s="80"/>
      <c r="L750" s="2"/>
      <c r="M750" s="2"/>
      <c r="N750" s="2"/>
      <c r="O750" s="2"/>
      <c r="P750" s="2"/>
      <c r="Q750" s="2"/>
      <c r="R750" s="80"/>
      <c r="S750" s="80"/>
      <c r="T750" s="80"/>
      <c r="U750" s="80"/>
      <c r="V750" s="80"/>
      <c r="W750" s="80"/>
      <c r="X750" s="80"/>
      <c r="Y750" s="80"/>
      <c r="Z750" s="80"/>
      <c r="AA750" s="80"/>
      <c r="AB750" s="80"/>
      <c r="AC750" s="80"/>
      <c r="AD750" s="80"/>
      <c r="AE750" s="80"/>
      <c r="AF750" s="80"/>
      <c r="AG750" s="80"/>
    </row>
    <row r="751" spans="1:33" x14ac:dyDescent="0.2">
      <c r="A751" s="2"/>
      <c r="B751" s="80"/>
      <c r="C751" s="80"/>
      <c r="D751" s="80"/>
      <c r="E751" s="80"/>
      <c r="F751" s="80"/>
      <c r="G751" s="80"/>
      <c r="H751" s="80"/>
      <c r="I751" s="80"/>
      <c r="J751" s="80"/>
      <c r="K751" s="80"/>
      <c r="L751" s="2"/>
      <c r="M751" s="2"/>
      <c r="N751" s="2"/>
      <c r="O751" s="2"/>
      <c r="P751" s="2"/>
      <c r="Q751" s="2"/>
      <c r="R751" s="80"/>
      <c r="S751" s="80"/>
      <c r="T751" s="80"/>
      <c r="U751" s="80"/>
      <c r="V751" s="80"/>
      <c r="W751" s="80"/>
      <c r="X751" s="80"/>
      <c r="Y751" s="80"/>
      <c r="Z751" s="80"/>
      <c r="AA751" s="80"/>
      <c r="AB751" s="80"/>
      <c r="AC751" s="80"/>
      <c r="AD751" s="80"/>
      <c r="AE751" s="80"/>
      <c r="AF751" s="80"/>
      <c r="AG751" s="80"/>
    </row>
    <row r="752" spans="1:33" x14ac:dyDescent="0.2">
      <c r="A752" s="2"/>
      <c r="B752" s="80"/>
      <c r="C752" s="80"/>
      <c r="D752" s="80"/>
      <c r="E752" s="80"/>
      <c r="F752" s="80"/>
      <c r="G752" s="80"/>
      <c r="H752" s="80"/>
      <c r="I752" s="80"/>
      <c r="J752" s="80"/>
      <c r="K752" s="80"/>
      <c r="L752" s="2"/>
      <c r="M752" s="2"/>
      <c r="N752" s="2"/>
      <c r="O752" s="2"/>
      <c r="P752" s="2"/>
      <c r="Q752" s="2"/>
      <c r="R752" s="80"/>
      <c r="S752" s="80"/>
      <c r="T752" s="80"/>
      <c r="U752" s="80"/>
      <c r="V752" s="80"/>
      <c r="W752" s="80"/>
      <c r="X752" s="80"/>
      <c r="Y752" s="80"/>
      <c r="Z752" s="80"/>
      <c r="AA752" s="80"/>
      <c r="AB752" s="80"/>
      <c r="AC752" s="80"/>
      <c r="AD752" s="80"/>
      <c r="AE752" s="80"/>
      <c r="AF752" s="80"/>
      <c r="AG752" s="80"/>
    </row>
    <row r="753" spans="1:33" x14ac:dyDescent="0.2">
      <c r="A753" s="2"/>
      <c r="B753" s="80"/>
      <c r="C753" s="80"/>
      <c r="D753" s="80"/>
      <c r="E753" s="80"/>
      <c r="F753" s="80"/>
      <c r="G753" s="80"/>
      <c r="H753" s="80"/>
      <c r="I753" s="80"/>
      <c r="J753" s="80"/>
      <c r="K753" s="80"/>
      <c r="L753" s="2"/>
      <c r="M753" s="2"/>
      <c r="N753" s="2"/>
      <c r="O753" s="2"/>
      <c r="P753" s="2"/>
      <c r="Q753" s="2"/>
      <c r="R753" s="80"/>
      <c r="S753" s="80"/>
      <c r="T753" s="80"/>
      <c r="U753" s="80"/>
      <c r="V753" s="80"/>
      <c r="W753" s="80"/>
      <c r="X753" s="80"/>
      <c r="Y753" s="80"/>
      <c r="Z753" s="80"/>
      <c r="AA753" s="80"/>
      <c r="AB753" s="80"/>
      <c r="AC753" s="80"/>
      <c r="AD753" s="80"/>
      <c r="AE753" s="80"/>
      <c r="AF753" s="80"/>
      <c r="AG753" s="80"/>
    </row>
    <row r="754" spans="1:33" x14ac:dyDescent="0.2">
      <c r="A754" s="2"/>
      <c r="B754" s="80"/>
      <c r="C754" s="80"/>
      <c r="D754" s="80"/>
      <c r="E754" s="80"/>
      <c r="F754" s="80"/>
      <c r="G754" s="80"/>
      <c r="H754" s="80"/>
      <c r="I754" s="80"/>
      <c r="J754" s="80"/>
      <c r="K754" s="80"/>
      <c r="L754" s="2"/>
      <c r="M754" s="2"/>
      <c r="N754" s="2"/>
      <c r="O754" s="2"/>
      <c r="P754" s="2"/>
      <c r="Q754" s="2"/>
      <c r="R754" s="80"/>
      <c r="S754" s="80"/>
      <c r="T754" s="80"/>
      <c r="U754" s="80"/>
      <c r="V754" s="80"/>
      <c r="W754" s="80"/>
      <c r="X754" s="80"/>
      <c r="Y754" s="80"/>
      <c r="Z754" s="80"/>
      <c r="AA754" s="80"/>
      <c r="AB754" s="80"/>
      <c r="AC754" s="80"/>
      <c r="AD754" s="80"/>
      <c r="AE754" s="80"/>
      <c r="AF754" s="80"/>
      <c r="AG754" s="80"/>
    </row>
    <row r="755" spans="1:33" x14ac:dyDescent="0.2">
      <c r="A755" s="2"/>
      <c r="B755" s="80"/>
      <c r="C755" s="80"/>
      <c r="D755" s="80"/>
      <c r="E755" s="80"/>
      <c r="F755" s="80"/>
      <c r="G755" s="80"/>
      <c r="H755" s="80"/>
      <c r="I755" s="80"/>
      <c r="J755" s="80"/>
      <c r="K755" s="80"/>
      <c r="L755" s="2"/>
      <c r="M755" s="2"/>
      <c r="N755" s="2"/>
      <c r="O755" s="2"/>
      <c r="P755" s="2"/>
      <c r="Q755" s="2"/>
      <c r="R755" s="80"/>
      <c r="S755" s="80"/>
      <c r="T755" s="80"/>
      <c r="U755" s="80"/>
      <c r="V755" s="80"/>
      <c r="W755" s="80"/>
      <c r="X755" s="80"/>
      <c r="Y755" s="80"/>
      <c r="Z755" s="80"/>
      <c r="AA755" s="80"/>
      <c r="AB755" s="80"/>
      <c r="AC755" s="80"/>
      <c r="AD755" s="80"/>
      <c r="AE755" s="80"/>
      <c r="AF755" s="80"/>
      <c r="AG755" s="80"/>
    </row>
    <row r="756" spans="1:33" x14ac:dyDescent="0.2">
      <c r="A756" s="2"/>
      <c r="B756" s="80"/>
      <c r="C756" s="80"/>
      <c r="D756" s="80"/>
      <c r="E756" s="80"/>
      <c r="F756" s="80"/>
      <c r="G756" s="80"/>
      <c r="H756" s="80"/>
      <c r="I756" s="80"/>
      <c r="J756" s="80"/>
      <c r="K756" s="80"/>
      <c r="L756" s="2"/>
      <c r="M756" s="2"/>
      <c r="N756" s="2"/>
      <c r="O756" s="2"/>
      <c r="P756" s="2"/>
      <c r="Q756" s="2"/>
      <c r="R756" s="80"/>
      <c r="S756" s="80"/>
      <c r="T756" s="80"/>
      <c r="U756" s="80"/>
      <c r="V756" s="80"/>
      <c r="W756" s="80"/>
      <c r="X756" s="80"/>
      <c r="Y756" s="80"/>
      <c r="Z756" s="80"/>
      <c r="AA756" s="80"/>
      <c r="AB756" s="80"/>
      <c r="AC756" s="80"/>
      <c r="AD756" s="80"/>
      <c r="AE756" s="80"/>
      <c r="AF756" s="80"/>
      <c r="AG756" s="80"/>
    </row>
    <row r="757" spans="1:33" x14ac:dyDescent="0.2">
      <c r="A757" s="2"/>
      <c r="B757" s="80"/>
      <c r="C757" s="80"/>
      <c r="D757" s="80"/>
      <c r="E757" s="80"/>
      <c r="F757" s="80"/>
      <c r="G757" s="80"/>
      <c r="H757" s="80"/>
      <c r="I757" s="80"/>
      <c r="J757" s="80"/>
      <c r="K757" s="80"/>
      <c r="L757" s="2"/>
      <c r="M757" s="2"/>
      <c r="N757" s="2"/>
      <c r="O757" s="2"/>
      <c r="P757" s="2"/>
      <c r="Q757" s="2"/>
      <c r="R757" s="80"/>
      <c r="S757" s="80"/>
      <c r="T757" s="80"/>
      <c r="U757" s="80"/>
      <c r="V757" s="80"/>
      <c r="W757" s="80"/>
      <c r="X757" s="80"/>
      <c r="Y757" s="80"/>
      <c r="Z757" s="80"/>
      <c r="AA757" s="80"/>
      <c r="AB757" s="80"/>
      <c r="AC757" s="80"/>
      <c r="AD757" s="80"/>
      <c r="AE757" s="80"/>
      <c r="AF757" s="80"/>
      <c r="AG757" s="80"/>
    </row>
    <row r="758" spans="1:33" x14ac:dyDescent="0.2">
      <c r="A758" s="2"/>
      <c r="B758" s="80"/>
      <c r="C758" s="80"/>
      <c r="D758" s="80"/>
      <c r="E758" s="80"/>
      <c r="F758" s="80"/>
      <c r="G758" s="80"/>
      <c r="H758" s="80"/>
      <c r="I758" s="80"/>
      <c r="J758" s="80"/>
      <c r="K758" s="80"/>
      <c r="L758" s="2"/>
      <c r="M758" s="2"/>
      <c r="N758" s="2"/>
      <c r="O758" s="2"/>
      <c r="P758" s="2"/>
      <c r="Q758" s="2"/>
      <c r="R758" s="80"/>
      <c r="S758" s="80"/>
      <c r="T758" s="80"/>
      <c r="U758" s="80"/>
      <c r="V758" s="80"/>
      <c r="W758" s="80"/>
      <c r="X758" s="80"/>
      <c r="Y758" s="80"/>
      <c r="Z758" s="80"/>
      <c r="AA758" s="80"/>
      <c r="AB758" s="80"/>
      <c r="AC758" s="80"/>
      <c r="AD758" s="80"/>
      <c r="AE758" s="80"/>
      <c r="AF758" s="80"/>
      <c r="AG758" s="80"/>
    </row>
    <row r="759" spans="1:33" x14ac:dyDescent="0.2">
      <c r="A759" s="2"/>
      <c r="B759" s="80"/>
      <c r="C759" s="80"/>
      <c r="D759" s="80"/>
      <c r="E759" s="80"/>
      <c r="F759" s="80"/>
      <c r="G759" s="80"/>
      <c r="H759" s="80"/>
      <c r="I759" s="80"/>
      <c r="J759" s="80"/>
      <c r="K759" s="80"/>
      <c r="L759" s="2"/>
      <c r="M759" s="2"/>
      <c r="N759" s="2"/>
      <c r="O759" s="2"/>
      <c r="P759" s="2"/>
      <c r="Q759" s="2"/>
      <c r="R759" s="80"/>
      <c r="S759" s="80"/>
      <c r="T759" s="80"/>
      <c r="U759" s="80"/>
      <c r="V759" s="80"/>
      <c r="W759" s="80"/>
      <c r="X759" s="80"/>
      <c r="Y759" s="80"/>
      <c r="Z759" s="80"/>
      <c r="AA759" s="80"/>
      <c r="AB759" s="80"/>
      <c r="AC759" s="80"/>
      <c r="AD759" s="80"/>
      <c r="AE759" s="80"/>
      <c r="AF759" s="80"/>
      <c r="AG759" s="80"/>
    </row>
    <row r="760" spans="1:33" x14ac:dyDescent="0.2">
      <c r="A760" s="2"/>
      <c r="B760" s="80"/>
      <c r="C760" s="80"/>
      <c r="D760" s="80"/>
      <c r="E760" s="80"/>
      <c r="F760" s="80"/>
      <c r="G760" s="80"/>
      <c r="H760" s="80"/>
      <c r="I760" s="80"/>
      <c r="J760" s="80"/>
      <c r="K760" s="80"/>
      <c r="L760" s="2"/>
      <c r="M760" s="2"/>
      <c r="N760" s="2"/>
      <c r="O760" s="2"/>
      <c r="P760" s="2"/>
      <c r="Q760" s="2"/>
      <c r="R760" s="80"/>
      <c r="S760" s="80"/>
      <c r="T760" s="80"/>
      <c r="U760" s="80"/>
      <c r="V760" s="80"/>
      <c r="W760" s="80"/>
      <c r="X760" s="80"/>
      <c r="Y760" s="80"/>
      <c r="Z760" s="80"/>
      <c r="AA760" s="80"/>
      <c r="AB760" s="80"/>
      <c r="AC760" s="80"/>
      <c r="AD760" s="80"/>
      <c r="AE760" s="80"/>
      <c r="AF760" s="80"/>
      <c r="AG760" s="80"/>
    </row>
    <row r="761" spans="1:33" x14ac:dyDescent="0.2">
      <c r="A761" s="2"/>
      <c r="B761" s="80"/>
      <c r="C761" s="80"/>
      <c r="D761" s="80"/>
      <c r="E761" s="80"/>
      <c r="F761" s="80"/>
      <c r="G761" s="80"/>
      <c r="H761" s="80"/>
      <c r="I761" s="80"/>
      <c r="J761" s="80"/>
      <c r="K761" s="80"/>
      <c r="L761" s="2"/>
      <c r="M761" s="2"/>
      <c r="N761" s="2"/>
      <c r="O761" s="2"/>
      <c r="P761" s="2"/>
      <c r="Q761" s="2"/>
      <c r="R761" s="80"/>
      <c r="S761" s="80"/>
      <c r="T761" s="80"/>
      <c r="U761" s="80"/>
      <c r="V761" s="80"/>
      <c r="W761" s="80"/>
      <c r="X761" s="80"/>
      <c r="Y761" s="80"/>
      <c r="Z761" s="80"/>
      <c r="AA761" s="80"/>
      <c r="AB761" s="80"/>
      <c r="AC761" s="80"/>
      <c r="AD761" s="80"/>
      <c r="AE761" s="80"/>
      <c r="AF761" s="80"/>
      <c r="AG761" s="80"/>
    </row>
    <row r="762" spans="1:33" x14ac:dyDescent="0.2">
      <c r="A762" s="2"/>
      <c r="B762" s="80"/>
      <c r="C762" s="80"/>
      <c r="D762" s="80"/>
      <c r="E762" s="80"/>
      <c r="F762" s="80"/>
      <c r="G762" s="80"/>
      <c r="H762" s="80"/>
      <c r="I762" s="80"/>
      <c r="J762" s="80"/>
      <c r="K762" s="80"/>
      <c r="L762" s="2"/>
      <c r="M762" s="2"/>
      <c r="N762" s="2"/>
      <c r="O762" s="2"/>
      <c r="P762" s="2"/>
      <c r="Q762" s="2"/>
      <c r="R762" s="80"/>
      <c r="S762" s="80"/>
      <c r="T762" s="80"/>
      <c r="U762" s="80"/>
      <c r="V762" s="80"/>
      <c r="W762" s="80"/>
      <c r="X762" s="80"/>
      <c r="Y762" s="80"/>
      <c r="Z762" s="80"/>
      <c r="AA762" s="80"/>
      <c r="AB762" s="80"/>
      <c r="AC762" s="80"/>
      <c r="AD762" s="80"/>
      <c r="AE762" s="80"/>
      <c r="AF762" s="80"/>
      <c r="AG762" s="80"/>
    </row>
    <row r="763" spans="1:33" x14ac:dyDescent="0.2">
      <c r="A763" s="2"/>
      <c r="B763" s="80"/>
      <c r="C763" s="80"/>
      <c r="D763" s="80"/>
      <c r="E763" s="80"/>
      <c r="F763" s="80"/>
      <c r="G763" s="80"/>
      <c r="H763" s="80"/>
      <c r="I763" s="80"/>
      <c r="J763" s="80"/>
      <c r="K763" s="80"/>
      <c r="L763" s="2"/>
      <c r="M763" s="2"/>
      <c r="N763" s="2"/>
      <c r="O763" s="2"/>
      <c r="P763" s="2"/>
      <c r="Q763" s="2"/>
      <c r="R763" s="80"/>
      <c r="S763" s="80"/>
      <c r="T763" s="80"/>
      <c r="U763" s="80"/>
      <c r="V763" s="80"/>
      <c r="W763" s="80"/>
      <c r="X763" s="80"/>
      <c r="Y763" s="80"/>
      <c r="Z763" s="80"/>
      <c r="AA763" s="80"/>
      <c r="AB763" s="80"/>
      <c r="AC763" s="80"/>
      <c r="AD763" s="80"/>
      <c r="AE763" s="80"/>
      <c r="AF763" s="80"/>
      <c r="AG763" s="80"/>
    </row>
    <row r="764" spans="1:33" x14ac:dyDescent="0.2">
      <c r="A764" s="2"/>
      <c r="B764" s="80"/>
      <c r="C764" s="80"/>
      <c r="D764" s="80"/>
      <c r="E764" s="80"/>
      <c r="F764" s="80"/>
      <c r="G764" s="80"/>
      <c r="H764" s="80"/>
      <c r="I764" s="80"/>
      <c r="J764" s="80"/>
      <c r="K764" s="80"/>
      <c r="L764" s="2"/>
      <c r="M764" s="2"/>
      <c r="N764" s="2"/>
      <c r="O764" s="2"/>
      <c r="P764" s="2"/>
      <c r="Q764" s="2"/>
      <c r="R764" s="80"/>
      <c r="S764" s="80"/>
      <c r="T764" s="80"/>
      <c r="U764" s="80"/>
      <c r="V764" s="80"/>
      <c r="W764" s="80"/>
      <c r="X764" s="80"/>
      <c r="Y764" s="80"/>
      <c r="Z764" s="80"/>
      <c r="AA764" s="80"/>
      <c r="AB764" s="80"/>
      <c r="AC764" s="80"/>
      <c r="AD764" s="80"/>
      <c r="AE764" s="80"/>
      <c r="AF764" s="80"/>
      <c r="AG764" s="80"/>
    </row>
    <row r="765" spans="1:33" x14ac:dyDescent="0.2">
      <c r="A765" s="2"/>
      <c r="B765" s="80"/>
      <c r="C765" s="80"/>
      <c r="D765" s="80"/>
      <c r="E765" s="80"/>
      <c r="F765" s="80"/>
      <c r="G765" s="80"/>
      <c r="H765" s="80"/>
      <c r="I765" s="80"/>
      <c r="J765" s="80"/>
      <c r="K765" s="80"/>
      <c r="L765" s="2"/>
      <c r="M765" s="2"/>
      <c r="N765" s="2"/>
      <c r="O765" s="2"/>
      <c r="P765" s="2"/>
      <c r="Q765" s="2"/>
      <c r="R765" s="80"/>
      <c r="S765" s="80"/>
      <c r="T765" s="80"/>
      <c r="U765" s="80"/>
      <c r="V765" s="80"/>
      <c r="W765" s="80"/>
      <c r="X765" s="80"/>
      <c r="Y765" s="80"/>
      <c r="Z765" s="80"/>
      <c r="AA765" s="80"/>
      <c r="AB765" s="80"/>
      <c r="AC765" s="80"/>
      <c r="AD765" s="80"/>
      <c r="AE765" s="80"/>
      <c r="AF765" s="80"/>
      <c r="AG765" s="80"/>
    </row>
    <row r="766" spans="1:33" x14ac:dyDescent="0.2">
      <c r="A766" s="2"/>
      <c r="B766" s="80"/>
      <c r="C766" s="80"/>
      <c r="D766" s="80"/>
      <c r="E766" s="80"/>
      <c r="F766" s="80"/>
      <c r="G766" s="80"/>
      <c r="H766" s="80"/>
      <c r="I766" s="80"/>
      <c r="J766" s="80"/>
      <c r="K766" s="80"/>
      <c r="L766" s="2"/>
      <c r="M766" s="2"/>
      <c r="N766" s="2"/>
      <c r="O766" s="2"/>
      <c r="P766" s="2"/>
      <c r="Q766" s="2"/>
      <c r="R766" s="80"/>
      <c r="S766" s="80"/>
      <c r="T766" s="80"/>
      <c r="U766" s="80"/>
      <c r="V766" s="80"/>
      <c r="W766" s="80"/>
      <c r="X766" s="80"/>
      <c r="Y766" s="80"/>
      <c r="Z766" s="80"/>
      <c r="AA766" s="80"/>
      <c r="AB766" s="80"/>
      <c r="AC766" s="80"/>
      <c r="AD766" s="80"/>
      <c r="AE766" s="80"/>
      <c r="AF766" s="80"/>
      <c r="AG766" s="80"/>
    </row>
    <row r="767" spans="1:33" x14ac:dyDescent="0.2">
      <c r="A767" s="2"/>
      <c r="B767" s="80"/>
      <c r="C767" s="80"/>
      <c r="D767" s="80"/>
      <c r="E767" s="80"/>
      <c r="F767" s="80"/>
      <c r="G767" s="80"/>
      <c r="H767" s="80"/>
      <c r="I767" s="80"/>
      <c r="J767" s="80"/>
      <c r="K767" s="80"/>
      <c r="L767" s="2"/>
      <c r="M767" s="2"/>
      <c r="N767" s="2"/>
      <c r="O767" s="2"/>
      <c r="P767" s="2"/>
      <c r="Q767" s="2"/>
      <c r="R767" s="80"/>
      <c r="S767" s="80"/>
      <c r="T767" s="80"/>
      <c r="U767" s="80"/>
      <c r="V767" s="80"/>
      <c r="W767" s="80"/>
      <c r="X767" s="80"/>
      <c r="Y767" s="80"/>
      <c r="Z767" s="80"/>
      <c r="AA767" s="80"/>
      <c r="AB767" s="80"/>
      <c r="AC767" s="80"/>
      <c r="AD767" s="80"/>
      <c r="AE767" s="80"/>
      <c r="AF767" s="80"/>
      <c r="AG767" s="80"/>
    </row>
    <row r="768" spans="1:33" x14ac:dyDescent="0.2">
      <c r="A768" s="2"/>
      <c r="B768" s="80"/>
      <c r="C768" s="80"/>
      <c r="D768" s="80"/>
      <c r="E768" s="80"/>
      <c r="F768" s="80"/>
      <c r="G768" s="80"/>
      <c r="H768" s="80"/>
      <c r="I768" s="80"/>
      <c r="J768" s="80"/>
      <c r="K768" s="80"/>
      <c r="L768" s="2"/>
      <c r="M768" s="2"/>
      <c r="N768" s="2"/>
      <c r="O768" s="2"/>
      <c r="P768" s="2"/>
      <c r="Q768" s="2"/>
      <c r="R768" s="80"/>
      <c r="S768" s="80"/>
      <c r="T768" s="80"/>
      <c r="U768" s="80"/>
      <c r="V768" s="80"/>
      <c r="W768" s="80"/>
      <c r="X768" s="80"/>
      <c r="Y768" s="80"/>
      <c r="Z768" s="80"/>
      <c r="AA768" s="80"/>
      <c r="AB768" s="80"/>
      <c r="AC768" s="80"/>
      <c r="AD768" s="80"/>
      <c r="AE768" s="80"/>
      <c r="AF768" s="80"/>
      <c r="AG768" s="80"/>
    </row>
    <row r="769" spans="1:33" x14ac:dyDescent="0.2">
      <c r="A769" s="2"/>
      <c r="B769" s="80"/>
      <c r="C769" s="80"/>
      <c r="D769" s="80"/>
      <c r="E769" s="80"/>
      <c r="F769" s="80"/>
      <c r="G769" s="80"/>
      <c r="H769" s="80"/>
      <c r="I769" s="80"/>
      <c r="J769" s="80"/>
      <c r="K769" s="80"/>
      <c r="L769" s="2"/>
      <c r="M769" s="2"/>
      <c r="N769" s="2"/>
      <c r="O769" s="2"/>
      <c r="P769" s="2"/>
      <c r="Q769" s="2"/>
      <c r="R769" s="80"/>
      <c r="S769" s="80"/>
      <c r="T769" s="80"/>
      <c r="U769" s="80"/>
      <c r="V769" s="80"/>
      <c r="W769" s="80"/>
      <c r="X769" s="80"/>
      <c r="Y769" s="80"/>
      <c r="Z769" s="80"/>
      <c r="AA769" s="80"/>
      <c r="AB769" s="80"/>
      <c r="AC769" s="80"/>
      <c r="AD769" s="80"/>
      <c r="AE769" s="80"/>
      <c r="AF769" s="80"/>
      <c r="AG769" s="80"/>
    </row>
    <row r="770" spans="1:33" x14ac:dyDescent="0.2">
      <c r="A770" s="2"/>
      <c r="B770" s="80"/>
      <c r="C770" s="80"/>
      <c r="D770" s="80"/>
      <c r="E770" s="80"/>
      <c r="F770" s="80"/>
      <c r="G770" s="80"/>
      <c r="H770" s="80"/>
      <c r="I770" s="80"/>
      <c r="J770" s="80"/>
      <c r="K770" s="80"/>
      <c r="L770" s="2"/>
      <c r="M770" s="2"/>
      <c r="N770" s="2"/>
      <c r="O770" s="2"/>
      <c r="P770" s="2"/>
      <c r="Q770" s="2"/>
      <c r="R770" s="80"/>
      <c r="S770" s="80"/>
      <c r="T770" s="80"/>
      <c r="U770" s="80"/>
      <c r="V770" s="80"/>
      <c r="W770" s="80"/>
      <c r="X770" s="80"/>
      <c r="Y770" s="80"/>
      <c r="Z770" s="80"/>
      <c r="AA770" s="80"/>
      <c r="AB770" s="80"/>
      <c r="AC770" s="80"/>
      <c r="AD770" s="80"/>
      <c r="AE770" s="80"/>
      <c r="AF770" s="80"/>
      <c r="AG770" s="80"/>
    </row>
    <row r="771" spans="1:33" x14ac:dyDescent="0.2">
      <c r="A771" s="2"/>
      <c r="B771" s="80"/>
      <c r="C771" s="80"/>
      <c r="D771" s="80"/>
      <c r="E771" s="80"/>
      <c r="F771" s="80"/>
      <c r="G771" s="80"/>
      <c r="H771" s="80"/>
      <c r="I771" s="80"/>
      <c r="J771" s="80"/>
      <c r="K771" s="80"/>
      <c r="L771" s="2"/>
      <c r="M771" s="2"/>
      <c r="N771" s="2"/>
      <c r="O771" s="2"/>
      <c r="P771" s="2"/>
      <c r="Q771" s="2"/>
      <c r="R771" s="80"/>
      <c r="S771" s="80"/>
      <c r="T771" s="80"/>
      <c r="U771" s="80"/>
      <c r="V771" s="80"/>
      <c r="W771" s="80"/>
      <c r="X771" s="80"/>
      <c r="Y771" s="80"/>
      <c r="Z771" s="80"/>
      <c r="AA771" s="80"/>
      <c r="AB771" s="80"/>
      <c r="AC771" s="80"/>
      <c r="AD771" s="80"/>
      <c r="AE771" s="80"/>
      <c r="AF771" s="80"/>
      <c r="AG771" s="80"/>
    </row>
    <row r="772" spans="1:33" x14ac:dyDescent="0.2">
      <c r="A772" s="2"/>
      <c r="B772" s="80"/>
      <c r="C772" s="80"/>
      <c r="D772" s="80"/>
      <c r="E772" s="80"/>
      <c r="F772" s="80"/>
      <c r="G772" s="80"/>
      <c r="H772" s="80"/>
      <c r="I772" s="80"/>
      <c r="J772" s="80"/>
      <c r="K772" s="80"/>
      <c r="L772" s="2"/>
      <c r="M772" s="2"/>
      <c r="N772" s="2"/>
      <c r="O772" s="2"/>
      <c r="P772" s="2"/>
      <c r="Q772" s="2"/>
      <c r="R772" s="80"/>
      <c r="S772" s="80"/>
      <c r="T772" s="80"/>
      <c r="U772" s="80"/>
      <c r="V772" s="80"/>
      <c r="W772" s="80"/>
      <c r="X772" s="80"/>
      <c r="Y772" s="80"/>
      <c r="Z772" s="80"/>
      <c r="AA772" s="80"/>
      <c r="AB772" s="80"/>
      <c r="AC772" s="80"/>
      <c r="AD772" s="80"/>
      <c r="AE772" s="80"/>
      <c r="AF772" s="80"/>
      <c r="AG772" s="80"/>
    </row>
    <row r="773" spans="1:33" x14ac:dyDescent="0.2">
      <c r="A773" s="2"/>
      <c r="B773" s="80"/>
      <c r="C773" s="80"/>
      <c r="D773" s="80"/>
      <c r="E773" s="80"/>
      <c r="F773" s="80"/>
      <c r="G773" s="80"/>
      <c r="H773" s="80"/>
      <c r="I773" s="80"/>
      <c r="J773" s="80"/>
      <c r="K773" s="80"/>
      <c r="L773" s="2"/>
      <c r="M773" s="2"/>
      <c r="N773" s="2"/>
      <c r="O773" s="2"/>
      <c r="P773" s="2"/>
      <c r="Q773" s="2"/>
      <c r="R773" s="80"/>
      <c r="S773" s="80"/>
      <c r="T773" s="80"/>
      <c r="U773" s="80"/>
      <c r="V773" s="80"/>
      <c r="W773" s="80"/>
      <c r="X773" s="80"/>
      <c r="Y773" s="80"/>
      <c r="Z773" s="80"/>
      <c r="AA773" s="80"/>
      <c r="AB773" s="80"/>
      <c r="AC773" s="80"/>
      <c r="AD773" s="80"/>
      <c r="AE773" s="80"/>
      <c r="AF773" s="80"/>
      <c r="AG773" s="80"/>
    </row>
    <row r="774" spans="1:33" x14ac:dyDescent="0.2">
      <c r="A774" s="2"/>
      <c r="B774" s="80"/>
      <c r="C774" s="80"/>
      <c r="D774" s="80"/>
      <c r="E774" s="80"/>
      <c r="F774" s="80"/>
      <c r="G774" s="80"/>
      <c r="H774" s="80"/>
      <c r="I774" s="80"/>
      <c r="J774" s="80"/>
      <c r="K774" s="80"/>
      <c r="L774" s="2"/>
      <c r="M774" s="2"/>
      <c r="N774" s="2"/>
      <c r="O774" s="2"/>
      <c r="P774" s="2"/>
      <c r="Q774" s="2"/>
      <c r="R774" s="80"/>
      <c r="S774" s="80"/>
      <c r="T774" s="80"/>
      <c r="U774" s="80"/>
      <c r="V774" s="80"/>
      <c r="W774" s="80"/>
      <c r="X774" s="80"/>
      <c r="Y774" s="80"/>
      <c r="Z774" s="80"/>
      <c r="AA774" s="80"/>
      <c r="AB774" s="80"/>
      <c r="AC774" s="80"/>
      <c r="AD774" s="80"/>
      <c r="AE774" s="80"/>
      <c r="AF774" s="80"/>
      <c r="AG774" s="80"/>
    </row>
    <row r="775" spans="1:33" x14ac:dyDescent="0.2">
      <c r="A775" s="2"/>
      <c r="B775" s="80"/>
      <c r="C775" s="80"/>
      <c r="D775" s="80"/>
      <c r="E775" s="80"/>
      <c r="F775" s="80"/>
      <c r="G775" s="80"/>
      <c r="H775" s="80"/>
      <c r="I775" s="80"/>
      <c r="J775" s="80"/>
      <c r="K775" s="80"/>
      <c r="L775" s="2"/>
      <c r="M775" s="2"/>
      <c r="N775" s="2"/>
      <c r="O775" s="2"/>
      <c r="P775" s="2"/>
      <c r="Q775" s="2"/>
      <c r="R775" s="80"/>
      <c r="S775" s="80"/>
      <c r="T775" s="80"/>
      <c r="U775" s="80"/>
      <c r="V775" s="80"/>
      <c r="W775" s="80"/>
      <c r="X775" s="80"/>
      <c r="Y775" s="80"/>
      <c r="Z775" s="80"/>
      <c r="AA775" s="80"/>
      <c r="AB775" s="80"/>
      <c r="AC775" s="80"/>
      <c r="AD775" s="80"/>
      <c r="AE775" s="80"/>
      <c r="AF775" s="80"/>
      <c r="AG775" s="80"/>
    </row>
    <row r="776" spans="1:33" x14ac:dyDescent="0.2">
      <c r="A776" s="2"/>
      <c r="B776" s="80"/>
      <c r="C776" s="80"/>
      <c r="D776" s="80"/>
      <c r="E776" s="80"/>
      <c r="F776" s="80"/>
      <c r="G776" s="80"/>
      <c r="H776" s="80"/>
      <c r="I776" s="80"/>
      <c r="J776" s="80"/>
      <c r="K776" s="80"/>
      <c r="L776" s="2"/>
      <c r="M776" s="2"/>
      <c r="N776" s="2"/>
      <c r="O776" s="2"/>
      <c r="P776" s="2"/>
      <c r="Q776" s="2"/>
      <c r="R776" s="80"/>
      <c r="S776" s="80"/>
      <c r="T776" s="80"/>
      <c r="U776" s="80"/>
      <c r="V776" s="80"/>
      <c r="W776" s="80"/>
      <c r="X776" s="80"/>
      <c r="Y776" s="80"/>
      <c r="Z776" s="80"/>
      <c r="AA776" s="80"/>
      <c r="AB776" s="80"/>
      <c r="AC776" s="80"/>
      <c r="AD776" s="80"/>
      <c r="AE776" s="80"/>
      <c r="AF776" s="80"/>
      <c r="AG776" s="80"/>
    </row>
    <row r="777" spans="1:33" x14ac:dyDescent="0.2">
      <c r="A777" s="2"/>
      <c r="B777" s="80"/>
      <c r="C777" s="80"/>
      <c r="D777" s="80"/>
      <c r="E777" s="80"/>
      <c r="F777" s="80"/>
      <c r="G777" s="80"/>
      <c r="H777" s="80"/>
      <c r="I777" s="80"/>
      <c r="J777" s="80"/>
      <c r="K777" s="80"/>
      <c r="L777" s="2"/>
      <c r="M777" s="2"/>
      <c r="N777" s="2"/>
      <c r="O777" s="2"/>
      <c r="P777" s="2"/>
      <c r="Q777" s="2"/>
      <c r="R777" s="80"/>
      <c r="S777" s="80"/>
      <c r="T777" s="80"/>
      <c r="U777" s="80"/>
      <c r="V777" s="80"/>
      <c r="W777" s="80"/>
      <c r="X777" s="80"/>
      <c r="Y777" s="80"/>
      <c r="Z777" s="80"/>
      <c r="AA777" s="80"/>
      <c r="AB777" s="80"/>
      <c r="AC777" s="80"/>
      <c r="AD777" s="80"/>
      <c r="AE777" s="80"/>
      <c r="AF777" s="80"/>
      <c r="AG777" s="80"/>
    </row>
    <row r="778" spans="1:33" x14ac:dyDescent="0.2">
      <c r="A778" s="2"/>
      <c r="B778" s="80"/>
      <c r="C778" s="80"/>
      <c r="D778" s="80"/>
      <c r="E778" s="80"/>
      <c r="F778" s="80"/>
      <c r="G778" s="80"/>
      <c r="H778" s="80"/>
      <c r="I778" s="80"/>
      <c r="J778" s="80"/>
      <c r="K778" s="80"/>
      <c r="L778" s="2"/>
      <c r="M778" s="2"/>
      <c r="N778" s="2"/>
      <c r="O778" s="2"/>
      <c r="P778" s="2"/>
      <c r="Q778" s="2"/>
      <c r="R778" s="80"/>
      <c r="S778" s="80"/>
      <c r="T778" s="80"/>
      <c r="U778" s="80"/>
      <c r="V778" s="80"/>
      <c r="W778" s="80"/>
      <c r="X778" s="80"/>
      <c r="Y778" s="80"/>
      <c r="Z778" s="80"/>
      <c r="AA778" s="80"/>
      <c r="AB778" s="80"/>
      <c r="AC778" s="80"/>
      <c r="AD778" s="80"/>
      <c r="AE778" s="80"/>
      <c r="AF778" s="80"/>
      <c r="AG778" s="80"/>
    </row>
    <row r="779" spans="1:33" x14ac:dyDescent="0.2">
      <c r="A779" s="2"/>
      <c r="B779" s="80"/>
      <c r="C779" s="80"/>
      <c r="D779" s="80"/>
      <c r="E779" s="80"/>
      <c r="F779" s="80"/>
      <c r="G779" s="80"/>
      <c r="H779" s="80"/>
      <c r="I779" s="80"/>
      <c r="J779" s="80"/>
      <c r="K779" s="80"/>
      <c r="L779" s="2"/>
      <c r="M779" s="2"/>
      <c r="N779" s="2"/>
      <c r="O779" s="2"/>
      <c r="P779" s="2"/>
      <c r="Q779" s="2"/>
      <c r="R779" s="80"/>
      <c r="S779" s="80"/>
      <c r="T779" s="80"/>
      <c r="U779" s="80"/>
      <c r="V779" s="80"/>
      <c r="W779" s="80"/>
      <c r="X779" s="80"/>
      <c r="Y779" s="80"/>
      <c r="Z779" s="80"/>
      <c r="AA779" s="80"/>
      <c r="AB779" s="80"/>
      <c r="AC779" s="80"/>
      <c r="AD779" s="80"/>
      <c r="AE779" s="80"/>
      <c r="AF779" s="80"/>
      <c r="AG779" s="80"/>
    </row>
    <row r="780" spans="1:33" x14ac:dyDescent="0.2">
      <c r="A780" s="2"/>
      <c r="B780" s="80"/>
      <c r="C780" s="80"/>
      <c r="D780" s="80"/>
      <c r="E780" s="80"/>
      <c r="F780" s="80"/>
      <c r="G780" s="80"/>
      <c r="H780" s="80"/>
      <c r="I780" s="80"/>
      <c r="J780" s="80"/>
      <c r="K780" s="80"/>
      <c r="L780" s="2"/>
      <c r="M780" s="2"/>
      <c r="N780" s="2"/>
      <c r="O780" s="2"/>
      <c r="P780" s="2"/>
      <c r="Q780" s="2"/>
      <c r="R780" s="80"/>
      <c r="S780" s="80"/>
      <c r="T780" s="80"/>
      <c r="U780" s="80"/>
      <c r="V780" s="80"/>
      <c r="W780" s="80"/>
      <c r="X780" s="80"/>
      <c r="Y780" s="80"/>
      <c r="Z780" s="80"/>
      <c r="AA780" s="80"/>
      <c r="AB780" s="80"/>
      <c r="AC780" s="80"/>
      <c r="AD780" s="80"/>
      <c r="AE780" s="80"/>
      <c r="AF780" s="80"/>
      <c r="AG780" s="80"/>
    </row>
    <row r="781" spans="1:33" x14ac:dyDescent="0.2">
      <c r="A781" s="2"/>
      <c r="B781" s="80"/>
      <c r="C781" s="80"/>
      <c r="D781" s="80"/>
      <c r="E781" s="80"/>
      <c r="F781" s="80"/>
      <c r="G781" s="80"/>
      <c r="H781" s="80"/>
      <c r="I781" s="80"/>
      <c r="J781" s="80"/>
      <c r="K781" s="80"/>
      <c r="L781" s="2"/>
      <c r="M781" s="2"/>
      <c r="N781" s="2"/>
      <c r="O781" s="2"/>
      <c r="P781" s="2"/>
      <c r="Q781" s="2"/>
      <c r="R781" s="80"/>
      <c r="S781" s="80"/>
      <c r="T781" s="80"/>
      <c r="U781" s="80"/>
      <c r="V781" s="80"/>
      <c r="W781" s="80"/>
      <c r="X781" s="80"/>
      <c r="Y781" s="80"/>
      <c r="Z781" s="80"/>
      <c r="AA781" s="80"/>
      <c r="AB781" s="80"/>
      <c r="AC781" s="80"/>
      <c r="AD781" s="80"/>
      <c r="AE781" s="80"/>
      <c r="AF781" s="80"/>
      <c r="AG781" s="80"/>
    </row>
    <row r="782" spans="1:33" x14ac:dyDescent="0.2">
      <c r="A782" s="2"/>
      <c r="B782" s="80"/>
      <c r="C782" s="80"/>
      <c r="D782" s="80"/>
      <c r="E782" s="80"/>
      <c r="F782" s="80"/>
      <c r="G782" s="80"/>
      <c r="H782" s="80"/>
      <c r="I782" s="80"/>
      <c r="J782" s="80"/>
      <c r="K782" s="80"/>
      <c r="L782" s="2"/>
      <c r="M782" s="2"/>
      <c r="N782" s="2"/>
      <c r="O782" s="2"/>
      <c r="P782" s="2"/>
      <c r="Q782" s="2"/>
      <c r="R782" s="80"/>
      <c r="S782" s="80"/>
      <c r="T782" s="80"/>
      <c r="U782" s="80"/>
      <c r="V782" s="80"/>
      <c r="W782" s="80"/>
      <c r="X782" s="80"/>
      <c r="Y782" s="80"/>
      <c r="Z782" s="80"/>
      <c r="AA782" s="80"/>
      <c r="AB782" s="80"/>
      <c r="AC782" s="80"/>
      <c r="AD782" s="80"/>
      <c r="AE782" s="80"/>
      <c r="AF782" s="80"/>
      <c r="AG782" s="80"/>
    </row>
    <row r="783" spans="1:33" x14ac:dyDescent="0.2">
      <c r="A783" s="2"/>
      <c r="B783" s="80"/>
      <c r="C783" s="80"/>
      <c r="D783" s="80"/>
      <c r="E783" s="80"/>
      <c r="F783" s="80"/>
      <c r="G783" s="80"/>
      <c r="H783" s="80"/>
      <c r="I783" s="80"/>
      <c r="J783" s="80"/>
      <c r="K783" s="80"/>
      <c r="L783" s="2"/>
      <c r="M783" s="2"/>
      <c r="N783" s="2"/>
      <c r="O783" s="2"/>
      <c r="P783" s="2"/>
      <c r="Q783" s="2"/>
      <c r="R783" s="80"/>
      <c r="S783" s="80"/>
      <c r="T783" s="80"/>
      <c r="U783" s="80"/>
      <c r="V783" s="80"/>
      <c r="W783" s="80"/>
      <c r="X783" s="80"/>
      <c r="Y783" s="80"/>
      <c r="Z783" s="80"/>
      <c r="AA783" s="80"/>
      <c r="AB783" s="80"/>
      <c r="AC783" s="80"/>
      <c r="AD783" s="80"/>
      <c r="AE783" s="80"/>
      <c r="AF783" s="80"/>
      <c r="AG783" s="80"/>
    </row>
    <row r="784" spans="1:33" x14ac:dyDescent="0.2">
      <c r="A784" s="2"/>
      <c r="B784" s="80"/>
      <c r="C784" s="80"/>
      <c r="D784" s="80"/>
      <c r="E784" s="80"/>
      <c r="F784" s="80"/>
      <c r="G784" s="80"/>
      <c r="H784" s="80"/>
      <c r="I784" s="80"/>
      <c r="J784" s="80"/>
      <c r="K784" s="80"/>
      <c r="L784" s="2"/>
      <c r="M784" s="2"/>
      <c r="N784" s="2"/>
      <c r="O784" s="2"/>
      <c r="P784" s="2"/>
      <c r="Q784" s="2"/>
      <c r="R784" s="80"/>
      <c r="S784" s="80"/>
      <c r="T784" s="80"/>
      <c r="U784" s="80"/>
      <c r="V784" s="80"/>
      <c r="W784" s="80"/>
      <c r="X784" s="80"/>
      <c r="Y784" s="80"/>
      <c r="Z784" s="80"/>
      <c r="AA784" s="80"/>
      <c r="AB784" s="80"/>
      <c r="AC784" s="80"/>
      <c r="AD784" s="80"/>
      <c r="AE784" s="80"/>
      <c r="AF784" s="80"/>
      <c r="AG784" s="80"/>
    </row>
    <row r="785" spans="1:33" x14ac:dyDescent="0.2">
      <c r="A785" s="2"/>
      <c r="B785" s="80"/>
      <c r="C785" s="80"/>
      <c r="D785" s="80"/>
      <c r="E785" s="80"/>
      <c r="F785" s="80"/>
      <c r="G785" s="80"/>
      <c r="H785" s="80"/>
      <c r="I785" s="80"/>
      <c r="J785" s="80"/>
      <c r="K785" s="80"/>
      <c r="L785" s="2"/>
      <c r="M785" s="2"/>
      <c r="N785" s="2"/>
      <c r="O785" s="2"/>
      <c r="P785" s="2"/>
      <c r="Q785" s="2"/>
      <c r="R785" s="80"/>
      <c r="S785" s="80"/>
      <c r="T785" s="80"/>
      <c r="U785" s="80"/>
      <c r="V785" s="80"/>
      <c r="W785" s="80"/>
      <c r="X785" s="80"/>
      <c r="Y785" s="80"/>
      <c r="Z785" s="80"/>
      <c r="AA785" s="80"/>
      <c r="AB785" s="80"/>
      <c r="AC785" s="80"/>
      <c r="AD785" s="80"/>
      <c r="AE785" s="80"/>
      <c r="AF785" s="80"/>
      <c r="AG785" s="80"/>
    </row>
    <row r="786" spans="1:33" x14ac:dyDescent="0.2">
      <c r="A786" s="2"/>
      <c r="B786" s="80"/>
      <c r="C786" s="80"/>
      <c r="D786" s="80"/>
      <c r="E786" s="80"/>
      <c r="F786" s="80"/>
      <c r="G786" s="80"/>
      <c r="H786" s="80"/>
      <c r="I786" s="80"/>
      <c r="J786" s="80"/>
      <c r="K786" s="80"/>
      <c r="L786" s="2"/>
      <c r="M786" s="2"/>
      <c r="N786" s="2"/>
      <c r="O786" s="2"/>
      <c r="P786" s="2"/>
      <c r="Q786" s="2"/>
      <c r="R786" s="80"/>
      <c r="S786" s="80"/>
      <c r="T786" s="80"/>
      <c r="U786" s="80"/>
      <c r="V786" s="80"/>
      <c r="W786" s="80"/>
      <c r="X786" s="80"/>
      <c r="Y786" s="80"/>
      <c r="Z786" s="80"/>
      <c r="AA786" s="80"/>
      <c r="AB786" s="80"/>
      <c r="AC786" s="80"/>
      <c r="AD786" s="80"/>
      <c r="AE786" s="80"/>
      <c r="AF786" s="80"/>
      <c r="AG786" s="80"/>
    </row>
    <row r="787" spans="1:33" x14ac:dyDescent="0.2">
      <c r="A787" s="2"/>
      <c r="B787" s="80"/>
      <c r="C787" s="80"/>
      <c r="D787" s="80"/>
      <c r="E787" s="80"/>
      <c r="F787" s="80"/>
      <c r="G787" s="80"/>
      <c r="H787" s="80"/>
      <c r="I787" s="80"/>
      <c r="J787" s="80"/>
      <c r="K787" s="80"/>
      <c r="L787" s="2"/>
      <c r="M787" s="2"/>
      <c r="N787" s="2"/>
      <c r="O787" s="2"/>
      <c r="P787" s="2"/>
      <c r="Q787" s="2"/>
      <c r="R787" s="80"/>
      <c r="S787" s="80"/>
      <c r="T787" s="80"/>
      <c r="U787" s="80"/>
      <c r="V787" s="80"/>
      <c r="W787" s="80"/>
      <c r="X787" s="80"/>
      <c r="Y787" s="80"/>
      <c r="Z787" s="80"/>
      <c r="AA787" s="80"/>
      <c r="AB787" s="80"/>
      <c r="AC787" s="80"/>
      <c r="AD787" s="80"/>
      <c r="AE787" s="80"/>
      <c r="AF787" s="80"/>
      <c r="AG787" s="80"/>
    </row>
    <row r="788" spans="1:33" x14ac:dyDescent="0.2">
      <c r="A788" s="2"/>
      <c r="B788" s="80"/>
      <c r="C788" s="80"/>
      <c r="D788" s="80"/>
      <c r="E788" s="80"/>
      <c r="F788" s="80"/>
      <c r="G788" s="80"/>
      <c r="H788" s="80"/>
      <c r="I788" s="80"/>
      <c r="J788" s="80"/>
      <c r="K788" s="80"/>
      <c r="L788" s="2"/>
      <c r="M788" s="2"/>
      <c r="N788" s="2"/>
      <c r="O788" s="2"/>
      <c r="P788" s="2"/>
      <c r="Q788" s="2"/>
      <c r="R788" s="80"/>
      <c r="S788" s="80"/>
      <c r="T788" s="80"/>
      <c r="U788" s="80"/>
      <c r="V788" s="80"/>
      <c r="W788" s="80"/>
      <c r="X788" s="80"/>
      <c r="Y788" s="80"/>
      <c r="Z788" s="80"/>
      <c r="AA788" s="80"/>
      <c r="AB788" s="80"/>
      <c r="AC788" s="80"/>
      <c r="AD788" s="80"/>
      <c r="AE788" s="80"/>
      <c r="AF788" s="80"/>
      <c r="AG788" s="80"/>
    </row>
    <row r="789" spans="1:33" x14ac:dyDescent="0.2">
      <c r="A789" s="2"/>
      <c r="B789" s="80"/>
      <c r="C789" s="80"/>
      <c r="D789" s="80"/>
      <c r="E789" s="80"/>
      <c r="F789" s="80"/>
      <c r="G789" s="80"/>
      <c r="H789" s="80"/>
      <c r="I789" s="80"/>
      <c r="J789" s="80"/>
      <c r="K789" s="80"/>
      <c r="L789" s="2"/>
      <c r="M789" s="2"/>
      <c r="N789" s="2"/>
      <c r="O789" s="2"/>
      <c r="P789" s="2"/>
      <c r="Q789" s="2"/>
      <c r="R789" s="80"/>
      <c r="S789" s="80"/>
      <c r="T789" s="80"/>
      <c r="U789" s="80"/>
      <c r="V789" s="80"/>
      <c r="W789" s="80"/>
      <c r="X789" s="80"/>
      <c r="Y789" s="80"/>
      <c r="Z789" s="80"/>
      <c r="AA789" s="80"/>
      <c r="AB789" s="80"/>
      <c r="AC789" s="80"/>
      <c r="AD789" s="80"/>
      <c r="AE789" s="80"/>
      <c r="AF789" s="80"/>
      <c r="AG789" s="80"/>
    </row>
    <row r="790" spans="1:33" x14ac:dyDescent="0.2">
      <c r="A790" s="2"/>
      <c r="B790" s="80"/>
      <c r="C790" s="80"/>
      <c r="D790" s="80"/>
      <c r="E790" s="80"/>
      <c r="F790" s="80"/>
      <c r="G790" s="80"/>
      <c r="H790" s="80"/>
      <c r="I790" s="80"/>
      <c r="J790" s="80"/>
      <c r="K790" s="80"/>
      <c r="L790" s="2"/>
      <c r="M790" s="2"/>
      <c r="N790" s="2"/>
      <c r="O790" s="2"/>
      <c r="P790" s="2"/>
      <c r="Q790" s="2"/>
      <c r="R790" s="80"/>
      <c r="S790" s="80"/>
      <c r="T790" s="80"/>
      <c r="U790" s="80"/>
      <c r="V790" s="80"/>
      <c r="W790" s="80"/>
      <c r="X790" s="80"/>
      <c r="Y790" s="80"/>
      <c r="Z790" s="80"/>
      <c r="AA790" s="80"/>
      <c r="AB790" s="80"/>
      <c r="AC790" s="80"/>
      <c r="AD790" s="80"/>
      <c r="AE790" s="80"/>
      <c r="AF790" s="80"/>
      <c r="AG790" s="80"/>
    </row>
    <row r="791" spans="1:33" x14ac:dyDescent="0.2">
      <c r="A791" s="2"/>
      <c r="B791" s="80"/>
      <c r="C791" s="80"/>
      <c r="D791" s="80"/>
      <c r="E791" s="80"/>
      <c r="F791" s="80"/>
      <c r="G791" s="80"/>
      <c r="H791" s="80"/>
      <c r="I791" s="80"/>
      <c r="J791" s="80"/>
      <c r="K791" s="80"/>
      <c r="L791" s="2"/>
      <c r="M791" s="2"/>
      <c r="N791" s="2"/>
      <c r="O791" s="2"/>
      <c r="P791" s="2"/>
      <c r="Q791" s="2"/>
      <c r="R791" s="80"/>
      <c r="S791" s="80"/>
      <c r="T791" s="80"/>
      <c r="U791" s="80"/>
      <c r="V791" s="80"/>
      <c r="W791" s="80"/>
      <c r="X791" s="80"/>
      <c r="Y791" s="80"/>
      <c r="Z791" s="80"/>
      <c r="AA791" s="80"/>
      <c r="AB791" s="80"/>
      <c r="AC791" s="80"/>
      <c r="AD791" s="80"/>
      <c r="AE791" s="80"/>
      <c r="AF791" s="80"/>
      <c r="AG791" s="80"/>
    </row>
    <row r="792" spans="1:33" x14ac:dyDescent="0.2">
      <c r="A792" s="2"/>
      <c r="B792" s="80"/>
      <c r="C792" s="80"/>
      <c r="D792" s="80"/>
      <c r="E792" s="80"/>
      <c r="F792" s="80"/>
      <c r="G792" s="80"/>
      <c r="H792" s="80"/>
      <c r="I792" s="80"/>
      <c r="J792" s="80"/>
      <c r="K792" s="80"/>
      <c r="L792" s="2"/>
      <c r="M792" s="2"/>
      <c r="N792" s="2"/>
      <c r="O792" s="2"/>
      <c r="P792" s="2"/>
      <c r="Q792" s="2"/>
      <c r="R792" s="80"/>
      <c r="S792" s="80"/>
      <c r="T792" s="80"/>
      <c r="U792" s="80"/>
      <c r="V792" s="80"/>
      <c r="W792" s="80"/>
      <c r="X792" s="80"/>
      <c r="Y792" s="80"/>
      <c r="Z792" s="80"/>
      <c r="AA792" s="80"/>
      <c r="AB792" s="80"/>
      <c r="AC792" s="80"/>
      <c r="AD792" s="80"/>
      <c r="AE792" s="80"/>
      <c r="AF792" s="80"/>
      <c r="AG792" s="80"/>
    </row>
    <row r="793" spans="1:33" x14ac:dyDescent="0.2">
      <c r="A793" s="2"/>
      <c r="B793" s="80"/>
      <c r="C793" s="80"/>
      <c r="D793" s="80"/>
      <c r="E793" s="80"/>
      <c r="F793" s="80"/>
      <c r="G793" s="80"/>
      <c r="H793" s="80"/>
      <c r="I793" s="80"/>
      <c r="J793" s="80"/>
      <c r="K793" s="80"/>
      <c r="L793" s="2"/>
      <c r="M793" s="2"/>
      <c r="N793" s="2"/>
      <c r="O793" s="2"/>
      <c r="P793" s="2"/>
      <c r="Q793" s="2"/>
      <c r="R793" s="80"/>
      <c r="S793" s="80"/>
      <c r="T793" s="80"/>
      <c r="U793" s="80"/>
      <c r="V793" s="80"/>
      <c r="W793" s="80"/>
      <c r="X793" s="80"/>
      <c r="Y793" s="80"/>
      <c r="Z793" s="80"/>
      <c r="AA793" s="80"/>
      <c r="AB793" s="80"/>
      <c r="AC793" s="80"/>
      <c r="AD793" s="80"/>
      <c r="AE793" s="80"/>
      <c r="AF793" s="80"/>
      <c r="AG793" s="80"/>
    </row>
    <row r="794" spans="1:33" x14ac:dyDescent="0.2">
      <c r="A794" s="2"/>
      <c r="B794" s="80"/>
      <c r="C794" s="80"/>
      <c r="D794" s="80"/>
      <c r="E794" s="80"/>
      <c r="F794" s="80"/>
      <c r="G794" s="80"/>
      <c r="H794" s="80"/>
      <c r="I794" s="80"/>
      <c r="J794" s="80"/>
      <c r="K794" s="80"/>
      <c r="L794" s="2"/>
      <c r="M794" s="2"/>
      <c r="N794" s="2"/>
      <c r="O794" s="2"/>
      <c r="P794" s="2"/>
      <c r="Q794" s="2"/>
      <c r="R794" s="80"/>
      <c r="S794" s="80"/>
      <c r="T794" s="80"/>
      <c r="U794" s="80"/>
      <c r="V794" s="80"/>
      <c r="W794" s="80"/>
      <c r="X794" s="80"/>
      <c r="Y794" s="80"/>
      <c r="Z794" s="80"/>
      <c r="AA794" s="80"/>
      <c r="AB794" s="80"/>
      <c r="AC794" s="80"/>
      <c r="AD794" s="80"/>
      <c r="AE794" s="80"/>
      <c r="AF794" s="80"/>
      <c r="AG794" s="80"/>
    </row>
    <row r="795" spans="1:33" x14ac:dyDescent="0.2">
      <c r="A795" s="2"/>
      <c r="B795" s="80"/>
      <c r="C795" s="80"/>
      <c r="D795" s="80"/>
      <c r="E795" s="80"/>
      <c r="F795" s="80"/>
      <c r="G795" s="80"/>
      <c r="H795" s="80"/>
      <c r="I795" s="80"/>
      <c r="J795" s="80"/>
      <c r="K795" s="80"/>
      <c r="L795" s="2"/>
      <c r="M795" s="2"/>
      <c r="N795" s="2"/>
      <c r="O795" s="2"/>
      <c r="P795" s="2"/>
      <c r="Q795" s="2"/>
      <c r="R795" s="80"/>
      <c r="S795" s="80"/>
      <c r="T795" s="80"/>
      <c r="U795" s="80"/>
      <c r="V795" s="80"/>
      <c r="W795" s="80"/>
      <c r="X795" s="80"/>
      <c r="Y795" s="80"/>
      <c r="Z795" s="80"/>
      <c r="AA795" s="80"/>
      <c r="AB795" s="80"/>
      <c r="AC795" s="80"/>
      <c r="AD795" s="80"/>
      <c r="AE795" s="80"/>
      <c r="AF795" s="80"/>
      <c r="AG795" s="80"/>
    </row>
    <row r="796" spans="1:33" x14ac:dyDescent="0.2">
      <c r="A796" s="2"/>
      <c r="B796" s="80"/>
      <c r="C796" s="80"/>
      <c r="D796" s="80"/>
      <c r="E796" s="80"/>
      <c r="F796" s="80"/>
      <c r="G796" s="80"/>
      <c r="H796" s="80"/>
      <c r="I796" s="80"/>
      <c r="J796" s="80"/>
      <c r="K796" s="80"/>
      <c r="L796" s="2"/>
      <c r="M796" s="2"/>
      <c r="N796" s="2"/>
      <c r="O796" s="2"/>
      <c r="P796" s="2"/>
      <c r="Q796" s="2"/>
      <c r="R796" s="80"/>
      <c r="S796" s="80"/>
      <c r="T796" s="80"/>
      <c r="U796" s="80"/>
      <c r="V796" s="80"/>
      <c r="W796" s="80"/>
      <c r="X796" s="80"/>
      <c r="Y796" s="80"/>
      <c r="Z796" s="80"/>
      <c r="AA796" s="80"/>
      <c r="AB796" s="80"/>
      <c r="AC796" s="80"/>
      <c r="AD796" s="80"/>
      <c r="AE796" s="80"/>
      <c r="AF796" s="80"/>
      <c r="AG796" s="80"/>
    </row>
    <row r="797" spans="1:33" x14ac:dyDescent="0.2">
      <c r="A797" s="2"/>
      <c r="B797" s="80"/>
      <c r="C797" s="80"/>
      <c r="D797" s="80"/>
      <c r="E797" s="80"/>
      <c r="F797" s="80"/>
      <c r="G797" s="80"/>
      <c r="H797" s="80"/>
      <c r="I797" s="80"/>
      <c r="J797" s="80"/>
      <c r="K797" s="80"/>
      <c r="L797" s="2"/>
      <c r="M797" s="2"/>
      <c r="N797" s="2"/>
      <c r="O797" s="2"/>
      <c r="P797" s="2"/>
      <c r="Q797" s="2"/>
      <c r="R797" s="80"/>
      <c r="S797" s="80"/>
      <c r="T797" s="80"/>
      <c r="U797" s="80"/>
      <c r="V797" s="80"/>
      <c r="W797" s="80"/>
      <c r="X797" s="80"/>
      <c r="Y797" s="80"/>
      <c r="Z797" s="80"/>
      <c r="AA797" s="80"/>
      <c r="AB797" s="80"/>
      <c r="AC797" s="80"/>
      <c r="AD797" s="80"/>
      <c r="AE797" s="80"/>
      <c r="AF797" s="80"/>
      <c r="AG797" s="80"/>
    </row>
    <row r="798" spans="1:33" x14ac:dyDescent="0.2">
      <c r="A798" s="2"/>
      <c r="B798" s="80"/>
      <c r="C798" s="80"/>
      <c r="D798" s="80"/>
      <c r="E798" s="80"/>
      <c r="F798" s="80"/>
      <c r="G798" s="80"/>
      <c r="H798" s="80"/>
      <c r="I798" s="80"/>
      <c r="J798" s="80"/>
      <c r="K798" s="80"/>
      <c r="L798" s="2"/>
      <c r="M798" s="2"/>
      <c r="N798" s="2"/>
      <c r="O798" s="2"/>
      <c r="P798" s="2"/>
      <c r="Q798" s="2"/>
      <c r="R798" s="80"/>
      <c r="S798" s="80"/>
      <c r="T798" s="80"/>
      <c r="U798" s="80"/>
      <c r="V798" s="80"/>
      <c r="W798" s="80"/>
      <c r="X798" s="80"/>
      <c r="Y798" s="80"/>
      <c r="Z798" s="80"/>
      <c r="AA798" s="80"/>
      <c r="AB798" s="80"/>
      <c r="AC798" s="80"/>
      <c r="AD798" s="80"/>
      <c r="AE798" s="80"/>
      <c r="AF798" s="80"/>
      <c r="AG798" s="80"/>
    </row>
    <row r="799" spans="1:33" x14ac:dyDescent="0.2">
      <c r="A799" s="2"/>
      <c r="B799" s="80"/>
      <c r="C799" s="80"/>
      <c r="D799" s="80"/>
      <c r="E799" s="80"/>
      <c r="F799" s="80"/>
      <c r="G799" s="80"/>
      <c r="H799" s="80"/>
      <c r="I799" s="80"/>
      <c r="J799" s="80"/>
      <c r="K799" s="80"/>
      <c r="L799" s="2"/>
      <c r="M799" s="2"/>
      <c r="N799" s="2"/>
      <c r="O799" s="2"/>
      <c r="P799" s="2"/>
      <c r="Q799" s="2"/>
      <c r="R799" s="80"/>
      <c r="S799" s="80"/>
      <c r="T799" s="80"/>
      <c r="U799" s="80"/>
      <c r="V799" s="80"/>
      <c r="W799" s="80"/>
      <c r="X799" s="80"/>
      <c r="Y799" s="80"/>
      <c r="Z799" s="80"/>
      <c r="AA799" s="80"/>
      <c r="AB799" s="80"/>
      <c r="AC799" s="80"/>
      <c r="AD799" s="80"/>
      <c r="AE799" s="80"/>
      <c r="AF799" s="80"/>
      <c r="AG799" s="80"/>
    </row>
    <row r="800" spans="1:33" x14ac:dyDescent="0.2">
      <c r="A800" s="2"/>
      <c r="B800" s="80"/>
      <c r="C800" s="80"/>
      <c r="D800" s="80"/>
      <c r="E800" s="80"/>
      <c r="F800" s="80"/>
      <c r="G800" s="80"/>
      <c r="H800" s="80"/>
      <c r="I800" s="80"/>
      <c r="J800" s="80"/>
      <c r="K800" s="80"/>
      <c r="L800" s="2"/>
      <c r="M800" s="2"/>
      <c r="N800" s="2"/>
      <c r="O800" s="2"/>
      <c r="P800" s="2"/>
      <c r="Q800" s="2"/>
      <c r="R800" s="80"/>
      <c r="S800" s="80"/>
      <c r="T800" s="80"/>
      <c r="U800" s="80"/>
      <c r="V800" s="80"/>
      <c r="W800" s="80"/>
      <c r="X800" s="80"/>
      <c r="Y800" s="80"/>
      <c r="Z800" s="80"/>
      <c r="AA800" s="80"/>
      <c r="AB800" s="80"/>
      <c r="AC800" s="80"/>
      <c r="AD800" s="80"/>
      <c r="AE800" s="80"/>
      <c r="AF800" s="80"/>
      <c r="AG800" s="80"/>
    </row>
    <row r="801" spans="1:33" x14ac:dyDescent="0.2">
      <c r="A801" s="2"/>
      <c r="B801" s="80"/>
      <c r="C801" s="80"/>
      <c r="D801" s="80"/>
      <c r="E801" s="80"/>
      <c r="F801" s="80"/>
      <c r="G801" s="80"/>
      <c r="H801" s="80"/>
      <c r="I801" s="80"/>
      <c r="J801" s="80"/>
      <c r="K801" s="80"/>
      <c r="L801" s="2"/>
      <c r="M801" s="2"/>
      <c r="N801" s="2"/>
      <c r="O801" s="2"/>
      <c r="P801" s="2"/>
      <c r="Q801" s="2"/>
      <c r="R801" s="80"/>
      <c r="S801" s="80"/>
      <c r="T801" s="80"/>
      <c r="U801" s="80"/>
      <c r="V801" s="80"/>
      <c r="W801" s="80"/>
      <c r="X801" s="80"/>
      <c r="Y801" s="80"/>
      <c r="Z801" s="80"/>
      <c r="AA801" s="80"/>
      <c r="AB801" s="80"/>
      <c r="AC801" s="80"/>
      <c r="AD801" s="80"/>
      <c r="AE801" s="80"/>
      <c r="AF801" s="80"/>
      <c r="AG801" s="80"/>
    </row>
    <row r="802" spans="1:33" x14ac:dyDescent="0.2">
      <c r="A802" s="2"/>
      <c r="B802" s="80"/>
      <c r="C802" s="80"/>
      <c r="D802" s="80"/>
      <c r="E802" s="80"/>
      <c r="F802" s="80"/>
      <c r="G802" s="80"/>
      <c r="H802" s="80"/>
      <c r="I802" s="80"/>
      <c r="J802" s="80"/>
      <c r="K802" s="80"/>
      <c r="L802" s="2"/>
      <c r="M802" s="2"/>
      <c r="N802" s="2"/>
      <c r="O802" s="2"/>
      <c r="P802" s="2"/>
      <c r="Q802" s="2"/>
      <c r="R802" s="80"/>
      <c r="S802" s="80"/>
      <c r="T802" s="80"/>
      <c r="U802" s="80"/>
      <c r="V802" s="80"/>
      <c r="W802" s="80"/>
      <c r="X802" s="80"/>
      <c r="Y802" s="80"/>
      <c r="Z802" s="80"/>
      <c r="AA802" s="80"/>
      <c r="AB802" s="80"/>
      <c r="AC802" s="80"/>
      <c r="AD802" s="80"/>
      <c r="AE802" s="80"/>
      <c r="AF802" s="80"/>
      <c r="AG802" s="80"/>
    </row>
    <row r="803" spans="1:33" x14ac:dyDescent="0.2">
      <c r="A803" s="2"/>
      <c r="B803" s="80"/>
      <c r="C803" s="80"/>
      <c r="D803" s="80"/>
      <c r="E803" s="80"/>
      <c r="F803" s="80"/>
      <c r="G803" s="80"/>
      <c r="H803" s="80"/>
      <c r="I803" s="80"/>
      <c r="J803" s="80"/>
      <c r="K803" s="80"/>
      <c r="L803" s="2"/>
      <c r="M803" s="2"/>
      <c r="N803" s="2"/>
      <c r="O803" s="2"/>
      <c r="P803" s="2"/>
      <c r="Q803" s="2"/>
      <c r="R803" s="80"/>
      <c r="S803" s="80"/>
      <c r="T803" s="80"/>
      <c r="U803" s="80"/>
      <c r="V803" s="80"/>
      <c r="W803" s="80"/>
      <c r="X803" s="80"/>
      <c r="Y803" s="80"/>
      <c r="Z803" s="80"/>
      <c r="AA803" s="80"/>
      <c r="AB803" s="80"/>
      <c r="AC803" s="80"/>
      <c r="AD803" s="80"/>
      <c r="AE803" s="80"/>
      <c r="AF803" s="80"/>
      <c r="AG803" s="80"/>
    </row>
    <row r="804" spans="1:33" x14ac:dyDescent="0.2">
      <c r="A804" s="2"/>
      <c r="B804" s="80"/>
      <c r="C804" s="80"/>
      <c r="D804" s="80"/>
      <c r="E804" s="80"/>
      <c r="F804" s="80"/>
      <c r="G804" s="80"/>
      <c r="H804" s="80"/>
      <c r="I804" s="80"/>
      <c r="J804" s="80"/>
      <c r="K804" s="80"/>
      <c r="L804" s="2"/>
      <c r="M804" s="2"/>
      <c r="N804" s="2"/>
      <c r="O804" s="2"/>
      <c r="P804" s="2"/>
      <c r="Q804" s="2"/>
      <c r="R804" s="80"/>
      <c r="S804" s="80"/>
      <c r="T804" s="80"/>
      <c r="U804" s="80"/>
      <c r="V804" s="80"/>
      <c r="W804" s="80"/>
      <c r="X804" s="80"/>
      <c r="Y804" s="80"/>
      <c r="Z804" s="80"/>
      <c r="AA804" s="80"/>
      <c r="AB804" s="80"/>
      <c r="AC804" s="80"/>
      <c r="AD804" s="80"/>
      <c r="AE804" s="80"/>
      <c r="AF804" s="80"/>
      <c r="AG804" s="80"/>
    </row>
    <row r="805" spans="1:33" x14ac:dyDescent="0.2">
      <c r="A805" s="2"/>
      <c r="B805" s="80"/>
      <c r="C805" s="80"/>
      <c r="D805" s="80"/>
      <c r="E805" s="80"/>
      <c r="F805" s="80"/>
      <c r="G805" s="80"/>
      <c r="H805" s="80"/>
      <c r="I805" s="80"/>
      <c r="J805" s="80"/>
      <c r="K805" s="80"/>
      <c r="L805" s="2"/>
      <c r="M805" s="2"/>
      <c r="N805" s="2"/>
      <c r="O805" s="2"/>
      <c r="P805" s="2"/>
      <c r="Q805" s="2"/>
      <c r="R805" s="80"/>
      <c r="S805" s="80"/>
      <c r="T805" s="80"/>
      <c r="U805" s="80"/>
      <c r="V805" s="80"/>
      <c r="W805" s="80"/>
      <c r="X805" s="80"/>
      <c r="Y805" s="80"/>
      <c r="Z805" s="80"/>
      <c r="AA805" s="80"/>
      <c r="AB805" s="80"/>
      <c r="AC805" s="80"/>
      <c r="AD805" s="80"/>
      <c r="AE805" s="80"/>
      <c r="AF805" s="80"/>
      <c r="AG805" s="80"/>
    </row>
    <row r="806" spans="1:33" x14ac:dyDescent="0.2">
      <c r="A806" s="2"/>
      <c r="B806" s="80"/>
      <c r="C806" s="80"/>
      <c r="D806" s="80"/>
      <c r="E806" s="80"/>
      <c r="F806" s="80"/>
      <c r="G806" s="80"/>
      <c r="H806" s="80"/>
      <c r="I806" s="80"/>
      <c r="J806" s="80"/>
      <c r="K806" s="80"/>
      <c r="L806" s="2"/>
      <c r="M806" s="2"/>
      <c r="N806" s="2"/>
      <c r="O806" s="2"/>
      <c r="P806" s="2"/>
      <c r="Q806" s="2"/>
      <c r="R806" s="80"/>
      <c r="S806" s="80"/>
      <c r="T806" s="80"/>
      <c r="U806" s="80"/>
      <c r="V806" s="80"/>
      <c r="W806" s="80"/>
      <c r="X806" s="80"/>
      <c r="Y806" s="80"/>
      <c r="Z806" s="80"/>
      <c r="AA806" s="80"/>
      <c r="AB806" s="80"/>
      <c r="AC806" s="80"/>
      <c r="AD806" s="80"/>
      <c r="AE806" s="80"/>
      <c r="AF806" s="80"/>
      <c r="AG806" s="80"/>
    </row>
    <row r="807" spans="1:33" x14ac:dyDescent="0.2">
      <c r="A807" s="2"/>
      <c r="B807" s="80"/>
      <c r="C807" s="80"/>
      <c r="D807" s="80"/>
      <c r="E807" s="80"/>
      <c r="F807" s="80"/>
      <c r="G807" s="80"/>
      <c r="H807" s="80"/>
      <c r="I807" s="80"/>
      <c r="J807" s="80"/>
      <c r="K807" s="80"/>
      <c r="L807" s="2"/>
      <c r="M807" s="2"/>
      <c r="N807" s="2"/>
      <c r="O807" s="2"/>
      <c r="P807" s="2"/>
      <c r="Q807" s="2"/>
      <c r="R807" s="80"/>
      <c r="S807" s="80"/>
      <c r="T807" s="80"/>
      <c r="U807" s="80"/>
      <c r="V807" s="80"/>
      <c r="W807" s="80"/>
      <c r="X807" s="80"/>
      <c r="Y807" s="80"/>
      <c r="Z807" s="80"/>
      <c r="AA807" s="80"/>
      <c r="AB807" s="80"/>
      <c r="AC807" s="80"/>
      <c r="AD807" s="80"/>
      <c r="AE807" s="80"/>
      <c r="AF807" s="80"/>
      <c r="AG807" s="80"/>
    </row>
    <row r="808" spans="1:33" x14ac:dyDescent="0.2">
      <c r="A808" s="2"/>
      <c r="B808" s="80"/>
      <c r="C808" s="80"/>
      <c r="D808" s="80"/>
      <c r="E808" s="80"/>
      <c r="F808" s="80"/>
      <c r="G808" s="80"/>
      <c r="H808" s="80"/>
      <c r="I808" s="80"/>
      <c r="J808" s="80"/>
      <c r="K808" s="80"/>
      <c r="L808" s="2"/>
      <c r="M808" s="2"/>
      <c r="N808" s="2"/>
      <c r="O808" s="2"/>
      <c r="P808" s="2"/>
      <c r="Q808" s="2"/>
      <c r="R808" s="80"/>
      <c r="S808" s="80"/>
      <c r="T808" s="80"/>
      <c r="U808" s="80"/>
      <c r="V808" s="80"/>
      <c r="W808" s="80"/>
      <c r="X808" s="80"/>
      <c r="Y808" s="80"/>
      <c r="Z808" s="80"/>
      <c r="AA808" s="80"/>
      <c r="AB808" s="80"/>
      <c r="AC808" s="80"/>
      <c r="AD808" s="80"/>
      <c r="AE808" s="80"/>
      <c r="AF808" s="80"/>
      <c r="AG808" s="80"/>
    </row>
    <row r="809" spans="1:33" x14ac:dyDescent="0.2">
      <c r="A809" s="2"/>
      <c r="B809" s="80"/>
      <c r="C809" s="80"/>
      <c r="D809" s="80"/>
      <c r="E809" s="80"/>
      <c r="F809" s="80"/>
      <c r="G809" s="80"/>
      <c r="H809" s="80"/>
      <c r="I809" s="80"/>
      <c r="J809" s="80"/>
      <c r="K809" s="80"/>
      <c r="L809" s="2"/>
      <c r="M809" s="2"/>
      <c r="N809" s="2"/>
      <c r="O809" s="2"/>
      <c r="P809" s="2"/>
      <c r="Q809" s="2"/>
      <c r="R809" s="80"/>
      <c r="S809" s="80"/>
      <c r="T809" s="80"/>
      <c r="U809" s="80"/>
      <c r="V809" s="80"/>
      <c r="W809" s="80"/>
      <c r="X809" s="80"/>
      <c r="Y809" s="80"/>
      <c r="Z809" s="80"/>
      <c r="AA809" s="80"/>
      <c r="AB809" s="80"/>
      <c r="AC809" s="80"/>
      <c r="AD809" s="80"/>
      <c r="AE809" s="80"/>
      <c r="AF809" s="80"/>
      <c r="AG809" s="80"/>
    </row>
    <row r="810" spans="1:33" x14ac:dyDescent="0.2">
      <c r="A810" s="2"/>
      <c r="B810" s="80"/>
      <c r="C810" s="80"/>
      <c r="D810" s="80"/>
      <c r="E810" s="80"/>
      <c r="F810" s="80"/>
      <c r="G810" s="80"/>
      <c r="H810" s="80"/>
      <c r="I810" s="80"/>
      <c r="J810" s="80"/>
      <c r="K810" s="80"/>
      <c r="L810" s="2"/>
      <c r="M810" s="2"/>
      <c r="N810" s="2"/>
      <c r="O810" s="2"/>
      <c r="P810" s="2"/>
      <c r="Q810" s="2"/>
      <c r="R810" s="80"/>
      <c r="S810" s="80"/>
      <c r="T810" s="80"/>
      <c r="U810" s="80"/>
      <c r="V810" s="80"/>
      <c r="W810" s="80"/>
      <c r="X810" s="80"/>
      <c r="Y810" s="80"/>
      <c r="Z810" s="80"/>
      <c r="AA810" s="80"/>
      <c r="AB810" s="80"/>
      <c r="AC810" s="80"/>
      <c r="AD810" s="80"/>
      <c r="AE810" s="80"/>
      <c r="AF810" s="80"/>
      <c r="AG810" s="80"/>
    </row>
    <row r="811" spans="1:33" x14ac:dyDescent="0.2">
      <c r="A811" s="2"/>
      <c r="B811" s="80"/>
      <c r="C811" s="80"/>
      <c r="D811" s="80"/>
      <c r="E811" s="80"/>
      <c r="F811" s="80"/>
      <c r="G811" s="80"/>
      <c r="H811" s="80"/>
      <c r="I811" s="80"/>
      <c r="J811" s="80"/>
      <c r="K811" s="80"/>
      <c r="L811" s="2"/>
      <c r="M811" s="2"/>
      <c r="N811" s="2"/>
      <c r="O811" s="2"/>
      <c r="P811" s="2"/>
      <c r="Q811" s="2"/>
      <c r="R811" s="80"/>
      <c r="S811" s="80"/>
      <c r="T811" s="80"/>
      <c r="U811" s="80"/>
      <c r="V811" s="80"/>
      <c r="W811" s="80"/>
      <c r="X811" s="80"/>
      <c r="Y811" s="80"/>
      <c r="Z811" s="80"/>
      <c r="AA811" s="80"/>
      <c r="AB811" s="80"/>
      <c r="AC811" s="80"/>
      <c r="AD811" s="80"/>
      <c r="AE811" s="80"/>
      <c r="AF811" s="80"/>
      <c r="AG811" s="80"/>
    </row>
    <row r="812" spans="1:33" x14ac:dyDescent="0.2">
      <c r="A812" s="2"/>
      <c r="B812" s="80"/>
      <c r="C812" s="80"/>
      <c r="D812" s="80"/>
      <c r="E812" s="80"/>
      <c r="F812" s="80"/>
      <c r="G812" s="80"/>
      <c r="H812" s="80"/>
      <c r="I812" s="80"/>
      <c r="J812" s="80"/>
      <c r="K812" s="80"/>
      <c r="L812" s="2"/>
      <c r="M812" s="2"/>
      <c r="N812" s="2"/>
      <c r="O812" s="2"/>
      <c r="P812" s="2"/>
      <c r="Q812" s="2"/>
      <c r="R812" s="80"/>
      <c r="S812" s="80"/>
      <c r="T812" s="80"/>
      <c r="U812" s="80"/>
      <c r="V812" s="80"/>
      <c r="W812" s="80"/>
      <c r="X812" s="80"/>
      <c r="Y812" s="80"/>
      <c r="Z812" s="80"/>
      <c r="AA812" s="80"/>
      <c r="AB812" s="80"/>
      <c r="AC812" s="80"/>
      <c r="AD812" s="80"/>
      <c r="AE812" s="80"/>
      <c r="AF812" s="80"/>
      <c r="AG812" s="80"/>
    </row>
    <row r="813" spans="1:33" x14ac:dyDescent="0.2">
      <c r="A813" s="2"/>
      <c r="B813" s="80"/>
      <c r="C813" s="80"/>
      <c r="D813" s="80"/>
      <c r="E813" s="80"/>
      <c r="F813" s="80"/>
      <c r="G813" s="80"/>
      <c r="H813" s="80"/>
      <c r="I813" s="80"/>
      <c r="J813" s="80"/>
      <c r="K813" s="80"/>
      <c r="L813" s="2"/>
      <c r="M813" s="2"/>
      <c r="N813" s="2"/>
      <c r="O813" s="2"/>
      <c r="P813" s="2"/>
      <c r="Q813" s="2"/>
      <c r="R813" s="80"/>
      <c r="S813" s="80"/>
      <c r="T813" s="80"/>
      <c r="U813" s="80"/>
      <c r="V813" s="80"/>
      <c r="W813" s="80"/>
      <c r="X813" s="80"/>
      <c r="Y813" s="80"/>
      <c r="Z813" s="80"/>
      <c r="AA813" s="80"/>
      <c r="AB813" s="80"/>
      <c r="AC813" s="80"/>
      <c r="AD813" s="80"/>
      <c r="AE813" s="80"/>
      <c r="AF813" s="80"/>
      <c r="AG813" s="80"/>
    </row>
    <row r="814" spans="1:33" x14ac:dyDescent="0.2">
      <c r="A814" s="2"/>
      <c r="B814" s="80"/>
      <c r="C814" s="80"/>
      <c r="D814" s="80"/>
      <c r="E814" s="80"/>
      <c r="F814" s="80"/>
      <c r="G814" s="80"/>
      <c r="H814" s="80"/>
      <c r="I814" s="80"/>
      <c r="J814" s="80"/>
      <c r="K814" s="80"/>
      <c r="L814" s="2"/>
      <c r="M814" s="2"/>
      <c r="N814" s="2"/>
      <c r="O814" s="2"/>
      <c r="P814" s="2"/>
      <c r="Q814" s="2"/>
      <c r="R814" s="80"/>
      <c r="S814" s="80"/>
      <c r="T814" s="80"/>
      <c r="U814" s="80"/>
      <c r="V814" s="80"/>
      <c r="W814" s="80"/>
      <c r="X814" s="80"/>
      <c r="Y814" s="80"/>
      <c r="Z814" s="80"/>
      <c r="AA814" s="80"/>
      <c r="AB814" s="80"/>
      <c r="AC814" s="80"/>
      <c r="AD814" s="80"/>
      <c r="AE814" s="80"/>
      <c r="AF814" s="80"/>
      <c r="AG814" s="80"/>
    </row>
    <row r="815" spans="1:33" x14ac:dyDescent="0.2">
      <c r="A815" s="2"/>
      <c r="B815" s="80"/>
      <c r="C815" s="80"/>
      <c r="D815" s="80"/>
      <c r="E815" s="80"/>
      <c r="F815" s="80"/>
      <c r="G815" s="80"/>
      <c r="H815" s="80"/>
      <c r="I815" s="80"/>
      <c r="J815" s="80"/>
      <c r="K815" s="80"/>
      <c r="L815" s="2"/>
      <c r="M815" s="2"/>
      <c r="N815" s="2"/>
      <c r="O815" s="2"/>
      <c r="P815" s="2"/>
      <c r="Q815" s="2"/>
      <c r="R815" s="80"/>
      <c r="S815" s="80"/>
      <c r="T815" s="80"/>
      <c r="U815" s="80"/>
      <c r="V815" s="80"/>
      <c r="W815" s="80"/>
      <c r="X815" s="80"/>
      <c r="Y815" s="80"/>
      <c r="Z815" s="80"/>
      <c r="AA815" s="80"/>
      <c r="AB815" s="80"/>
      <c r="AC815" s="80"/>
      <c r="AD815" s="80"/>
      <c r="AE815" s="80"/>
      <c r="AF815" s="80"/>
      <c r="AG815" s="80"/>
    </row>
    <row r="816" spans="1:33" x14ac:dyDescent="0.2">
      <c r="A816" s="2"/>
      <c r="B816" s="80"/>
      <c r="C816" s="80"/>
      <c r="D816" s="80"/>
      <c r="E816" s="80"/>
      <c r="F816" s="80"/>
      <c r="G816" s="80"/>
      <c r="H816" s="80"/>
      <c r="I816" s="80"/>
      <c r="J816" s="80"/>
      <c r="K816" s="80"/>
      <c r="L816" s="2"/>
      <c r="M816" s="2"/>
      <c r="N816" s="2"/>
      <c r="O816" s="2"/>
      <c r="P816" s="2"/>
      <c r="Q816" s="2"/>
      <c r="R816" s="80"/>
      <c r="S816" s="80"/>
      <c r="T816" s="80"/>
      <c r="U816" s="80"/>
      <c r="V816" s="80"/>
      <c r="W816" s="80"/>
      <c r="X816" s="80"/>
      <c r="Y816" s="80"/>
      <c r="Z816" s="80"/>
      <c r="AA816" s="80"/>
      <c r="AB816" s="80"/>
      <c r="AC816" s="80"/>
      <c r="AD816" s="80"/>
      <c r="AE816" s="80"/>
      <c r="AF816" s="80"/>
      <c r="AG816" s="80"/>
    </row>
    <row r="817" spans="1:33" x14ac:dyDescent="0.2">
      <c r="A817" s="2"/>
      <c r="B817" s="80"/>
      <c r="C817" s="80"/>
      <c r="D817" s="80"/>
      <c r="E817" s="80"/>
      <c r="F817" s="80"/>
      <c r="G817" s="80"/>
      <c r="H817" s="80"/>
      <c r="I817" s="80"/>
      <c r="J817" s="80"/>
      <c r="K817" s="80"/>
      <c r="L817" s="2"/>
      <c r="M817" s="2"/>
      <c r="N817" s="2"/>
      <c r="O817" s="2"/>
      <c r="P817" s="2"/>
      <c r="Q817" s="2"/>
      <c r="R817" s="80"/>
      <c r="S817" s="80"/>
      <c r="T817" s="80"/>
      <c r="U817" s="80"/>
      <c r="V817" s="80"/>
      <c r="W817" s="80"/>
      <c r="X817" s="80"/>
      <c r="Y817" s="80"/>
      <c r="Z817" s="80"/>
      <c r="AA817" s="80"/>
      <c r="AB817" s="80"/>
      <c r="AC817" s="80"/>
      <c r="AD817" s="80"/>
      <c r="AE817" s="80"/>
      <c r="AF817" s="80"/>
      <c r="AG817" s="80"/>
    </row>
    <row r="818" spans="1:33" x14ac:dyDescent="0.2">
      <c r="A818" s="2"/>
      <c r="B818" s="80"/>
      <c r="C818" s="80"/>
      <c r="D818" s="80"/>
      <c r="E818" s="80"/>
      <c r="F818" s="80"/>
      <c r="G818" s="80"/>
      <c r="H818" s="80"/>
      <c r="I818" s="80"/>
      <c r="J818" s="80"/>
      <c r="K818" s="80"/>
      <c r="L818" s="2"/>
      <c r="M818" s="2"/>
      <c r="N818" s="2"/>
      <c r="O818" s="2"/>
      <c r="P818" s="2"/>
      <c r="Q818" s="2"/>
      <c r="R818" s="80"/>
      <c r="S818" s="80"/>
      <c r="T818" s="80"/>
      <c r="U818" s="80"/>
      <c r="V818" s="80"/>
      <c r="W818" s="80"/>
      <c r="X818" s="80"/>
      <c r="Y818" s="80"/>
      <c r="Z818" s="80"/>
      <c r="AA818" s="80"/>
      <c r="AB818" s="80"/>
      <c r="AC818" s="80"/>
      <c r="AD818" s="80"/>
      <c r="AE818" s="80"/>
      <c r="AF818" s="80"/>
      <c r="AG818" s="80"/>
    </row>
    <row r="819" spans="1:33" x14ac:dyDescent="0.2">
      <c r="A819" s="2"/>
      <c r="B819" s="80"/>
      <c r="C819" s="80"/>
      <c r="D819" s="80"/>
      <c r="E819" s="80"/>
      <c r="F819" s="80"/>
      <c r="G819" s="80"/>
      <c r="H819" s="80"/>
      <c r="I819" s="80"/>
      <c r="J819" s="80"/>
      <c r="K819" s="80"/>
      <c r="L819" s="2"/>
      <c r="M819" s="2"/>
      <c r="N819" s="2"/>
      <c r="O819" s="2"/>
      <c r="P819" s="2"/>
      <c r="Q819" s="2"/>
      <c r="R819" s="80"/>
      <c r="S819" s="80"/>
      <c r="T819" s="80"/>
      <c r="U819" s="80"/>
      <c r="V819" s="80"/>
      <c r="W819" s="80"/>
      <c r="X819" s="80"/>
      <c r="Y819" s="80"/>
      <c r="Z819" s="80"/>
      <c r="AA819" s="80"/>
      <c r="AB819" s="80"/>
      <c r="AC819" s="80"/>
      <c r="AD819" s="80"/>
      <c r="AE819" s="80"/>
      <c r="AF819" s="80"/>
      <c r="AG819" s="80"/>
    </row>
    <row r="820" spans="1:33" x14ac:dyDescent="0.2">
      <c r="A820" s="2"/>
      <c r="B820" s="80"/>
      <c r="C820" s="80"/>
      <c r="D820" s="80"/>
      <c r="E820" s="80"/>
      <c r="F820" s="80"/>
      <c r="G820" s="80"/>
      <c r="H820" s="80"/>
      <c r="I820" s="80"/>
      <c r="J820" s="80"/>
      <c r="K820" s="80"/>
      <c r="L820" s="2"/>
      <c r="M820" s="2"/>
      <c r="N820" s="2"/>
      <c r="O820" s="2"/>
      <c r="P820" s="2"/>
      <c r="Q820" s="2"/>
      <c r="R820" s="80"/>
      <c r="S820" s="80"/>
      <c r="T820" s="80"/>
      <c r="U820" s="80"/>
      <c r="V820" s="80"/>
      <c r="W820" s="80"/>
      <c r="X820" s="80"/>
      <c r="Y820" s="80"/>
      <c r="Z820" s="80"/>
      <c r="AA820" s="80"/>
      <c r="AB820" s="80"/>
      <c r="AC820" s="80"/>
      <c r="AD820" s="80"/>
      <c r="AE820" s="80"/>
      <c r="AF820" s="80"/>
      <c r="AG820" s="80"/>
    </row>
    <row r="821" spans="1:33" x14ac:dyDescent="0.2">
      <c r="A821" s="2"/>
      <c r="B821" s="80"/>
      <c r="C821" s="80"/>
      <c r="D821" s="80"/>
      <c r="E821" s="80"/>
      <c r="F821" s="80"/>
      <c r="G821" s="80"/>
      <c r="H821" s="80"/>
      <c r="I821" s="80"/>
      <c r="J821" s="80"/>
      <c r="K821" s="80"/>
      <c r="L821" s="2"/>
      <c r="M821" s="2"/>
      <c r="N821" s="2"/>
      <c r="O821" s="2"/>
      <c r="P821" s="2"/>
      <c r="Q821" s="2"/>
      <c r="R821" s="80"/>
      <c r="S821" s="80"/>
      <c r="T821" s="80"/>
      <c r="U821" s="80"/>
      <c r="V821" s="80"/>
      <c r="W821" s="80"/>
      <c r="X821" s="80"/>
      <c r="Y821" s="80"/>
      <c r="Z821" s="80"/>
      <c r="AA821" s="80"/>
      <c r="AB821" s="80"/>
      <c r="AC821" s="80"/>
      <c r="AD821" s="80"/>
      <c r="AE821" s="80"/>
      <c r="AF821" s="80"/>
      <c r="AG821" s="80"/>
    </row>
    <row r="822" spans="1:33" x14ac:dyDescent="0.2">
      <c r="A822" s="2"/>
      <c r="B822" s="80"/>
      <c r="C822" s="80"/>
      <c r="D822" s="80"/>
      <c r="E822" s="80"/>
      <c r="F822" s="80"/>
      <c r="G822" s="80"/>
      <c r="H822" s="80"/>
      <c r="I822" s="80"/>
      <c r="J822" s="80"/>
      <c r="K822" s="80"/>
      <c r="L822" s="2"/>
      <c r="M822" s="2"/>
      <c r="N822" s="2"/>
      <c r="O822" s="2"/>
      <c r="P822" s="2"/>
      <c r="Q822" s="2"/>
      <c r="R822" s="80"/>
      <c r="S822" s="80"/>
      <c r="T822" s="80"/>
      <c r="U822" s="80"/>
      <c r="V822" s="80"/>
      <c r="W822" s="80"/>
      <c r="X822" s="80"/>
      <c r="Y822" s="80"/>
      <c r="Z822" s="80"/>
      <c r="AA822" s="80"/>
      <c r="AB822" s="80"/>
      <c r="AC822" s="80"/>
      <c r="AD822" s="80"/>
      <c r="AE822" s="80"/>
      <c r="AF822" s="80"/>
      <c r="AG822" s="80"/>
    </row>
    <row r="823" spans="1:33" x14ac:dyDescent="0.2">
      <c r="A823" s="2"/>
      <c r="B823" s="80"/>
      <c r="C823" s="80"/>
      <c r="D823" s="80"/>
      <c r="E823" s="80"/>
      <c r="F823" s="80"/>
      <c r="G823" s="80"/>
      <c r="H823" s="80"/>
      <c r="I823" s="80"/>
      <c r="J823" s="80"/>
      <c r="K823" s="80"/>
      <c r="L823" s="2"/>
      <c r="M823" s="2"/>
      <c r="N823" s="2"/>
      <c r="O823" s="2"/>
      <c r="P823" s="2"/>
      <c r="Q823" s="2"/>
      <c r="R823" s="80"/>
      <c r="S823" s="80"/>
      <c r="T823" s="80"/>
      <c r="U823" s="80"/>
      <c r="V823" s="80"/>
      <c r="W823" s="80"/>
      <c r="X823" s="80"/>
      <c r="Y823" s="80"/>
      <c r="Z823" s="80"/>
      <c r="AA823" s="80"/>
      <c r="AB823" s="80"/>
      <c r="AC823" s="80"/>
      <c r="AD823" s="80"/>
      <c r="AE823" s="80"/>
      <c r="AF823" s="80"/>
      <c r="AG823" s="80"/>
    </row>
    <row r="824" spans="1:33" x14ac:dyDescent="0.2">
      <c r="A824" s="2"/>
      <c r="B824" s="80"/>
      <c r="C824" s="80"/>
      <c r="D824" s="80"/>
      <c r="E824" s="80"/>
      <c r="F824" s="80"/>
      <c r="G824" s="80"/>
      <c r="H824" s="80"/>
      <c r="I824" s="80"/>
      <c r="J824" s="80"/>
      <c r="K824" s="80"/>
      <c r="L824" s="2"/>
      <c r="M824" s="2"/>
      <c r="N824" s="2"/>
      <c r="O824" s="2"/>
      <c r="P824" s="2"/>
      <c r="Q824" s="2"/>
      <c r="R824" s="80"/>
      <c r="S824" s="80"/>
      <c r="T824" s="80"/>
      <c r="U824" s="80"/>
      <c r="V824" s="80"/>
      <c r="W824" s="80"/>
      <c r="X824" s="80"/>
      <c r="Y824" s="80"/>
      <c r="Z824" s="80"/>
      <c r="AA824" s="80"/>
      <c r="AB824" s="80"/>
      <c r="AC824" s="80"/>
      <c r="AD824" s="80"/>
      <c r="AE824" s="80"/>
      <c r="AF824" s="80"/>
      <c r="AG824" s="80"/>
    </row>
    <row r="825" spans="1:33" x14ac:dyDescent="0.2">
      <c r="A825" s="2"/>
      <c r="B825" s="80"/>
      <c r="C825" s="80"/>
      <c r="D825" s="80"/>
      <c r="E825" s="80"/>
      <c r="F825" s="80"/>
      <c r="G825" s="80"/>
      <c r="H825" s="80"/>
      <c r="I825" s="80"/>
      <c r="J825" s="80"/>
      <c r="K825" s="80"/>
      <c r="L825" s="2"/>
      <c r="M825" s="2"/>
      <c r="N825" s="2"/>
      <c r="O825" s="2"/>
      <c r="P825" s="2"/>
      <c r="Q825" s="2"/>
      <c r="R825" s="80"/>
      <c r="S825" s="80"/>
      <c r="T825" s="80"/>
      <c r="U825" s="80"/>
      <c r="V825" s="80"/>
      <c r="W825" s="80"/>
      <c r="X825" s="80"/>
      <c r="Y825" s="80"/>
      <c r="Z825" s="80"/>
      <c r="AA825" s="80"/>
      <c r="AB825" s="80"/>
      <c r="AC825" s="80"/>
      <c r="AD825" s="80"/>
      <c r="AE825" s="80"/>
      <c r="AF825" s="80"/>
      <c r="AG825" s="80"/>
    </row>
    <row r="826" spans="1:33" x14ac:dyDescent="0.2">
      <c r="A826" s="2"/>
      <c r="B826" s="80"/>
      <c r="C826" s="80"/>
      <c r="D826" s="80"/>
      <c r="E826" s="80"/>
      <c r="F826" s="80"/>
      <c r="G826" s="80"/>
      <c r="H826" s="80"/>
      <c r="I826" s="80"/>
      <c r="J826" s="80"/>
      <c r="K826" s="80"/>
      <c r="L826" s="2"/>
      <c r="M826" s="2"/>
      <c r="N826" s="2"/>
      <c r="O826" s="2"/>
      <c r="P826" s="2"/>
      <c r="Q826" s="2"/>
      <c r="R826" s="80"/>
      <c r="S826" s="80"/>
      <c r="T826" s="80"/>
      <c r="U826" s="80"/>
      <c r="V826" s="80"/>
      <c r="W826" s="80"/>
      <c r="X826" s="80"/>
      <c r="Y826" s="80"/>
      <c r="Z826" s="80"/>
      <c r="AA826" s="80"/>
      <c r="AB826" s="80"/>
      <c r="AC826" s="80"/>
      <c r="AD826" s="80"/>
      <c r="AE826" s="80"/>
      <c r="AF826" s="80"/>
      <c r="AG826" s="80"/>
    </row>
    <row r="827" spans="1:33" x14ac:dyDescent="0.2">
      <c r="A827" s="2"/>
      <c r="B827" s="80"/>
      <c r="C827" s="80"/>
      <c r="D827" s="80"/>
      <c r="E827" s="80"/>
      <c r="F827" s="80"/>
      <c r="G827" s="80"/>
      <c r="H827" s="80"/>
      <c r="I827" s="80"/>
      <c r="J827" s="80"/>
      <c r="K827" s="80"/>
      <c r="L827" s="2"/>
      <c r="M827" s="2"/>
      <c r="N827" s="2"/>
      <c r="O827" s="2"/>
      <c r="P827" s="2"/>
      <c r="Q827" s="2"/>
      <c r="R827" s="80"/>
      <c r="S827" s="80"/>
      <c r="T827" s="80"/>
      <c r="U827" s="80"/>
      <c r="V827" s="80"/>
      <c r="W827" s="80"/>
      <c r="X827" s="80"/>
      <c r="Y827" s="80"/>
      <c r="Z827" s="80"/>
      <c r="AA827" s="80"/>
      <c r="AB827" s="80"/>
      <c r="AC827" s="80"/>
      <c r="AD827" s="80"/>
      <c r="AE827" s="80"/>
      <c r="AF827" s="80"/>
      <c r="AG827" s="80"/>
    </row>
    <row r="828" spans="1:33" x14ac:dyDescent="0.2">
      <c r="A828" s="2"/>
      <c r="B828" s="80"/>
      <c r="C828" s="80"/>
      <c r="D828" s="80"/>
      <c r="E828" s="80"/>
      <c r="F828" s="80"/>
      <c r="G828" s="80"/>
      <c r="H828" s="80"/>
      <c r="I828" s="80"/>
      <c r="J828" s="80"/>
      <c r="K828" s="80"/>
      <c r="L828" s="2"/>
      <c r="M828" s="2"/>
      <c r="N828" s="2"/>
      <c r="O828" s="2"/>
      <c r="P828" s="2"/>
      <c r="Q828" s="2"/>
      <c r="R828" s="80"/>
      <c r="S828" s="80"/>
      <c r="T828" s="80"/>
      <c r="U828" s="80"/>
      <c r="V828" s="80"/>
      <c r="W828" s="80"/>
      <c r="X828" s="80"/>
      <c r="Y828" s="80"/>
      <c r="Z828" s="80"/>
      <c r="AA828" s="80"/>
      <c r="AB828" s="80"/>
      <c r="AC828" s="80"/>
      <c r="AD828" s="80"/>
      <c r="AE828" s="80"/>
      <c r="AF828" s="80"/>
      <c r="AG828" s="80"/>
    </row>
    <row r="829" spans="1:33" x14ac:dyDescent="0.2">
      <c r="A829" s="2"/>
      <c r="B829" s="80"/>
      <c r="C829" s="80"/>
      <c r="D829" s="80"/>
      <c r="E829" s="80"/>
      <c r="F829" s="80"/>
      <c r="G829" s="80"/>
      <c r="H829" s="80"/>
      <c r="I829" s="80"/>
      <c r="J829" s="80"/>
      <c r="K829" s="80"/>
      <c r="L829" s="2"/>
      <c r="M829" s="2"/>
      <c r="N829" s="2"/>
      <c r="O829" s="2"/>
      <c r="P829" s="2"/>
      <c r="Q829" s="2"/>
      <c r="R829" s="80"/>
      <c r="S829" s="80"/>
      <c r="T829" s="80"/>
      <c r="U829" s="80"/>
      <c r="V829" s="80"/>
      <c r="W829" s="80"/>
      <c r="X829" s="80"/>
      <c r="Y829" s="80"/>
      <c r="Z829" s="80"/>
      <c r="AA829" s="80"/>
      <c r="AB829" s="80"/>
      <c r="AC829" s="80"/>
      <c r="AD829" s="80"/>
      <c r="AE829" s="80"/>
      <c r="AF829" s="80"/>
      <c r="AG829" s="80"/>
    </row>
    <row r="830" spans="1:33" x14ac:dyDescent="0.2">
      <c r="A830" s="2"/>
      <c r="B830" s="80"/>
      <c r="C830" s="80"/>
      <c r="D830" s="80"/>
      <c r="E830" s="80"/>
      <c r="F830" s="80"/>
      <c r="G830" s="80"/>
      <c r="H830" s="80"/>
      <c r="I830" s="80"/>
      <c r="J830" s="80"/>
      <c r="K830" s="80"/>
      <c r="L830" s="2"/>
      <c r="M830" s="2"/>
      <c r="N830" s="2"/>
      <c r="O830" s="2"/>
      <c r="P830" s="2"/>
      <c r="Q830" s="2"/>
      <c r="R830" s="80"/>
      <c r="S830" s="80"/>
      <c r="T830" s="80"/>
      <c r="U830" s="80"/>
      <c r="V830" s="80"/>
      <c r="W830" s="80"/>
      <c r="X830" s="80"/>
      <c r="Y830" s="80"/>
      <c r="Z830" s="80"/>
      <c r="AA830" s="80"/>
      <c r="AB830" s="80"/>
      <c r="AC830" s="80"/>
      <c r="AD830" s="80"/>
      <c r="AE830" s="80"/>
      <c r="AF830" s="80"/>
      <c r="AG830" s="80"/>
    </row>
    <row r="831" spans="1:33" x14ac:dyDescent="0.2">
      <c r="A831" s="2"/>
      <c r="B831" s="80"/>
      <c r="C831" s="80"/>
      <c r="D831" s="80"/>
      <c r="E831" s="80"/>
      <c r="F831" s="80"/>
      <c r="G831" s="80"/>
      <c r="H831" s="80"/>
      <c r="I831" s="80"/>
      <c r="J831" s="80"/>
      <c r="K831" s="80"/>
      <c r="L831" s="2"/>
      <c r="M831" s="2"/>
      <c r="N831" s="2"/>
      <c r="O831" s="2"/>
      <c r="P831" s="2"/>
      <c r="Q831" s="2"/>
      <c r="R831" s="80"/>
      <c r="S831" s="80"/>
      <c r="T831" s="80"/>
      <c r="U831" s="80"/>
      <c r="V831" s="80"/>
      <c r="W831" s="80"/>
      <c r="X831" s="80"/>
      <c r="Y831" s="80"/>
      <c r="Z831" s="80"/>
      <c r="AA831" s="80"/>
      <c r="AB831" s="80"/>
      <c r="AC831" s="80"/>
      <c r="AD831" s="80"/>
      <c r="AE831" s="80"/>
      <c r="AF831" s="80"/>
      <c r="AG831" s="80"/>
    </row>
    <row r="832" spans="1:33" x14ac:dyDescent="0.2">
      <c r="A832" s="2"/>
      <c r="B832" s="80"/>
      <c r="C832" s="80"/>
      <c r="D832" s="80"/>
      <c r="E832" s="80"/>
      <c r="F832" s="80"/>
      <c r="G832" s="80"/>
      <c r="H832" s="80"/>
      <c r="I832" s="80"/>
      <c r="J832" s="80"/>
      <c r="K832" s="80"/>
      <c r="L832" s="2"/>
      <c r="M832" s="2"/>
      <c r="N832" s="2"/>
      <c r="O832" s="2"/>
      <c r="P832" s="2"/>
      <c r="Q832" s="2"/>
      <c r="R832" s="80"/>
      <c r="S832" s="80"/>
      <c r="T832" s="80"/>
      <c r="U832" s="80"/>
      <c r="V832" s="80"/>
      <c r="W832" s="80"/>
      <c r="X832" s="80"/>
      <c r="Y832" s="80"/>
      <c r="Z832" s="80"/>
      <c r="AA832" s="80"/>
      <c r="AB832" s="80"/>
      <c r="AC832" s="80"/>
      <c r="AD832" s="80"/>
      <c r="AE832" s="80"/>
      <c r="AF832" s="80"/>
      <c r="AG832" s="80"/>
    </row>
    <row r="833" spans="1:33" x14ac:dyDescent="0.2">
      <c r="A833" s="2"/>
      <c r="B833" s="80"/>
      <c r="C833" s="80"/>
      <c r="D833" s="80"/>
      <c r="E833" s="80"/>
      <c r="F833" s="80"/>
      <c r="G833" s="80"/>
      <c r="H833" s="80"/>
      <c r="I833" s="80"/>
      <c r="J833" s="80"/>
      <c r="K833" s="80"/>
      <c r="L833" s="2"/>
      <c r="M833" s="2"/>
      <c r="N833" s="2"/>
      <c r="O833" s="2"/>
      <c r="P833" s="2"/>
      <c r="Q833" s="2"/>
      <c r="R833" s="80"/>
      <c r="S833" s="80"/>
      <c r="T833" s="80"/>
      <c r="U833" s="80"/>
      <c r="V833" s="80"/>
      <c r="W833" s="80"/>
      <c r="X833" s="80"/>
      <c r="Y833" s="80"/>
      <c r="Z833" s="80"/>
      <c r="AA833" s="80"/>
      <c r="AB833" s="80"/>
      <c r="AC833" s="80"/>
      <c r="AD833" s="80"/>
      <c r="AE833" s="80"/>
      <c r="AF833" s="80"/>
      <c r="AG833" s="80"/>
    </row>
    <row r="834" spans="1:33" x14ac:dyDescent="0.2">
      <c r="A834" s="2"/>
      <c r="B834" s="80"/>
      <c r="C834" s="80"/>
      <c r="D834" s="80"/>
      <c r="E834" s="80"/>
      <c r="F834" s="80"/>
      <c r="G834" s="80"/>
      <c r="H834" s="80"/>
      <c r="I834" s="80"/>
      <c r="J834" s="80"/>
      <c r="K834" s="80"/>
      <c r="L834" s="2"/>
      <c r="M834" s="2"/>
      <c r="N834" s="2"/>
      <c r="O834" s="2"/>
      <c r="P834" s="2"/>
      <c r="Q834" s="2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E834" s="80"/>
      <c r="AF834" s="80"/>
      <c r="AG834" s="80"/>
    </row>
    <row r="835" spans="1:33" x14ac:dyDescent="0.2">
      <c r="A835" s="2"/>
      <c r="B835" s="80"/>
      <c r="C835" s="80"/>
      <c r="D835" s="80"/>
      <c r="E835" s="80"/>
      <c r="F835" s="80"/>
      <c r="G835" s="80"/>
      <c r="H835" s="80"/>
      <c r="I835" s="80"/>
      <c r="J835" s="80"/>
      <c r="K835" s="80"/>
      <c r="L835" s="2"/>
      <c r="M835" s="2"/>
      <c r="N835" s="2"/>
      <c r="O835" s="2"/>
      <c r="P835" s="2"/>
      <c r="Q835" s="2"/>
      <c r="R835" s="80"/>
      <c r="S835" s="80"/>
      <c r="T835" s="80"/>
      <c r="U835" s="80"/>
      <c r="V835" s="80"/>
      <c r="W835" s="80"/>
      <c r="X835" s="80"/>
      <c r="Y835" s="80"/>
      <c r="Z835" s="80"/>
      <c r="AA835" s="80"/>
      <c r="AB835" s="80"/>
      <c r="AC835" s="80"/>
      <c r="AD835" s="80"/>
      <c r="AE835" s="80"/>
      <c r="AF835" s="80"/>
      <c r="AG835" s="80"/>
    </row>
    <row r="836" spans="1:33" x14ac:dyDescent="0.2">
      <c r="A836" s="2"/>
      <c r="B836" s="80"/>
      <c r="C836" s="80"/>
      <c r="D836" s="80"/>
      <c r="E836" s="80"/>
      <c r="F836" s="80"/>
      <c r="G836" s="80"/>
      <c r="H836" s="80"/>
      <c r="I836" s="80"/>
      <c r="J836" s="80"/>
      <c r="K836" s="80"/>
      <c r="L836" s="2"/>
      <c r="M836" s="2"/>
      <c r="N836" s="2"/>
      <c r="O836" s="2"/>
      <c r="P836" s="2"/>
      <c r="Q836" s="2"/>
      <c r="R836" s="80"/>
      <c r="S836" s="80"/>
      <c r="T836" s="80"/>
      <c r="U836" s="80"/>
      <c r="V836" s="80"/>
      <c r="W836" s="80"/>
      <c r="X836" s="80"/>
      <c r="Y836" s="80"/>
      <c r="Z836" s="80"/>
      <c r="AA836" s="80"/>
      <c r="AB836" s="80"/>
      <c r="AC836" s="80"/>
      <c r="AD836" s="80"/>
      <c r="AE836" s="80"/>
      <c r="AF836" s="80"/>
      <c r="AG836" s="80"/>
    </row>
    <row r="837" spans="1:33" x14ac:dyDescent="0.2">
      <c r="A837" s="2"/>
      <c r="B837" s="80"/>
      <c r="C837" s="80"/>
      <c r="D837" s="80"/>
      <c r="E837" s="80"/>
      <c r="F837" s="80"/>
      <c r="G837" s="80"/>
      <c r="H837" s="80"/>
      <c r="I837" s="80"/>
      <c r="J837" s="80"/>
      <c r="K837" s="80"/>
      <c r="L837" s="2"/>
      <c r="M837" s="2"/>
      <c r="N837" s="2"/>
      <c r="O837" s="2"/>
      <c r="P837" s="2"/>
      <c r="Q837" s="2"/>
      <c r="R837" s="80"/>
      <c r="S837" s="80"/>
      <c r="T837" s="80"/>
      <c r="U837" s="80"/>
      <c r="V837" s="80"/>
      <c r="W837" s="80"/>
      <c r="X837" s="80"/>
      <c r="Y837" s="80"/>
      <c r="Z837" s="80"/>
      <c r="AA837" s="80"/>
      <c r="AB837" s="80"/>
      <c r="AC837" s="80"/>
      <c r="AD837" s="80"/>
      <c r="AE837" s="80"/>
      <c r="AF837" s="80"/>
      <c r="AG837" s="80"/>
    </row>
    <row r="838" spans="1:33" x14ac:dyDescent="0.2">
      <c r="A838" s="2"/>
      <c r="B838" s="80"/>
      <c r="C838" s="80"/>
      <c r="D838" s="80"/>
      <c r="E838" s="80"/>
      <c r="F838" s="80"/>
      <c r="G838" s="80"/>
      <c r="H838" s="80"/>
      <c r="I838" s="80"/>
      <c r="J838" s="80"/>
      <c r="K838" s="80"/>
      <c r="L838" s="2"/>
      <c r="M838" s="2"/>
      <c r="N838" s="2"/>
      <c r="O838" s="2"/>
      <c r="P838" s="2"/>
      <c r="Q838" s="2"/>
      <c r="R838" s="80"/>
      <c r="S838" s="80"/>
      <c r="T838" s="80"/>
      <c r="U838" s="80"/>
      <c r="V838" s="80"/>
      <c r="W838" s="80"/>
      <c r="X838" s="80"/>
      <c r="Y838" s="80"/>
      <c r="Z838" s="80"/>
      <c r="AA838" s="80"/>
      <c r="AB838" s="80"/>
      <c r="AC838" s="80"/>
      <c r="AD838" s="80"/>
      <c r="AE838" s="80"/>
      <c r="AF838" s="80"/>
      <c r="AG838" s="80"/>
    </row>
    <row r="839" spans="1:33" x14ac:dyDescent="0.2">
      <c r="A839" s="2"/>
      <c r="B839" s="80"/>
      <c r="C839" s="80"/>
      <c r="D839" s="80"/>
      <c r="E839" s="80"/>
      <c r="F839" s="80"/>
      <c r="G839" s="80"/>
      <c r="H839" s="80"/>
      <c r="I839" s="80"/>
      <c r="J839" s="80"/>
      <c r="K839" s="80"/>
      <c r="L839" s="2"/>
      <c r="M839" s="2"/>
      <c r="N839" s="2"/>
      <c r="O839" s="2"/>
      <c r="P839" s="2"/>
      <c r="Q839" s="2"/>
      <c r="R839" s="80"/>
      <c r="S839" s="80"/>
      <c r="T839" s="80"/>
      <c r="U839" s="80"/>
      <c r="V839" s="80"/>
      <c r="W839" s="80"/>
      <c r="X839" s="80"/>
      <c r="Y839" s="80"/>
      <c r="Z839" s="80"/>
      <c r="AA839" s="80"/>
      <c r="AB839" s="80"/>
      <c r="AC839" s="80"/>
      <c r="AD839" s="80"/>
      <c r="AE839" s="80"/>
      <c r="AF839" s="80"/>
      <c r="AG839" s="80"/>
    </row>
    <row r="840" spans="1:33" x14ac:dyDescent="0.2">
      <c r="A840" s="2"/>
      <c r="B840" s="80"/>
      <c r="C840" s="80"/>
      <c r="D840" s="80"/>
      <c r="E840" s="80"/>
      <c r="F840" s="80"/>
      <c r="G840" s="80"/>
      <c r="H840" s="80"/>
      <c r="I840" s="80"/>
      <c r="J840" s="80"/>
      <c r="K840" s="80"/>
      <c r="L840" s="2"/>
      <c r="M840" s="2"/>
      <c r="N840" s="2"/>
      <c r="O840" s="2"/>
      <c r="P840" s="2"/>
      <c r="Q840" s="2"/>
      <c r="R840" s="80"/>
      <c r="S840" s="80"/>
      <c r="T840" s="80"/>
      <c r="U840" s="80"/>
      <c r="V840" s="80"/>
      <c r="W840" s="80"/>
      <c r="X840" s="80"/>
      <c r="Y840" s="80"/>
      <c r="Z840" s="80"/>
      <c r="AA840" s="80"/>
      <c r="AB840" s="80"/>
      <c r="AC840" s="80"/>
      <c r="AD840" s="80"/>
      <c r="AE840" s="80"/>
      <c r="AF840" s="80"/>
      <c r="AG840" s="80"/>
    </row>
    <row r="841" spans="1:33" x14ac:dyDescent="0.2">
      <c r="A841" s="2"/>
      <c r="B841" s="80"/>
      <c r="C841" s="80"/>
      <c r="D841" s="80"/>
      <c r="E841" s="80"/>
      <c r="F841" s="80"/>
      <c r="G841" s="80"/>
      <c r="H841" s="80"/>
      <c r="I841" s="80"/>
      <c r="J841" s="80"/>
      <c r="K841" s="80"/>
      <c r="L841" s="2"/>
      <c r="M841" s="2"/>
      <c r="N841" s="2"/>
      <c r="O841" s="2"/>
      <c r="P841" s="2"/>
      <c r="Q841" s="2"/>
      <c r="R841" s="80"/>
      <c r="S841" s="80"/>
      <c r="T841" s="80"/>
      <c r="U841" s="80"/>
      <c r="V841" s="80"/>
      <c r="W841" s="80"/>
      <c r="X841" s="80"/>
      <c r="Y841" s="80"/>
      <c r="Z841" s="80"/>
      <c r="AA841" s="80"/>
      <c r="AB841" s="80"/>
      <c r="AC841" s="80"/>
      <c r="AD841" s="80"/>
      <c r="AE841" s="80"/>
      <c r="AF841" s="80"/>
      <c r="AG841" s="80"/>
    </row>
    <row r="842" spans="1:33" x14ac:dyDescent="0.2">
      <c r="A842" s="2"/>
      <c r="B842" s="80"/>
      <c r="C842" s="80"/>
      <c r="D842" s="80"/>
      <c r="E842" s="80"/>
      <c r="F842" s="80"/>
      <c r="G842" s="80"/>
      <c r="H842" s="80"/>
      <c r="I842" s="80"/>
      <c r="J842" s="80"/>
      <c r="K842" s="80"/>
      <c r="L842" s="2"/>
      <c r="M842" s="2"/>
      <c r="N842" s="2"/>
      <c r="O842" s="2"/>
      <c r="P842" s="2"/>
      <c r="Q842" s="2"/>
      <c r="R842" s="80"/>
      <c r="S842" s="80"/>
      <c r="T842" s="80"/>
      <c r="U842" s="80"/>
      <c r="V842" s="80"/>
      <c r="W842" s="80"/>
      <c r="X842" s="80"/>
      <c r="Y842" s="80"/>
      <c r="Z842" s="80"/>
      <c r="AA842" s="80"/>
      <c r="AB842" s="80"/>
      <c r="AC842" s="80"/>
      <c r="AD842" s="80"/>
      <c r="AE842" s="80"/>
      <c r="AF842" s="80"/>
      <c r="AG842" s="80"/>
    </row>
    <row r="843" spans="1:33" x14ac:dyDescent="0.2">
      <c r="A843" s="2"/>
      <c r="B843" s="80"/>
      <c r="C843" s="80"/>
      <c r="D843" s="80"/>
      <c r="E843" s="80"/>
      <c r="F843" s="80"/>
      <c r="G843" s="80"/>
      <c r="H843" s="80"/>
      <c r="I843" s="80"/>
      <c r="J843" s="80"/>
      <c r="K843" s="80"/>
      <c r="L843" s="2"/>
      <c r="M843" s="2"/>
      <c r="N843" s="2"/>
      <c r="O843" s="2"/>
      <c r="P843" s="2"/>
      <c r="Q843" s="2"/>
      <c r="R843" s="80"/>
      <c r="S843" s="80"/>
      <c r="T843" s="80"/>
      <c r="U843" s="80"/>
      <c r="V843" s="80"/>
      <c r="W843" s="80"/>
      <c r="X843" s="80"/>
      <c r="Y843" s="80"/>
      <c r="Z843" s="80"/>
      <c r="AA843" s="80"/>
      <c r="AB843" s="80"/>
      <c r="AC843" s="80"/>
      <c r="AD843" s="80"/>
      <c r="AE843" s="80"/>
      <c r="AF843" s="80"/>
      <c r="AG843" s="80"/>
    </row>
    <row r="844" spans="1:33" x14ac:dyDescent="0.2">
      <c r="A844" s="2"/>
      <c r="B844" s="80"/>
      <c r="C844" s="80"/>
      <c r="D844" s="80"/>
      <c r="E844" s="80"/>
      <c r="F844" s="80"/>
      <c r="G844" s="80"/>
      <c r="H844" s="80"/>
      <c r="I844" s="80"/>
      <c r="J844" s="80"/>
      <c r="K844" s="80"/>
      <c r="L844" s="2"/>
      <c r="M844" s="2"/>
      <c r="N844" s="2"/>
      <c r="O844" s="2"/>
      <c r="P844" s="2"/>
      <c r="Q844" s="2"/>
      <c r="R844" s="80"/>
      <c r="S844" s="80"/>
      <c r="T844" s="80"/>
      <c r="U844" s="80"/>
      <c r="V844" s="80"/>
      <c r="W844" s="80"/>
      <c r="X844" s="80"/>
      <c r="Y844" s="80"/>
      <c r="Z844" s="80"/>
      <c r="AA844" s="80"/>
      <c r="AB844" s="80"/>
      <c r="AC844" s="80"/>
      <c r="AD844" s="80"/>
      <c r="AE844" s="80"/>
      <c r="AF844" s="80"/>
      <c r="AG844" s="80"/>
    </row>
    <row r="845" spans="1:33" x14ac:dyDescent="0.2">
      <c r="A845" s="2"/>
      <c r="B845" s="80"/>
      <c r="C845" s="80"/>
      <c r="D845" s="80"/>
      <c r="E845" s="80"/>
      <c r="F845" s="80"/>
      <c r="G845" s="80"/>
      <c r="H845" s="80"/>
      <c r="I845" s="80"/>
      <c r="J845" s="80"/>
      <c r="K845" s="80"/>
      <c r="L845" s="2"/>
      <c r="M845" s="2"/>
      <c r="N845" s="2"/>
      <c r="O845" s="2"/>
      <c r="P845" s="2"/>
      <c r="Q845" s="2"/>
      <c r="R845" s="80"/>
      <c r="S845" s="80"/>
      <c r="T845" s="80"/>
      <c r="U845" s="80"/>
      <c r="V845" s="80"/>
      <c r="W845" s="80"/>
      <c r="X845" s="80"/>
      <c r="Y845" s="80"/>
      <c r="Z845" s="80"/>
      <c r="AA845" s="80"/>
      <c r="AB845" s="80"/>
      <c r="AC845" s="80"/>
      <c r="AD845" s="80"/>
      <c r="AE845" s="80"/>
      <c r="AF845" s="80"/>
      <c r="AG845" s="80"/>
    </row>
    <row r="846" spans="1:33" x14ac:dyDescent="0.2">
      <c r="A846" s="2"/>
      <c r="B846" s="80"/>
      <c r="C846" s="80"/>
      <c r="D846" s="80"/>
      <c r="E846" s="80"/>
      <c r="F846" s="80"/>
      <c r="G846" s="80"/>
      <c r="H846" s="80"/>
      <c r="I846" s="80"/>
      <c r="J846" s="80"/>
      <c r="K846" s="80"/>
      <c r="L846" s="2"/>
      <c r="M846" s="2"/>
      <c r="N846" s="2"/>
      <c r="O846" s="2"/>
      <c r="P846" s="2"/>
      <c r="Q846" s="2"/>
      <c r="R846" s="80"/>
      <c r="S846" s="80"/>
      <c r="T846" s="80"/>
      <c r="U846" s="80"/>
      <c r="V846" s="80"/>
      <c r="W846" s="80"/>
      <c r="X846" s="80"/>
      <c r="Y846" s="80"/>
      <c r="Z846" s="80"/>
      <c r="AA846" s="80"/>
      <c r="AB846" s="80"/>
      <c r="AC846" s="80"/>
      <c r="AD846" s="80"/>
      <c r="AE846" s="80"/>
      <c r="AF846" s="80"/>
      <c r="AG846" s="80"/>
    </row>
    <row r="847" spans="1:33" x14ac:dyDescent="0.2">
      <c r="A847" s="2"/>
      <c r="B847" s="80"/>
      <c r="C847" s="80"/>
      <c r="D847" s="80"/>
      <c r="E847" s="80"/>
      <c r="F847" s="80"/>
      <c r="G847" s="80"/>
      <c r="H847" s="80"/>
      <c r="I847" s="80"/>
      <c r="J847" s="80"/>
      <c r="K847" s="80"/>
      <c r="L847" s="2"/>
      <c r="M847" s="2"/>
      <c r="N847" s="2"/>
      <c r="O847" s="2"/>
      <c r="P847" s="2"/>
      <c r="Q847" s="2"/>
      <c r="R847" s="80"/>
      <c r="S847" s="80"/>
      <c r="T847" s="80"/>
      <c r="U847" s="80"/>
      <c r="V847" s="80"/>
      <c r="W847" s="80"/>
      <c r="X847" s="80"/>
      <c r="Y847" s="80"/>
      <c r="Z847" s="80"/>
      <c r="AA847" s="80"/>
      <c r="AB847" s="80"/>
      <c r="AC847" s="80"/>
      <c r="AD847" s="80"/>
      <c r="AE847" s="80"/>
      <c r="AF847" s="80"/>
      <c r="AG847" s="80"/>
    </row>
    <row r="848" spans="1:33" x14ac:dyDescent="0.2">
      <c r="A848" s="2"/>
      <c r="B848" s="80"/>
      <c r="C848" s="80"/>
      <c r="D848" s="80"/>
      <c r="E848" s="80"/>
      <c r="F848" s="80"/>
      <c r="G848" s="80"/>
      <c r="H848" s="80"/>
      <c r="I848" s="80"/>
      <c r="J848" s="80"/>
      <c r="K848" s="80"/>
      <c r="L848" s="2"/>
      <c r="M848" s="2"/>
      <c r="N848" s="2"/>
      <c r="O848" s="2"/>
      <c r="P848" s="2"/>
      <c r="Q848" s="2"/>
      <c r="R848" s="80"/>
      <c r="S848" s="80"/>
      <c r="T848" s="80"/>
      <c r="U848" s="80"/>
      <c r="V848" s="80"/>
      <c r="W848" s="80"/>
      <c r="X848" s="80"/>
      <c r="Y848" s="80"/>
      <c r="Z848" s="80"/>
      <c r="AA848" s="80"/>
      <c r="AB848" s="80"/>
      <c r="AC848" s="80"/>
      <c r="AD848" s="80"/>
      <c r="AE848" s="80"/>
      <c r="AF848" s="80"/>
      <c r="AG848" s="80"/>
    </row>
    <row r="849" spans="1:33" x14ac:dyDescent="0.2">
      <c r="A849" s="2"/>
      <c r="B849" s="80"/>
      <c r="C849" s="80"/>
      <c r="D849" s="80"/>
      <c r="E849" s="80"/>
      <c r="F849" s="80"/>
      <c r="G849" s="80"/>
      <c r="H849" s="80"/>
      <c r="I849" s="80"/>
      <c r="J849" s="80"/>
      <c r="K849" s="80"/>
      <c r="L849" s="2"/>
      <c r="M849" s="2"/>
      <c r="N849" s="2"/>
      <c r="O849" s="2"/>
      <c r="P849" s="2"/>
      <c r="Q849" s="2"/>
      <c r="R849" s="80"/>
      <c r="S849" s="80"/>
      <c r="T849" s="80"/>
      <c r="U849" s="80"/>
      <c r="V849" s="80"/>
      <c r="W849" s="80"/>
      <c r="X849" s="80"/>
      <c r="Y849" s="80"/>
      <c r="Z849" s="80"/>
      <c r="AA849" s="80"/>
      <c r="AB849" s="80"/>
      <c r="AC849" s="80"/>
      <c r="AD849" s="80"/>
      <c r="AE849" s="80"/>
      <c r="AF849" s="80"/>
      <c r="AG849" s="80"/>
    </row>
    <row r="850" spans="1:33" x14ac:dyDescent="0.2">
      <c r="A850" s="2"/>
      <c r="B850" s="80"/>
      <c r="C850" s="80"/>
      <c r="D850" s="80"/>
      <c r="E850" s="80"/>
      <c r="F850" s="80"/>
      <c r="G850" s="80"/>
      <c r="H850" s="80"/>
      <c r="I850" s="80"/>
      <c r="J850" s="80"/>
      <c r="K850" s="80"/>
      <c r="L850" s="2"/>
      <c r="M850" s="2"/>
      <c r="N850" s="2"/>
      <c r="O850" s="2"/>
      <c r="P850" s="2"/>
      <c r="Q850" s="2"/>
      <c r="R850" s="80"/>
      <c r="S850" s="80"/>
      <c r="T850" s="80"/>
      <c r="U850" s="80"/>
      <c r="V850" s="80"/>
      <c r="W850" s="80"/>
      <c r="X850" s="80"/>
      <c r="Y850" s="80"/>
      <c r="Z850" s="80"/>
      <c r="AA850" s="80"/>
      <c r="AB850" s="80"/>
      <c r="AC850" s="80"/>
      <c r="AD850" s="80"/>
      <c r="AE850" s="80"/>
      <c r="AF850" s="80"/>
      <c r="AG850" s="80"/>
    </row>
    <row r="851" spans="1:33" x14ac:dyDescent="0.2">
      <c r="A851" s="2"/>
      <c r="B851" s="80"/>
      <c r="C851" s="80"/>
      <c r="D851" s="80"/>
      <c r="E851" s="80"/>
      <c r="F851" s="80"/>
      <c r="G851" s="80"/>
      <c r="H851" s="80"/>
      <c r="I851" s="80"/>
      <c r="J851" s="80"/>
      <c r="K851" s="80"/>
      <c r="L851" s="2"/>
      <c r="M851" s="2"/>
      <c r="N851" s="2"/>
      <c r="O851" s="2"/>
      <c r="P851" s="2"/>
      <c r="Q851" s="2"/>
      <c r="R851" s="80"/>
      <c r="S851" s="80"/>
      <c r="T851" s="80"/>
      <c r="U851" s="80"/>
      <c r="V851" s="80"/>
      <c r="W851" s="80"/>
      <c r="X851" s="80"/>
      <c r="Y851" s="80"/>
      <c r="Z851" s="80"/>
      <c r="AA851" s="80"/>
      <c r="AB851" s="80"/>
      <c r="AC851" s="80"/>
      <c r="AD851" s="80"/>
      <c r="AE851" s="80"/>
      <c r="AF851" s="80"/>
      <c r="AG851" s="80"/>
    </row>
    <row r="852" spans="1:33" x14ac:dyDescent="0.2">
      <c r="A852" s="2"/>
      <c r="B852" s="80"/>
      <c r="C852" s="80"/>
      <c r="D852" s="80"/>
      <c r="E852" s="80"/>
      <c r="F852" s="80"/>
      <c r="G852" s="80"/>
      <c r="H852" s="80"/>
      <c r="I852" s="80"/>
      <c r="J852" s="80"/>
      <c r="K852" s="80"/>
      <c r="L852" s="2"/>
      <c r="M852" s="2"/>
      <c r="N852" s="2"/>
      <c r="O852" s="2"/>
      <c r="P852" s="2"/>
      <c r="Q852" s="2"/>
      <c r="R852" s="80"/>
      <c r="S852" s="80"/>
      <c r="T852" s="80"/>
      <c r="U852" s="80"/>
      <c r="V852" s="80"/>
      <c r="W852" s="80"/>
      <c r="X852" s="80"/>
      <c r="Y852" s="80"/>
      <c r="Z852" s="80"/>
      <c r="AA852" s="80"/>
      <c r="AB852" s="80"/>
      <c r="AC852" s="80"/>
      <c r="AD852" s="80"/>
      <c r="AE852" s="80"/>
      <c r="AF852" s="80"/>
      <c r="AG852" s="80"/>
    </row>
    <row r="853" spans="1:33" x14ac:dyDescent="0.2">
      <c r="A853" s="2"/>
      <c r="B853" s="80"/>
      <c r="C853" s="80"/>
      <c r="D853" s="80"/>
      <c r="E853" s="80"/>
      <c r="F853" s="80"/>
      <c r="G853" s="80"/>
      <c r="H853" s="80"/>
      <c r="I853" s="80"/>
      <c r="J853" s="80"/>
      <c r="K853" s="80"/>
      <c r="L853" s="2"/>
      <c r="M853" s="2"/>
      <c r="N853" s="2"/>
      <c r="O853" s="2"/>
      <c r="P853" s="2"/>
      <c r="Q853" s="2"/>
      <c r="R853" s="80"/>
      <c r="S853" s="80"/>
      <c r="T853" s="80"/>
      <c r="U853" s="80"/>
      <c r="V853" s="80"/>
      <c r="W853" s="80"/>
      <c r="X853" s="80"/>
      <c r="Y853" s="80"/>
      <c r="Z853" s="80"/>
      <c r="AA853" s="80"/>
      <c r="AB853" s="80"/>
      <c r="AC853" s="80"/>
      <c r="AD853" s="80"/>
      <c r="AE853" s="80"/>
      <c r="AF853" s="80"/>
      <c r="AG853" s="80"/>
    </row>
    <row r="854" spans="1:33" x14ac:dyDescent="0.2">
      <c r="A854" s="2"/>
      <c r="B854" s="80"/>
      <c r="C854" s="80"/>
      <c r="D854" s="80"/>
      <c r="E854" s="80"/>
      <c r="F854" s="80"/>
      <c r="G854" s="80"/>
      <c r="H854" s="80"/>
      <c r="I854" s="80"/>
      <c r="J854" s="80"/>
      <c r="K854" s="80"/>
      <c r="L854" s="2"/>
      <c r="M854" s="2"/>
      <c r="N854" s="2"/>
      <c r="O854" s="2"/>
      <c r="P854" s="2"/>
      <c r="Q854" s="2"/>
      <c r="R854" s="80"/>
      <c r="S854" s="80"/>
      <c r="T854" s="80"/>
      <c r="U854" s="80"/>
      <c r="V854" s="80"/>
      <c r="W854" s="80"/>
      <c r="X854" s="80"/>
      <c r="Y854" s="80"/>
      <c r="Z854" s="80"/>
      <c r="AA854" s="80"/>
      <c r="AB854" s="80"/>
      <c r="AC854" s="80"/>
      <c r="AD854" s="80"/>
      <c r="AE854" s="80"/>
      <c r="AF854" s="80"/>
      <c r="AG854" s="80"/>
    </row>
    <row r="855" spans="1:33" x14ac:dyDescent="0.2">
      <c r="A855" s="2"/>
      <c r="B855" s="80"/>
      <c r="C855" s="80"/>
      <c r="D855" s="80"/>
      <c r="E855" s="80"/>
      <c r="F855" s="80"/>
      <c r="G855" s="80"/>
      <c r="H855" s="80"/>
      <c r="I855" s="80"/>
      <c r="J855" s="80"/>
      <c r="K855" s="80"/>
      <c r="L855" s="2"/>
      <c r="M855" s="2"/>
      <c r="N855" s="2"/>
      <c r="O855" s="2"/>
      <c r="P855" s="2"/>
      <c r="Q855" s="2"/>
      <c r="R855" s="80"/>
      <c r="S855" s="80"/>
      <c r="T855" s="80"/>
      <c r="U855" s="80"/>
      <c r="V855" s="80"/>
      <c r="W855" s="80"/>
      <c r="X855" s="80"/>
      <c r="Y855" s="80"/>
      <c r="Z855" s="80"/>
      <c r="AA855" s="80"/>
      <c r="AB855" s="80"/>
      <c r="AC855" s="80"/>
      <c r="AD855" s="80"/>
      <c r="AE855" s="80"/>
      <c r="AF855" s="80"/>
      <c r="AG855" s="80"/>
    </row>
    <row r="856" spans="1:33" x14ac:dyDescent="0.2">
      <c r="A856" s="2"/>
      <c r="B856" s="80"/>
      <c r="C856" s="80"/>
      <c r="D856" s="80"/>
      <c r="E856" s="80"/>
      <c r="F856" s="80"/>
      <c r="G856" s="80"/>
      <c r="H856" s="80"/>
      <c r="I856" s="80"/>
      <c r="J856" s="80"/>
      <c r="K856" s="80"/>
      <c r="L856" s="2"/>
      <c r="M856" s="2"/>
      <c r="N856" s="2"/>
      <c r="O856" s="2"/>
      <c r="P856" s="2"/>
      <c r="Q856" s="2"/>
      <c r="R856" s="80"/>
      <c r="S856" s="80"/>
      <c r="T856" s="80"/>
      <c r="U856" s="80"/>
      <c r="V856" s="80"/>
      <c r="W856" s="80"/>
      <c r="X856" s="80"/>
      <c r="Y856" s="80"/>
      <c r="Z856" s="80"/>
      <c r="AA856" s="80"/>
      <c r="AB856" s="80"/>
      <c r="AC856" s="80"/>
      <c r="AD856" s="80"/>
      <c r="AE856" s="80"/>
      <c r="AF856" s="80"/>
      <c r="AG856" s="80"/>
    </row>
    <row r="857" spans="1:33" x14ac:dyDescent="0.2">
      <c r="A857" s="2"/>
      <c r="B857" s="80"/>
      <c r="C857" s="80"/>
      <c r="D857" s="80"/>
      <c r="E857" s="80"/>
      <c r="F857" s="80"/>
      <c r="G857" s="80"/>
      <c r="H857" s="80"/>
      <c r="I857" s="80"/>
      <c r="J857" s="80"/>
      <c r="K857" s="80"/>
      <c r="L857" s="2"/>
      <c r="M857" s="2"/>
      <c r="N857" s="2"/>
      <c r="O857" s="2"/>
      <c r="P857" s="2"/>
      <c r="Q857" s="2"/>
      <c r="R857" s="80"/>
      <c r="S857" s="80"/>
      <c r="T857" s="80"/>
      <c r="U857" s="80"/>
      <c r="V857" s="80"/>
      <c r="W857" s="80"/>
      <c r="X857" s="80"/>
      <c r="Y857" s="80"/>
      <c r="Z857" s="80"/>
      <c r="AA857" s="80"/>
      <c r="AB857" s="80"/>
      <c r="AC857" s="80"/>
      <c r="AD857" s="80"/>
      <c r="AE857" s="80"/>
      <c r="AF857" s="80"/>
      <c r="AG857" s="80"/>
    </row>
    <row r="858" spans="1:33" x14ac:dyDescent="0.2">
      <c r="A858" s="2"/>
      <c r="B858" s="80"/>
      <c r="C858" s="80"/>
      <c r="D858" s="80"/>
      <c r="E858" s="80"/>
      <c r="F858" s="80"/>
      <c r="G858" s="80"/>
      <c r="H858" s="80"/>
      <c r="I858" s="80"/>
      <c r="J858" s="80"/>
      <c r="K858" s="80"/>
      <c r="L858" s="2"/>
      <c r="M858" s="2"/>
      <c r="N858" s="2"/>
      <c r="O858" s="2"/>
      <c r="P858" s="2"/>
      <c r="Q858" s="2"/>
      <c r="R858" s="80"/>
      <c r="S858" s="80"/>
      <c r="T858" s="80"/>
      <c r="U858" s="80"/>
      <c r="V858" s="80"/>
      <c r="W858" s="80"/>
      <c r="X858" s="80"/>
      <c r="Y858" s="80"/>
      <c r="Z858" s="80"/>
      <c r="AA858" s="80"/>
      <c r="AB858" s="80"/>
      <c r="AC858" s="80"/>
      <c r="AD858" s="80"/>
      <c r="AE858" s="80"/>
      <c r="AF858" s="80"/>
      <c r="AG858" s="80"/>
    </row>
    <row r="859" spans="1:33" x14ac:dyDescent="0.2">
      <c r="A859" s="2"/>
      <c r="B859" s="80"/>
      <c r="C859" s="80"/>
      <c r="D859" s="80"/>
      <c r="E859" s="80"/>
      <c r="F859" s="80"/>
      <c r="G859" s="80"/>
      <c r="H859" s="80"/>
      <c r="I859" s="80"/>
      <c r="J859" s="80"/>
      <c r="K859" s="80"/>
      <c r="L859" s="2"/>
      <c r="M859" s="2"/>
      <c r="N859" s="2"/>
      <c r="O859" s="2"/>
      <c r="P859" s="2"/>
      <c r="Q859" s="2"/>
      <c r="R859" s="80"/>
      <c r="S859" s="80"/>
      <c r="T859" s="80"/>
      <c r="U859" s="80"/>
      <c r="V859" s="80"/>
      <c r="W859" s="80"/>
      <c r="X859" s="80"/>
      <c r="Y859" s="80"/>
      <c r="Z859" s="80"/>
      <c r="AA859" s="80"/>
      <c r="AB859" s="80"/>
      <c r="AC859" s="80"/>
      <c r="AD859" s="80"/>
      <c r="AE859" s="80"/>
      <c r="AF859" s="80"/>
      <c r="AG859" s="80"/>
    </row>
    <row r="860" spans="1:33" x14ac:dyDescent="0.2">
      <c r="A860" s="2"/>
      <c r="B860" s="80"/>
      <c r="C860" s="80"/>
      <c r="D860" s="80"/>
      <c r="E860" s="80"/>
      <c r="F860" s="80"/>
      <c r="G860" s="80"/>
      <c r="H860" s="80"/>
      <c r="I860" s="80"/>
      <c r="J860" s="80"/>
      <c r="K860" s="80"/>
      <c r="L860" s="2"/>
      <c r="M860" s="2"/>
      <c r="N860" s="2"/>
      <c r="O860" s="2"/>
      <c r="P860" s="2"/>
      <c r="Q860" s="2"/>
      <c r="R860" s="80"/>
      <c r="S860" s="80"/>
      <c r="T860" s="80"/>
      <c r="U860" s="80"/>
      <c r="V860" s="80"/>
      <c r="W860" s="80"/>
      <c r="X860" s="80"/>
      <c r="Y860" s="80"/>
      <c r="Z860" s="80"/>
      <c r="AA860" s="80"/>
      <c r="AB860" s="80"/>
      <c r="AC860" s="80"/>
      <c r="AD860" s="80"/>
      <c r="AE860" s="80"/>
      <c r="AF860" s="80"/>
      <c r="AG860" s="80"/>
    </row>
    <row r="861" spans="1:33" x14ac:dyDescent="0.2">
      <c r="A861" s="2"/>
      <c r="B861" s="80"/>
      <c r="C861" s="80"/>
      <c r="D861" s="80"/>
      <c r="E861" s="80"/>
      <c r="F861" s="80"/>
      <c r="G861" s="80"/>
      <c r="H861" s="80"/>
      <c r="I861" s="80"/>
      <c r="J861" s="80"/>
      <c r="K861" s="80"/>
      <c r="L861" s="2"/>
      <c r="M861" s="2"/>
      <c r="N861" s="2"/>
      <c r="O861" s="2"/>
      <c r="P861" s="2"/>
      <c r="Q861" s="2"/>
      <c r="R861" s="80"/>
      <c r="S861" s="80"/>
      <c r="T861" s="80"/>
      <c r="U861" s="80"/>
      <c r="V861" s="80"/>
      <c r="W861" s="80"/>
      <c r="X861" s="80"/>
      <c r="Y861" s="80"/>
      <c r="Z861" s="80"/>
      <c r="AA861" s="80"/>
      <c r="AB861" s="80"/>
      <c r="AC861" s="80"/>
      <c r="AD861" s="80"/>
      <c r="AE861" s="80"/>
      <c r="AF861" s="80"/>
      <c r="AG861" s="80"/>
    </row>
    <row r="862" spans="1:33" x14ac:dyDescent="0.2">
      <c r="A862" s="2"/>
      <c r="B862" s="80"/>
      <c r="C862" s="80"/>
      <c r="D862" s="80"/>
      <c r="E862" s="80"/>
      <c r="F862" s="80"/>
      <c r="G862" s="80"/>
      <c r="H862" s="80"/>
      <c r="I862" s="80"/>
      <c r="J862" s="80"/>
      <c r="K862" s="80"/>
      <c r="L862" s="2"/>
      <c r="M862" s="2"/>
      <c r="N862" s="2"/>
      <c r="O862" s="2"/>
      <c r="P862" s="2"/>
      <c r="Q862" s="2"/>
      <c r="R862" s="80"/>
      <c r="S862" s="80"/>
      <c r="T862" s="80"/>
      <c r="U862" s="80"/>
      <c r="V862" s="80"/>
      <c r="W862" s="80"/>
      <c r="X862" s="80"/>
      <c r="Y862" s="80"/>
      <c r="Z862" s="80"/>
      <c r="AA862" s="80"/>
      <c r="AB862" s="80"/>
      <c r="AC862" s="80"/>
      <c r="AD862" s="80"/>
      <c r="AE862" s="80"/>
      <c r="AF862" s="80"/>
      <c r="AG862" s="80"/>
    </row>
    <row r="863" spans="1:33" x14ac:dyDescent="0.2">
      <c r="A863" s="2"/>
      <c r="B863" s="80"/>
      <c r="C863" s="80"/>
      <c r="D863" s="80"/>
      <c r="E863" s="80"/>
      <c r="F863" s="80"/>
      <c r="G863" s="80"/>
      <c r="H863" s="80"/>
      <c r="I863" s="80"/>
      <c r="J863" s="80"/>
      <c r="K863" s="80"/>
      <c r="L863" s="2"/>
      <c r="M863" s="2"/>
      <c r="N863" s="2"/>
      <c r="O863" s="2"/>
      <c r="P863" s="2"/>
      <c r="Q863" s="2"/>
      <c r="R863" s="80"/>
      <c r="S863" s="80"/>
      <c r="T863" s="80"/>
      <c r="U863" s="80"/>
      <c r="V863" s="80"/>
      <c r="W863" s="80"/>
      <c r="X863" s="80"/>
      <c r="Y863" s="80"/>
      <c r="Z863" s="80"/>
      <c r="AA863" s="80"/>
      <c r="AB863" s="80"/>
      <c r="AC863" s="80"/>
      <c r="AD863" s="80"/>
      <c r="AE863" s="80"/>
      <c r="AF863" s="80"/>
      <c r="AG863" s="80"/>
    </row>
    <row r="864" spans="1:33" x14ac:dyDescent="0.2">
      <c r="A864" s="2"/>
      <c r="B864" s="80"/>
      <c r="C864" s="80"/>
      <c r="D864" s="80"/>
      <c r="E864" s="80"/>
      <c r="F864" s="80"/>
      <c r="G864" s="80"/>
      <c r="H864" s="80"/>
      <c r="I864" s="80"/>
      <c r="J864" s="80"/>
      <c r="K864" s="80"/>
      <c r="L864" s="2"/>
      <c r="M864" s="2"/>
      <c r="N864" s="2"/>
      <c r="O864" s="2"/>
      <c r="P864" s="2"/>
      <c r="Q864" s="2"/>
      <c r="R864" s="80"/>
      <c r="S864" s="80"/>
      <c r="T864" s="80"/>
      <c r="U864" s="80"/>
      <c r="V864" s="80"/>
      <c r="W864" s="80"/>
      <c r="X864" s="80"/>
      <c r="Y864" s="80"/>
      <c r="Z864" s="80"/>
      <c r="AA864" s="80"/>
      <c r="AB864" s="80"/>
      <c r="AC864" s="80"/>
      <c r="AD864" s="80"/>
      <c r="AE864" s="80"/>
      <c r="AF864" s="80"/>
      <c r="AG864" s="80"/>
    </row>
    <row r="865" spans="1:33" x14ac:dyDescent="0.2">
      <c r="A865" s="2"/>
      <c r="B865" s="80"/>
      <c r="C865" s="80"/>
      <c r="D865" s="80"/>
      <c r="E865" s="80"/>
      <c r="F865" s="80"/>
      <c r="G865" s="80"/>
      <c r="H865" s="80"/>
      <c r="I865" s="80"/>
      <c r="J865" s="80"/>
      <c r="K865" s="80"/>
      <c r="L865" s="2"/>
      <c r="M865" s="2"/>
      <c r="N865" s="2"/>
      <c r="O865" s="2"/>
      <c r="P865" s="2"/>
      <c r="Q865" s="2"/>
      <c r="R865" s="80"/>
      <c r="S865" s="80"/>
      <c r="T865" s="80"/>
      <c r="U865" s="80"/>
      <c r="V865" s="80"/>
      <c r="W865" s="80"/>
      <c r="X865" s="80"/>
      <c r="Y865" s="80"/>
      <c r="Z865" s="80"/>
      <c r="AA865" s="80"/>
      <c r="AB865" s="80"/>
      <c r="AC865" s="80"/>
      <c r="AD865" s="80"/>
      <c r="AE865" s="80"/>
      <c r="AF865" s="80"/>
      <c r="AG865" s="80"/>
    </row>
    <row r="866" spans="1:33" x14ac:dyDescent="0.2">
      <c r="A866" s="2"/>
      <c r="B866" s="80"/>
      <c r="C866" s="80"/>
      <c r="D866" s="80"/>
      <c r="E866" s="80"/>
      <c r="F866" s="80"/>
      <c r="G866" s="80"/>
      <c r="H866" s="80"/>
      <c r="I866" s="80"/>
      <c r="J866" s="80"/>
      <c r="K866" s="80"/>
      <c r="L866" s="2"/>
      <c r="M866" s="2"/>
      <c r="N866" s="2"/>
      <c r="O866" s="2"/>
      <c r="P866" s="2"/>
      <c r="Q866" s="2"/>
      <c r="R866" s="80"/>
      <c r="S866" s="80"/>
      <c r="T866" s="80"/>
      <c r="U866" s="80"/>
      <c r="V866" s="80"/>
      <c r="W866" s="80"/>
      <c r="X866" s="80"/>
      <c r="Y866" s="80"/>
      <c r="Z866" s="80"/>
      <c r="AA866" s="80"/>
      <c r="AB866" s="80"/>
      <c r="AC866" s="80"/>
      <c r="AD866" s="80"/>
      <c r="AE866" s="80"/>
      <c r="AF866" s="80"/>
      <c r="AG866" s="80"/>
    </row>
    <row r="867" spans="1:33" x14ac:dyDescent="0.2">
      <c r="A867" s="2"/>
      <c r="B867" s="80"/>
      <c r="C867" s="80"/>
      <c r="D867" s="80"/>
      <c r="E867" s="80"/>
      <c r="F867" s="80"/>
      <c r="G867" s="80"/>
      <c r="H867" s="80"/>
      <c r="I867" s="80"/>
      <c r="J867" s="80"/>
      <c r="K867" s="80"/>
      <c r="L867" s="2"/>
      <c r="M867" s="2"/>
      <c r="N867" s="2"/>
      <c r="O867" s="2"/>
      <c r="P867" s="2"/>
      <c r="Q867" s="2"/>
      <c r="R867" s="80"/>
      <c r="S867" s="80"/>
      <c r="T867" s="80"/>
      <c r="U867" s="80"/>
      <c r="V867" s="80"/>
      <c r="W867" s="80"/>
      <c r="X867" s="80"/>
      <c r="Y867" s="80"/>
      <c r="Z867" s="80"/>
      <c r="AA867" s="80"/>
      <c r="AB867" s="80"/>
      <c r="AC867" s="80"/>
      <c r="AD867" s="80"/>
      <c r="AE867" s="80"/>
      <c r="AF867" s="80"/>
      <c r="AG867" s="80"/>
    </row>
    <row r="868" spans="1:33" x14ac:dyDescent="0.2">
      <c r="A868" s="2"/>
      <c r="B868" s="80"/>
      <c r="C868" s="80"/>
      <c r="D868" s="80"/>
      <c r="E868" s="80"/>
      <c r="F868" s="80"/>
      <c r="G868" s="80"/>
      <c r="H868" s="80"/>
      <c r="I868" s="80"/>
      <c r="J868" s="80"/>
      <c r="K868" s="80"/>
      <c r="L868" s="2"/>
      <c r="M868" s="2"/>
      <c r="N868" s="2"/>
      <c r="O868" s="2"/>
      <c r="P868" s="2"/>
      <c r="Q868" s="2"/>
      <c r="R868" s="80"/>
      <c r="S868" s="80"/>
      <c r="T868" s="80"/>
      <c r="U868" s="80"/>
      <c r="V868" s="80"/>
      <c r="W868" s="80"/>
      <c r="X868" s="80"/>
      <c r="Y868" s="80"/>
      <c r="Z868" s="80"/>
      <c r="AA868" s="80"/>
      <c r="AB868" s="80"/>
      <c r="AC868" s="80"/>
      <c r="AD868" s="80"/>
      <c r="AE868" s="80"/>
      <c r="AF868" s="80"/>
      <c r="AG868" s="80"/>
    </row>
    <row r="869" spans="1:33" x14ac:dyDescent="0.2">
      <c r="A869" s="2"/>
      <c r="B869" s="80"/>
      <c r="C869" s="80"/>
      <c r="D869" s="80"/>
      <c r="E869" s="80"/>
      <c r="F869" s="80"/>
      <c r="G869" s="80"/>
      <c r="H869" s="80"/>
      <c r="I869" s="80"/>
      <c r="J869" s="80"/>
      <c r="K869" s="80"/>
      <c r="L869" s="2"/>
      <c r="M869" s="2"/>
      <c r="N869" s="2"/>
      <c r="O869" s="2"/>
      <c r="P869" s="2"/>
      <c r="Q869" s="2"/>
      <c r="R869" s="80"/>
      <c r="S869" s="80"/>
      <c r="T869" s="80"/>
      <c r="U869" s="80"/>
      <c r="V869" s="80"/>
      <c r="W869" s="80"/>
      <c r="X869" s="80"/>
      <c r="Y869" s="80"/>
      <c r="Z869" s="80"/>
      <c r="AA869" s="80"/>
      <c r="AB869" s="80"/>
      <c r="AC869" s="80"/>
      <c r="AD869" s="80"/>
      <c r="AE869" s="80"/>
      <c r="AF869" s="80"/>
      <c r="AG869" s="80"/>
    </row>
    <row r="870" spans="1:33" x14ac:dyDescent="0.2">
      <c r="A870" s="2"/>
      <c r="B870" s="80"/>
      <c r="C870" s="80"/>
      <c r="D870" s="80"/>
      <c r="E870" s="80"/>
      <c r="F870" s="80"/>
      <c r="G870" s="80"/>
      <c r="H870" s="80"/>
      <c r="I870" s="80"/>
      <c r="J870" s="80"/>
      <c r="K870" s="80"/>
      <c r="L870" s="2"/>
      <c r="M870" s="2"/>
      <c r="N870" s="2"/>
      <c r="O870" s="2"/>
      <c r="P870" s="2"/>
      <c r="Q870" s="2"/>
      <c r="R870" s="80"/>
      <c r="S870" s="80"/>
      <c r="T870" s="80"/>
      <c r="U870" s="80"/>
      <c r="V870" s="80"/>
      <c r="W870" s="80"/>
      <c r="X870" s="80"/>
      <c r="Y870" s="80"/>
      <c r="Z870" s="80"/>
      <c r="AA870" s="80"/>
      <c r="AB870" s="80"/>
      <c r="AC870" s="80"/>
      <c r="AD870" s="80"/>
      <c r="AE870" s="80"/>
      <c r="AF870" s="80"/>
      <c r="AG870" s="80"/>
    </row>
    <row r="871" spans="1:33" x14ac:dyDescent="0.2">
      <c r="A871" s="2"/>
      <c r="B871" s="80"/>
      <c r="C871" s="80"/>
      <c r="D871" s="80"/>
      <c r="E871" s="80"/>
      <c r="F871" s="80"/>
      <c r="G871" s="80"/>
      <c r="H871" s="80"/>
      <c r="I871" s="80"/>
      <c r="J871" s="80"/>
      <c r="K871" s="80"/>
      <c r="L871" s="2"/>
      <c r="M871" s="2"/>
      <c r="N871" s="2"/>
      <c r="O871" s="2"/>
      <c r="P871" s="2"/>
      <c r="Q871" s="2"/>
      <c r="R871" s="80"/>
      <c r="S871" s="80"/>
      <c r="T871" s="80"/>
      <c r="U871" s="80"/>
      <c r="V871" s="80"/>
      <c r="W871" s="80"/>
      <c r="X871" s="80"/>
      <c r="Y871" s="80"/>
      <c r="Z871" s="80"/>
      <c r="AA871" s="80"/>
      <c r="AB871" s="80"/>
      <c r="AC871" s="80"/>
      <c r="AD871" s="80"/>
      <c r="AE871" s="80"/>
      <c r="AF871" s="80"/>
      <c r="AG871" s="80"/>
    </row>
    <row r="872" spans="1:33" x14ac:dyDescent="0.2">
      <c r="A872" s="2"/>
      <c r="B872" s="80"/>
      <c r="C872" s="80"/>
      <c r="D872" s="80"/>
      <c r="E872" s="80"/>
      <c r="F872" s="80"/>
      <c r="G872" s="80"/>
      <c r="H872" s="80"/>
      <c r="I872" s="80"/>
      <c r="J872" s="80"/>
      <c r="K872" s="80"/>
      <c r="L872" s="2"/>
      <c r="M872" s="2"/>
      <c r="N872" s="2"/>
      <c r="O872" s="2"/>
      <c r="P872" s="2"/>
      <c r="Q872" s="2"/>
      <c r="R872" s="80"/>
      <c r="S872" s="80"/>
      <c r="T872" s="80"/>
      <c r="U872" s="80"/>
      <c r="V872" s="80"/>
      <c r="W872" s="80"/>
      <c r="X872" s="80"/>
      <c r="Y872" s="80"/>
      <c r="Z872" s="80"/>
      <c r="AA872" s="80"/>
      <c r="AB872" s="80"/>
      <c r="AC872" s="80"/>
      <c r="AD872" s="80"/>
      <c r="AE872" s="80"/>
      <c r="AF872" s="80"/>
      <c r="AG872" s="80"/>
    </row>
    <row r="873" spans="1:33" x14ac:dyDescent="0.2">
      <c r="A873" s="2"/>
      <c r="B873" s="80"/>
      <c r="C873" s="80"/>
      <c r="D873" s="80"/>
      <c r="E873" s="80"/>
      <c r="F873" s="80"/>
      <c r="G873" s="80"/>
      <c r="H873" s="80"/>
      <c r="I873" s="80"/>
      <c r="J873" s="80"/>
      <c r="K873" s="80"/>
      <c r="L873" s="2"/>
      <c r="M873" s="2"/>
      <c r="N873" s="2"/>
      <c r="O873" s="2"/>
      <c r="P873" s="2"/>
      <c r="Q873" s="2"/>
      <c r="R873" s="80"/>
      <c r="S873" s="80"/>
      <c r="T873" s="80"/>
      <c r="U873" s="80"/>
      <c r="V873" s="80"/>
      <c r="W873" s="80"/>
      <c r="X873" s="80"/>
      <c r="Y873" s="80"/>
      <c r="Z873" s="80"/>
      <c r="AA873" s="80"/>
      <c r="AB873" s="80"/>
      <c r="AC873" s="80"/>
      <c r="AD873" s="80"/>
      <c r="AE873" s="80"/>
      <c r="AF873" s="80"/>
      <c r="AG873" s="80"/>
    </row>
    <row r="874" spans="1:33" x14ac:dyDescent="0.2">
      <c r="A874" s="2"/>
      <c r="B874" s="80"/>
      <c r="C874" s="80"/>
      <c r="D874" s="80"/>
      <c r="E874" s="80"/>
      <c r="F874" s="80"/>
      <c r="G874" s="80"/>
      <c r="H874" s="80"/>
      <c r="I874" s="80"/>
      <c r="J874" s="80"/>
      <c r="K874" s="80"/>
      <c r="L874" s="2"/>
      <c r="M874" s="2"/>
      <c r="N874" s="2"/>
      <c r="O874" s="2"/>
      <c r="P874" s="2"/>
      <c r="Q874" s="2"/>
      <c r="R874" s="80"/>
      <c r="S874" s="80"/>
      <c r="T874" s="80"/>
      <c r="U874" s="80"/>
      <c r="V874" s="80"/>
      <c r="W874" s="80"/>
      <c r="X874" s="80"/>
      <c r="Y874" s="80"/>
      <c r="Z874" s="80"/>
      <c r="AA874" s="80"/>
      <c r="AB874" s="80"/>
      <c r="AC874" s="80"/>
      <c r="AD874" s="80"/>
      <c r="AE874" s="80"/>
      <c r="AF874" s="80"/>
      <c r="AG874" s="80"/>
    </row>
    <row r="875" spans="1:33" x14ac:dyDescent="0.2">
      <c r="A875" s="2"/>
      <c r="B875" s="80"/>
      <c r="C875" s="80"/>
      <c r="D875" s="80"/>
      <c r="E875" s="80"/>
      <c r="F875" s="80"/>
      <c r="G875" s="80"/>
      <c r="H875" s="80"/>
      <c r="I875" s="80"/>
      <c r="J875" s="80"/>
      <c r="K875" s="80"/>
      <c r="L875" s="2"/>
      <c r="M875" s="2"/>
      <c r="N875" s="2"/>
      <c r="O875" s="2"/>
      <c r="P875" s="2"/>
      <c r="Q875" s="2"/>
      <c r="R875" s="80"/>
      <c r="S875" s="80"/>
      <c r="T875" s="80"/>
      <c r="U875" s="80"/>
      <c r="V875" s="80"/>
      <c r="W875" s="80"/>
      <c r="X875" s="80"/>
      <c r="Y875" s="80"/>
      <c r="Z875" s="80"/>
      <c r="AA875" s="80"/>
      <c r="AB875" s="80"/>
      <c r="AC875" s="80"/>
      <c r="AD875" s="80"/>
      <c r="AE875" s="80"/>
      <c r="AF875" s="80"/>
      <c r="AG875" s="80"/>
    </row>
    <row r="876" spans="1:33" x14ac:dyDescent="0.2">
      <c r="A876" s="2"/>
      <c r="B876" s="80"/>
      <c r="C876" s="80"/>
      <c r="D876" s="80"/>
      <c r="E876" s="80"/>
      <c r="F876" s="80"/>
      <c r="G876" s="80"/>
      <c r="H876" s="80"/>
      <c r="I876" s="80"/>
      <c r="J876" s="80"/>
      <c r="K876" s="80"/>
      <c r="L876" s="2"/>
      <c r="M876" s="2"/>
      <c r="N876" s="2"/>
      <c r="O876" s="2"/>
      <c r="P876" s="2"/>
      <c r="Q876" s="2"/>
      <c r="R876" s="80"/>
      <c r="S876" s="80"/>
      <c r="T876" s="80"/>
      <c r="U876" s="80"/>
      <c r="V876" s="80"/>
      <c r="W876" s="80"/>
      <c r="X876" s="80"/>
      <c r="Y876" s="80"/>
      <c r="Z876" s="80"/>
      <c r="AA876" s="80"/>
      <c r="AB876" s="80"/>
      <c r="AC876" s="80"/>
      <c r="AD876" s="80"/>
      <c r="AE876" s="80"/>
      <c r="AF876" s="80"/>
      <c r="AG876" s="80"/>
    </row>
    <row r="877" spans="1:33" x14ac:dyDescent="0.2">
      <c r="A877" s="2"/>
      <c r="B877" s="80"/>
      <c r="C877" s="80"/>
      <c r="D877" s="80"/>
      <c r="E877" s="80"/>
      <c r="F877" s="80"/>
      <c r="G877" s="80"/>
      <c r="H877" s="80"/>
      <c r="I877" s="80"/>
      <c r="J877" s="80"/>
      <c r="K877" s="80"/>
      <c r="L877" s="2"/>
      <c r="M877" s="2"/>
      <c r="N877" s="2"/>
      <c r="O877" s="2"/>
      <c r="P877" s="2"/>
      <c r="Q877" s="2"/>
      <c r="R877" s="80"/>
      <c r="S877" s="80"/>
      <c r="T877" s="80"/>
      <c r="U877" s="80"/>
      <c r="V877" s="80"/>
      <c r="W877" s="80"/>
      <c r="X877" s="80"/>
      <c r="Y877" s="80"/>
      <c r="Z877" s="80"/>
      <c r="AA877" s="80"/>
      <c r="AB877" s="80"/>
      <c r="AC877" s="80"/>
      <c r="AD877" s="80"/>
      <c r="AE877" s="80"/>
      <c r="AF877" s="80"/>
      <c r="AG877" s="80"/>
    </row>
    <row r="878" spans="1:33" x14ac:dyDescent="0.2">
      <c r="A878" s="2"/>
      <c r="B878" s="80"/>
      <c r="C878" s="80"/>
      <c r="D878" s="80"/>
      <c r="E878" s="80"/>
      <c r="F878" s="80"/>
      <c r="G878" s="80"/>
      <c r="H878" s="80"/>
      <c r="I878" s="80"/>
      <c r="J878" s="80"/>
      <c r="K878" s="80"/>
      <c r="L878" s="2"/>
      <c r="M878" s="2"/>
      <c r="N878" s="2"/>
      <c r="O878" s="2"/>
      <c r="P878" s="2"/>
      <c r="Q878" s="2"/>
      <c r="R878" s="80"/>
      <c r="S878" s="80"/>
      <c r="T878" s="80"/>
      <c r="U878" s="80"/>
      <c r="V878" s="80"/>
      <c r="W878" s="80"/>
      <c r="X878" s="80"/>
      <c r="Y878" s="80"/>
      <c r="Z878" s="80"/>
      <c r="AA878" s="80"/>
      <c r="AB878" s="80"/>
      <c r="AC878" s="80"/>
      <c r="AD878" s="80"/>
      <c r="AE878" s="80"/>
      <c r="AF878" s="80"/>
      <c r="AG878" s="80"/>
    </row>
    <row r="879" spans="1:33" x14ac:dyDescent="0.2">
      <c r="A879" s="2"/>
      <c r="B879" s="80"/>
      <c r="C879" s="80"/>
      <c r="D879" s="80"/>
      <c r="E879" s="80"/>
      <c r="F879" s="80"/>
      <c r="G879" s="80"/>
      <c r="H879" s="80"/>
      <c r="I879" s="80"/>
      <c r="J879" s="80"/>
      <c r="K879" s="80"/>
      <c r="L879" s="2"/>
      <c r="M879" s="2"/>
      <c r="N879" s="2"/>
      <c r="O879" s="2"/>
      <c r="P879" s="2"/>
      <c r="Q879" s="2"/>
      <c r="R879" s="80"/>
      <c r="S879" s="80"/>
      <c r="T879" s="80"/>
      <c r="U879" s="80"/>
      <c r="V879" s="80"/>
      <c r="W879" s="80"/>
      <c r="X879" s="80"/>
      <c r="Y879" s="80"/>
      <c r="Z879" s="80"/>
      <c r="AA879" s="80"/>
      <c r="AB879" s="80"/>
      <c r="AC879" s="80"/>
      <c r="AD879" s="80"/>
      <c r="AE879" s="80"/>
      <c r="AF879" s="80"/>
      <c r="AG879" s="80"/>
    </row>
    <row r="880" spans="1:33" x14ac:dyDescent="0.2">
      <c r="A880" s="2"/>
      <c r="B880" s="80"/>
      <c r="C880" s="80"/>
      <c r="D880" s="80"/>
      <c r="E880" s="80"/>
      <c r="F880" s="80"/>
      <c r="G880" s="80"/>
      <c r="H880" s="80"/>
      <c r="I880" s="80"/>
      <c r="J880" s="80"/>
      <c r="K880" s="80"/>
      <c r="L880" s="2"/>
      <c r="M880" s="2"/>
      <c r="N880" s="2"/>
      <c r="O880" s="2"/>
      <c r="P880" s="2"/>
      <c r="Q880" s="2"/>
      <c r="R880" s="80"/>
      <c r="S880" s="80"/>
      <c r="T880" s="80"/>
      <c r="U880" s="80"/>
      <c r="V880" s="80"/>
      <c r="W880" s="80"/>
      <c r="X880" s="80"/>
      <c r="Y880" s="80"/>
      <c r="Z880" s="80"/>
      <c r="AA880" s="80"/>
      <c r="AB880" s="80"/>
      <c r="AC880" s="80"/>
      <c r="AD880" s="80"/>
      <c r="AE880" s="80"/>
      <c r="AF880" s="80"/>
      <c r="AG880" s="80"/>
    </row>
    <row r="881" spans="1:33" x14ac:dyDescent="0.2">
      <c r="A881" s="2"/>
      <c r="B881" s="80"/>
      <c r="C881" s="80"/>
      <c r="D881" s="80"/>
      <c r="E881" s="80"/>
      <c r="F881" s="80"/>
      <c r="G881" s="80"/>
      <c r="H881" s="80"/>
      <c r="I881" s="80"/>
      <c r="J881" s="80"/>
      <c r="K881" s="80"/>
      <c r="L881" s="2"/>
      <c r="M881" s="2"/>
      <c r="N881" s="2"/>
      <c r="O881" s="2"/>
      <c r="P881" s="2"/>
      <c r="Q881" s="2"/>
      <c r="R881" s="80"/>
      <c r="S881" s="80"/>
      <c r="T881" s="80"/>
      <c r="U881" s="80"/>
      <c r="V881" s="80"/>
      <c r="W881" s="80"/>
      <c r="X881" s="80"/>
      <c r="Y881" s="80"/>
      <c r="Z881" s="80"/>
      <c r="AA881" s="80"/>
      <c r="AB881" s="80"/>
      <c r="AC881" s="80"/>
      <c r="AD881" s="80"/>
      <c r="AE881" s="80"/>
      <c r="AF881" s="80"/>
      <c r="AG881" s="80"/>
    </row>
    <row r="882" spans="1:33" x14ac:dyDescent="0.2">
      <c r="A882" s="2"/>
      <c r="B882" s="80"/>
      <c r="C882" s="80"/>
      <c r="D882" s="80"/>
      <c r="E882" s="80"/>
      <c r="F882" s="80"/>
      <c r="G882" s="80"/>
      <c r="H882" s="80"/>
      <c r="I882" s="80"/>
      <c r="J882" s="80"/>
      <c r="K882" s="80"/>
      <c r="L882" s="2"/>
      <c r="M882" s="2"/>
      <c r="N882" s="2"/>
      <c r="O882" s="2"/>
      <c r="P882" s="2"/>
      <c r="Q882" s="2"/>
      <c r="R882" s="80"/>
      <c r="S882" s="80"/>
      <c r="T882" s="80"/>
      <c r="U882" s="80"/>
      <c r="V882" s="80"/>
      <c r="W882" s="80"/>
      <c r="X882" s="80"/>
      <c r="Y882" s="80"/>
      <c r="Z882" s="80"/>
      <c r="AA882" s="80"/>
      <c r="AB882" s="80"/>
      <c r="AC882" s="80"/>
      <c r="AD882" s="80"/>
      <c r="AE882" s="80"/>
      <c r="AF882" s="80"/>
      <c r="AG882" s="80"/>
    </row>
    <row r="883" spans="1:33" x14ac:dyDescent="0.2">
      <c r="A883" s="2"/>
      <c r="B883" s="80"/>
      <c r="C883" s="80"/>
      <c r="D883" s="80"/>
      <c r="E883" s="80"/>
      <c r="F883" s="80"/>
      <c r="G883" s="80"/>
      <c r="H883" s="80"/>
      <c r="I883" s="80"/>
      <c r="J883" s="80"/>
      <c r="K883" s="80"/>
      <c r="L883" s="2"/>
      <c r="M883" s="2"/>
      <c r="N883" s="2"/>
      <c r="O883" s="2"/>
      <c r="P883" s="2"/>
      <c r="Q883" s="2"/>
      <c r="R883" s="80"/>
      <c r="S883" s="80"/>
      <c r="T883" s="80"/>
      <c r="U883" s="80"/>
      <c r="V883" s="80"/>
      <c r="W883" s="80"/>
      <c r="X883" s="80"/>
      <c r="Y883" s="80"/>
      <c r="Z883" s="80"/>
      <c r="AA883" s="80"/>
      <c r="AB883" s="80"/>
      <c r="AC883" s="80"/>
      <c r="AD883" s="80"/>
      <c r="AE883" s="80"/>
      <c r="AF883" s="80"/>
      <c r="AG883" s="80"/>
    </row>
    <row r="884" spans="1:33" x14ac:dyDescent="0.2">
      <c r="A884" s="2"/>
      <c r="B884" s="80"/>
      <c r="C884" s="80"/>
      <c r="D884" s="80"/>
      <c r="E884" s="80"/>
      <c r="F884" s="80"/>
      <c r="G884" s="80"/>
      <c r="H884" s="80"/>
      <c r="I884" s="80"/>
      <c r="J884" s="80"/>
      <c r="K884" s="80"/>
      <c r="L884" s="2"/>
      <c r="M884" s="2"/>
      <c r="N884" s="2"/>
      <c r="O884" s="2"/>
      <c r="P884" s="2"/>
      <c r="Q884" s="2"/>
      <c r="R884" s="80"/>
      <c r="S884" s="80"/>
      <c r="T884" s="80"/>
      <c r="U884" s="80"/>
      <c r="V884" s="80"/>
      <c r="W884" s="80"/>
      <c r="X884" s="80"/>
      <c r="Y884" s="80"/>
      <c r="Z884" s="80"/>
      <c r="AA884" s="80"/>
      <c r="AB884" s="80"/>
      <c r="AC884" s="80"/>
      <c r="AD884" s="80"/>
      <c r="AE884" s="80"/>
      <c r="AF884" s="80"/>
      <c r="AG884" s="80"/>
    </row>
    <row r="885" spans="1:33" x14ac:dyDescent="0.2">
      <c r="A885" s="2"/>
      <c r="B885" s="80"/>
      <c r="C885" s="80"/>
      <c r="D885" s="80"/>
      <c r="E885" s="80"/>
      <c r="F885" s="80"/>
      <c r="G885" s="80"/>
      <c r="H885" s="80"/>
      <c r="I885" s="80"/>
      <c r="J885" s="80"/>
      <c r="K885" s="80"/>
      <c r="L885" s="2"/>
      <c r="M885" s="2"/>
      <c r="N885" s="2"/>
      <c r="O885" s="2"/>
      <c r="P885" s="2"/>
      <c r="Q885" s="2"/>
      <c r="R885" s="80"/>
      <c r="S885" s="80"/>
      <c r="T885" s="80"/>
      <c r="U885" s="80"/>
      <c r="V885" s="80"/>
      <c r="W885" s="80"/>
      <c r="X885" s="80"/>
      <c r="Y885" s="80"/>
      <c r="Z885" s="80"/>
      <c r="AA885" s="80"/>
      <c r="AB885" s="80"/>
      <c r="AC885" s="80"/>
      <c r="AD885" s="80"/>
      <c r="AE885" s="80"/>
      <c r="AF885" s="80"/>
      <c r="AG885" s="80"/>
    </row>
    <row r="886" spans="1:33" x14ac:dyDescent="0.2">
      <c r="A886" s="2"/>
      <c r="B886" s="80"/>
      <c r="C886" s="80"/>
      <c r="D886" s="80"/>
      <c r="E886" s="80"/>
      <c r="F886" s="80"/>
      <c r="G886" s="80"/>
      <c r="H886" s="80"/>
      <c r="I886" s="80"/>
      <c r="J886" s="80"/>
      <c r="K886" s="80"/>
      <c r="L886" s="2"/>
      <c r="M886" s="2"/>
      <c r="N886" s="2"/>
      <c r="O886" s="2"/>
      <c r="P886" s="2"/>
      <c r="Q886" s="2"/>
      <c r="R886" s="80"/>
      <c r="S886" s="80"/>
      <c r="T886" s="80"/>
      <c r="U886" s="80"/>
      <c r="V886" s="80"/>
      <c r="W886" s="80"/>
      <c r="X886" s="80"/>
      <c r="Y886" s="80"/>
      <c r="Z886" s="80"/>
      <c r="AA886" s="80"/>
      <c r="AB886" s="80"/>
      <c r="AC886" s="80"/>
      <c r="AD886" s="80"/>
      <c r="AE886" s="80"/>
      <c r="AF886" s="80"/>
      <c r="AG886" s="80"/>
    </row>
    <row r="887" spans="1:33" x14ac:dyDescent="0.2">
      <c r="A887" s="2"/>
      <c r="B887" s="80"/>
      <c r="C887" s="80"/>
      <c r="D887" s="80"/>
      <c r="E887" s="80"/>
      <c r="F887" s="80"/>
      <c r="G887" s="80"/>
      <c r="H887" s="80"/>
      <c r="I887" s="80"/>
      <c r="J887" s="80"/>
      <c r="K887" s="80"/>
      <c r="L887" s="2"/>
      <c r="M887" s="2"/>
      <c r="N887" s="2"/>
      <c r="O887" s="2"/>
      <c r="P887" s="2"/>
      <c r="Q887" s="2"/>
      <c r="R887" s="80"/>
      <c r="S887" s="80"/>
      <c r="T887" s="80"/>
      <c r="U887" s="80"/>
      <c r="V887" s="80"/>
      <c r="W887" s="80"/>
      <c r="X887" s="80"/>
      <c r="Y887" s="80"/>
      <c r="Z887" s="80"/>
      <c r="AA887" s="80"/>
      <c r="AB887" s="80"/>
      <c r="AC887" s="80"/>
      <c r="AD887" s="80"/>
      <c r="AE887" s="80"/>
      <c r="AF887" s="80"/>
      <c r="AG887" s="80"/>
    </row>
    <row r="888" spans="1:33" x14ac:dyDescent="0.2">
      <c r="A888" s="2"/>
      <c r="B888" s="80"/>
      <c r="C888" s="80"/>
      <c r="D888" s="80"/>
      <c r="E888" s="80"/>
      <c r="F888" s="80"/>
      <c r="G888" s="80"/>
      <c r="H888" s="80"/>
      <c r="I888" s="80"/>
      <c r="J888" s="80"/>
      <c r="K888" s="80"/>
      <c r="L888" s="2"/>
      <c r="M888" s="2"/>
      <c r="N888" s="2"/>
      <c r="O888" s="2"/>
      <c r="P888" s="2"/>
      <c r="Q888" s="2"/>
      <c r="R888" s="80"/>
      <c r="S888" s="80"/>
      <c r="T888" s="80"/>
      <c r="U888" s="80"/>
      <c r="V888" s="80"/>
      <c r="W888" s="80"/>
      <c r="X888" s="80"/>
      <c r="Y888" s="80"/>
      <c r="Z888" s="80"/>
      <c r="AA888" s="80"/>
      <c r="AB888" s="80"/>
      <c r="AC888" s="80"/>
      <c r="AD888" s="80"/>
      <c r="AE888" s="80"/>
      <c r="AF888" s="80"/>
      <c r="AG888" s="80"/>
    </row>
    <row r="889" spans="1:33" x14ac:dyDescent="0.2">
      <c r="A889" s="2"/>
      <c r="B889" s="80"/>
      <c r="C889" s="80"/>
      <c r="D889" s="80"/>
      <c r="E889" s="80"/>
      <c r="F889" s="80"/>
      <c r="G889" s="80"/>
      <c r="H889" s="80"/>
      <c r="I889" s="80"/>
      <c r="J889" s="80"/>
      <c r="K889" s="80"/>
      <c r="L889" s="2"/>
      <c r="M889" s="2"/>
      <c r="N889" s="2"/>
      <c r="O889" s="2"/>
      <c r="P889" s="2"/>
      <c r="Q889" s="2"/>
      <c r="R889" s="80"/>
      <c r="S889" s="80"/>
      <c r="T889" s="80"/>
      <c r="U889" s="80"/>
      <c r="V889" s="80"/>
      <c r="W889" s="80"/>
      <c r="X889" s="80"/>
      <c r="Y889" s="80"/>
      <c r="Z889" s="80"/>
      <c r="AA889" s="80"/>
      <c r="AB889" s="80"/>
      <c r="AC889" s="80"/>
      <c r="AD889" s="80"/>
      <c r="AE889" s="80"/>
      <c r="AF889" s="80"/>
      <c r="AG889" s="80"/>
    </row>
    <row r="890" spans="1:33" x14ac:dyDescent="0.2">
      <c r="A890" s="2"/>
      <c r="B890" s="80"/>
      <c r="C890" s="80"/>
      <c r="D890" s="80"/>
      <c r="E890" s="80"/>
      <c r="F890" s="80"/>
      <c r="G890" s="80"/>
      <c r="H890" s="80"/>
      <c r="I890" s="80"/>
      <c r="J890" s="80"/>
      <c r="K890" s="80"/>
      <c r="L890" s="2"/>
      <c r="M890" s="2"/>
      <c r="N890" s="2"/>
      <c r="O890" s="2"/>
      <c r="P890" s="2"/>
      <c r="Q890" s="2"/>
      <c r="R890" s="80"/>
      <c r="S890" s="80"/>
      <c r="T890" s="80"/>
      <c r="U890" s="80"/>
      <c r="V890" s="80"/>
      <c r="W890" s="80"/>
      <c r="X890" s="80"/>
      <c r="Y890" s="80"/>
      <c r="Z890" s="80"/>
      <c r="AA890" s="80"/>
      <c r="AB890" s="80"/>
      <c r="AC890" s="80"/>
      <c r="AD890" s="80"/>
      <c r="AE890" s="80"/>
      <c r="AF890" s="80"/>
      <c r="AG890" s="80"/>
    </row>
    <row r="891" spans="1:33" x14ac:dyDescent="0.2">
      <c r="A891" s="2"/>
      <c r="B891" s="80"/>
      <c r="C891" s="80"/>
      <c r="D891" s="80"/>
      <c r="E891" s="80"/>
      <c r="F891" s="80"/>
      <c r="G891" s="80"/>
      <c r="H891" s="80"/>
      <c r="I891" s="80"/>
      <c r="J891" s="80"/>
      <c r="K891" s="80"/>
      <c r="L891" s="2"/>
      <c r="M891" s="2"/>
      <c r="N891" s="2"/>
      <c r="O891" s="2"/>
      <c r="P891" s="2"/>
      <c r="Q891" s="2"/>
      <c r="R891" s="80"/>
      <c r="S891" s="80"/>
      <c r="T891" s="80"/>
      <c r="U891" s="80"/>
      <c r="V891" s="80"/>
      <c r="W891" s="80"/>
      <c r="X891" s="80"/>
      <c r="Y891" s="80"/>
      <c r="Z891" s="80"/>
      <c r="AA891" s="80"/>
      <c r="AB891" s="80"/>
      <c r="AC891" s="80"/>
      <c r="AD891" s="80"/>
      <c r="AE891" s="80"/>
      <c r="AF891" s="80"/>
      <c r="AG891" s="80"/>
    </row>
    <row r="892" spans="1:33" x14ac:dyDescent="0.2">
      <c r="A892" s="2"/>
      <c r="B892" s="80"/>
      <c r="C892" s="80"/>
      <c r="D892" s="80"/>
      <c r="E892" s="80"/>
      <c r="F892" s="80"/>
      <c r="G892" s="80"/>
      <c r="H892" s="80"/>
      <c r="I892" s="80"/>
      <c r="J892" s="80"/>
      <c r="K892" s="80"/>
      <c r="L892" s="2"/>
      <c r="M892" s="2"/>
      <c r="N892" s="2"/>
      <c r="O892" s="2"/>
      <c r="P892" s="2"/>
      <c r="Q892" s="2"/>
      <c r="R892" s="80"/>
      <c r="S892" s="80"/>
      <c r="T892" s="80"/>
      <c r="U892" s="80"/>
      <c r="V892" s="80"/>
      <c r="W892" s="80"/>
      <c r="X892" s="80"/>
      <c r="Y892" s="80"/>
      <c r="Z892" s="80"/>
      <c r="AA892" s="80"/>
      <c r="AB892" s="80"/>
      <c r="AC892" s="80"/>
      <c r="AD892" s="80"/>
      <c r="AE892" s="80"/>
      <c r="AF892" s="80"/>
      <c r="AG892" s="80"/>
    </row>
    <row r="893" spans="1:33" x14ac:dyDescent="0.2">
      <c r="A893" s="2"/>
      <c r="B893" s="80"/>
      <c r="C893" s="80"/>
      <c r="D893" s="80"/>
      <c r="E893" s="80"/>
      <c r="F893" s="80"/>
      <c r="G893" s="80"/>
      <c r="H893" s="80"/>
      <c r="I893" s="80"/>
      <c r="J893" s="80"/>
      <c r="K893" s="80"/>
      <c r="L893" s="2"/>
      <c r="M893" s="2"/>
      <c r="N893" s="2"/>
      <c r="O893" s="2"/>
      <c r="P893" s="2"/>
      <c r="Q893" s="2"/>
      <c r="R893" s="80"/>
      <c r="S893" s="80"/>
      <c r="T893" s="80"/>
      <c r="U893" s="80"/>
      <c r="V893" s="80"/>
      <c r="W893" s="80"/>
      <c r="X893" s="80"/>
      <c r="Y893" s="80"/>
      <c r="Z893" s="80"/>
      <c r="AA893" s="80"/>
      <c r="AB893" s="80"/>
      <c r="AC893" s="80"/>
      <c r="AD893" s="80"/>
      <c r="AE893" s="80"/>
      <c r="AF893" s="80"/>
      <c r="AG893" s="80"/>
    </row>
    <row r="894" spans="1:33" x14ac:dyDescent="0.2">
      <c r="A894" s="2"/>
      <c r="B894" s="80"/>
      <c r="C894" s="80"/>
      <c r="D894" s="80"/>
      <c r="E894" s="80"/>
      <c r="F894" s="80"/>
      <c r="G894" s="80"/>
      <c r="H894" s="80"/>
      <c r="I894" s="80"/>
      <c r="J894" s="80"/>
      <c r="K894" s="80"/>
      <c r="L894" s="2"/>
      <c r="M894" s="2"/>
      <c r="N894" s="2"/>
      <c r="O894" s="2"/>
      <c r="P894" s="2"/>
      <c r="Q894" s="2"/>
      <c r="R894" s="80"/>
      <c r="S894" s="80"/>
      <c r="T894" s="80"/>
      <c r="U894" s="80"/>
      <c r="V894" s="80"/>
      <c r="W894" s="80"/>
      <c r="X894" s="80"/>
      <c r="Y894" s="80"/>
      <c r="Z894" s="80"/>
      <c r="AA894" s="80"/>
      <c r="AB894" s="80"/>
      <c r="AC894" s="80"/>
      <c r="AD894" s="80"/>
      <c r="AE894" s="80"/>
      <c r="AF894" s="80"/>
      <c r="AG894" s="80"/>
    </row>
    <row r="895" spans="1:33" x14ac:dyDescent="0.2">
      <c r="A895" s="2"/>
      <c r="B895" s="80"/>
      <c r="C895" s="80"/>
      <c r="D895" s="80"/>
      <c r="E895" s="80"/>
      <c r="F895" s="80"/>
      <c r="G895" s="80"/>
      <c r="H895" s="80"/>
      <c r="I895" s="80"/>
      <c r="J895" s="80"/>
      <c r="K895" s="80"/>
      <c r="L895" s="2"/>
      <c r="M895" s="2"/>
      <c r="N895" s="2"/>
      <c r="O895" s="2"/>
      <c r="P895" s="2"/>
      <c r="Q895" s="2"/>
      <c r="R895" s="80"/>
      <c r="S895" s="80"/>
      <c r="T895" s="80"/>
      <c r="U895" s="80"/>
      <c r="V895" s="80"/>
      <c r="W895" s="80"/>
      <c r="X895" s="80"/>
      <c r="Y895" s="80"/>
      <c r="Z895" s="80"/>
      <c r="AA895" s="80"/>
      <c r="AB895" s="80"/>
      <c r="AC895" s="80"/>
      <c r="AD895" s="80"/>
      <c r="AE895" s="80"/>
      <c r="AF895" s="80"/>
      <c r="AG895" s="80"/>
    </row>
    <row r="896" spans="1:33" x14ac:dyDescent="0.2">
      <c r="A896" s="2"/>
      <c r="B896" s="80"/>
      <c r="C896" s="80"/>
      <c r="D896" s="80"/>
      <c r="E896" s="80"/>
      <c r="F896" s="80"/>
      <c r="G896" s="80"/>
      <c r="H896" s="80"/>
      <c r="I896" s="80"/>
      <c r="J896" s="80"/>
      <c r="K896" s="80"/>
      <c r="L896" s="2"/>
      <c r="M896" s="2"/>
      <c r="N896" s="2"/>
      <c r="O896" s="2"/>
      <c r="P896" s="2"/>
      <c r="Q896" s="2"/>
      <c r="R896" s="80"/>
      <c r="S896" s="80"/>
      <c r="T896" s="80"/>
      <c r="U896" s="80"/>
      <c r="V896" s="80"/>
      <c r="W896" s="80"/>
      <c r="X896" s="80"/>
      <c r="Y896" s="80"/>
      <c r="Z896" s="80"/>
      <c r="AA896" s="80"/>
      <c r="AB896" s="80"/>
      <c r="AC896" s="80"/>
      <c r="AD896" s="80"/>
      <c r="AE896" s="80"/>
      <c r="AF896" s="80"/>
      <c r="AG896" s="80"/>
    </row>
    <row r="897" spans="1:33" x14ac:dyDescent="0.2">
      <c r="A897" s="2"/>
      <c r="B897" s="80"/>
      <c r="C897" s="80"/>
      <c r="D897" s="80"/>
      <c r="E897" s="80"/>
      <c r="F897" s="80"/>
      <c r="G897" s="80"/>
      <c r="H897" s="80"/>
      <c r="I897" s="80"/>
      <c r="J897" s="80"/>
      <c r="K897" s="80"/>
      <c r="L897" s="2"/>
      <c r="M897" s="2"/>
      <c r="N897" s="2"/>
      <c r="O897" s="2"/>
      <c r="P897" s="2"/>
      <c r="Q897" s="2"/>
      <c r="R897" s="80"/>
      <c r="S897" s="80"/>
      <c r="T897" s="80"/>
      <c r="U897" s="80"/>
      <c r="V897" s="80"/>
      <c r="W897" s="80"/>
      <c r="X897" s="80"/>
      <c r="Y897" s="80"/>
      <c r="Z897" s="80"/>
      <c r="AA897" s="80"/>
      <c r="AB897" s="80"/>
      <c r="AC897" s="80"/>
      <c r="AD897" s="80"/>
      <c r="AE897" s="80"/>
      <c r="AF897" s="80"/>
      <c r="AG897" s="80"/>
    </row>
    <row r="898" spans="1:33" x14ac:dyDescent="0.2">
      <c r="A898" s="2"/>
      <c r="B898" s="80"/>
      <c r="C898" s="80"/>
      <c r="D898" s="80"/>
      <c r="E898" s="80"/>
      <c r="F898" s="80"/>
      <c r="G898" s="80"/>
      <c r="H898" s="80"/>
      <c r="I898" s="80"/>
      <c r="J898" s="80"/>
      <c r="K898" s="80"/>
      <c r="L898" s="2"/>
      <c r="M898" s="2"/>
      <c r="N898" s="2"/>
      <c r="O898" s="2"/>
      <c r="P898" s="2"/>
      <c r="Q898" s="2"/>
      <c r="R898" s="80"/>
      <c r="S898" s="80"/>
      <c r="T898" s="80"/>
      <c r="U898" s="80"/>
      <c r="V898" s="80"/>
      <c r="W898" s="80"/>
      <c r="X898" s="80"/>
      <c r="Y898" s="80"/>
      <c r="Z898" s="80"/>
      <c r="AA898" s="80"/>
      <c r="AB898" s="80"/>
      <c r="AC898" s="80"/>
      <c r="AD898" s="80"/>
      <c r="AE898" s="80"/>
      <c r="AF898" s="80"/>
      <c r="AG898" s="80"/>
    </row>
    <row r="899" spans="1:33" x14ac:dyDescent="0.2">
      <c r="A899" s="2"/>
      <c r="B899" s="80"/>
      <c r="C899" s="80"/>
      <c r="D899" s="80"/>
      <c r="E899" s="80"/>
      <c r="F899" s="80"/>
      <c r="G899" s="80"/>
      <c r="H899" s="80"/>
      <c r="I899" s="80"/>
      <c r="J899" s="80"/>
      <c r="K899" s="80"/>
      <c r="L899" s="2"/>
      <c r="M899" s="2"/>
      <c r="N899" s="2"/>
      <c r="O899" s="2"/>
      <c r="P899" s="2"/>
      <c r="Q899" s="2"/>
      <c r="R899" s="80"/>
      <c r="S899" s="80"/>
      <c r="T899" s="80"/>
      <c r="U899" s="80"/>
      <c r="V899" s="80"/>
      <c r="W899" s="80"/>
      <c r="X899" s="80"/>
      <c r="Y899" s="80"/>
      <c r="Z899" s="80"/>
      <c r="AA899" s="80"/>
      <c r="AB899" s="80"/>
      <c r="AC899" s="80"/>
      <c r="AD899" s="80"/>
      <c r="AE899" s="80"/>
      <c r="AF899" s="80"/>
      <c r="AG899" s="80"/>
    </row>
    <row r="900" spans="1:33" x14ac:dyDescent="0.2">
      <c r="A900" s="2"/>
      <c r="B900" s="80"/>
      <c r="C900" s="80"/>
      <c r="D900" s="80"/>
      <c r="E900" s="80"/>
      <c r="F900" s="80"/>
      <c r="G900" s="80"/>
      <c r="H900" s="80"/>
      <c r="I900" s="80"/>
      <c r="J900" s="80"/>
      <c r="K900" s="80"/>
      <c r="L900" s="2"/>
      <c r="M900" s="2"/>
      <c r="N900" s="2"/>
      <c r="O900" s="2"/>
      <c r="P900" s="2"/>
      <c r="Q900" s="2"/>
      <c r="R900" s="80"/>
      <c r="S900" s="80"/>
      <c r="T900" s="80"/>
      <c r="U900" s="80"/>
      <c r="V900" s="80"/>
      <c r="W900" s="80"/>
      <c r="X900" s="80"/>
      <c r="Y900" s="80"/>
      <c r="Z900" s="80"/>
      <c r="AA900" s="80"/>
      <c r="AB900" s="80"/>
      <c r="AC900" s="80"/>
      <c r="AD900" s="80"/>
      <c r="AE900" s="80"/>
      <c r="AF900" s="80"/>
      <c r="AG900" s="80"/>
    </row>
    <row r="901" spans="1:33" x14ac:dyDescent="0.2">
      <c r="A901" s="2"/>
      <c r="B901" s="80"/>
      <c r="C901" s="80"/>
      <c r="D901" s="80"/>
      <c r="E901" s="80"/>
      <c r="F901" s="80"/>
      <c r="G901" s="80"/>
      <c r="H901" s="80"/>
      <c r="I901" s="80"/>
      <c r="J901" s="80"/>
      <c r="K901" s="80"/>
      <c r="L901" s="2"/>
      <c r="M901" s="2"/>
      <c r="N901" s="2"/>
      <c r="O901" s="2"/>
      <c r="P901" s="2"/>
      <c r="Q901" s="2"/>
      <c r="R901" s="80"/>
      <c r="S901" s="80"/>
      <c r="T901" s="80"/>
      <c r="U901" s="80"/>
      <c r="V901" s="80"/>
      <c r="W901" s="80"/>
      <c r="X901" s="80"/>
      <c r="Y901" s="80"/>
      <c r="Z901" s="80"/>
      <c r="AA901" s="80"/>
      <c r="AB901" s="80"/>
      <c r="AC901" s="80"/>
      <c r="AD901" s="80"/>
      <c r="AE901" s="80"/>
      <c r="AF901" s="80"/>
      <c r="AG901" s="80"/>
    </row>
    <row r="902" spans="1:33" x14ac:dyDescent="0.2">
      <c r="A902" s="2"/>
      <c r="B902" s="80"/>
      <c r="C902" s="80"/>
      <c r="D902" s="80"/>
      <c r="E902" s="80"/>
      <c r="F902" s="80"/>
      <c r="G902" s="80"/>
      <c r="H902" s="80"/>
      <c r="I902" s="80"/>
      <c r="J902" s="80"/>
      <c r="K902" s="80"/>
      <c r="L902" s="2"/>
      <c r="M902" s="2"/>
      <c r="N902" s="2"/>
      <c r="O902" s="2"/>
      <c r="P902" s="2"/>
      <c r="Q902" s="2"/>
      <c r="R902" s="80"/>
      <c r="S902" s="80"/>
      <c r="T902" s="80"/>
      <c r="U902" s="80"/>
      <c r="V902" s="80"/>
      <c r="W902" s="80"/>
      <c r="X902" s="80"/>
      <c r="Y902" s="80"/>
      <c r="Z902" s="80"/>
      <c r="AA902" s="80"/>
      <c r="AB902" s="80"/>
      <c r="AC902" s="80"/>
      <c r="AD902" s="80"/>
      <c r="AE902" s="80"/>
      <c r="AF902" s="80"/>
      <c r="AG902" s="80"/>
    </row>
    <row r="903" spans="1:33" x14ac:dyDescent="0.2">
      <c r="A903" s="2"/>
      <c r="B903" s="80"/>
      <c r="C903" s="80"/>
      <c r="D903" s="80"/>
      <c r="E903" s="80"/>
      <c r="F903" s="80"/>
      <c r="G903" s="80"/>
      <c r="H903" s="80"/>
      <c r="I903" s="80"/>
      <c r="J903" s="80"/>
      <c r="K903" s="80"/>
      <c r="L903" s="2"/>
      <c r="M903" s="2"/>
      <c r="N903" s="2"/>
      <c r="O903" s="2"/>
      <c r="P903" s="2"/>
      <c r="Q903" s="2"/>
      <c r="R903" s="80"/>
      <c r="S903" s="80"/>
      <c r="T903" s="80"/>
      <c r="U903" s="80"/>
      <c r="V903" s="80"/>
      <c r="W903" s="80"/>
      <c r="X903" s="80"/>
      <c r="Y903" s="80"/>
      <c r="Z903" s="80"/>
      <c r="AA903" s="80"/>
      <c r="AB903" s="80"/>
      <c r="AC903" s="80"/>
      <c r="AD903" s="80"/>
      <c r="AE903" s="80"/>
      <c r="AF903" s="80"/>
      <c r="AG903" s="80"/>
    </row>
    <row r="904" spans="1:33" x14ac:dyDescent="0.2">
      <c r="A904" s="2"/>
      <c r="B904" s="80"/>
      <c r="C904" s="80"/>
      <c r="D904" s="80"/>
      <c r="E904" s="80"/>
      <c r="F904" s="80"/>
      <c r="G904" s="80"/>
      <c r="H904" s="80"/>
      <c r="I904" s="80"/>
      <c r="J904" s="80"/>
      <c r="K904" s="80"/>
      <c r="L904" s="2"/>
      <c r="M904" s="2"/>
      <c r="N904" s="2"/>
      <c r="O904" s="2"/>
      <c r="P904" s="2"/>
      <c r="Q904" s="2"/>
      <c r="R904" s="80"/>
      <c r="S904" s="80"/>
      <c r="T904" s="80"/>
      <c r="U904" s="80"/>
      <c r="V904" s="80"/>
      <c r="W904" s="80"/>
      <c r="X904" s="80"/>
      <c r="Y904" s="80"/>
      <c r="Z904" s="80"/>
      <c r="AA904" s="80"/>
      <c r="AB904" s="80"/>
      <c r="AC904" s="80"/>
      <c r="AD904" s="80"/>
      <c r="AE904" s="80"/>
      <c r="AF904" s="80"/>
      <c r="AG904" s="80"/>
    </row>
    <row r="905" spans="1:33" x14ac:dyDescent="0.2">
      <c r="A905" s="2"/>
      <c r="B905" s="80"/>
      <c r="C905" s="80"/>
      <c r="D905" s="80"/>
      <c r="E905" s="80"/>
      <c r="F905" s="80"/>
      <c r="G905" s="80"/>
      <c r="H905" s="80"/>
      <c r="I905" s="80"/>
      <c r="J905" s="80"/>
      <c r="K905" s="80"/>
      <c r="L905" s="2"/>
      <c r="M905" s="2"/>
      <c r="N905" s="2"/>
      <c r="O905" s="2"/>
      <c r="P905" s="2"/>
      <c r="Q905" s="2"/>
      <c r="R905" s="80"/>
      <c r="S905" s="80"/>
      <c r="T905" s="80"/>
      <c r="U905" s="80"/>
      <c r="V905" s="80"/>
      <c r="W905" s="80"/>
      <c r="X905" s="80"/>
      <c r="Y905" s="80"/>
      <c r="Z905" s="80"/>
      <c r="AA905" s="80"/>
      <c r="AB905" s="80"/>
      <c r="AC905" s="80"/>
      <c r="AD905" s="80"/>
      <c r="AE905" s="80"/>
      <c r="AF905" s="80"/>
      <c r="AG905" s="80"/>
    </row>
    <row r="906" spans="1:33" x14ac:dyDescent="0.2">
      <c r="A906" s="2"/>
      <c r="B906" s="80"/>
      <c r="C906" s="80"/>
      <c r="D906" s="80"/>
      <c r="E906" s="80"/>
      <c r="F906" s="80"/>
      <c r="G906" s="80"/>
      <c r="H906" s="80"/>
      <c r="I906" s="80"/>
      <c r="J906" s="80"/>
      <c r="K906" s="80"/>
      <c r="L906" s="2"/>
      <c r="M906" s="2"/>
      <c r="N906" s="2"/>
      <c r="O906" s="2"/>
      <c r="P906" s="2"/>
      <c r="Q906" s="2"/>
      <c r="R906" s="80"/>
      <c r="S906" s="80"/>
      <c r="T906" s="80"/>
      <c r="U906" s="80"/>
      <c r="V906" s="80"/>
      <c r="W906" s="80"/>
      <c r="X906" s="80"/>
      <c r="Y906" s="80"/>
      <c r="Z906" s="80"/>
      <c r="AA906" s="80"/>
      <c r="AB906" s="80"/>
      <c r="AC906" s="80"/>
      <c r="AD906" s="80"/>
      <c r="AE906" s="80"/>
      <c r="AF906" s="80"/>
      <c r="AG906" s="80"/>
    </row>
    <row r="907" spans="1:33" x14ac:dyDescent="0.2">
      <c r="A907" s="2"/>
      <c r="B907" s="80"/>
      <c r="C907" s="80"/>
      <c r="D907" s="80"/>
      <c r="E907" s="80"/>
      <c r="F907" s="80"/>
      <c r="G907" s="80"/>
      <c r="H907" s="80"/>
      <c r="I907" s="80"/>
      <c r="J907" s="80"/>
      <c r="K907" s="80"/>
      <c r="L907" s="2"/>
      <c r="M907" s="2"/>
      <c r="N907" s="2"/>
      <c r="O907" s="2"/>
      <c r="P907" s="2"/>
      <c r="Q907" s="2"/>
      <c r="R907" s="80"/>
      <c r="S907" s="80"/>
      <c r="T907" s="80"/>
      <c r="U907" s="80"/>
      <c r="V907" s="80"/>
      <c r="W907" s="80"/>
      <c r="X907" s="80"/>
      <c r="Y907" s="80"/>
      <c r="Z907" s="80"/>
      <c r="AA907" s="80"/>
      <c r="AB907" s="80"/>
      <c r="AC907" s="80"/>
      <c r="AD907" s="80"/>
      <c r="AE907" s="80"/>
      <c r="AF907" s="80"/>
      <c r="AG907" s="80"/>
    </row>
    <row r="908" spans="1:33" x14ac:dyDescent="0.2">
      <c r="A908" s="2"/>
      <c r="B908" s="80"/>
      <c r="C908" s="80"/>
      <c r="D908" s="80"/>
      <c r="E908" s="80"/>
      <c r="F908" s="80"/>
      <c r="G908" s="80"/>
      <c r="H908" s="80"/>
      <c r="I908" s="80"/>
      <c r="J908" s="80"/>
      <c r="K908" s="80"/>
      <c r="L908" s="2"/>
      <c r="M908" s="2"/>
      <c r="N908" s="2"/>
      <c r="O908" s="2"/>
      <c r="P908" s="2"/>
      <c r="Q908" s="2"/>
      <c r="R908" s="80"/>
      <c r="S908" s="80"/>
      <c r="T908" s="80"/>
      <c r="U908" s="80"/>
      <c r="V908" s="80"/>
      <c r="W908" s="80"/>
      <c r="X908" s="80"/>
      <c r="Y908" s="80"/>
      <c r="Z908" s="80"/>
      <c r="AA908" s="80"/>
      <c r="AB908" s="80"/>
      <c r="AC908" s="80"/>
      <c r="AD908" s="80"/>
      <c r="AE908" s="80"/>
      <c r="AF908" s="80"/>
      <c r="AG908" s="80"/>
    </row>
    <row r="909" spans="1:33" x14ac:dyDescent="0.2">
      <c r="A909" s="2"/>
      <c r="B909" s="80"/>
      <c r="C909" s="80"/>
      <c r="D909" s="80"/>
      <c r="E909" s="80"/>
      <c r="F909" s="80"/>
      <c r="G909" s="80"/>
      <c r="H909" s="80"/>
      <c r="I909" s="80"/>
      <c r="J909" s="80"/>
      <c r="K909" s="80"/>
      <c r="L909" s="2"/>
      <c r="M909" s="2"/>
      <c r="N909" s="2"/>
      <c r="O909" s="2"/>
      <c r="P909" s="2"/>
      <c r="Q909" s="2"/>
      <c r="R909" s="80"/>
      <c r="S909" s="80"/>
      <c r="T909" s="80"/>
      <c r="U909" s="80"/>
      <c r="V909" s="80"/>
      <c r="W909" s="80"/>
      <c r="X909" s="80"/>
      <c r="Y909" s="80"/>
      <c r="Z909" s="80"/>
      <c r="AA909" s="80"/>
      <c r="AB909" s="80"/>
      <c r="AC909" s="80"/>
      <c r="AD909" s="80"/>
      <c r="AE909" s="80"/>
      <c r="AF909" s="80"/>
      <c r="AG909" s="80"/>
    </row>
    <row r="910" spans="1:33" x14ac:dyDescent="0.2">
      <c r="A910" s="2"/>
      <c r="B910" s="80"/>
      <c r="C910" s="80"/>
      <c r="D910" s="80"/>
      <c r="E910" s="80"/>
      <c r="F910" s="80"/>
      <c r="G910" s="80"/>
      <c r="H910" s="80"/>
      <c r="I910" s="80"/>
      <c r="J910" s="80"/>
      <c r="K910" s="80"/>
      <c r="L910" s="2"/>
      <c r="M910" s="2"/>
      <c r="N910" s="2"/>
      <c r="O910" s="2"/>
      <c r="P910" s="2"/>
      <c r="Q910" s="2"/>
      <c r="R910" s="80"/>
      <c r="S910" s="80"/>
      <c r="T910" s="80"/>
      <c r="U910" s="80"/>
      <c r="V910" s="80"/>
      <c r="W910" s="80"/>
      <c r="X910" s="80"/>
      <c r="Y910" s="80"/>
      <c r="Z910" s="80"/>
      <c r="AA910" s="80"/>
      <c r="AB910" s="80"/>
      <c r="AC910" s="80"/>
      <c r="AD910" s="80"/>
      <c r="AE910" s="80"/>
      <c r="AF910" s="80"/>
      <c r="AG910" s="80"/>
    </row>
    <row r="911" spans="1:33" x14ac:dyDescent="0.2">
      <c r="A911" s="2"/>
      <c r="B911" s="80"/>
      <c r="C911" s="80"/>
      <c r="D911" s="80"/>
      <c r="E911" s="80"/>
      <c r="F911" s="80"/>
      <c r="G911" s="80"/>
      <c r="H911" s="80"/>
      <c r="I911" s="80"/>
      <c r="J911" s="80"/>
      <c r="K911" s="80"/>
      <c r="L911" s="2"/>
      <c r="M911" s="2"/>
      <c r="N911" s="2"/>
      <c r="O911" s="2"/>
      <c r="P911" s="2"/>
      <c r="Q911" s="2"/>
      <c r="R911" s="80"/>
      <c r="S911" s="80"/>
      <c r="T911" s="80"/>
      <c r="U911" s="80"/>
      <c r="V911" s="80"/>
      <c r="W911" s="80"/>
      <c r="X911" s="80"/>
      <c r="Y911" s="80"/>
      <c r="Z911" s="80"/>
      <c r="AA911" s="80"/>
      <c r="AB911" s="80"/>
      <c r="AC911" s="80"/>
      <c r="AD911" s="80"/>
      <c r="AE911" s="80"/>
      <c r="AF911" s="80"/>
      <c r="AG911" s="80"/>
    </row>
    <row r="912" spans="1:33" x14ac:dyDescent="0.2">
      <c r="A912" s="2"/>
      <c r="B912" s="80"/>
      <c r="C912" s="80"/>
      <c r="D912" s="80"/>
      <c r="E912" s="80"/>
      <c r="F912" s="80"/>
      <c r="G912" s="80"/>
      <c r="H912" s="80"/>
      <c r="I912" s="80"/>
      <c r="J912" s="80"/>
      <c r="K912" s="80"/>
      <c r="L912" s="2"/>
      <c r="M912" s="2"/>
      <c r="N912" s="2"/>
      <c r="O912" s="2"/>
      <c r="P912" s="2"/>
      <c r="Q912" s="2"/>
      <c r="R912" s="80"/>
      <c r="S912" s="80"/>
      <c r="T912" s="80"/>
      <c r="U912" s="80"/>
      <c r="V912" s="80"/>
      <c r="W912" s="80"/>
      <c r="X912" s="80"/>
      <c r="Y912" s="80"/>
      <c r="Z912" s="80"/>
      <c r="AA912" s="80"/>
      <c r="AB912" s="80"/>
      <c r="AC912" s="80"/>
      <c r="AD912" s="80"/>
      <c r="AE912" s="80"/>
      <c r="AF912" s="80"/>
      <c r="AG912" s="80"/>
    </row>
    <row r="913" spans="1:33" x14ac:dyDescent="0.2">
      <c r="A913" s="2"/>
      <c r="B913" s="80"/>
      <c r="C913" s="80"/>
      <c r="D913" s="80"/>
      <c r="E913" s="80"/>
      <c r="F913" s="80"/>
      <c r="G913" s="80"/>
      <c r="H913" s="80"/>
      <c r="I913" s="80"/>
      <c r="J913" s="80"/>
      <c r="K913" s="80"/>
      <c r="L913" s="2"/>
      <c r="M913" s="2"/>
      <c r="N913" s="2"/>
      <c r="O913" s="2"/>
      <c r="P913" s="2"/>
      <c r="Q913" s="2"/>
      <c r="R913" s="80"/>
      <c r="S913" s="80"/>
      <c r="T913" s="80"/>
      <c r="U913" s="80"/>
      <c r="V913" s="80"/>
      <c r="W913" s="80"/>
      <c r="X913" s="80"/>
      <c r="Y913" s="80"/>
      <c r="Z913" s="80"/>
      <c r="AA913" s="80"/>
      <c r="AB913" s="80"/>
      <c r="AC913" s="80"/>
      <c r="AD913" s="80"/>
      <c r="AE913" s="80"/>
      <c r="AF913" s="80"/>
      <c r="AG913" s="80"/>
    </row>
    <row r="914" spans="1:33" x14ac:dyDescent="0.2">
      <c r="A914" s="2"/>
      <c r="B914" s="80"/>
      <c r="C914" s="80"/>
      <c r="D914" s="80"/>
      <c r="E914" s="80"/>
      <c r="F914" s="80"/>
      <c r="G914" s="80"/>
      <c r="H914" s="80"/>
      <c r="I914" s="80"/>
      <c r="J914" s="80"/>
      <c r="K914" s="80"/>
      <c r="L914" s="2"/>
      <c r="M914" s="2"/>
      <c r="N914" s="2"/>
      <c r="O914" s="2"/>
      <c r="P914" s="2"/>
      <c r="Q914" s="2"/>
      <c r="R914" s="80"/>
      <c r="S914" s="80"/>
      <c r="T914" s="80"/>
      <c r="U914" s="80"/>
      <c r="V914" s="80"/>
      <c r="W914" s="80"/>
      <c r="X914" s="80"/>
      <c r="Y914" s="80"/>
      <c r="Z914" s="80"/>
      <c r="AA914" s="80"/>
      <c r="AB914" s="80"/>
      <c r="AC914" s="80"/>
      <c r="AD914" s="80"/>
      <c r="AE914" s="80"/>
      <c r="AF914" s="80"/>
      <c r="AG914" s="80"/>
    </row>
    <row r="915" spans="1:33" x14ac:dyDescent="0.2">
      <c r="A915" s="2"/>
      <c r="B915" s="80"/>
      <c r="C915" s="80"/>
      <c r="D915" s="80"/>
      <c r="E915" s="80"/>
      <c r="F915" s="80"/>
      <c r="G915" s="80"/>
      <c r="H915" s="80"/>
      <c r="I915" s="80"/>
      <c r="J915" s="80"/>
      <c r="K915" s="80"/>
      <c r="L915" s="2"/>
      <c r="M915" s="2"/>
      <c r="N915" s="2"/>
      <c r="O915" s="2"/>
      <c r="P915" s="2"/>
      <c r="Q915" s="2"/>
      <c r="R915" s="80"/>
      <c r="S915" s="80"/>
      <c r="T915" s="80"/>
      <c r="U915" s="80"/>
      <c r="V915" s="80"/>
      <c r="W915" s="80"/>
      <c r="X915" s="80"/>
      <c r="Y915" s="80"/>
      <c r="Z915" s="80"/>
      <c r="AA915" s="80"/>
      <c r="AB915" s="80"/>
      <c r="AC915" s="80"/>
      <c r="AD915" s="80"/>
      <c r="AE915" s="80"/>
      <c r="AF915" s="80"/>
      <c r="AG915" s="80"/>
    </row>
    <row r="916" spans="1:33" x14ac:dyDescent="0.2">
      <c r="A916" s="2"/>
      <c r="B916" s="80"/>
      <c r="C916" s="80"/>
      <c r="D916" s="80"/>
      <c r="E916" s="80"/>
      <c r="F916" s="80"/>
      <c r="G916" s="80"/>
      <c r="H916" s="80"/>
      <c r="I916" s="80"/>
      <c r="J916" s="80"/>
      <c r="K916" s="80"/>
      <c r="L916" s="2"/>
      <c r="M916" s="2"/>
      <c r="N916" s="2"/>
      <c r="O916" s="2"/>
      <c r="P916" s="2"/>
      <c r="Q916" s="2"/>
      <c r="R916" s="80"/>
      <c r="S916" s="80"/>
      <c r="T916" s="80"/>
      <c r="U916" s="80"/>
      <c r="V916" s="80"/>
      <c r="W916" s="80"/>
      <c r="X916" s="80"/>
      <c r="Y916" s="80"/>
      <c r="Z916" s="80"/>
      <c r="AA916" s="80"/>
      <c r="AB916" s="80"/>
      <c r="AC916" s="80"/>
      <c r="AD916" s="80"/>
      <c r="AE916" s="80"/>
      <c r="AF916" s="80"/>
      <c r="AG916" s="80"/>
    </row>
    <row r="917" spans="1:33" x14ac:dyDescent="0.2">
      <c r="A917" s="2"/>
      <c r="B917" s="80"/>
      <c r="C917" s="80"/>
      <c r="D917" s="80"/>
      <c r="E917" s="80"/>
      <c r="F917" s="80"/>
      <c r="G917" s="80"/>
      <c r="H917" s="80"/>
      <c r="I917" s="80"/>
      <c r="J917" s="80"/>
      <c r="K917" s="80"/>
      <c r="L917" s="2"/>
      <c r="M917" s="2"/>
      <c r="N917" s="2"/>
      <c r="O917" s="2"/>
      <c r="P917" s="2"/>
      <c r="Q917" s="2"/>
      <c r="R917" s="80"/>
      <c r="S917" s="80"/>
      <c r="T917" s="80"/>
      <c r="U917" s="80"/>
      <c r="V917" s="80"/>
      <c r="W917" s="80"/>
      <c r="X917" s="80"/>
      <c r="Y917" s="80"/>
      <c r="Z917" s="80"/>
      <c r="AA917" s="80"/>
      <c r="AB917" s="80"/>
      <c r="AC917" s="80"/>
      <c r="AD917" s="80"/>
      <c r="AE917" s="80"/>
      <c r="AF917" s="80"/>
      <c r="AG917" s="80"/>
    </row>
    <row r="918" spans="1:33" x14ac:dyDescent="0.2">
      <c r="A918" s="2"/>
      <c r="B918" s="80"/>
      <c r="C918" s="80"/>
      <c r="D918" s="80"/>
      <c r="E918" s="80"/>
      <c r="F918" s="80"/>
      <c r="G918" s="80"/>
      <c r="H918" s="80"/>
      <c r="I918" s="80"/>
      <c r="J918" s="80"/>
      <c r="K918" s="80"/>
      <c r="L918" s="2"/>
      <c r="M918" s="2"/>
      <c r="N918" s="2"/>
      <c r="O918" s="2"/>
      <c r="P918" s="2"/>
      <c r="Q918" s="2"/>
      <c r="R918" s="80"/>
      <c r="S918" s="80"/>
      <c r="T918" s="80"/>
      <c r="U918" s="80"/>
      <c r="V918" s="80"/>
      <c r="W918" s="80"/>
      <c r="X918" s="80"/>
      <c r="Y918" s="80"/>
      <c r="Z918" s="80"/>
      <c r="AA918" s="80"/>
      <c r="AB918" s="80"/>
      <c r="AC918" s="80"/>
      <c r="AD918" s="80"/>
      <c r="AE918" s="80"/>
      <c r="AF918" s="80"/>
      <c r="AG918" s="80"/>
    </row>
    <row r="919" spans="1:33" x14ac:dyDescent="0.2">
      <c r="A919" s="2"/>
      <c r="B919" s="80"/>
      <c r="C919" s="80"/>
      <c r="D919" s="80"/>
      <c r="E919" s="80"/>
      <c r="F919" s="80"/>
      <c r="G919" s="80"/>
      <c r="H919" s="80"/>
      <c r="I919" s="80"/>
      <c r="J919" s="80"/>
      <c r="K919" s="80"/>
      <c r="L919" s="2"/>
      <c r="M919" s="2"/>
      <c r="N919" s="2"/>
      <c r="O919" s="2"/>
      <c r="P919" s="2"/>
      <c r="Q919" s="2"/>
      <c r="R919" s="80"/>
      <c r="S919" s="80"/>
      <c r="T919" s="80"/>
      <c r="U919" s="80"/>
      <c r="V919" s="80"/>
      <c r="W919" s="80"/>
      <c r="X919" s="80"/>
      <c r="Y919" s="80"/>
      <c r="Z919" s="80"/>
      <c r="AA919" s="80"/>
      <c r="AB919" s="80"/>
      <c r="AC919" s="80"/>
      <c r="AD919" s="80"/>
      <c r="AE919" s="80"/>
      <c r="AF919" s="80"/>
      <c r="AG919" s="80"/>
    </row>
    <row r="920" spans="1:33" x14ac:dyDescent="0.2">
      <c r="A920" s="2"/>
      <c r="B920" s="80"/>
      <c r="C920" s="80"/>
      <c r="D920" s="80"/>
      <c r="E920" s="80"/>
      <c r="F920" s="80"/>
      <c r="G920" s="80"/>
      <c r="H920" s="80"/>
      <c r="I920" s="80"/>
      <c r="J920" s="80"/>
      <c r="K920" s="80"/>
      <c r="L920" s="2"/>
      <c r="M920" s="2"/>
      <c r="N920" s="2"/>
      <c r="O920" s="2"/>
      <c r="P920" s="2"/>
      <c r="Q920" s="2"/>
      <c r="R920" s="80"/>
      <c r="S920" s="80"/>
      <c r="T920" s="80"/>
      <c r="U920" s="80"/>
      <c r="V920" s="80"/>
      <c r="W920" s="80"/>
      <c r="X920" s="80"/>
      <c r="Y920" s="80"/>
      <c r="Z920" s="80"/>
      <c r="AA920" s="80"/>
      <c r="AB920" s="80"/>
      <c r="AC920" s="80"/>
      <c r="AD920" s="80"/>
      <c r="AE920" s="80"/>
      <c r="AF920" s="80"/>
      <c r="AG920" s="80"/>
    </row>
    <row r="921" spans="1:33" x14ac:dyDescent="0.2">
      <c r="A921" s="2"/>
      <c r="B921" s="80"/>
      <c r="C921" s="80"/>
      <c r="D921" s="80"/>
      <c r="E921" s="80"/>
      <c r="F921" s="80"/>
      <c r="G921" s="80"/>
      <c r="H921" s="80"/>
      <c r="I921" s="80"/>
      <c r="J921" s="80"/>
      <c r="K921" s="80"/>
      <c r="L921" s="2"/>
      <c r="M921" s="2"/>
      <c r="N921" s="2"/>
      <c r="O921" s="2"/>
      <c r="P921" s="2"/>
      <c r="Q921" s="2"/>
      <c r="R921" s="80"/>
      <c r="S921" s="80"/>
      <c r="T921" s="80"/>
      <c r="U921" s="80"/>
      <c r="V921" s="80"/>
      <c r="W921" s="80"/>
      <c r="X921" s="80"/>
      <c r="Y921" s="80"/>
      <c r="Z921" s="80"/>
      <c r="AA921" s="80"/>
      <c r="AB921" s="80"/>
      <c r="AC921" s="80"/>
      <c r="AD921" s="80"/>
      <c r="AE921" s="80"/>
      <c r="AF921" s="80"/>
      <c r="AG921" s="80"/>
    </row>
    <row r="922" spans="1:33" x14ac:dyDescent="0.2">
      <c r="A922" s="2"/>
      <c r="B922" s="80"/>
      <c r="C922" s="80"/>
      <c r="D922" s="80"/>
      <c r="E922" s="80"/>
      <c r="F922" s="80"/>
      <c r="G922" s="80"/>
      <c r="H922" s="80"/>
      <c r="I922" s="80"/>
      <c r="J922" s="80"/>
      <c r="K922" s="80"/>
      <c r="L922" s="2"/>
      <c r="M922" s="2"/>
      <c r="N922" s="2"/>
      <c r="O922" s="2"/>
      <c r="P922" s="2"/>
      <c r="Q922" s="2"/>
      <c r="R922" s="80"/>
      <c r="S922" s="80"/>
      <c r="T922" s="80"/>
      <c r="U922" s="80"/>
      <c r="V922" s="80"/>
      <c r="W922" s="80"/>
      <c r="X922" s="80"/>
      <c r="Y922" s="80"/>
      <c r="Z922" s="80"/>
      <c r="AA922" s="80"/>
      <c r="AB922" s="80"/>
      <c r="AC922" s="80"/>
      <c r="AD922" s="80"/>
      <c r="AE922" s="80"/>
      <c r="AF922" s="80"/>
      <c r="AG922" s="80"/>
    </row>
    <row r="923" spans="1:33" x14ac:dyDescent="0.2">
      <c r="A923" s="2"/>
      <c r="B923" s="80"/>
      <c r="C923" s="80"/>
      <c r="D923" s="80"/>
      <c r="E923" s="80"/>
      <c r="F923" s="80"/>
      <c r="G923" s="80"/>
      <c r="H923" s="80"/>
      <c r="I923" s="80"/>
      <c r="J923" s="80"/>
      <c r="K923" s="80"/>
      <c r="L923" s="2"/>
      <c r="M923" s="2"/>
      <c r="N923" s="2"/>
      <c r="O923" s="2"/>
      <c r="P923" s="2"/>
      <c r="Q923" s="2"/>
      <c r="R923" s="80"/>
      <c r="S923" s="80"/>
      <c r="T923" s="80"/>
      <c r="U923" s="80"/>
      <c r="V923" s="80"/>
      <c r="W923" s="80"/>
      <c r="X923" s="80"/>
      <c r="Y923" s="80"/>
      <c r="Z923" s="80"/>
      <c r="AA923" s="80"/>
      <c r="AB923" s="80"/>
      <c r="AC923" s="80"/>
      <c r="AD923" s="80"/>
      <c r="AE923" s="80"/>
      <c r="AF923" s="80"/>
      <c r="AG923" s="80"/>
    </row>
    <row r="924" spans="1:33" x14ac:dyDescent="0.2">
      <c r="A924" s="2"/>
      <c r="B924" s="80"/>
      <c r="C924" s="80"/>
      <c r="D924" s="80"/>
      <c r="E924" s="80"/>
      <c r="F924" s="80"/>
      <c r="G924" s="80"/>
      <c r="H924" s="80"/>
      <c r="I924" s="80"/>
      <c r="J924" s="80"/>
      <c r="K924" s="80"/>
      <c r="L924" s="2"/>
      <c r="M924" s="2"/>
      <c r="N924" s="2"/>
      <c r="O924" s="2"/>
      <c r="P924" s="2"/>
      <c r="Q924" s="2"/>
      <c r="R924" s="80"/>
      <c r="S924" s="80"/>
      <c r="T924" s="80"/>
      <c r="U924" s="80"/>
      <c r="V924" s="80"/>
      <c r="W924" s="80"/>
      <c r="X924" s="80"/>
      <c r="Y924" s="80"/>
      <c r="Z924" s="80"/>
      <c r="AA924" s="80"/>
      <c r="AB924" s="80"/>
      <c r="AC924" s="80"/>
      <c r="AD924" s="80"/>
      <c r="AE924" s="80"/>
      <c r="AF924" s="80"/>
      <c r="AG924" s="80"/>
    </row>
    <row r="925" spans="1:33" x14ac:dyDescent="0.2">
      <c r="A925" s="2"/>
      <c r="B925" s="80"/>
      <c r="C925" s="80"/>
      <c r="D925" s="80"/>
      <c r="E925" s="80"/>
      <c r="F925" s="80"/>
      <c r="G925" s="80"/>
      <c r="H925" s="80"/>
      <c r="I925" s="80"/>
      <c r="J925" s="80"/>
      <c r="K925" s="80"/>
      <c r="L925" s="2"/>
      <c r="M925" s="2"/>
      <c r="N925" s="2"/>
      <c r="O925" s="2"/>
      <c r="P925" s="2"/>
      <c r="Q925" s="2"/>
      <c r="R925" s="80"/>
      <c r="S925" s="80"/>
      <c r="T925" s="80"/>
      <c r="U925" s="80"/>
      <c r="V925" s="80"/>
      <c r="W925" s="80"/>
      <c r="X925" s="80"/>
      <c r="Y925" s="80"/>
      <c r="Z925" s="80"/>
      <c r="AA925" s="80"/>
      <c r="AB925" s="80"/>
      <c r="AC925" s="80"/>
      <c r="AD925" s="80"/>
      <c r="AE925" s="80"/>
      <c r="AF925" s="80"/>
      <c r="AG925" s="80"/>
    </row>
    <row r="926" spans="1:33" x14ac:dyDescent="0.2">
      <c r="A926" s="2"/>
      <c r="B926" s="80"/>
      <c r="C926" s="80"/>
      <c r="D926" s="80"/>
      <c r="E926" s="80"/>
      <c r="F926" s="80"/>
      <c r="G926" s="80"/>
      <c r="H926" s="80"/>
      <c r="I926" s="80"/>
      <c r="J926" s="80"/>
      <c r="K926" s="80"/>
      <c r="L926" s="2"/>
      <c r="M926" s="2"/>
      <c r="N926" s="2"/>
      <c r="O926" s="2"/>
      <c r="P926" s="2"/>
      <c r="Q926" s="2"/>
      <c r="R926" s="80"/>
      <c r="S926" s="80"/>
      <c r="T926" s="80"/>
      <c r="U926" s="80"/>
      <c r="V926" s="80"/>
      <c r="W926" s="80"/>
      <c r="X926" s="80"/>
      <c r="Y926" s="80"/>
      <c r="Z926" s="80"/>
      <c r="AA926" s="80"/>
      <c r="AB926" s="80"/>
      <c r="AC926" s="80"/>
      <c r="AD926" s="80"/>
      <c r="AE926" s="80"/>
      <c r="AF926" s="80"/>
      <c r="AG926" s="80"/>
    </row>
    <row r="927" spans="1:33" x14ac:dyDescent="0.2">
      <c r="A927" s="2"/>
      <c r="B927" s="80"/>
      <c r="C927" s="80"/>
      <c r="D927" s="80"/>
      <c r="E927" s="80"/>
      <c r="F927" s="80"/>
      <c r="G927" s="80"/>
      <c r="H927" s="80"/>
      <c r="I927" s="80"/>
      <c r="J927" s="80"/>
      <c r="K927" s="80"/>
      <c r="L927" s="2"/>
      <c r="M927" s="2"/>
      <c r="N927" s="2"/>
      <c r="O927" s="2"/>
      <c r="P927" s="2"/>
      <c r="Q927" s="2"/>
      <c r="R927" s="80"/>
      <c r="S927" s="80"/>
      <c r="T927" s="80"/>
      <c r="U927" s="80"/>
      <c r="V927" s="80"/>
      <c r="W927" s="80"/>
      <c r="X927" s="80"/>
      <c r="Y927" s="80"/>
      <c r="Z927" s="80"/>
      <c r="AA927" s="80"/>
      <c r="AB927" s="80"/>
      <c r="AC927" s="80"/>
      <c r="AD927" s="80"/>
      <c r="AE927" s="80"/>
      <c r="AF927" s="80"/>
      <c r="AG927" s="80"/>
    </row>
    <row r="928" spans="1:33" x14ac:dyDescent="0.2">
      <c r="A928" s="2"/>
      <c r="B928" s="80"/>
      <c r="C928" s="80"/>
      <c r="D928" s="80"/>
      <c r="E928" s="80"/>
      <c r="F928" s="80"/>
      <c r="G928" s="80"/>
      <c r="H928" s="80"/>
      <c r="I928" s="80"/>
      <c r="J928" s="80"/>
      <c r="K928" s="80"/>
      <c r="L928" s="2"/>
      <c r="M928" s="2"/>
      <c r="N928" s="2"/>
      <c r="O928" s="2"/>
      <c r="P928" s="2"/>
      <c r="Q928" s="2"/>
      <c r="R928" s="80"/>
      <c r="S928" s="80"/>
      <c r="T928" s="80"/>
      <c r="U928" s="80"/>
      <c r="V928" s="80"/>
      <c r="W928" s="80"/>
      <c r="X928" s="80"/>
      <c r="Y928" s="80"/>
      <c r="Z928" s="80"/>
      <c r="AA928" s="80"/>
      <c r="AB928" s="80"/>
      <c r="AC928" s="80"/>
      <c r="AD928" s="80"/>
      <c r="AE928" s="80"/>
      <c r="AF928" s="80"/>
      <c r="AG928" s="80"/>
    </row>
    <row r="929" spans="1:33" x14ac:dyDescent="0.2">
      <c r="A929" s="2"/>
      <c r="B929" s="80"/>
      <c r="C929" s="80"/>
      <c r="D929" s="80"/>
      <c r="E929" s="80"/>
      <c r="F929" s="80"/>
      <c r="G929" s="80"/>
      <c r="H929" s="80"/>
      <c r="I929" s="80"/>
      <c r="J929" s="80"/>
      <c r="K929" s="80"/>
      <c r="L929" s="2"/>
      <c r="M929" s="2"/>
      <c r="N929" s="2"/>
      <c r="O929" s="2"/>
      <c r="P929" s="2"/>
      <c r="Q929" s="2"/>
      <c r="R929" s="80"/>
      <c r="S929" s="80"/>
      <c r="T929" s="80"/>
      <c r="U929" s="80"/>
      <c r="V929" s="80"/>
      <c r="W929" s="80"/>
      <c r="X929" s="80"/>
      <c r="Y929" s="80"/>
      <c r="Z929" s="80"/>
      <c r="AA929" s="80"/>
      <c r="AB929" s="80"/>
      <c r="AC929" s="80"/>
      <c r="AD929" s="80"/>
      <c r="AE929" s="80"/>
      <c r="AF929" s="80"/>
      <c r="AG929" s="80"/>
    </row>
    <row r="930" spans="1:33" x14ac:dyDescent="0.2">
      <c r="A930" s="2"/>
      <c r="B930" s="80"/>
      <c r="C930" s="80"/>
      <c r="D930" s="80"/>
      <c r="E930" s="80"/>
      <c r="F930" s="80"/>
      <c r="G930" s="80"/>
      <c r="H930" s="80"/>
      <c r="I930" s="80"/>
      <c r="J930" s="80"/>
      <c r="K930" s="80"/>
      <c r="L930" s="2"/>
      <c r="M930" s="2"/>
      <c r="N930" s="2"/>
      <c r="O930" s="2"/>
      <c r="P930" s="2"/>
      <c r="Q930" s="2"/>
      <c r="R930" s="80"/>
      <c r="S930" s="80"/>
      <c r="T930" s="80"/>
      <c r="U930" s="80"/>
      <c r="V930" s="80"/>
      <c r="W930" s="80"/>
      <c r="X930" s="80"/>
      <c r="Y930" s="80"/>
      <c r="Z930" s="80"/>
      <c r="AA930" s="80"/>
      <c r="AB930" s="80"/>
      <c r="AC930" s="80"/>
      <c r="AD930" s="80"/>
      <c r="AE930" s="80"/>
      <c r="AF930" s="80"/>
      <c r="AG930" s="80"/>
    </row>
    <row r="931" spans="1:33" x14ac:dyDescent="0.2">
      <c r="A931" s="2"/>
      <c r="B931" s="80"/>
      <c r="C931" s="80"/>
      <c r="D931" s="80"/>
      <c r="E931" s="80"/>
      <c r="F931" s="80"/>
      <c r="G931" s="80"/>
      <c r="H931" s="80"/>
      <c r="I931" s="80"/>
      <c r="J931" s="80"/>
      <c r="K931" s="80"/>
      <c r="L931" s="2"/>
      <c r="M931" s="2"/>
      <c r="N931" s="2"/>
      <c r="O931" s="2"/>
      <c r="P931" s="2"/>
      <c r="Q931" s="2"/>
      <c r="R931" s="80"/>
      <c r="S931" s="80"/>
      <c r="T931" s="80"/>
      <c r="U931" s="80"/>
      <c r="V931" s="80"/>
      <c r="W931" s="80"/>
      <c r="X931" s="80"/>
      <c r="Y931" s="80"/>
      <c r="Z931" s="80"/>
      <c r="AA931" s="80"/>
      <c r="AB931" s="80"/>
      <c r="AC931" s="80"/>
      <c r="AD931" s="80"/>
      <c r="AE931" s="80"/>
      <c r="AF931" s="80"/>
      <c r="AG931" s="80"/>
    </row>
    <row r="932" spans="1:33" x14ac:dyDescent="0.2">
      <c r="A932" s="2"/>
      <c r="B932" s="80"/>
      <c r="C932" s="80"/>
      <c r="D932" s="80"/>
      <c r="E932" s="80"/>
      <c r="F932" s="80"/>
      <c r="G932" s="80"/>
      <c r="H932" s="80"/>
      <c r="I932" s="80"/>
      <c r="J932" s="80"/>
      <c r="K932" s="80"/>
      <c r="L932" s="2"/>
      <c r="M932" s="2"/>
      <c r="N932" s="2"/>
      <c r="O932" s="2"/>
      <c r="P932" s="2"/>
      <c r="Q932" s="2"/>
      <c r="R932" s="80"/>
      <c r="S932" s="80"/>
      <c r="T932" s="80"/>
      <c r="U932" s="80"/>
      <c r="V932" s="80"/>
      <c r="W932" s="80"/>
      <c r="X932" s="80"/>
      <c r="Y932" s="80"/>
      <c r="Z932" s="80"/>
      <c r="AA932" s="80"/>
      <c r="AB932" s="80"/>
      <c r="AC932" s="80"/>
      <c r="AD932" s="80"/>
      <c r="AE932" s="80"/>
      <c r="AF932" s="80"/>
      <c r="AG932" s="80"/>
    </row>
    <row r="933" spans="1:33" x14ac:dyDescent="0.2">
      <c r="A933" s="2"/>
      <c r="B933" s="80"/>
      <c r="C933" s="80"/>
      <c r="D933" s="80"/>
      <c r="E933" s="80"/>
      <c r="F933" s="80"/>
      <c r="G933" s="80"/>
      <c r="H933" s="80"/>
      <c r="I933" s="80"/>
      <c r="J933" s="80"/>
      <c r="K933" s="80"/>
      <c r="L933" s="2"/>
      <c r="M933" s="2"/>
      <c r="N933" s="2"/>
      <c r="O933" s="2"/>
      <c r="P933" s="2"/>
      <c r="Q933" s="2"/>
      <c r="R933" s="80"/>
      <c r="S933" s="80"/>
      <c r="T933" s="80"/>
      <c r="U933" s="80"/>
      <c r="V933" s="80"/>
      <c r="W933" s="80"/>
      <c r="X933" s="80"/>
      <c r="Y933" s="80"/>
      <c r="Z933" s="80"/>
      <c r="AA933" s="80"/>
      <c r="AB933" s="80"/>
      <c r="AC933" s="80"/>
      <c r="AD933" s="80"/>
      <c r="AE933" s="80"/>
      <c r="AF933" s="80"/>
      <c r="AG933" s="80"/>
    </row>
    <row r="934" spans="1:33" x14ac:dyDescent="0.2">
      <c r="A934" s="2"/>
      <c r="B934" s="80"/>
      <c r="C934" s="80"/>
      <c r="D934" s="80"/>
      <c r="E934" s="80"/>
      <c r="F934" s="80"/>
      <c r="G934" s="80"/>
      <c r="H934" s="80"/>
      <c r="I934" s="80"/>
      <c r="J934" s="80"/>
      <c r="K934" s="80"/>
      <c r="L934" s="2"/>
      <c r="M934" s="2"/>
      <c r="N934" s="2"/>
      <c r="O934" s="2"/>
      <c r="P934" s="2"/>
      <c r="Q934" s="2"/>
      <c r="R934" s="80"/>
      <c r="S934" s="80"/>
      <c r="T934" s="80"/>
      <c r="U934" s="80"/>
      <c r="V934" s="80"/>
      <c r="W934" s="80"/>
      <c r="X934" s="80"/>
      <c r="Y934" s="80"/>
      <c r="Z934" s="80"/>
      <c r="AA934" s="80"/>
      <c r="AB934" s="80"/>
      <c r="AC934" s="80"/>
      <c r="AD934" s="80"/>
      <c r="AE934" s="80"/>
      <c r="AF934" s="80"/>
      <c r="AG934" s="80"/>
    </row>
    <row r="935" spans="1:33" x14ac:dyDescent="0.2">
      <c r="A935" s="2"/>
      <c r="B935" s="80"/>
      <c r="C935" s="80"/>
      <c r="D935" s="80"/>
      <c r="E935" s="80"/>
      <c r="F935" s="80"/>
      <c r="G935" s="80"/>
      <c r="H935" s="80"/>
      <c r="I935" s="80"/>
      <c r="J935" s="80"/>
      <c r="K935" s="80"/>
      <c r="L935" s="2"/>
      <c r="M935" s="2"/>
      <c r="N935" s="2"/>
      <c r="O935" s="2"/>
      <c r="P935" s="2"/>
      <c r="Q935" s="2"/>
      <c r="R935" s="80"/>
      <c r="S935" s="80"/>
      <c r="T935" s="80"/>
      <c r="U935" s="80"/>
      <c r="V935" s="80"/>
      <c r="W935" s="80"/>
      <c r="X935" s="80"/>
      <c r="Y935" s="80"/>
      <c r="Z935" s="80"/>
      <c r="AA935" s="80"/>
      <c r="AB935" s="80"/>
      <c r="AC935" s="80"/>
      <c r="AD935" s="80"/>
      <c r="AE935" s="80"/>
      <c r="AF935" s="80"/>
      <c r="AG935" s="80"/>
    </row>
    <row r="936" spans="1:33" x14ac:dyDescent="0.2">
      <c r="A936" s="2"/>
      <c r="B936" s="80"/>
      <c r="C936" s="80"/>
      <c r="D936" s="80"/>
      <c r="E936" s="80"/>
      <c r="F936" s="80"/>
      <c r="G936" s="80"/>
      <c r="H936" s="80"/>
      <c r="I936" s="80"/>
      <c r="J936" s="80"/>
      <c r="K936" s="80"/>
      <c r="L936" s="2"/>
      <c r="M936" s="2"/>
      <c r="N936" s="2"/>
      <c r="O936" s="2"/>
      <c r="P936" s="2"/>
      <c r="Q936" s="2"/>
      <c r="R936" s="80"/>
      <c r="S936" s="80"/>
      <c r="T936" s="80"/>
      <c r="U936" s="80"/>
      <c r="V936" s="80"/>
      <c r="W936" s="80"/>
      <c r="X936" s="80"/>
      <c r="Y936" s="80"/>
      <c r="Z936" s="80"/>
      <c r="AA936" s="80"/>
      <c r="AB936" s="80"/>
      <c r="AC936" s="80"/>
      <c r="AD936" s="80"/>
      <c r="AE936" s="80"/>
      <c r="AF936" s="80"/>
      <c r="AG936" s="80"/>
    </row>
    <row r="937" spans="1:33" x14ac:dyDescent="0.2">
      <c r="A937" s="2"/>
      <c r="B937" s="80"/>
      <c r="C937" s="80"/>
      <c r="D937" s="80"/>
      <c r="E937" s="80"/>
      <c r="F937" s="80"/>
      <c r="G937" s="80"/>
      <c r="H937" s="80"/>
      <c r="I937" s="80"/>
      <c r="J937" s="80"/>
      <c r="K937" s="80"/>
      <c r="L937" s="2"/>
      <c r="M937" s="2"/>
      <c r="N937" s="2"/>
      <c r="O937" s="2"/>
      <c r="P937" s="2"/>
      <c r="Q937" s="2"/>
      <c r="R937" s="80"/>
      <c r="S937" s="80"/>
      <c r="T937" s="80"/>
      <c r="U937" s="80"/>
      <c r="V937" s="80"/>
      <c r="W937" s="80"/>
      <c r="X937" s="80"/>
      <c r="Y937" s="80"/>
      <c r="Z937" s="80"/>
      <c r="AA937" s="80"/>
      <c r="AB937" s="80"/>
      <c r="AC937" s="80"/>
      <c r="AD937" s="80"/>
      <c r="AE937" s="80"/>
      <c r="AF937" s="80"/>
      <c r="AG937" s="80"/>
    </row>
    <row r="938" spans="1:33" x14ac:dyDescent="0.2">
      <c r="A938" s="2"/>
      <c r="B938" s="80"/>
      <c r="C938" s="80"/>
      <c r="D938" s="80"/>
      <c r="E938" s="80"/>
      <c r="F938" s="80"/>
      <c r="G938" s="80"/>
      <c r="H938" s="80"/>
      <c r="I938" s="80"/>
      <c r="J938" s="80"/>
      <c r="K938" s="80"/>
      <c r="L938" s="2"/>
      <c r="M938" s="2"/>
      <c r="N938" s="2"/>
      <c r="O938" s="2"/>
      <c r="P938" s="2"/>
      <c r="Q938" s="2"/>
      <c r="R938" s="80"/>
      <c r="S938" s="80"/>
      <c r="T938" s="80"/>
      <c r="U938" s="80"/>
      <c r="V938" s="80"/>
      <c r="W938" s="80"/>
      <c r="X938" s="80"/>
      <c r="Y938" s="80"/>
      <c r="Z938" s="80"/>
      <c r="AA938" s="80"/>
      <c r="AB938" s="80"/>
      <c r="AC938" s="80"/>
      <c r="AD938" s="80"/>
      <c r="AE938" s="80"/>
      <c r="AF938" s="80"/>
      <c r="AG938" s="80"/>
    </row>
    <row r="939" spans="1:33" x14ac:dyDescent="0.2">
      <c r="A939" s="2"/>
      <c r="B939" s="80"/>
      <c r="C939" s="80"/>
      <c r="D939" s="80"/>
      <c r="E939" s="80"/>
      <c r="F939" s="80"/>
      <c r="G939" s="80"/>
      <c r="H939" s="80"/>
      <c r="I939" s="80"/>
      <c r="J939" s="80"/>
      <c r="K939" s="80"/>
      <c r="L939" s="2"/>
      <c r="M939" s="2"/>
      <c r="N939" s="2"/>
      <c r="O939" s="2"/>
      <c r="P939" s="2"/>
      <c r="Q939" s="2"/>
      <c r="R939" s="80"/>
      <c r="S939" s="80"/>
      <c r="T939" s="80"/>
      <c r="U939" s="80"/>
      <c r="V939" s="80"/>
      <c r="W939" s="80"/>
      <c r="X939" s="80"/>
      <c r="Y939" s="80"/>
      <c r="Z939" s="80"/>
      <c r="AA939" s="80"/>
      <c r="AB939" s="80"/>
      <c r="AC939" s="80"/>
      <c r="AD939" s="80"/>
      <c r="AE939" s="80"/>
      <c r="AF939" s="80"/>
      <c r="AG939" s="80"/>
    </row>
    <row r="940" spans="1:33" x14ac:dyDescent="0.2">
      <c r="A940" s="2"/>
      <c r="B940" s="80"/>
      <c r="C940" s="80"/>
      <c r="D940" s="80"/>
      <c r="E940" s="80"/>
      <c r="F940" s="80"/>
      <c r="G940" s="80"/>
      <c r="H940" s="80"/>
      <c r="I940" s="80"/>
      <c r="J940" s="80"/>
      <c r="K940" s="80"/>
      <c r="L940" s="2"/>
      <c r="M940" s="2"/>
      <c r="N940" s="2"/>
      <c r="O940" s="2"/>
      <c r="P940" s="2"/>
      <c r="Q940" s="2"/>
      <c r="R940" s="80"/>
      <c r="S940" s="80"/>
      <c r="T940" s="80"/>
      <c r="U940" s="80"/>
      <c r="V940" s="80"/>
      <c r="W940" s="80"/>
      <c r="X940" s="80"/>
      <c r="Y940" s="80"/>
      <c r="Z940" s="80"/>
      <c r="AA940" s="80"/>
      <c r="AB940" s="80"/>
      <c r="AC940" s="80"/>
      <c r="AD940" s="80"/>
      <c r="AE940" s="80"/>
      <c r="AF940" s="80"/>
      <c r="AG940" s="80"/>
    </row>
    <row r="941" spans="1:33" x14ac:dyDescent="0.2">
      <c r="A941" s="2"/>
      <c r="B941" s="80"/>
      <c r="C941" s="80"/>
      <c r="D941" s="80"/>
      <c r="E941" s="80"/>
      <c r="F941" s="80"/>
      <c r="G941" s="80"/>
      <c r="H941" s="80"/>
      <c r="I941" s="80"/>
      <c r="J941" s="80"/>
      <c r="K941" s="80"/>
      <c r="L941" s="2"/>
      <c r="M941" s="2"/>
      <c r="N941" s="2"/>
      <c r="O941" s="2"/>
      <c r="P941" s="2"/>
      <c r="Q941" s="2"/>
      <c r="R941" s="80"/>
      <c r="S941" s="80"/>
      <c r="T941" s="80"/>
      <c r="U941" s="80"/>
      <c r="V941" s="80"/>
      <c r="W941" s="80"/>
      <c r="X941" s="80"/>
      <c r="Y941" s="80"/>
      <c r="Z941" s="80"/>
      <c r="AA941" s="80"/>
      <c r="AB941" s="80"/>
      <c r="AC941" s="80"/>
      <c r="AD941" s="80"/>
      <c r="AE941" s="80"/>
      <c r="AF941" s="80"/>
      <c r="AG941" s="80"/>
    </row>
    <row r="942" spans="1:33" x14ac:dyDescent="0.2">
      <c r="A942" s="2"/>
      <c r="B942" s="80"/>
      <c r="C942" s="80"/>
      <c r="D942" s="80"/>
      <c r="E942" s="80"/>
      <c r="F942" s="80"/>
      <c r="G942" s="80"/>
      <c r="H942" s="80"/>
      <c r="I942" s="80"/>
      <c r="J942" s="80"/>
      <c r="K942" s="80"/>
      <c r="L942" s="2"/>
      <c r="M942" s="2"/>
      <c r="N942" s="2"/>
      <c r="O942" s="2"/>
      <c r="P942" s="2"/>
      <c r="Q942" s="2"/>
      <c r="R942" s="80"/>
      <c r="S942" s="80"/>
      <c r="T942" s="80"/>
      <c r="U942" s="80"/>
      <c r="V942" s="80"/>
      <c r="W942" s="80"/>
      <c r="X942" s="80"/>
      <c r="Y942" s="80"/>
      <c r="Z942" s="80"/>
      <c r="AA942" s="80"/>
      <c r="AB942" s="80"/>
      <c r="AC942" s="80"/>
      <c r="AD942" s="80"/>
      <c r="AE942" s="80"/>
      <c r="AF942" s="80"/>
      <c r="AG942" s="80"/>
    </row>
    <row r="943" spans="1:33" x14ac:dyDescent="0.2">
      <c r="A943" s="2"/>
      <c r="B943" s="80"/>
      <c r="C943" s="80"/>
      <c r="D943" s="80"/>
      <c r="E943" s="80"/>
      <c r="F943" s="80"/>
      <c r="G943" s="80"/>
      <c r="H943" s="80"/>
      <c r="I943" s="80"/>
      <c r="J943" s="80"/>
      <c r="K943" s="80"/>
      <c r="L943" s="2"/>
      <c r="M943" s="2"/>
      <c r="N943" s="2"/>
      <c r="O943" s="2"/>
      <c r="P943" s="2"/>
      <c r="Q943" s="2"/>
      <c r="R943" s="80"/>
      <c r="S943" s="80"/>
      <c r="T943" s="80"/>
      <c r="U943" s="80"/>
      <c r="V943" s="80"/>
      <c r="W943" s="80"/>
      <c r="X943" s="80"/>
      <c r="Y943" s="80"/>
      <c r="Z943" s="80"/>
      <c r="AA943" s="80"/>
      <c r="AB943" s="80"/>
      <c r="AC943" s="80"/>
      <c r="AD943" s="80"/>
      <c r="AE943" s="80"/>
      <c r="AF943" s="80"/>
      <c r="AG943" s="80"/>
    </row>
    <row r="944" spans="1:33" x14ac:dyDescent="0.2">
      <c r="A944" s="2"/>
      <c r="B944" s="80"/>
      <c r="C944" s="80"/>
      <c r="D944" s="80"/>
      <c r="E944" s="80"/>
      <c r="F944" s="80"/>
      <c r="G944" s="80"/>
      <c r="H944" s="80"/>
      <c r="I944" s="80"/>
      <c r="J944" s="80"/>
      <c r="K944" s="80"/>
      <c r="L944" s="2"/>
      <c r="M944" s="2"/>
      <c r="N944" s="2"/>
      <c r="O944" s="2"/>
      <c r="P944" s="2"/>
      <c r="Q944" s="2"/>
      <c r="R944" s="80"/>
      <c r="S944" s="80"/>
      <c r="T944" s="80"/>
      <c r="U944" s="80"/>
      <c r="V944" s="80"/>
      <c r="W944" s="80"/>
      <c r="X944" s="80"/>
      <c r="Y944" s="80"/>
      <c r="Z944" s="80"/>
      <c r="AA944" s="80"/>
      <c r="AB944" s="80"/>
      <c r="AC944" s="80"/>
      <c r="AD944" s="80"/>
      <c r="AE944" s="80"/>
      <c r="AF944" s="80"/>
      <c r="AG944" s="80"/>
    </row>
    <row r="945" spans="1:33" x14ac:dyDescent="0.2">
      <c r="A945" s="2"/>
      <c r="B945" s="80"/>
      <c r="C945" s="80"/>
      <c r="D945" s="80"/>
      <c r="E945" s="80"/>
      <c r="F945" s="80"/>
      <c r="G945" s="80"/>
      <c r="H945" s="80"/>
      <c r="I945" s="80"/>
      <c r="J945" s="80"/>
      <c r="K945" s="80"/>
      <c r="L945" s="2"/>
      <c r="M945" s="2"/>
      <c r="N945" s="2"/>
      <c r="O945" s="2"/>
      <c r="P945" s="2"/>
      <c r="Q945" s="2"/>
      <c r="R945" s="80"/>
      <c r="S945" s="80"/>
      <c r="T945" s="80"/>
      <c r="U945" s="80"/>
      <c r="V945" s="80"/>
      <c r="W945" s="80"/>
      <c r="X945" s="80"/>
      <c r="Y945" s="80"/>
      <c r="Z945" s="80"/>
      <c r="AA945" s="80"/>
      <c r="AB945" s="80"/>
      <c r="AC945" s="80"/>
      <c r="AD945" s="80"/>
      <c r="AE945" s="80"/>
      <c r="AF945" s="80"/>
      <c r="AG945" s="80"/>
    </row>
    <row r="946" spans="1:33" x14ac:dyDescent="0.2">
      <c r="A946" s="2"/>
      <c r="B946" s="80"/>
      <c r="C946" s="80"/>
      <c r="D946" s="80"/>
      <c r="E946" s="80"/>
      <c r="F946" s="80"/>
      <c r="G946" s="80"/>
      <c r="H946" s="80"/>
      <c r="I946" s="80"/>
      <c r="J946" s="80"/>
      <c r="K946" s="80"/>
      <c r="L946" s="2"/>
      <c r="M946" s="2"/>
      <c r="N946" s="2"/>
      <c r="O946" s="2"/>
      <c r="P946" s="2"/>
      <c r="Q946" s="2"/>
      <c r="R946" s="80"/>
      <c r="S946" s="80"/>
      <c r="T946" s="80"/>
      <c r="U946" s="80"/>
      <c r="V946" s="80"/>
      <c r="W946" s="80"/>
      <c r="X946" s="80"/>
      <c r="Y946" s="80"/>
      <c r="Z946" s="80"/>
      <c r="AA946" s="80"/>
      <c r="AB946" s="80"/>
      <c r="AC946" s="80"/>
      <c r="AD946" s="80"/>
      <c r="AE946" s="80"/>
      <c r="AF946" s="80"/>
      <c r="AG946" s="80"/>
    </row>
    <row r="947" spans="1:33" x14ac:dyDescent="0.2">
      <c r="A947" s="2"/>
      <c r="B947" s="80"/>
      <c r="C947" s="80"/>
      <c r="D947" s="80"/>
      <c r="E947" s="80"/>
      <c r="F947" s="80"/>
      <c r="G947" s="80"/>
      <c r="H947" s="80"/>
      <c r="I947" s="80"/>
      <c r="J947" s="80"/>
      <c r="K947" s="80"/>
      <c r="L947" s="2"/>
      <c r="M947" s="2"/>
      <c r="N947" s="2"/>
      <c r="O947" s="2"/>
      <c r="P947" s="2"/>
      <c r="Q947" s="2"/>
      <c r="R947" s="80"/>
      <c r="S947" s="80"/>
      <c r="T947" s="80"/>
      <c r="U947" s="80"/>
      <c r="V947" s="80"/>
      <c r="W947" s="80"/>
      <c r="X947" s="80"/>
      <c r="Y947" s="80"/>
      <c r="Z947" s="80"/>
      <c r="AA947" s="80"/>
      <c r="AB947" s="80"/>
      <c r="AC947" s="80"/>
      <c r="AD947" s="80"/>
      <c r="AE947" s="80"/>
      <c r="AF947" s="80"/>
      <c r="AG947" s="80"/>
    </row>
    <row r="948" spans="1:33" x14ac:dyDescent="0.2">
      <c r="A948" s="2"/>
      <c r="B948" s="80"/>
      <c r="C948" s="80"/>
      <c r="D948" s="80"/>
      <c r="E948" s="80"/>
      <c r="F948" s="80"/>
      <c r="G948" s="80"/>
      <c r="H948" s="80"/>
      <c r="I948" s="80"/>
      <c r="J948" s="80"/>
      <c r="K948" s="80"/>
      <c r="L948" s="2"/>
      <c r="M948" s="2"/>
      <c r="N948" s="2"/>
      <c r="O948" s="2"/>
      <c r="P948" s="2"/>
      <c r="Q948" s="2"/>
      <c r="R948" s="80"/>
      <c r="S948" s="80"/>
      <c r="T948" s="80"/>
      <c r="U948" s="80"/>
      <c r="V948" s="80"/>
      <c r="W948" s="80"/>
      <c r="X948" s="80"/>
      <c r="Y948" s="80"/>
      <c r="Z948" s="80"/>
      <c r="AA948" s="80"/>
      <c r="AB948" s="80"/>
      <c r="AC948" s="80"/>
      <c r="AD948" s="80"/>
      <c r="AE948" s="80"/>
      <c r="AF948" s="80"/>
      <c r="AG948" s="80"/>
    </row>
    <row r="949" spans="1:33" x14ac:dyDescent="0.2">
      <c r="A949" s="2"/>
      <c r="B949" s="80"/>
      <c r="C949" s="80"/>
      <c r="D949" s="80"/>
      <c r="E949" s="80"/>
      <c r="F949" s="80"/>
      <c r="G949" s="80"/>
      <c r="H949" s="80"/>
      <c r="I949" s="80"/>
      <c r="J949" s="80"/>
      <c r="K949" s="80"/>
      <c r="L949" s="2"/>
      <c r="M949" s="2"/>
      <c r="N949" s="2"/>
      <c r="O949" s="2"/>
      <c r="P949" s="2"/>
      <c r="Q949" s="2"/>
      <c r="R949" s="80"/>
      <c r="S949" s="80"/>
      <c r="T949" s="80"/>
      <c r="U949" s="80"/>
      <c r="V949" s="80"/>
      <c r="W949" s="80"/>
      <c r="X949" s="80"/>
      <c r="Y949" s="80"/>
      <c r="Z949" s="80"/>
      <c r="AA949" s="80"/>
      <c r="AB949" s="80"/>
      <c r="AC949" s="80"/>
      <c r="AD949" s="80"/>
      <c r="AE949" s="80"/>
      <c r="AF949" s="80"/>
      <c r="AG949" s="80"/>
    </row>
    <row r="950" spans="1:33" x14ac:dyDescent="0.2">
      <c r="A950" s="2"/>
      <c r="B950" s="80"/>
      <c r="C950" s="80"/>
      <c r="D950" s="80"/>
      <c r="E950" s="80"/>
      <c r="F950" s="80"/>
      <c r="G950" s="80"/>
      <c r="H950" s="80"/>
      <c r="I950" s="80"/>
      <c r="J950" s="80"/>
      <c r="K950" s="80"/>
      <c r="L950" s="2"/>
      <c r="M950" s="2"/>
      <c r="N950" s="2"/>
      <c r="O950" s="2"/>
      <c r="P950" s="2"/>
      <c r="Q950" s="2"/>
      <c r="R950" s="80"/>
      <c r="S950" s="80"/>
      <c r="T950" s="80"/>
      <c r="U950" s="80"/>
      <c r="V950" s="80"/>
      <c r="W950" s="80"/>
      <c r="X950" s="80"/>
      <c r="Y950" s="80"/>
      <c r="Z950" s="80"/>
      <c r="AA950" s="80"/>
      <c r="AB950" s="80"/>
      <c r="AC950" s="80"/>
      <c r="AD950" s="80"/>
      <c r="AE950" s="80"/>
      <c r="AF950" s="80"/>
      <c r="AG950" s="80"/>
    </row>
    <row r="951" spans="1:33" x14ac:dyDescent="0.2">
      <c r="A951" s="2"/>
      <c r="B951" s="80"/>
      <c r="C951" s="80"/>
      <c r="D951" s="80"/>
      <c r="E951" s="80"/>
      <c r="F951" s="80"/>
      <c r="G951" s="80"/>
      <c r="H951" s="80"/>
      <c r="I951" s="80"/>
      <c r="J951" s="80"/>
      <c r="K951" s="80"/>
      <c r="L951" s="2"/>
      <c r="M951" s="2"/>
      <c r="N951" s="2"/>
      <c r="O951" s="2"/>
      <c r="P951" s="2"/>
      <c r="Q951" s="2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E951" s="80"/>
      <c r="AF951" s="80"/>
      <c r="AG951" s="80"/>
    </row>
    <row r="952" spans="1:33" x14ac:dyDescent="0.2">
      <c r="A952" s="2"/>
      <c r="B952" s="80"/>
      <c r="C952" s="80"/>
      <c r="D952" s="80"/>
      <c r="E952" s="80"/>
      <c r="F952" s="80"/>
      <c r="G952" s="80"/>
      <c r="H952" s="80"/>
      <c r="I952" s="80"/>
      <c r="J952" s="80"/>
      <c r="K952" s="80"/>
      <c r="L952" s="2"/>
      <c r="M952" s="2"/>
      <c r="N952" s="2"/>
      <c r="O952" s="2"/>
      <c r="P952" s="2"/>
      <c r="Q952" s="2"/>
      <c r="R952" s="80"/>
      <c r="S952" s="80"/>
      <c r="T952" s="80"/>
      <c r="U952" s="80"/>
      <c r="V952" s="80"/>
      <c r="W952" s="80"/>
      <c r="X952" s="80"/>
      <c r="Y952" s="80"/>
      <c r="Z952" s="80"/>
      <c r="AA952" s="80"/>
      <c r="AB952" s="80"/>
      <c r="AC952" s="80"/>
      <c r="AD952" s="80"/>
      <c r="AE952" s="80"/>
      <c r="AF952" s="80"/>
      <c r="AG952" s="80"/>
    </row>
    <row r="953" spans="1:33" x14ac:dyDescent="0.2">
      <c r="A953" s="2"/>
      <c r="B953" s="80"/>
      <c r="C953" s="80"/>
      <c r="D953" s="80"/>
      <c r="E953" s="80"/>
      <c r="F953" s="80"/>
      <c r="G953" s="80"/>
      <c r="H953" s="80"/>
      <c r="I953" s="80"/>
      <c r="J953" s="80"/>
      <c r="K953" s="80"/>
      <c r="L953" s="2"/>
      <c r="M953" s="2"/>
      <c r="N953" s="2"/>
      <c r="O953" s="2"/>
      <c r="P953" s="2"/>
      <c r="Q953" s="2"/>
      <c r="R953" s="80"/>
      <c r="S953" s="80"/>
      <c r="T953" s="80"/>
      <c r="U953" s="80"/>
      <c r="V953" s="80"/>
      <c r="W953" s="80"/>
      <c r="X953" s="80"/>
      <c r="Y953" s="80"/>
      <c r="Z953" s="80"/>
      <c r="AA953" s="80"/>
      <c r="AB953" s="80"/>
      <c r="AC953" s="80"/>
      <c r="AD953" s="80"/>
      <c r="AE953" s="80"/>
      <c r="AF953" s="80"/>
      <c r="AG953" s="80"/>
    </row>
    <row r="954" spans="1:33" x14ac:dyDescent="0.2">
      <c r="A954" s="2"/>
      <c r="B954" s="80"/>
      <c r="C954" s="80"/>
      <c r="D954" s="80"/>
      <c r="E954" s="80"/>
      <c r="F954" s="80"/>
      <c r="G954" s="80"/>
      <c r="H954" s="80"/>
      <c r="I954" s="80"/>
      <c r="J954" s="80"/>
      <c r="K954" s="80"/>
      <c r="L954" s="2"/>
      <c r="M954" s="2"/>
      <c r="N954" s="2"/>
      <c r="O954" s="2"/>
      <c r="P954" s="2"/>
      <c r="Q954" s="2"/>
      <c r="R954" s="80"/>
      <c r="S954" s="80"/>
      <c r="T954" s="80"/>
      <c r="U954" s="80"/>
      <c r="V954" s="80"/>
      <c r="W954" s="80"/>
      <c r="X954" s="80"/>
      <c r="Y954" s="80"/>
      <c r="Z954" s="80"/>
      <c r="AA954" s="80"/>
      <c r="AB954" s="80"/>
      <c r="AC954" s="80"/>
      <c r="AD954" s="80"/>
      <c r="AE954" s="80"/>
      <c r="AF954" s="80"/>
      <c r="AG954" s="80"/>
    </row>
    <row r="955" spans="1:33" x14ac:dyDescent="0.2">
      <c r="A955" s="2"/>
      <c r="B955" s="80"/>
      <c r="C955" s="80"/>
      <c r="D955" s="80"/>
      <c r="E955" s="80"/>
      <c r="F955" s="80"/>
      <c r="G955" s="80"/>
      <c r="H955" s="80"/>
      <c r="I955" s="80"/>
      <c r="J955" s="80"/>
      <c r="K955" s="80"/>
      <c r="L955" s="2"/>
      <c r="M955" s="2"/>
      <c r="N955" s="2"/>
      <c r="O955" s="2"/>
      <c r="P955" s="2"/>
      <c r="Q955" s="2"/>
      <c r="R955" s="80"/>
      <c r="S955" s="80"/>
      <c r="T955" s="80"/>
      <c r="U955" s="80"/>
      <c r="V955" s="80"/>
      <c r="W955" s="80"/>
      <c r="X955" s="80"/>
      <c r="Y955" s="80"/>
      <c r="Z955" s="80"/>
      <c r="AA955" s="80"/>
      <c r="AB955" s="80"/>
      <c r="AC955" s="80"/>
      <c r="AD955" s="80"/>
      <c r="AE955" s="80"/>
      <c r="AF955" s="80"/>
      <c r="AG955" s="80"/>
    </row>
    <row r="956" spans="1:33" x14ac:dyDescent="0.2">
      <c r="A956" s="2"/>
      <c r="B956" s="80"/>
      <c r="C956" s="80"/>
      <c r="D956" s="80"/>
      <c r="E956" s="80"/>
      <c r="F956" s="80"/>
      <c r="G956" s="80"/>
      <c r="H956" s="80"/>
      <c r="I956" s="80"/>
      <c r="J956" s="80"/>
      <c r="K956" s="80"/>
      <c r="L956" s="2"/>
      <c r="M956" s="2"/>
      <c r="N956" s="2"/>
      <c r="O956" s="2"/>
      <c r="P956" s="2"/>
      <c r="Q956" s="2"/>
      <c r="R956" s="80"/>
      <c r="S956" s="80"/>
      <c r="T956" s="80"/>
      <c r="U956" s="80"/>
      <c r="V956" s="80"/>
      <c r="W956" s="80"/>
      <c r="X956" s="80"/>
      <c r="Y956" s="80"/>
      <c r="Z956" s="80"/>
      <c r="AA956" s="80"/>
      <c r="AB956" s="80"/>
      <c r="AC956" s="80"/>
      <c r="AD956" s="80"/>
      <c r="AE956" s="80"/>
      <c r="AF956" s="80"/>
      <c r="AG956" s="80"/>
    </row>
    <row r="957" spans="1:33" x14ac:dyDescent="0.2">
      <c r="A957" s="2"/>
      <c r="B957" s="80"/>
      <c r="C957" s="80"/>
      <c r="D957" s="80"/>
      <c r="E957" s="80"/>
      <c r="F957" s="80"/>
      <c r="G957" s="80"/>
      <c r="H957" s="80"/>
      <c r="I957" s="80"/>
      <c r="J957" s="80"/>
      <c r="K957" s="80"/>
      <c r="L957" s="2"/>
      <c r="M957" s="2"/>
      <c r="N957" s="2"/>
      <c r="O957" s="2"/>
      <c r="P957" s="2"/>
      <c r="Q957" s="2"/>
      <c r="R957" s="80"/>
      <c r="S957" s="80"/>
      <c r="T957" s="80"/>
      <c r="U957" s="80"/>
      <c r="V957" s="80"/>
      <c r="W957" s="80"/>
      <c r="X957" s="80"/>
      <c r="Y957" s="80"/>
      <c r="Z957" s="80"/>
      <c r="AA957" s="80"/>
      <c r="AB957" s="80"/>
      <c r="AC957" s="80"/>
      <c r="AD957" s="80"/>
      <c r="AE957" s="80"/>
      <c r="AF957" s="80"/>
      <c r="AG957" s="80"/>
    </row>
    <row r="958" spans="1:33" x14ac:dyDescent="0.2">
      <c r="A958" s="2"/>
      <c r="B958" s="80"/>
      <c r="C958" s="80"/>
      <c r="D958" s="80"/>
      <c r="E958" s="80"/>
      <c r="F958" s="80"/>
      <c r="G958" s="80"/>
      <c r="H958" s="80"/>
      <c r="I958" s="80"/>
      <c r="J958" s="80"/>
      <c r="K958" s="80"/>
      <c r="L958" s="2"/>
      <c r="M958" s="2"/>
      <c r="N958" s="2"/>
      <c r="O958" s="2"/>
      <c r="P958" s="2"/>
      <c r="Q958" s="2"/>
      <c r="R958" s="80"/>
      <c r="S958" s="80"/>
      <c r="T958" s="80"/>
      <c r="U958" s="80"/>
      <c r="V958" s="80"/>
      <c r="W958" s="80"/>
      <c r="X958" s="80"/>
      <c r="Y958" s="80"/>
      <c r="Z958" s="80"/>
      <c r="AA958" s="80"/>
      <c r="AB958" s="80"/>
      <c r="AC958" s="80"/>
      <c r="AD958" s="80"/>
      <c r="AE958" s="80"/>
      <c r="AF958" s="80"/>
      <c r="AG958" s="80"/>
    </row>
    <row r="959" spans="1:33" x14ac:dyDescent="0.2">
      <c r="A959" s="2"/>
      <c r="B959" s="80"/>
      <c r="C959" s="80"/>
      <c r="D959" s="80"/>
      <c r="E959" s="80"/>
      <c r="F959" s="80"/>
      <c r="G959" s="80"/>
      <c r="H959" s="80"/>
      <c r="I959" s="80"/>
      <c r="J959" s="80"/>
      <c r="K959" s="80"/>
      <c r="L959" s="2"/>
      <c r="M959" s="2"/>
      <c r="N959" s="2"/>
      <c r="O959" s="2"/>
      <c r="P959" s="2"/>
      <c r="Q959" s="2"/>
      <c r="R959" s="80"/>
      <c r="S959" s="80"/>
      <c r="T959" s="80"/>
      <c r="U959" s="80"/>
      <c r="V959" s="80"/>
      <c r="W959" s="80"/>
      <c r="X959" s="80"/>
      <c r="Y959" s="80"/>
      <c r="Z959" s="80"/>
      <c r="AA959" s="80"/>
      <c r="AB959" s="80"/>
      <c r="AC959" s="80"/>
      <c r="AD959" s="80"/>
      <c r="AE959" s="80"/>
      <c r="AF959" s="80"/>
      <c r="AG959" s="80"/>
    </row>
    <row r="960" spans="1:33" x14ac:dyDescent="0.2">
      <c r="A960" s="2"/>
      <c r="B960" s="80"/>
      <c r="C960" s="80"/>
      <c r="D960" s="80"/>
      <c r="E960" s="80"/>
      <c r="F960" s="80"/>
      <c r="G960" s="80"/>
      <c r="H960" s="80"/>
      <c r="I960" s="80"/>
      <c r="J960" s="80"/>
      <c r="K960" s="80"/>
      <c r="L960" s="2"/>
      <c r="M960" s="2"/>
      <c r="N960" s="2"/>
      <c r="O960" s="2"/>
      <c r="P960" s="2"/>
      <c r="Q960" s="2"/>
      <c r="R960" s="80"/>
      <c r="S960" s="80"/>
      <c r="T960" s="80"/>
      <c r="U960" s="80"/>
      <c r="V960" s="80"/>
      <c r="W960" s="80"/>
      <c r="X960" s="80"/>
      <c r="Y960" s="80"/>
      <c r="Z960" s="80"/>
      <c r="AA960" s="80"/>
      <c r="AB960" s="80"/>
      <c r="AC960" s="80"/>
      <c r="AD960" s="80"/>
      <c r="AE960" s="80"/>
      <c r="AF960" s="80"/>
      <c r="AG960" s="80"/>
    </row>
    <row r="961" spans="1:33" x14ac:dyDescent="0.2">
      <c r="A961" s="2"/>
      <c r="B961" s="80"/>
      <c r="C961" s="80"/>
      <c r="D961" s="80"/>
      <c r="E961" s="80"/>
      <c r="F961" s="80"/>
      <c r="G961" s="80"/>
      <c r="H961" s="80"/>
      <c r="I961" s="80"/>
      <c r="J961" s="80"/>
      <c r="K961" s="80"/>
      <c r="L961" s="2"/>
      <c r="M961" s="2"/>
      <c r="N961" s="2"/>
      <c r="O961" s="2"/>
      <c r="P961" s="2"/>
      <c r="Q961" s="2"/>
      <c r="R961" s="80"/>
      <c r="S961" s="80"/>
      <c r="T961" s="80"/>
      <c r="U961" s="80"/>
      <c r="V961" s="80"/>
      <c r="W961" s="80"/>
      <c r="X961" s="80"/>
      <c r="Y961" s="80"/>
      <c r="Z961" s="80"/>
      <c r="AA961" s="80"/>
      <c r="AB961" s="80"/>
      <c r="AC961" s="80"/>
      <c r="AD961" s="80"/>
      <c r="AE961" s="80"/>
      <c r="AF961" s="80"/>
      <c r="AG961" s="80"/>
    </row>
    <row r="962" spans="1:33" x14ac:dyDescent="0.2">
      <c r="A962" s="2"/>
      <c r="B962" s="80"/>
      <c r="C962" s="80"/>
      <c r="D962" s="80"/>
      <c r="E962" s="80"/>
      <c r="F962" s="80"/>
      <c r="G962" s="80"/>
      <c r="H962" s="80"/>
      <c r="I962" s="80"/>
      <c r="J962" s="80"/>
      <c r="K962" s="80"/>
      <c r="L962" s="2"/>
      <c r="M962" s="2"/>
      <c r="N962" s="2"/>
      <c r="O962" s="2"/>
      <c r="P962" s="2"/>
      <c r="Q962" s="2"/>
      <c r="R962" s="80"/>
      <c r="S962" s="80"/>
      <c r="T962" s="80"/>
      <c r="U962" s="80"/>
      <c r="V962" s="80"/>
      <c r="W962" s="80"/>
      <c r="X962" s="80"/>
      <c r="Y962" s="80"/>
      <c r="Z962" s="80"/>
      <c r="AA962" s="80"/>
      <c r="AB962" s="80"/>
      <c r="AC962" s="80"/>
      <c r="AD962" s="80"/>
      <c r="AE962" s="80"/>
      <c r="AF962" s="80"/>
      <c r="AG962" s="80"/>
    </row>
    <row r="963" spans="1:33" x14ac:dyDescent="0.2">
      <c r="A963" s="2"/>
      <c r="B963" s="80"/>
      <c r="C963" s="80"/>
      <c r="D963" s="80"/>
      <c r="E963" s="80"/>
      <c r="F963" s="80"/>
      <c r="G963" s="80"/>
      <c r="H963" s="80"/>
      <c r="I963" s="80"/>
      <c r="J963" s="80"/>
      <c r="K963" s="80"/>
      <c r="L963" s="2"/>
      <c r="M963" s="2"/>
      <c r="N963" s="2"/>
      <c r="O963" s="2"/>
      <c r="P963" s="2"/>
      <c r="Q963" s="2"/>
      <c r="R963" s="80"/>
      <c r="S963" s="80"/>
      <c r="T963" s="80"/>
      <c r="U963" s="80"/>
      <c r="V963" s="80"/>
      <c r="W963" s="80"/>
      <c r="X963" s="80"/>
      <c r="Y963" s="80"/>
      <c r="Z963" s="80"/>
      <c r="AA963" s="80"/>
      <c r="AB963" s="80"/>
      <c r="AC963" s="80"/>
      <c r="AD963" s="80"/>
      <c r="AE963" s="80"/>
      <c r="AF963" s="80"/>
      <c r="AG963" s="80"/>
    </row>
    <row r="964" spans="1:33" x14ac:dyDescent="0.2">
      <c r="A964" s="2"/>
      <c r="B964" s="80"/>
      <c r="C964" s="80"/>
      <c r="D964" s="80"/>
      <c r="E964" s="80"/>
      <c r="F964" s="80"/>
      <c r="G964" s="80"/>
      <c r="H964" s="80"/>
      <c r="I964" s="80"/>
      <c r="J964" s="80"/>
      <c r="K964" s="80"/>
      <c r="L964" s="2"/>
      <c r="M964" s="2"/>
      <c r="N964" s="2"/>
      <c r="O964" s="2"/>
      <c r="P964" s="2"/>
      <c r="Q964" s="2"/>
      <c r="R964" s="80"/>
      <c r="S964" s="80"/>
      <c r="T964" s="80"/>
      <c r="U964" s="80"/>
      <c r="V964" s="80"/>
      <c r="W964" s="80"/>
      <c r="X964" s="80"/>
      <c r="Y964" s="80"/>
      <c r="Z964" s="80"/>
      <c r="AA964" s="80"/>
      <c r="AB964" s="80"/>
      <c r="AC964" s="80"/>
      <c r="AD964" s="80"/>
      <c r="AE964" s="80"/>
      <c r="AF964" s="80"/>
      <c r="AG964" s="80"/>
    </row>
    <row r="965" spans="1:33" x14ac:dyDescent="0.2">
      <c r="A965" s="2"/>
      <c r="B965" s="80"/>
      <c r="C965" s="80"/>
      <c r="D965" s="80"/>
      <c r="E965" s="80"/>
      <c r="F965" s="80"/>
      <c r="G965" s="80"/>
      <c r="H965" s="80"/>
      <c r="I965" s="80"/>
      <c r="J965" s="80"/>
      <c r="K965" s="80"/>
      <c r="L965" s="2"/>
      <c r="M965" s="2"/>
      <c r="N965" s="2"/>
      <c r="O965" s="2"/>
      <c r="P965" s="2"/>
      <c r="Q965" s="2"/>
      <c r="R965" s="80"/>
      <c r="S965" s="80"/>
      <c r="T965" s="80"/>
      <c r="U965" s="80"/>
      <c r="V965" s="80"/>
      <c r="W965" s="80"/>
      <c r="X965" s="80"/>
      <c r="Y965" s="80"/>
      <c r="Z965" s="80"/>
      <c r="AA965" s="80"/>
      <c r="AB965" s="80"/>
      <c r="AC965" s="80"/>
      <c r="AD965" s="80"/>
      <c r="AE965" s="80"/>
      <c r="AF965" s="80"/>
      <c r="AG965" s="80"/>
    </row>
    <row r="966" spans="1:33" x14ac:dyDescent="0.2">
      <c r="A966" s="2"/>
      <c r="B966" s="80"/>
      <c r="C966" s="80"/>
      <c r="D966" s="80"/>
      <c r="E966" s="80"/>
      <c r="F966" s="80"/>
      <c r="G966" s="80"/>
      <c r="H966" s="80"/>
      <c r="I966" s="80"/>
      <c r="J966" s="80"/>
      <c r="K966" s="80"/>
      <c r="L966" s="2"/>
      <c r="M966" s="2"/>
      <c r="N966" s="2"/>
      <c r="O966" s="2"/>
      <c r="P966" s="2"/>
      <c r="Q966" s="2"/>
      <c r="R966" s="80"/>
      <c r="S966" s="80"/>
      <c r="T966" s="80"/>
      <c r="U966" s="80"/>
      <c r="V966" s="80"/>
      <c r="W966" s="80"/>
      <c r="X966" s="80"/>
      <c r="Y966" s="80"/>
      <c r="Z966" s="80"/>
      <c r="AA966" s="80"/>
      <c r="AB966" s="80"/>
      <c r="AC966" s="80"/>
      <c r="AD966" s="80"/>
      <c r="AE966" s="80"/>
      <c r="AF966" s="80"/>
      <c r="AG966" s="80"/>
    </row>
    <row r="967" spans="1:33" x14ac:dyDescent="0.2">
      <c r="A967" s="2"/>
      <c r="B967" s="80"/>
      <c r="C967" s="80"/>
      <c r="D967" s="80"/>
      <c r="E967" s="80"/>
      <c r="F967" s="80"/>
      <c r="G967" s="80"/>
      <c r="H967" s="80"/>
      <c r="I967" s="80"/>
      <c r="J967" s="80"/>
      <c r="K967" s="80"/>
      <c r="L967" s="2"/>
      <c r="M967" s="2"/>
      <c r="N967" s="2"/>
      <c r="O967" s="2"/>
      <c r="P967" s="2"/>
      <c r="Q967" s="2"/>
      <c r="R967" s="80"/>
      <c r="S967" s="80"/>
      <c r="T967" s="80"/>
      <c r="U967" s="80"/>
      <c r="V967" s="80"/>
      <c r="W967" s="80"/>
      <c r="X967" s="80"/>
      <c r="Y967" s="80"/>
      <c r="Z967" s="80"/>
      <c r="AA967" s="80"/>
      <c r="AB967" s="80"/>
      <c r="AC967" s="80"/>
      <c r="AD967" s="80"/>
      <c r="AE967" s="80"/>
      <c r="AF967" s="80"/>
      <c r="AG967" s="80"/>
    </row>
    <row r="968" spans="1:33" x14ac:dyDescent="0.2">
      <c r="A968" s="2"/>
      <c r="B968" s="80"/>
      <c r="C968" s="80"/>
      <c r="D968" s="80"/>
      <c r="E968" s="80"/>
      <c r="F968" s="80"/>
      <c r="G968" s="80"/>
      <c r="H968" s="80"/>
      <c r="I968" s="80"/>
      <c r="J968" s="80"/>
      <c r="K968" s="80"/>
      <c r="L968" s="2"/>
      <c r="M968" s="2"/>
      <c r="N968" s="2"/>
      <c r="O968" s="2"/>
      <c r="P968" s="2"/>
      <c r="Q968" s="2"/>
      <c r="R968" s="80"/>
      <c r="S968" s="80"/>
      <c r="T968" s="80"/>
      <c r="U968" s="80"/>
      <c r="V968" s="80"/>
      <c r="W968" s="80"/>
      <c r="X968" s="80"/>
      <c r="Y968" s="80"/>
      <c r="Z968" s="80"/>
      <c r="AA968" s="80"/>
      <c r="AB968" s="80"/>
      <c r="AC968" s="80"/>
      <c r="AD968" s="80"/>
      <c r="AE968" s="80"/>
      <c r="AF968" s="80"/>
      <c r="AG968" s="80"/>
    </row>
    <row r="969" spans="1:33" x14ac:dyDescent="0.2">
      <c r="A969" s="2"/>
      <c r="B969" s="80"/>
      <c r="C969" s="80"/>
      <c r="D969" s="80"/>
      <c r="E969" s="80"/>
      <c r="F969" s="80"/>
      <c r="G969" s="80"/>
      <c r="H969" s="80"/>
      <c r="I969" s="80"/>
      <c r="J969" s="80"/>
      <c r="K969" s="80"/>
      <c r="L969" s="2"/>
      <c r="M969" s="2"/>
      <c r="N969" s="2"/>
      <c r="O969" s="2"/>
      <c r="P969" s="2"/>
      <c r="Q969" s="2"/>
      <c r="R969" s="80"/>
      <c r="S969" s="80"/>
      <c r="T969" s="80"/>
      <c r="U969" s="80"/>
      <c r="V969" s="80"/>
      <c r="W969" s="80"/>
      <c r="X969" s="80"/>
      <c r="Y969" s="80"/>
      <c r="Z969" s="80"/>
      <c r="AA969" s="80"/>
      <c r="AB969" s="80"/>
      <c r="AC969" s="80"/>
      <c r="AD969" s="80"/>
      <c r="AE969" s="80"/>
      <c r="AF969" s="80"/>
      <c r="AG969" s="80"/>
    </row>
    <row r="970" spans="1:33" x14ac:dyDescent="0.2">
      <c r="A970" s="2"/>
      <c r="B970" s="80"/>
      <c r="C970" s="80"/>
      <c r="D970" s="80"/>
      <c r="E970" s="80"/>
      <c r="F970" s="80"/>
      <c r="G970" s="80"/>
      <c r="H970" s="80"/>
      <c r="I970" s="80"/>
      <c r="J970" s="80"/>
      <c r="K970" s="80"/>
      <c r="L970" s="2"/>
      <c r="M970" s="2"/>
      <c r="N970" s="2"/>
      <c r="O970" s="2"/>
      <c r="P970" s="2"/>
      <c r="Q970" s="2"/>
      <c r="R970" s="80"/>
      <c r="S970" s="80"/>
      <c r="T970" s="80"/>
      <c r="U970" s="80"/>
      <c r="V970" s="80"/>
      <c r="W970" s="80"/>
      <c r="X970" s="80"/>
      <c r="Y970" s="80"/>
      <c r="Z970" s="80"/>
      <c r="AA970" s="80"/>
      <c r="AB970" s="80"/>
      <c r="AC970" s="80"/>
      <c r="AD970" s="80"/>
      <c r="AE970" s="80"/>
      <c r="AF970" s="80"/>
      <c r="AG970" s="80"/>
    </row>
    <row r="971" spans="1:33" x14ac:dyDescent="0.2">
      <c r="A971" s="2"/>
      <c r="B971" s="80"/>
      <c r="C971" s="80"/>
      <c r="D971" s="80"/>
      <c r="E971" s="80"/>
      <c r="F971" s="80"/>
      <c r="G971" s="80"/>
      <c r="H971" s="80"/>
      <c r="I971" s="80"/>
      <c r="J971" s="80"/>
      <c r="K971" s="80"/>
      <c r="L971" s="2"/>
      <c r="M971" s="2"/>
      <c r="N971" s="2"/>
      <c r="O971" s="2"/>
      <c r="P971" s="2"/>
      <c r="Q971" s="2"/>
      <c r="R971" s="80"/>
      <c r="S971" s="80"/>
      <c r="T971" s="80"/>
      <c r="U971" s="80"/>
      <c r="V971" s="80"/>
      <c r="W971" s="80"/>
      <c r="X971" s="80"/>
      <c r="Y971" s="80"/>
      <c r="Z971" s="80"/>
      <c r="AA971" s="80"/>
      <c r="AB971" s="80"/>
      <c r="AC971" s="80"/>
      <c r="AD971" s="80"/>
      <c r="AE971" s="80"/>
      <c r="AF971" s="80"/>
      <c r="AG971" s="80"/>
    </row>
    <row r="972" spans="1:33" x14ac:dyDescent="0.2">
      <c r="A972" s="2"/>
      <c r="B972" s="80"/>
      <c r="C972" s="80"/>
      <c r="D972" s="80"/>
      <c r="E972" s="80"/>
      <c r="F972" s="80"/>
      <c r="G972" s="80"/>
      <c r="H972" s="80"/>
      <c r="I972" s="80"/>
      <c r="J972" s="80"/>
      <c r="K972" s="80"/>
      <c r="L972" s="2"/>
      <c r="M972" s="2"/>
      <c r="N972" s="2"/>
      <c r="O972" s="2"/>
      <c r="P972" s="2"/>
      <c r="Q972" s="2"/>
      <c r="R972" s="80"/>
      <c r="S972" s="80"/>
      <c r="T972" s="80"/>
      <c r="U972" s="80"/>
      <c r="V972" s="80"/>
      <c r="W972" s="80"/>
      <c r="X972" s="80"/>
      <c r="Y972" s="80"/>
      <c r="Z972" s="80"/>
      <c r="AA972" s="80"/>
      <c r="AB972" s="80"/>
      <c r="AC972" s="80"/>
      <c r="AD972" s="80"/>
      <c r="AE972" s="80"/>
      <c r="AF972" s="80"/>
      <c r="AG972" s="80"/>
    </row>
    <row r="973" spans="1:33" x14ac:dyDescent="0.2">
      <c r="A973" s="2"/>
      <c r="B973" s="80"/>
      <c r="C973" s="80"/>
      <c r="D973" s="80"/>
      <c r="E973" s="80"/>
      <c r="F973" s="80"/>
      <c r="G973" s="80"/>
      <c r="H973" s="80"/>
      <c r="I973" s="80"/>
      <c r="J973" s="80"/>
      <c r="K973" s="80"/>
      <c r="L973" s="2"/>
      <c r="M973" s="2"/>
      <c r="N973" s="2"/>
      <c r="O973" s="2"/>
      <c r="P973" s="2"/>
      <c r="Q973" s="2"/>
      <c r="R973" s="80"/>
      <c r="S973" s="80"/>
      <c r="T973" s="80"/>
      <c r="U973" s="80"/>
      <c r="V973" s="80"/>
      <c r="W973" s="80"/>
      <c r="X973" s="80"/>
      <c r="Y973" s="80"/>
      <c r="Z973" s="80"/>
      <c r="AA973" s="80"/>
      <c r="AB973" s="80"/>
      <c r="AC973" s="80"/>
      <c r="AD973" s="80"/>
      <c r="AE973" s="80"/>
      <c r="AF973" s="80"/>
      <c r="AG973" s="80"/>
    </row>
    <row r="974" spans="1:33" x14ac:dyDescent="0.2">
      <c r="A974" s="2"/>
      <c r="B974" s="80"/>
      <c r="C974" s="80"/>
      <c r="D974" s="80"/>
      <c r="E974" s="80"/>
      <c r="F974" s="80"/>
      <c r="G974" s="80"/>
      <c r="H974" s="80"/>
      <c r="I974" s="80"/>
      <c r="J974" s="80"/>
      <c r="K974" s="80"/>
      <c r="L974" s="2"/>
      <c r="M974" s="2"/>
      <c r="N974" s="2"/>
      <c r="O974" s="2"/>
      <c r="P974" s="2"/>
      <c r="Q974" s="2"/>
      <c r="R974" s="80"/>
      <c r="S974" s="80"/>
      <c r="T974" s="80"/>
      <c r="U974" s="80"/>
      <c r="V974" s="80"/>
      <c r="W974" s="80"/>
      <c r="X974" s="80"/>
      <c r="Y974" s="80"/>
      <c r="Z974" s="80"/>
      <c r="AA974" s="80"/>
      <c r="AB974" s="80"/>
      <c r="AC974" s="80"/>
      <c r="AD974" s="80"/>
      <c r="AE974" s="80"/>
      <c r="AF974" s="80"/>
      <c r="AG974" s="80"/>
    </row>
    <row r="975" spans="1:33" x14ac:dyDescent="0.2">
      <c r="A975" s="2"/>
      <c r="B975" s="80"/>
      <c r="C975" s="80"/>
      <c r="D975" s="80"/>
      <c r="E975" s="80"/>
      <c r="F975" s="80"/>
      <c r="G975" s="80"/>
      <c r="H975" s="80"/>
      <c r="I975" s="80"/>
      <c r="J975" s="80"/>
      <c r="K975" s="80"/>
      <c r="L975" s="2"/>
      <c r="M975" s="2"/>
      <c r="N975" s="2"/>
      <c r="O975" s="2"/>
      <c r="P975" s="2"/>
      <c r="Q975" s="2"/>
      <c r="R975" s="80"/>
      <c r="S975" s="80"/>
      <c r="T975" s="80"/>
      <c r="U975" s="80"/>
      <c r="V975" s="80"/>
      <c r="W975" s="80"/>
      <c r="X975" s="80"/>
      <c r="Y975" s="80"/>
      <c r="Z975" s="80"/>
      <c r="AA975" s="80"/>
      <c r="AB975" s="80"/>
      <c r="AC975" s="80"/>
      <c r="AD975" s="80"/>
      <c r="AE975" s="80"/>
      <c r="AF975" s="80"/>
      <c r="AG975" s="80"/>
    </row>
    <row r="976" spans="1:33" x14ac:dyDescent="0.2">
      <c r="A976" s="2"/>
      <c r="B976" s="80"/>
      <c r="C976" s="80"/>
      <c r="D976" s="80"/>
      <c r="E976" s="80"/>
      <c r="F976" s="80"/>
      <c r="G976" s="80"/>
      <c r="H976" s="80"/>
      <c r="I976" s="80"/>
      <c r="J976" s="80"/>
      <c r="K976" s="80"/>
      <c r="L976" s="2"/>
      <c r="M976" s="2"/>
      <c r="N976" s="2"/>
      <c r="O976" s="2"/>
      <c r="P976" s="2"/>
      <c r="Q976" s="2"/>
      <c r="R976" s="80"/>
      <c r="S976" s="80"/>
      <c r="T976" s="80"/>
      <c r="U976" s="80"/>
      <c r="V976" s="80"/>
      <c r="W976" s="80"/>
      <c r="X976" s="80"/>
      <c r="Y976" s="80"/>
      <c r="Z976" s="80"/>
      <c r="AA976" s="80"/>
      <c r="AB976" s="80"/>
      <c r="AC976" s="80"/>
      <c r="AD976" s="80"/>
      <c r="AE976" s="80"/>
      <c r="AF976" s="80"/>
      <c r="AG976" s="80"/>
    </row>
    <row r="977" spans="1:33" x14ac:dyDescent="0.2">
      <c r="A977" s="2"/>
      <c r="B977" s="80"/>
      <c r="C977" s="80"/>
      <c r="D977" s="80"/>
      <c r="E977" s="80"/>
      <c r="F977" s="80"/>
      <c r="G977" s="80"/>
      <c r="H977" s="80"/>
      <c r="I977" s="80"/>
      <c r="J977" s="80"/>
      <c r="K977" s="80"/>
      <c r="L977" s="2"/>
      <c r="M977" s="2"/>
      <c r="N977" s="2"/>
      <c r="O977" s="2"/>
      <c r="P977" s="2"/>
      <c r="Q977" s="2"/>
      <c r="R977" s="80"/>
      <c r="S977" s="80"/>
      <c r="T977" s="80"/>
      <c r="U977" s="80"/>
      <c r="V977" s="80"/>
      <c r="W977" s="80"/>
      <c r="X977" s="80"/>
      <c r="Y977" s="80"/>
      <c r="Z977" s="80"/>
      <c r="AA977" s="80"/>
      <c r="AB977" s="80"/>
      <c r="AC977" s="80"/>
      <c r="AD977" s="80"/>
      <c r="AE977" s="80"/>
      <c r="AF977" s="80"/>
      <c r="AG977" s="80"/>
    </row>
    <row r="978" spans="1:33" x14ac:dyDescent="0.2">
      <c r="A978" s="2"/>
      <c r="B978" s="80"/>
      <c r="C978" s="80"/>
      <c r="D978" s="80"/>
      <c r="E978" s="80"/>
      <c r="F978" s="80"/>
      <c r="G978" s="80"/>
      <c r="H978" s="80"/>
      <c r="I978" s="80"/>
      <c r="J978" s="80"/>
      <c r="K978" s="80"/>
      <c r="L978" s="2"/>
      <c r="M978" s="2"/>
      <c r="N978" s="2"/>
      <c r="O978" s="2"/>
      <c r="P978" s="2"/>
      <c r="Q978" s="2"/>
      <c r="R978" s="80"/>
      <c r="S978" s="80"/>
      <c r="T978" s="80"/>
      <c r="U978" s="80"/>
      <c r="V978" s="80"/>
      <c r="W978" s="80"/>
      <c r="X978" s="80"/>
      <c r="Y978" s="80"/>
      <c r="Z978" s="80"/>
      <c r="AA978" s="80"/>
      <c r="AB978" s="80"/>
      <c r="AC978" s="80"/>
      <c r="AD978" s="80"/>
      <c r="AE978" s="80"/>
      <c r="AF978" s="80"/>
      <c r="AG978" s="80"/>
    </row>
    <row r="979" spans="1:33" x14ac:dyDescent="0.2">
      <c r="A979" s="2"/>
      <c r="B979" s="80"/>
      <c r="C979" s="80"/>
      <c r="D979" s="80"/>
      <c r="E979" s="80"/>
      <c r="F979" s="80"/>
      <c r="G979" s="80"/>
      <c r="H979" s="80"/>
      <c r="I979" s="80"/>
      <c r="J979" s="80"/>
      <c r="K979" s="80"/>
      <c r="L979" s="2"/>
      <c r="M979" s="2"/>
      <c r="N979" s="2"/>
      <c r="O979" s="2"/>
      <c r="P979" s="2"/>
      <c r="Q979" s="2"/>
      <c r="R979" s="80"/>
      <c r="S979" s="80"/>
      <c r="T979" s="80"/>
      <c r="U979" s="80"/>
      <c r="V979" s="80"/>
      <c r="W979" s="80"/>
      <c r="X979" s="80"/>
      <c r="Y979" s="80"/>
      <c r="Z979" s="80"/>
      <c r="AA979" s="80"/>
      <c r="AB979" s="80"/>
      <c r="AC979" s="80"/>
      <c r="AD979" s="80"/>
      <c r="AE979" s="80"/>
      <c r="AF979" s="80"/>
      <c r="AG979" s="80"/>
    </row>
    <row r="980" spans="1:33" x14ac:dyDescent="0.2">
      <c r="A980" s="2"/>
      <c r="B980" s="80"/>
      <c r="C980" s="80"/>
      <c r="D980" s="80"/>
      <c r="E980" s="80"/>
      <c r="F980" s="80"/>
      <c r="G980" s="80"/>
      <c r="H980" s="80"/>
      <c r="I980" s="80"/>
      <c r="J980" s="80"/>
      <c r="K980" s="80"/>
      <c r="L980" s="2"/>
      <c r="M980" s="2"/>
      <c r="N980" s="2"/>
      <c r="O980" s="2"/>
      <c r="P980" s="2"/>
      <c r="Q980" s="2"/>
      <c r="R980" s="80"/>
      <c r="S980" s="80"/>
      <c r="T980" s="80"/>
      <c r="U980" s="80"/>
      <c r="V980" s="80"/>
      <c r="W980" s="80"/>
      <c r="X980" s="80"/>
      <c r="Y980" s="80"/>
      <c r="Z980" s="80"/>
      <c r="AA980" s="80"/>
      <c r="AB980" s="80"/>
      <c r="AC980" s="80"/>
      <c r="AD980" s="80"/>
      <c r="AE980" s="80"/>
      <c r="AF980" s="80"/>
      <c r="AG980" s="80"/>
    </row>
    <row r="981" spans="1:33" x14ac:dyDescent="0.2">
      <c r="A981" s="2"/>
      <c r="B981" s="80"/>
      <c r="C981" s="80"/>
      <c r="D981" s="80"/>
      <c r="E981" s="80"/>
      <c r="F981" s="80"/>
      <c r="G981" s="80"/>
      <c r="H981" s="80"/>
      <c r="I981" s="80"/>
      <c r="J981" s="80"/>
      <c r="K981" s="80"/>
      <c r="L981" s="2"/>
      <c r="M981" s="2"/>
      <c r="N981" s="2"/>
      <c r="O981" s="2"/>
      <c r="P981" s="2"/>
      <c r="Q981" s="2"/>
      <c r="R981" s="80"/>
      <c r="S981" s="80"/>
      <c r="T981" s="80"/>
      <c r="U981" s="80"/>
      <c r="V981" s="80"/>
      <c r="W981" s="80"/>
      <c r="X981" s="80"/>
      <c r="Y981" s="80"/>
      <c r="Z981" s="80"/>
      <c r="AA981" s="80"/>
      <c r="AB981" s="80"/>
      <c r="AC981" s="80"/>
      <c r="AD981" s="80"/>
      <c r="AE981" s="80"/>
      <c r="AF981" s="80"/>
      <c r="AG981" s="80"/>
    </row>
    <row r="982" spans="1:33" x14ac:dyDescent="0.2">
      <c r="A982" s="2"/>
      <c r="B982" s="80"/>
      <c r="C982" s="80"/>
      <c r="D982" s="80"/>
      <c r="E982" s="80"/>
      <c r="F982" s="80"/>
      <c r="G982" s="80"/>
      <c r="H982" s="80"/>
      <c r="I982" s="80"/>
      <c r="J982" s="80"/>
      <c r="K982" s="80"/>
      <c r="L982" s="2"/>
      <c r="M982" s="2"/>
      <c r="N982" s="2"/>
      <c r="O982" s="2"/>
      <c r="P982" s="2"/>
      <c r="Q982" s="2"/>
      <c r="R982" s="80"/>
      <c r="S982" s="80"/>
      <c r="T982" s="80"/>
      <c r="U982" s="80"/>
      <c r="V982" s="80"/>
      <c r="W982" s="80"/>
      <c r="X982" s="80"/>
      <c r="Y982" s="80"/>
      <c r="Z982" s="80"/>
      <c r="AA982" s="80"/>
      <c r="AB982" s="80"/>
      <c r="AC982" s="80"/>
      <c r="AD982" s="80"/>
      <c r="AE982" s="80"/>
      <c r="AF982" s="80"/>
      <c r="AG982" s="80"/>
    </row>
    <row r="983" spans="1:33" x14ac:dyDescent="0.2">
      <c r="A983" s="2"/>
      <c r="B983" s="80"/>
      <c r="C983" s="80"/>
      <c r="D983" s="80"/>
      <c r="E983" s="80"/>
      <c r="F983" s="80"/>
      <c r="G983" s="80"/>
      <c r="H983" s="80"/>
      <c r="I983" s="80"/>
      <c r="J983" s="80"/>
      <c r="K983" s="80"/>
      <c r="L983" s="2"/>
      <c r="M983" s="2"/>
      <c r="N983" s="2"/>
      <c r="O983" s="2"/>
      <c r="P983" s="2"/>
      <c r="Q983" s="2"/>
      <c r="R983" s="80"/>
      <c r="S983" s="80"/>
      <c r="T983" s="80"/>
      <c r="U983" s="80"/>
      <c r="V983" s="80"/>
      <c r="W983" s="80"/>
      <c r="X983" s="80"/>
      <c r="Y983" s="80"/>
      <c r="Z983" s="80"/>
      <c r="AA983" s="80"/>
      <c r="AB983" s="80"/>
      <c r="AC983" s="80"/>
      <c r="AD983" s="80"/>
      <c r="AE983" s="80"/>
      <c r="AF983" s="80"/>
      <c r="AG983" s="80"/>
    </row>
    <row r="984" spans="1:33" x14ac:dyDescent="0.2">
      <c r="A984" s="2"/>
      <c r="B984" s="80"/>
      <c r="C984" s="80"/>
      <c r="D984" s="80"/>
      <c r="E984" s="80"/>
      <c r="F984" s="80"/>
      <c r="G984" s="80"/>
      <c r="H984" s="80"/>
      <c r="I984" s="80"/>
      <c r="J984" s="80"/>
      <c r="K984" s="80"/>
      <c r="L984" s="2"/>
      <c r="M984" s="2"/>
      <c r="N984" s="2"/>
      <c r="O984" s="2"/>
      <c r="P984" s="2"/>
      <c r="Q984" s="2"/>
      <c r="R984" s="80"/>
      <c r="S984" s="80"/>
      <c r="T984" s="80"/>
      <c r="U984" s="80"/>
      <c r="V984" s="80"/>
      <c r="W984" s="80"/>
      <c r="X984" s="80"/>
      <c r="Y984" s="80"/>
      <c r="Z984" s="80"/>
      <c r="AA984" s="80"/>
      <c r="AB984" s="80"/>
      <c r="AC984" s="80"/>
      <c r="AD984" s="80"/>
      <c r="AE984" s="80"/>
      <c r="AF984" s="80"/>
      <c r="AG984" s="80"/>
    </row>
    <row r="985" spans="1:33" x14ac:dyDescent="0.2">
      <c r="A985" s="2"/>
      <c r="B985" s="80"/>
      <c r="C985" s="80"/>
      <c r="D985" s="80"/>
      <c r="E985" s="80"/>
      <c r="F985" s="80"/>
      <c r="G985" s="80"/>
      <c r="H985" s="80"/>
      <c r="I985" s="80"/>
      <c r="J985" s="80"/>
      <c r="K985" s="80"/>
      <c r="L985" s="2"/>
      <c r="M985" s="2"/>
      <c r="N985" s="2"/>
      <c r="O985" s="2"/>
      <c r="P985" s="2"/>
      <c r="Q985" s="2"/>
      <c r="R985" s="80"/>
      <c r="S985" s="80"/>
      <c r="T985" s="80"/>
      <c r="U985" s="80"/>
      <c r="V985" s="80"/>
      <c r="W985" s="80"/>
      <c r="X985" s="80"/>
      <c r="Y985" s="80"/>
      <c r="Z985" s="80"/>
      <c r="AA985" s="80"/>
      <c r="AB985" s="80"/>
      <c r="AC985" s="80"/>
      <c r="AD985" s="80"/>
      <c r="AE985" s="80"/>
      <c r="AF985" s="80"/>
      <c r="AG985" s="80"/>
    </row>
    <row r="986" spans="1:33" x14ac:dyDescent="0.2">
      <c r="A986" s="2"/>
      <c r="B986" s="80"/>
      <c r="C986" s="80"/>
      <c r="D986" s="80"/>
      <c r="E986" s="80"/>
      <c r="F986" s="80"/>
      <c r="G986" s="80"/>
      <c r="H986" s="80"/>
      <c r="I986" s="80"/>
      <c r="J986" s="80"/>
      <c r="K986" s="80"/>
      <c r="L986" s="2"/>
      <c r="M986" s="2"/>
      <c r="N986" s="2"/>
      <c r="O986" s="2"/>
      <c r="P986" s="2"/>
      <c r="Q986" s="2"/>
      <c r="R986" s="80"/>
      <c r="S986" s="80"/>
      <c r="T986" s="80"/>
      <c r="U986" s="80"/>
      <c r="V986" s="80"/>
      <c r="W986" s="80"/>
      <c r="X986" s="80"/>
      <c r="Y986" s="80"/>
      <c r="Z986" s="80"/>
      <c r="AA986" s="80"/>
      <c r="AB986" s="80"/>
      <c r="AC986" s="80"/>
      <c r="AD986" s="80"/>
      <c r="AE986" s="80"/>
      <c r="AF986" s="80"/>
      <c r="AG986" s="80"/>
    </row>
    <row r="987" spans="1:33" x14ac:dyDescent="0.2">
      <c r="A987" s="2"/>
      <c r="B987" s="80"/>
      <c r="C987" s="80"/>
      <c r="D987" s="80"/>
      <c r="E987" s="80"/>
      <c r="F987" s="80"/>
      <c r="G987" s="80"/>
      <c r="H987" s="80"/>
      <c r="I987" s="80"/>
      <c r="J987" s="80"/>
      <c r="K987" s="80"/>
      <c r="L987" s="2"/>
      <c r="M987" s="2"/>
      <c r="N987" s="2"/>
      <c r="O987" s="2"/>
      <c r="P987" s="2"/>
      <c r="Q987" s="2"/>
      <c r="R987" s="80"/>
      <c r="S987" s="80"/>
      <c r="T987" s="80"/>
      <c r="U987" s="80"/>
      <c r="V987" s="80"/>
      <c r="W987" s="80"/>
      <c r="X987" s="80"/>
      <c r="Y987" s="80"/>
      <c r="Z987" s="80"/>
      <c r="AA987" s="80"/>
      <c r="AB987" s="80"/>
      <c r="AC987" s="80"/>
      <c r="AD987" s="80"/>
      <c r="AE987" s="80"/>
      <c r="AF987" s="80"/>
      <c r="AG987" s="80"/>
    </row>
    <row r="988" spans="1:33" x14ac:dyDescent="0.2">
      <c r="A988" s="2"/>
      <c r="B988" s="80"/>
      <c r="C988" s="80"/>
      <c r="D988" s="80"/>
      <c r="E988" s="80"/>
      <c r="F988" s="80"/>
      <c r="G988" s="80"/>
      <c r="H988" s="80"/>
      <c r="I988" s="80"/>
      <c r="J988" s="80"/>
      <c r="K988" s="80"/>
      <c r="L988" s="2"/>
      <c r="M988" s="2"/>
      <c r="N988" s="2"/>
      <c r="O988" s="2"/>
      <c r="P988" s="2"/>
      <c r="Q988" s="2"/>
      <c r="R988" s="80"/>
      <c r="S988" s="80"/>
      <c r="T988" s="80"/>
      <c r="U988" s="80"/>
      <c r="V988" s="80"/>
      <c r="W988" s="80"/>
      <c r="X988" s="80"/>
      <c r="Y988" s="80"/>
      <c r="Z988" s="80"/>
      <c r="AA988" s="80"/>
      <c r="AB988" s="80"/>
      <c r="AC988" s="80"/>
      <c r="AD988" s="80"/>
      <c r="AE988" s="80"/>
      <c r="AF988" s="80"/>
      <c r="AG988" s="80"/>
    </row>
    <row r="989" spans="1:33" x14ac:dyDescent="0.2">
      <c r="A989" s="2"/>
      <c r="B989" s="80"/>
      <c r="C989" s="80"/>
      <c r="D989" s="80"/>
      <c r="E989" s="80"/>
      <c r="F989" s="80"/>
      <c r="G989" s="80"/>
      <c r="H989" s="80"/>
      <c r="I989" s="80"/>
      <c r="J989" s="80"/>
      <c r="K989" s="80"/>
      <c r="L989" s="2"/>
      <c r="M989" s="2"/>
      <c r="N989" s="2"/>
      <c r="O989" s="2"/>
      <c r="P989" s="2"/>
      <c r="Q989" s="2"/>
      <c r="R989" s="80"/>
      <c r="S989" s="80"/>
      <c r="T989" s="80"/>
      <c r="U989" s="80"/>
      <c r="V989" s="80"/>
      <c r="W989" s="80"/>
      <c r="X989" s="80"/>
      <c r="Y989" s="80"/>
      <c r="Z989" s="80"/>
      <c r="AA989" s="80"/>
      <c r="AB989" s="80"/>
      <c r="AC989" s="80"/>
      <c r="AD989" s="80"/>
      <c r="AE989" s="80"/>
      <c r="AF989" s="80"/>
      <c r="AG989" s="80"/>
    </row>
    <row r="990" spans="1:33" x14ac:dyDescent="0.2">
      <c r="A990" s="2"/>
      <c r="B990" s="80"/>
      <c r="C990" s="80"/>
      <c r="D990" s="80"/>
      <c r="E990" s="80"/>
      <c r="F990" s="80"/>
      <c r="G990" s="80"/>
      <c r="H990" s="80"/>
      <c r="I990" s="80"/>
      <c r="J990" s="80"/>
      <c r="K990" s="80"/>
      <c r="L990" s="2"/>
      <c r="M990" s="2"/>
      <c r="N990" s="2"/>
      <c r="O990" s="2"/>
      <c r="P990" s="2"/>
      <c r="Q990" s="2"/>
      <c r="R990" s="80"/>
      <c r="S990" s="80"/>
      <c r="T990" s="80"/>
      <c r="U990" s="80"/>
      <c r="V990" s="80"/>
      <c r="W990" s="80"/>
      <c r="X990" s="80"/>
      <c r="Y990" s="80"/>
      <c r="Z990" s="80"/>
      <c r="AA990" s="80"/>
      <c r="AB990" s="80"/>
      <c r="AC990" s="80"/>
      <c r="AD990" s="80"/>
      <c r="AE990" s="80"/>
      <c r="AF990" s="80"/>
      <c r="AG990" s="80"/>
    </row>
    <row r="991" spans="1:33" x14ac:dyDescent="0.2">
      <c r="A991" s="2"/>
      <c r="B991" s="80"/>
      <c r="C991" s="80"/>
      <c r="D991" s="80"/>
      <c r="E991" s="80"/>
      <c r="F991" s="80"/>
      <c r="G991" s="80"/>
      <c r="H991" s="80"/>
      <c r="I991" s="80"/>
      <c r="J991" s="80"/>
      <c r="K991" s="80"/>
      <c r="L991" s="2"/>
      <c r="M991" s="2"/>
      <c r="N991" s="2"/>
      <c r="O991" s="2"/>
      <c r="P991" s="2"/>
      <c r="Q991" s="2"/>
      <c r="R991" s="80"/>
      <c r="S991" s="80"/>
      <c r="T991" s="80"/>
      <c r="U991" s="80"/>
      <c r="V991" s="80"/>
      <c r="W991" s="80"/>
      <c r="X991" s="80"/>
      <c r="Y991" s="80"/>
      <c r="Z991" s="80"/>
      <c r="AA991" s="80"/>
      <c r="AB991" s="80"/>
      <c r="AC991" s="80"/>
      <c r="AD991" s="80"/>
      <c r="AE991" s="80"/>
      <c r="AF991" s="80"/>
      <c r="AG991" s="80"/>
    </row>
    <row r="992" spans="1:33" x14ac:dyDescent="0.2">
      <c r="A992" s="2"/>
      <c r="B992" s="80"/>
      <c r="C992" s="80"/>
      <c r="D992" s="80"/>
      <c r="E992" s="80"/>
      <c r="F992" s="80"/>
      <c r="G992" s="80"/>
      <c r="H992" s="80"/>
      <c r="I992" s="80"/>
      <c r="J992" s="80"/>
      <c r="K992" s="80"/>
      <c r="L992" s="2"/>
      <c r="M992" s="2"/>
      <c r="N992" s="2"/>
      <c r="O992" s="2"/>
      <c r="P992" s="2"/>
      <c r="Q992" s="2"/>
      <c r="R992" s="80"/>
      <c r="S992" s="80"/>
      <c r="T992" s="80"/>
      <c r="U992" s="80"/>
      <c r="V992" s="80"/>
      <c r="W992" s="80"/>
      <c r="X992" s="80"/>
      <c r="Y992" s="80"/>
      <c r="Z992" s="80"/>
      <c r="AA992" s="80"/>
      <c r="AB992" s="80"/>
      <c r="AC992" s="80"/>
      <c r="AD992" s="80"/>
      <c r="AE992" s="80"/>
      <c r="AF992" s="80"/>
      <c r="AG992" s="80"/>
    </row>
    <row r="993" spans="1:33" x14ac:dyDescent="0.2">
      <c r="A993" s="2"/>
      <c r="B993" s="80"/>
      <c r="C993" s="80"/>
      <c r="D993" s="80"/>
      <c r="E993" s="80"/>
      <c r="F993" s="80"/>
      <c r="G993" s="80"/>
      <c r="H993" s="80"/>
      <c r="I993" s="80"/>
      <c r="J993" s="80"/>
      <c r="K993" s="80"/>
      <c r="L993" s="2"/>
      <c r="M993" s="2"/>
      <c r="N993" s="2"/>
      <c r="O993" s="2"/>
      <c r="P993" s="2"/>
      <c r="Q993" s="2"/>
      <c r="R993" s="80"/>
      <c r="S993" s="80"/>
      <c r="T993" s="80"/>
      <c r="U993" s="80"/>
      <c r="V993" s="80"/>
      <c r="W993" s="80"/>
      <c r="X993" s="80"/>
      <c r="Y993" s="80"/>
      <c r="Z993" s="80"/>
      <c r="AA993" s="80"/>
      <c r="AB993" s="80"/>
      <c r="AC993" s="80"/>
      <c r="AD993" s="80"/>
      <c r="AE993" s="80"/>
      <c r="AF993" s="80"/>
      <c r="AG993" s="80"/>
    </row>
    <row r="994" spans="1:33" x14ac:dyDescent="0.2">
      <c r="A994" s="2"/>
      <c r="B994" s="80"/>
      <c r="C994" s="80"/>
      <c r="D994" s="80"/>
      <c r="E994" s="80"/>
      <c r="F994" s="80"/>
      <c r="G994" s="80"/>
      <c r="H994" s="80"/>
      <c r="I994" s="80"/>
      <c r="J994" s="80"/>
      <c r="K994" s="80"/>
      <c r="L994" s="2"/>
      <c r="M994" s="2"/>
      <c r="N994" s="2"/>
      <c r="O994" s="2"/>
      <c r="P994" s="2"/>
      <c r="Q994" s="2"/>
      <c r="R994" s="80"/>
      <c r="S994" s="80"/>
      <c r="T994" s="80"/>
      <c r="U994" s="80"/>
      <c r="V994" s="80"/>
      <c r="W994" s="80"/>
      <c r="X994" s="80"/>
      <c r="Y994" s="80"/>
      <c r="Z994" s="80"/>
      <c r="AA994" s="80"/>
      <c r="AB994" s="80"/>
      <c r="AC994" s="80"/>
      <c r="AD994" s="80"/>
      <c r="AE994" s="80"/>
      <c r="AF994" s="80"/>
      <c r="AG994" s="80"/>
    </row>
    <row r="995" spans="1:33" x14ac:dyDescent="0.2">
      <c r="A995" s="2"/>
      <c r="B995" s="80"/>
      <c r="C995" s="80"/>
      <c r="D995" s="80"/>
      <c r="E995" s="80"/>
      <c r="F995" s="80"/>
      <c r="G995" s="80"/>
      <c r="H995" s="80"/>
      <c r="I995" s="80"/>
      <c r="J995" s="80"/>
      <c r="K995" s="80"/>
      <c r="L995" s="2"/>
      <c r="M995" s="2"/>
      <c r="N995" s="2"/>
      <c r="O995" s="2"/>
      <c r="P995" s="2"/>
      <c r="Q995" s="2"/>
      <c r="R995" s="80"/>
      <c r="S995" s="80"/>
      <c r="T995" s="80"/>
      <c r="U995" s="80"/>
      <c r="V995" s="80"/>
      <c r="W995" s="80"/>
      <c r="X995" s="80"/>
      <c r="Y995" s="80"/>
      <c r="Z995" s="80"/>
      <c r="AA995" s="80"/>
      <c r="AB995" s="80"/>
      <c r="AC995" s="80"/>
      <c r="AD995" s="80"/>
      <c r="AE995" s="80"/>
      <c r="AF995" s="80"/>
      <c r="AG995" s="80"/>
    </row>
    <row r="996" spans="1:33" x14ac:dyDescent="0.2">
      <c r="A996" s="2"/>
      <c r="B996" s="80"/>
      <c r="C996" s="80"/>
      <c r="D996" s="80"/>
      <c r="E996" s="80"/>
      <c r="F996" s="80"/>
      <c r="G996" s="80"/>
      <c r="H996" s="80"/>
      <c r="I996" s="80"/>
      <c r="J996" s="80"/>
      <c r="K996" s="80"/>
      <c r="L996" s="2"/>
      <c r="M996" s="2"/>
      <c r="N996" s="2"/>
      <c r="O996" s="2"/>
      <c r="P996" s="2"/>
      <c r="Q996" s="2"/>
      <c r="R996" s="80"/>
      <c r="S996" s="80"/>
      <c r="T996" s="80"/>
      <c r="U996" s="80"/>
      <c r="V996" s="80"/>
      <c r="W996" s="80"/>
      <c r="X996" s="80"/>
      <c r="Y996" s="80"/>
      <c r="Z996" s="80"/>
      <c r="AA996" s="80"/>
      <c r="AB996" s="80"/>
      <c r="AC996" s="80"/>
      <c r="AD996" s="80"/>
      <c r="AE996" s="80"/>
      <c r="AF996" s="80"/>
      <c r="AG996" s="80"/>
    </row>
    <row r="997" spans="1:33" x14ac:dyDescent="0.2">
      <c r="A997" s="2"/>
      <c r="B997" s="80"/>
      <c r="C997" s="80"/>
      <c r="D997" s="80"/>
      <c r="E997" s="80"/>
      <c r="F997" s="80"/>
      <c r="G997" s="80"/>
      <c r="H997" s="80"/>
      <c r="I997" s="80"/>
      <c r="J997" s="80"/>
      <c r="K997" s="80"/>
      <c r="L997" s="2"/>
      <c r="M997" s="2"/>
      <c r="N997" s="2"/>
      <c r="O997" s="2"/>
      <c r="P997" s="2"/>
      <c r="Q997" s="2"/>
      <c r="R997" s="80"/>
      <c r="S997" s="80"/>
      <c r="T997" s="80"/>
      <c r="U997" s="80"/>
      <c r="V997" s="80"/>
      <c r="W997" s="80"/>
      <c r="X997" s="80"/>
      <c r="Y997" s="80"/>
      <c r="Z997" s="80"/>
      <c r="AA997" s="80"/>
      <c r="AB997" s="80"/>
      <c r="AC997" s="80"/>
      <c r="AD997" s="80"/>
      <c r="AE997" s="80"/>
      <c r="AF997" s="80"/>
      <c r="AG997" s="80"/>
    </row>
    <row r="998" spans="1:33" x14ac:dyDescent="0.2">
      <c r="A998" s="2"/>
      <c r="B998" s="80"/>
      <c r="C998" s="80"/>
      <c r="D998" s="80"/>
      <c r="E998" s="80"/>
      <c r="F998" s="80"/>
      <c r="G998" s="80"/>
      <c r="H998" s="80"/>
      <c r="I998" s="80"/>
      <c r="J998" s="80"/>
      <c r="K998" s="80"/>
      <c r="L998" s="2"/>
      <c r="M998" s="2"/>
      <c r="N998" s="2"/>
      <c r="O998" s="2"/>
      <c r="P998" s="2"/>
      <c r="Q998" s="2"/>
      <c r="R998" s="80"/>
      <c r="S998" s="80"/>
      <c r="T998" s="80"/>
      <c r="U998" s="80"/>
      <c r="V998" s="80"/>
      <c r="W998" s="80"/>
      <c r="X998" s="80"/>
      <c r="Y998" s="80"/>
      <c r="Z998" s="80"/>
      <c r="AA998" s="80"/>
      <c r="AB998" s="80"/>
      <c r="AC998" s="80"/>
      <c r="AD998" s="80"/>
      <c r="AE998" s="80"/>
      <c r="AF998" s="80"/>
      <c r="AG998" s="80"/>
    </row>
    <row r="999" spans="1:33" x14ac:dyDescent="0.2">
      <c r="A999" s="2"/>
      <c r="B999" s="80"/>
      <c r="C999" s="80"/>
      <c r="D999" s="80"/>
      <c r="E999" s="80"/>
      <c r="F999" s="80"/>
      <c r="G999" s="80"/>
      <c r="H999" s="80"/>
      <c r="I999" s="80"/>
      <c r="J999" s="80"/>
      <c r="K999" s="80"/>
      <c r="L999" s="2"/>
      <c r="M999" s="2"/>
      <c r="N999" s="2"/>
      <c r="O999" s="2"/>
      <c r="P999" s="2"/>
      <c r="Q999" s="2"/>
      <c r="R999" s="80"/>
      <c r="S999" s="80"/>
      <c r="T999" s="80"/>
      <c r="U999" s="80"/>
      <c r="V999" s="80"/>
      <c r="W999" s="80"/>
      <c r="X999" s="80"/>
      <c r="Y999" s="80"/>
      <c r="Z999" s="80"/>
      <c r="AA999" s="80"/>
      <c r="AB999" s="80"/>
      <c r="AC999" s="80"/>
      <c r="AD999" s="80"/>
      <c r="AE999" s="80"/>
      <c r="AF999" s="80"/>
      <c r="AG999" s="80"/>
    </row>
    <row r="1000" spans="1:33" x14ac:dyDescent="0.2">
      <c r="A1000" s="2"/>
      <c r="B1000" s="80"/>
      <c r="C1000" s="80"/>
      <c r="D1000" s="80"/>
      <c r="E1000" s="80"/>
      <c r="F1000" s="80"/>
      <c r="G1000" s="80"/>
      <c r="H1000" s="80"/>
      <c r="I1000" s="80"/>
      <c r="J1000" s="80"/>
      <c r="K1000" s="80"/>
      <c r="L1000" s="2"/>
      <c r="M1000" s="2"/>
      <c r="N1000" s="2"/>
      <c r="O1000" s="2"/>
      <c r="P1000" s="2"/>
      <c r="Q1000" s="2"/>
      <c r="R1000" s="80"/>
      <c r="S1000" s="80"/>
      <c r="T1000" s="80"/>
      <c r="U1000" s="80"/>
      <c r="V1000" s="80"/>
      <c r="W1000" s="80"/>
      <c r="X1000" s="80"/>
      <c r="Y1000" s="80"/>
      <c r="Z1000" s="80"/>
      <c r="AA1000" s="80"/>
      <c r="AB1000" s="80"/>
      <c r="AC1000" s="80"/>
      <c r="AD1000" s="80"/>
      <c r="AE1000" s="80"/>
      <c r="AF1000" s="80"/>
      <c r="AG1000" s="80"/>
    </row>
    <row r="1001" spans="1:33" x14ac:dyDescent="0.2">
      <c r="A1001" s="2"/>
      <c r="B1001" s="80"/>
      <c r="C1001" s="80"/>
      <c r="D1001" s="80"/>
      <c r="E1001" s="80"/>
      <c r="F1001" s="80"/>
      <c r="G1001" s="80"/>
      <c r="H1001" s="80"/>
      <c r="I1001" s="80"/>
      <c r="J1001" s="80"/>
      <c r="K1001" s="80"/>
      <c r="L1001" s="2"/>
      <c r="M1001" s="2"/>
      <c r="N1001" s="2"/>
      <c r="O1001" s="2"/>
      <c r="P1001" s="2"/>
      <c r="Q1001" s="2"/>
      <c r="R1001" s="80"/>
      <c r="S1001" s="80"/>
      <c r="T1001" s="80"/>
      <c r="U1001" s="80"/>
      <c r="V1001" s="80"/>
      <c r="W1001" s="80"/>
      <c r="X1001" s="80"/>
      <c r="Y1001" s="80"/>
      <c r="Z1001" s="80"/>
      <c r="AA1001" s="80"/>
      <c r="AB1001" s="80"/>
      <c r="AC1001" s="80"/>
      <c r="AD1001" s="80"/>
      <c r="AE1001" s="80"/>
      <c r="AF1001" s="80"/>
      <c r="AG1001" s="80"/>
    </row>
    <row r="1002" spans="1:33" x14ac:dyDescent="0.2">
      <c r="A1002" s="2"/>
      <c r="B1002" s="80"/>
      <c r="C1002" s="80"/>
      <c r="D1002" s="80"/>
      <c r="E1002" s="80"/>
      <c r="F1002" s="80"/>
      <c r="G1002" s="80"/>
      <c r="H1002" s="80"/>
      <c r="I1002" s="80"/>
      <c r="J1002" s="80"/>
      <c r="K1002" s="80"/>
      <c r="L1002" s="2"/>
      <c r="M1002" s="2"/>
      <c r="N1002" s="2"/>
      <c r="O1002" s="2"/>
      <c r="P1002" s="2"/>
      <c r="Q1002" s="2"/>
      <c r="R1002" s="80"/>
      <c r="S1002" s="80"/>
      <c r="T1002" s="80"/>
      <c r="U1002" s="80"/>
      <c r="V1002" s="80"/>
      <c r="W1002" s="80"/>
      <c r="X1002" s="80"/>
      <c r="Y1002" s="80"/>
      <c r="Z1002" s="80"/>
      <c r="AA1002" s="80"/>
      <c r="AB1002" s="80"/>
      <c r="AC1002" s="80"/>
      <c r="AD1002" s="80"/>
      <c r="AE1002" s="80"/>
      <c r="AF1002" s="80"/>
      <c r="AG1002" s="80"/>
    </row>
    <row r="1003" spans="1:33" x14ac:dyDescent="0.2">
      <c r="A1003" s="2"/>
      <c r="B1003" s="80"/>
      <c r="C1003" s="80"/>
      <c r="D1003" s="80"/>
      <c r="E1003" s="80"/>
      <c r="F1003" s="80"/>
      <c r="G1003" s="80"/>
      <c r="H1003" s="80"/>
      <c r="I1003" s="80"/>
      <c r="J1003" s="80"/>
      <c r="K1003" s="80"/>
      <c r="L1003" s="2"/>
      <c r="M1003" s="2"/>
      <c r="N1003" s="2"/>
      <c r="O1003" s="2"/>
      <c r="P1003" s="2"/>
      <c r="Q1003" s="2"/>
      <c r="R1003" s="80"/>
      <c r="S1003" s="80"/>
      <c r="T1003" s="80"/>
      <c r="U1003" s="80"/>
      <c r="V1003" s="80"/>
      <c r="W1003" s="80"/>
      <c r="X1003" s="80"/>
      <c r="Y1003" s="80"/>
      <c r="Z1003" s="80"/>
      <c r="AA1003" s="80"/>
      <c r="AB1003" s="80"/>
      <c r="AC1003" s="80"/>
      <c r="AD1003" s="80"/>
      <c r="AE1003" s="80"/>
      <c r="AF1003" s="80"/>
      <c r="AG1003" s="80"/>
    </row>
    <row r="1004" spans="1:33" x14ac:dyDescent="0.2">
      <c r="A1004" s="2"/>
      <c r="B1004" s="80"/>
      <c r="C1004" s="80"/>
      <c r="D1004" s="80"/>
      <c r="E1004" s="80"/>
      <c r="F1004" s="80"/>
      <c r="G1004" s="80"/>
      <c r="H1004" s="80"/>
      <c r="I1004" s="80"/>
      <c r="J1004" s="80"/>
      <c r="K1004" s="80"/>
      <c r="L1004" s="2"/>
      <c r="M1004" s="2"/>
      <c r="N1004" s="2"/>
      <c r="O1004" s="2"/>
      <c r="P1004" s="2"/>
      <c r="Q1004" s="2"/>
      <c r="R1004" s="80"/>
      <c r="S1004" s="80"/>
      <c r="T1004" s="80"/>
      <c r="U1004" s="80"/>
      <c r="V1004" s="80"/>
      <c r="W1004" s="80"/>
      <c r="X1004" s="80"/>
      <c r="Y1004" s="80"/>
      <c r="Z1004" s="80"/>
      <c r="AA1004" s="80"/>
      <c r="AB1004" s="80"/>
      <c r="AC1004" s="80"/>
      <c r="AD1004" s="80"/>
      <c r="AE1004" s="80"/>
      <c r="AF1004" s="80"/>
      <c r="AG1004" s="80"/>
    </row>
    <row r="1005" spans="1:33" x14ac:dyDescent="0.2">
      <c r="A1005" s="2"/>
      <c r="B1005" s="80"/>
      <c r="C1005" s="80"/>
      <c r="D1005" s="80"/>
      <c r="E1005" s="80"/>
      <c r="F1005" s="80"/>
      <c r="G1005" s="80"/>
      <c r="H1005" s="80"/>
      <c r="I1005" s="80"/>
      <c r="J1005" s="80"/>
      <c r="K1005" s="80"/>
      <c r="L1005" s="2"/>
      <c r="M1005" s="2"/>
      <c r="N1005" s="2"/>
      <c r="O1005" s="2"/>
      <c r="P1005" s="2"/>
      <c r="Q1005" s="2"/>
      <c r="R1005" s="80"/>
      <c r="S1005" s="80"/>
      <c r="T1005" s="80"/>
      <c r="U1005" s="80"/>
      <c r="V1005" s="80"/>
      <c r="W1005" s="80"/>
      <c r="X1005" s="80"/>
      <c r="Y1005" s="80"/>
      <c r="Z1005" s="80"/>
      <c r="AA1005" s="80"/>
      <c r="AB1005" s="80"/>
      <c r="AC1005" s="80"/>
      <c r="AD1005" s="80"/>
      <c r="AE1005" s="80"/>
      <c r="AF1005" s="80"/>
      <c r="AG1005" s="80"/>
    </row>
    <row r="1006" spans="1:33" x14ac:dyDescent="0.2">
      <c r="A1006" s="2"/>
      <c r="B1006" s="80"/>
      <c r="C1006" s="80"/>
      <c r="D1006" s="80"/>
      <c r="E1006" s="80"/>
      <c r="F1006" s="80"/>
      <c r="G1006" s="80"/>
      <c r="H1006" s="80"/>
      <c r="I1006" s="80"/>
      <c r="J1006" s="80"/>
      <c r="K1006" s="80"/>
      <c r="L1006" s="2"/>
      <c r="M1006" s="2"/>
      <c r="N1006" s="2"/>
      <c r="O1006" s="2"/>
      <c r="P1006" s="2"/>
      <c r="Q1006" s="2"/>
      <c r="R1006" s="80"/>
      <c r="S1006" s="80"/>
      <c r="T1006" s="80"/>
      <c r="U1006" s="80"/>
      <c r="V1006" s="80"/>
      <c r="W1006" s="80"/>
      <c r="X1006" s="80"/>
      <c r="Y1006" s="80"/>
      <c r="Z1006" s="80"/>
      <c r="AA1006" s="80"/>
      <c r="AB1006" s="80"/>
      <c r="AC1006" s="80"/>
      <c r="AD1006" s="80"/>
      <c r="AE1006" s="80"/>
      <c r="AF1006" s="80"/>
      <c r="AG1006" s="80"/>
    </row>
    <row r="1007" spans="1:33" x14ac:dyDescent="0.2">
      <c r="A1007" s="2"/>
      <c r="B1007" s="80"/>
      <c r="C1007" s="80"/>
      <c r="D1007" s="80"/>
      <c r="E1007" s="80"/>
      <c r="F1007" s="80"/>
      <c r="G1007" s="80"/>
      <c r="H1007" s="80"/>
      <c r="I1007" s="80"/>
      <c r="J1007" s="80"/>
      <c r="K1007" s="80"/>
      <c r="L1007" s="2"/>
      <c r="M1007" s="2"/>
      <c r="N1007" s="2"/>
      <c r="O1007" s="2"/>
      <c r="P1007" s="2"/>
      <c r="Q1007" s="2"/>
      <c r="R1007" s="80"/>
      <c r="S1007" s="80"/>
      <c r="T1007" s="80"/>
      <c r="U1007" s="80"/>
      <c r="V1007" s="80"/>
      <c r="W1007" s="80"/>
      <c r="X1007" s="80"/>
      <c r="Y1007" s="80"/>
      <c r="Z1007" s="80"/>
      <c r="AA1007" s="80"/>
      <c r="AB1007" s="80"/>
      <c r="AC1007" s="80"/>
      <c r="AD1007" s="80"/>
      <c r="AE1007" s="80"/>
      <c r="AF1007" s="80"/>
      <c r="AG1007" s="80"/>
    </row>
    <row r="1008" spans="1:33" x14ac:dyDescent="0.2">
      <c r="A1008" s="2"/>
      <c r="B1008" s="80"/>
      <c r="C1008" s="80"/>
      <c r="D1008" s="80"/>
      <c r="E1008" s="80"/>
      <c r="F1008" s="80"/>
      <c r="G1008" s="80"/>
      <c r="H1008" s="80"/>
      <c r="I1008" s="80"/>
      <c r="J1008" s="80"/>
      <c r="K1008" s="80"/>
      <c r="L1008" s="2"/>
      <c r="M1008" s="2"/>
      <c r="N1008" s="2"/>
      <c r="O1008" s="2"/>
      <c r="P1008" s="2"/>
      <c r="Q1008" s="2"/>
      <c r="R1008" s="80"/>
      <c r="S1008" s="80"/>
      <c r="T1008" s="80"/>
      <c r="U1008" s="80"/>
      <c r="V1008" s="80"/>
      <c r="W1008" s="80"/>
      <c r="X1008" s="80"/>
      <c r="Y1008" s="80"/>
      <c r="Z1008" s="80"/>
      <c r="AA1008" s="80"/>
      <c r="AB1008" s="80"/>
      <c r="AC1008" s="80"/>
      <c r="AD1008" s="80"/>
      <c r="AE1008" s="80"/>
      <c r="AF1008" s="80"/>
      <c r="AG1008" s="80"/>
    </row>
    <row r="1009" spans="1:33" x14ac:dyDescent="0.2">
      <c r="A1009" s="2"/>
      <c r="B1009" s="80"/>
      <c r="C1009" s="80"/>
      <c r="D1009" s="80"/>
      <c r="E1009" s="80"/>
      <c r="F1009" s="80"/>
      <c r="G1009" s="80"/>
      <c r="H1009" s="80"/>
      <c r="I1009" s="80"/>
      <c r="J1009" s="80"/>
      <c r="K1009" s="80"/>
      <c r="L1009" s="2"/>
      <c r="M1009" s="2"/>
      <c r="N1009" s="2"/>
      <c r="O1009" s="2"/>
      <c r="P1009" s="2"/>
      <c r="Q1009" s="2"/>
      <c r="R1009" s="80"/>
      <c r="S1009" s="80"/>
      <c r="T1009" s="80"/>
      <c r="U1009" s="80"/>
      <c r="V1009" s="80"/>
      <c r="W1009" s="80"/>
      <c r="X1009" s="80"/>
      <c r="Y1009" s="80"/>
      <c r="Z1009" s="80"/>
      <c r="AA1009" s="80"/>
      <c r="AB1009" s="80"/>
      <c r="AC1009" s="80"/>
      <c r="AD1009" s="80"/>
      <c r="AE1009" s="80"/>
      <c r="AF1009" s="80"/>
      <c r="AG1009" s="80"/>
    </row>
    <row r="1010" spans="1:33" x14ac:dyDescent="0.2">
      <c r="A1010" s="2"/>
      <c r="B1010" s="80"/>
      <c r="C1010" s="80"/>
      <c r="D1010" s="80"/>
      <c r="E1010" s="80"/>
      <c r="F1010" s="80"/>
      <c r="G1010" s="80"/>
      <c r="H1010" s="80"/>
      <c r="I1010" s="80"/>
      <c r="J1010" s="80"/>
      <c r="K1010" s="80"/>
      <c r="L1010" s="2"/>
      <c r="M1010" s="2"/>
      <c r="N1010" s="2"/>
      <c r="O1010" s="2"/>
      <c r="P1010" s="2"/>
      <c r="Q1010" s="2"/>
      <c r="R1010" s="80"/>
      <c r="S1010" s="80"/>
      <c r="T1010" s="80"/>
      <c r="U1010" s="80"/>
      <c r="V1010" s="80"/>
      <c r="W1010" s="80"/>
      <c r="X1010" s="80"/>
      <c r="Y1010" s="80"/>
      <c r="Z1010" s="80"/>
      <c r="AA1010" s="80"/>
      <c r="AB1010" s="80"/>
      <c r="AC1010" s="80"/>
      <c r="AD1010" s="80"/>
      <c r="AE1010" s="80"/>
      <c r="AF1010" s="80"/>
      <c r="AG1010" s="80"/>
    </row>
    <row r="1011" spans="1:33" x14ac:dyDescent="0.2">
      <c r="A1011" s="2"/>
      <c r="B1011" s="80"/>
      <c r="C1011" s="80"/>
      <c r="D1011" s="80"/>
      <c r="E1011" s="80"/>
      <c r="F1011" s="80"/>
      <c r="G1011" s="80"/>
      <c r="H1011" s="80"/>
      <c r="I1011" s="80"/>
      <c r="J1011" s="80"/>
      <c r="K1011" s="80"/>
      <c r="L1011" s="2"/>
      <c r="M1011" s="2"/>
      <c r="N1011" s="2"/>
      <c r="O1011" s="2"/>
      <c r="P1011" s="2"/>
      <c r="Q1011" s="2"/>
      <c r="R1011" s="80"/>
      <c r="S1011" s="80"/>
      <c r="T1011" s="80"/>
      <c r="U1011" s="80"/>
      <c r="V1011" s="80"/>
      <c r="W1011" s="80"/>
      <c r="X1011" s="80"/>
      <c r="Y1011" s="80"/>
      <c r="Z1011" s="80"/>
      <c r="AA1011" s="80"/>
      <c r="AB1011" s="80"/>
      <c r="AC1011" s="80"/>
      <c r="AD1011" s="80"/>
      <c r="AE1011" s="80"/>
      <c r="AF1011" s="80"/>
      <c r="AG1011" s="80"/>
    </row>
    <row r="1012" spans="1:33" x14ac:dyDescent="0.2">
      <c r="A1012" s="2"/>
      <c r="B1012" s="80"/>
      <c r="C1012" s="80"/>
      <c r="D1012" s="80"/>
      <c r="E1012" s="80"/>
      <c r="F1012" s="80"/>
      <c r="G1012" s="80"/>
      <c r="H1012" s="80"/>
      <c r="I1012" s="80"/>
      <c r="J1012" s="80"/>
      <c r="K1012" s="80"/>
      <c r="L1012" s="2"/>
      <c r="M1012" s="2"/>
      <c r="N1012" s="2"/>
      <c r="O1012" s="2"/>
      <c r="P1012" s="2"/>
      <c r="Q1012" s="2"/>
      <c r="R1012" s="80"/>
      <c r="S1012" s="80"/>
      <c r="T1012" s="80"/>
      <c r="U1012" s="80"/>
      <c r="V1012" s="80"/>
      <c r="W1012" s="80"/>
      <c r="X1012" s="80"/>
      <c r="Y1012" s="80"/>
      <c r="Z1012" s="80"/>
      <c r="AA1012" s="80"/>
      <c r="AB1012" s="80"/>
      <c r="AC1012" s="80"/>
      <c r="AD1012" s="80"/>
      <c r="AE1012" s="80"/>
      <c r="AF1012" s="80"/>
      <c r="AG1012" s="80"/>
    </row>
    <row r="1013" spans="1:33" x14ac:dyDescent="0.2">
      <c r="A1013" s="2"/>
      <c r="B1013" s="80"/>
      <c r="C1013" s="80"/>
      <c r="D1013" s="80"/>
      <c r="E1013" s="80"/>
      <c r="F1013" s="80"/>
      <c r="G1013" s="80"/>
      <c r="H1013" s="80"/>
      <c r="I1013" s="80"/>
      <c r="J1013" s="80"/>
      <c r="K1013" s="80"/>
      <c r="L1013" s="2"/>
      <c r="M1013" s="2"/>
      <c r="N1013" s="2"/>
      <c r="O1013" s="2"/>
      <c r="P1013" s="2"/>
      <c r="Q1013" s="2"/>
      <c r="R1013" s="80"/>
      <c r="S1013" s="80"/>
      <c r="T1013" s="80"/>
      <c r="U1013" s="80"/>
      <c r="V1013" s="80"/>
      <c r="W1013" s="80"/>
      <c r="X1013" s="80"/>
      <c r="Y1013" s="80"/>
      <c r="Z1013" s="80"/>
      <c r="AA1013" s="80"/>
      <c r="AB1013" s="80"/>
      <c r="AC1013" s="80"/>
      <c r="AD1013" s="80"/>
      <c r="AE1013" s="80"/>
      <c r="AF1013" s="80"/>
      <c r="AG1013" s="80"/>
    </row>
    <row r="1014" spans="1:33" x14ac:dyDescent="0.2">
      <c r="A1014" s="2"/>
      <c r="B1014" s="80"/>
      <c r="C1014" s="80"/>
      <c r="D1014" s="80"/>
      <c r="E1014" s="80"/>
      <c r="F1014" s="80"/>
      <c r="G1014" s="80"/>
      <c r="H1014" s="80"/>
      <c r="I1014" s="80"/>
      <c r="J1014" s="80"/>
      <c r="K1014" s="80"/>
      <c r="L1014" s="2"/>
      <c r="M1014" s="2"/>
      <c r="N1014" s="2"/>
      <c r="O1014" s="2"/>
      <c r="P1014" s="2"/>
      <c r="Q1014" s="2"/>
      <c r="R1014" s="80"/>
      <c r="S1014" s="80"/>
      <c r="T1014" s="80"/>
      <c r="U1014" s="80"/>
      <c r="V1014" s="80"/>
      <c r="W1014" s="80"/>
      <c r="X1014" s="80"/>
      <c r="Y1014" s="80"/>
      <c r="Z1014" s="80"/>
      <c r="AA1014" s="80"/>
      <c r="AB1014" s="80"/>
      <c r="AC1014" s="80"/>
      <c r="AD1014" s="80"/>
      <c r="AE1014" s="80"/>
      <c r="AF1014" s="80"/>
      <c r="AG1014" s="80"/>
    </row>
    <row r="1015" spans="1:33" x14ac:dyDescent="0.2">
      <c r="A1015" s="2"/>
      <c r="B1015" s="80"/>
      <c r="C1015" s="80"/>
      <c r="D1015" s="80"/>
      <c r="E1015" s="80"/>
      <c r="F1015" s="80"/>
      <c r="G1015" s="80"/>
      <c r="H1015" s="80"/>
      <c r="I1015" s="80"/>
      <c r="J1015" s="80"/>
      <c r="K1015" s="80"/>
      <c r="L1015" s="2"/>
      <c r="M1015" s="2"/>
      <c r="N1015" s="2"/>
      <c r="O1015" s="2"/>
      <c r="P1015" s="2"/>
      <c r="Q1015" s="2"/>
      <c r="R1015" s="80"/>
      <c r="S1015" s="80"/>
      <c r="T1015" s="80"/>
      <c r="U1015" s="80"/>
      <c r="V1015" s="80"/>
      <c r="W1015" s="80"/>
      <c r="X1015" s="80"/>
      <c r="Y1015" s="80"/>
      <c r="Z1015" s="80"/>
      <c r="AA1015" s="80"/>
      <c r="AB1015" s="80"/>
      <c r="AC1015" s="80"/>
      <c r="AD1015" s="80"/>
      <c r="AE1015" s="80"/>
      <c r="AF1015" s="80"/>
      <c r="AG1015" s="80"/>
    </row>
    <row r="1016" spans="1:33" x14ac:dyDescent="0.2">
      <c r="A1016" s="2"/>
      <c r="B1016" s="80"/>
      <c r="C1016" s="80"/>
      <c r="D1016" s="80"/>
      <c r="E1016" s="80"/>
      <c r="F1016" s="80"/>
      <c r="G1016" s="80"/>
      <c r="H1016" s="80"/>
      <c r="I1016" s="80"/>
      <c r="J1016" s="80"/>
      <c r="K1016" s="80"/>
      <c r="L1016" s="2"/>
      <c r="M1016" s="2"/>
      <c r="N1016" s="2"/>
      <c r="O1016" s="2"/>
      <c r="P1016" s="2"/>
      <c r="Q1016" s="2"/>
      <c r="R1016" s="80"/>
      <c r="S1016" s="80"/>
      <c r="T1016" s="80"/>
      <c r="U1016" s="80"/>
      <c r="V1016" s="80"/>
      <c r="W1016" s="80"/>
      <c r="X1016" s="80"/>
      <c r="Y1016" s="80"/>
      <c r="Z1016" s="80"/>
      <c r="AA1016" s="80"/>
      <c r="AB1016" s="80"/>
      <c r="AC1016" s="80"/>
      <c r="AD1016" s="80"/>
      <c r="AE1016" s="80"/>
      <c r="AF1016" s="80"/>
      <c r="AG1016" s="80"/>
    </row>
    <row r="1017" spans="1:33" x14ac:dyDescent="0.2">
      <c r="A1017" s="2"/>
      <c r="B1017" s="80"/>
      <c r="C1017" s="80"/>
      <c r="D1017" s="80"/>
      <c r="E1017" s="80"/>
      <c r="F1017" s="80"/>
      <c r="G1017" s="80"/>
      <c r="H1017" s="80"/>
      <c r="I1017" s="80"/>
      <c r="J1017" s="80"/>
      <c r="K1017" s="80"/>
      <c r="L1017" s="2"/>
      <c r="M1017" s="2"/>
      <c r="N1017" s="2"/>
      <c r="O1017" s="2"/>
      <c r="P1017" s="2"/>
      <c r="Q1017" s="2"/>
      <c r="R1017" s="80"/>
      <c r="S1017" s="80"/>
      <c r="T1017" s="80"/>
      <c r="U1017" s="80"/>
      <c r="V1017" s="80"/>
      <c r="W1017" s="80"/>
      <c r="X1017" s="80"/>
      <c r="Y1017" s="80"/>
      <c r="Z1017" s="80"/>
      <c r="AA1017" s="80"/>
      <c r="AB1017" s="80"/>
      <c r="AC1017" s="80"/>
      <c r="AD1017" s="80"/>
      <c r="AE1017" s="80"/>
      <c r="AF1017" s="80"/>
      <c r="AG1017" s="80"/>
    </row>
    <row r="1018" spans="1:33" x14ac:dyDescent="0.2">
      <c r="A1018" s="2"/>
      <c r="B1018" s="80"/>
      <c r="C1018" s="80"/>
      <c r="D1018" s="80"/>
      <c r="E1018" s="80"/>
      <c r="F1018" s="80"/>
      <c r="G1018" s="80"/>
      <c r="H1018" s="80"/>
      <c r="I1018" s="80"/>
      <c r="J1018" s="80"/>
      <c r="K1018" s="80"/>
      <c r="L1018" s="2"/>
      <c r="M1018" s="2"/>
      <c r="N1018" s="2"/>
      <c r="O1018" s="2"/>
      <c r="P1018" s="2"/>
      <c r="Q1018" s="2"/>
      <c r="R1018" s="80"/>
      <c r="S1018" s="80"/>
      <c r="T1018" s="80"/>
      <c r="U1018" s="80"/>
      <c r="V1018" s="80"/>
      <c r="W1018" s="80"/>
      <c r="X1018" s="80"/>
      <c r="Y1018" s="80"/>
      <c r="Z1018" s="80"/>
      <c r="AA1018" s="80"/>
      <c r="AB1018" s="80"/>
      <c r="AC1018" s="80"/>
      <c r="AD1018" s="80"/>
      <c r="AE1018" s="80"/>
      <c r="AF1018" s="80"/>
      <c r="AG1018" s="80"/>
    </row>
    <row r="1019" spans="1:33" x14ac:dyDescent="0.2">
      <c r="A1019" s="2"/>
      <c r="B1019" s="80"/>
      <c r="C1019" s="80"/>
      <c r="D1019" s="80"/>
      <c r="E1019" s="80"/>
      <c r="F1019" s="80"/>
      <c r="G1019" s="80"/>
      <c r="H1019" s="80"/>
      <c r="I1019" s="80"/>
      <c r="J1019" s="80"/>
      <c r="K1019" s="80"/>
      <c r="L1019" s="2"/>
      <c r="M1019" s="2"/>
      <c r="N1019" s="2"/>
      <c r="O1019" s="2"/>
      <c r="P1019" s="2"/>
      <c r="Q1019" s="2"/>
      <c r="R1019" s="80"/>
      <c r="S1019" s="80"/>
      <c r="T1019" s="80"/>
      <c r="U1019" s="80"/>
      <c r="V1019" s="80"/>
      <c r="W1019" s="80"/>
      <c r="X1019" s="80"/>
      <c r="Y1019" s="80"/>
      <c r="Z1019" s="80"/>
      <c r="AA1019" s="80"/>
      <c r="AB1019" s="80"/>
      <c r="AC1019" s="80"/>
      <c r="AD1019" s="80"/>
      <c r="AE1019" s="80"/>
      <c r="AF1019" s="80"/>
      <c r="AG1019" s="80"/>
    </row>
    <row r="1020" spans="1:33" x14ac:dyDescent="0.2">
      <c r="A1020" s="2"/>
      <c r="B1020" s="80"/>
      <c r="C1020" s="80"/>
      <c r="D1020" s="80"/>
      <c r="E1020" s="80"/>
      <c r="F1020" s="80"/>
      <c r="G1020" s="80"/>
      <c r="H1020" s="80"/>
      <c r="I1020" s="80"/>
      <c r="J1020" s="80"/>
      <c r="K1020" s="80"/>
      <c r="L1020" s="2"/>
      <c r="M1020" s="2"/>
      <c r="N1020" s="2"/>
      <c r="O1020" s="2"/>
      <c r="P1020" s="2"/>
      <c r="Q1020" s="2"/>
      <c r="R1020" s="80"/>
      <c r="S1020" s="80"/>
      <c r="T1020" s="80"/>
      <c r="U1020" s="80"/>
      <c r="V1020" s="80"/>
      <c r="W1020" s="80"/>
      <c r="X1020" s="80"/>
      <c r="Y1020" s="80"/>
      <c r="Z1020" s="80"/>
      <c r="AA1020" s="80"/>
      <c r="AB1020" s="80"/>
      <c r="AC1020" s="80"/>
      <c r="AD1020" s="80"/>
      <c r="AE1020" s="80"/>
      <c r="AF1020" s="80"/>
      <c r="AG1020" s="80"/>
    </row>
    <row r="1021" spans="1:33" x14ac:dyDescent="0.2">
      <c r="A1021" s="2"/>
      <c r="B1021" s="80"/>
      <c r="C1021" s="80"/>
      <c r="D1021" s="80"/>
      <c r="E1021" s="80"/>
      <c r="F1021" s="80"/>
      <c r="G1021" s="80"/>
      <c r="H1021" s="80"/>
      <c r="I1021" s="80"/>
      <c r="J1021" s="80"/>
      <c r="K1021" s="80"/>
      <c r="L1021" s="2"/>
      <c r="M1021" s="2"/>
      <c r="N1021" s="2"/>
      <c r="O1021" s="2"/>
      <c r="P1021" s="2"/>
      <c r="Q1021" s="2"/>
      <c r="R1021" s="80"/>
      <c r="S1021" s="80"/>
      <c r="T1021" s="80"/>
      <c r="U1021" s="80"/>
      <c r="V1021" s="80"/>
      <c r="W1021" s="80"/>
      <c r="X1021" s="80"/>
      <c r="Y1021" s="80"/>
      <c r="Z1021" s="80"/>
      <c r="AA1021" s="80"/>
      <c r="AB1021" s="80"/>
      <c r="AC1021" s="80"/>
      <c r="AD1021" s="80"/>
      <c r="AE1021" s="80"/>
      <c r="AF1021" s="80"/>
      <c r="AG1021" s="80"/>
    </row>
    <row r="1022" spans="1:33" x14ac:dyDescent="0.2">
      <c r="A1022" s="2"/>
      <c r="B1022" s="80"/>
      <c r="C1022" s="80"/>
      <c r="D1022" s="80"/>
      <c r="E1022" s="80"/>
      <c r="F1022" s="80"/>
      <c r="G1022" s="80"/>
      <c r="H1022" s="80"/>
      <c r="I1022" s="80"/>
      <c r="J1022" s="80"/>
      <c r="K1022" s="80"/>
      <c r="L1022" s="2"/>
      <c r="M1022" s="2"/>
      <c r="N1022" s="2"/>
      <c r="O1022" s="2"/>
      <c r="P1022" s="2"/>
      <c r="Q1022" s="2"/>
      <c r="R1022" s="80"/>
      <c r="S1022" s="80"/>
      <c r="T1022" s="80"/>
      <c r="U1022" s="80"/>
      <c r="V1022" s="80"/>
      <c r="W1022" s="80"/>
      <c r="X1022" s="80"/>
      <c r="Y1022" s="80"/>
      <c r="Z1022" s="80"/>
      <c r="AA1022" s="80"/>
      <c r="AB1022" s="80"/>
      <c r="AC1022" s="80"/>
      <c r="AD1022" s="80"/>
      <c r="AE1022" s="80"/>
      <c r="AF1022" s="80"/>
      <c r="AG1022" s="80"/>
    </row>
    <row r="1023" spans="1:33" x14ac:dyDescent="0.2">
      <c r="A1023" s="2"/>
      <c r="B1023" s="80"/>
      <c r="C1023" s="80"/>
      <c r="D1023" s="80"/>
      <c r="E1023" s="80"/>
      <c r="F1023" s="80"/>
      <c r="G1023" s="80"/>
      <c r="H1023" s="80"/>
      <c r="I1023" s="80"/>
      <c r="J1023" s="80"/>
      <c r="K1023" s="80"/>
      <c r="L1023" s="2"/>
      <c r="M1023" s="2"/>
      <c r="N1023" s="2"/>
      <c r="O1023" s="2"/>
      <c r="P1023" s="2"/>
      <c r="Q1023" s="2"/>
      <c r="R1023" s="80"/>
      <c r="S1023" s="80"/>
      <c r="T1023" s="80"/>
      <c r="U1023" s="80"/>
      <c r="V1023" s="80"/>
      <c r="W1023" s="80"/>
      <c r="X1023" s="80"/>
      <c r="Y1023" s="80"/>
      <c r="Z1023" s="80"/>
      <c r="AA1023" s="80"/>
      <c r="AB1023" s="80"/>
      <c r="AC1023" s="80"/>
      <c r="AD1023" s="80"/>
      <c r="AE1023" s="80"/>
      <c r="AF1023" s="80"/>
      <c r="AG1023" s="80"/>
    </row>
    <row r="1024" spans="1:33" x14ac:dyDescent="0.2">
      <c r="A1024" s="2"/>
      <c r="B1024" s="80"/>
      <c r="C1024" s="80"/>
      <c r="D1024" s="80"/>
      <c r="E1024" s="80"/>
      <c r="F1024" s="80"/>
      <c r="G1024" s="80"/>
      <c r="H1024" s="80"/>
      <c r="I1024" s="80"/>
      <c r="J1024" s="80"/>
      <c r="K1024" s="80"/>
      <c r="L1024" s="2"/>
      <c r="M1024" s="2"/>
      <c r="N1024" s="2"/>
      <c r="O1024" s="2"/>
      <c r="P1024" s="2"/>
      <c r="Q1024" s="2"/>
      <c r="R1024" s="80"/>
      <c r="S1024" s="80"/>
      <c r="T1024" s="80"/>
      <c r="U1024" s="80"/>
      <c r="V1024" s="80"/>
      <c r="W1024" s="80"/>
      <c r="X1024" s="80"/>
      <c r="Y1024" s="80"/>
      <c r="Z1024" s="80"/>
      <c r="AA1024" s="80"/>
      <c r="AB1024" s="80"/>
      <c r="AC1024" s="80"/>
      <c r="AD1024" s="80"/>
      <c r="AE1024" s="80"/>
      <c r="AF1024" s="80"/>
      <c r="AG1024" s="80"/>
    </row>
    <row r="1025" spans="1:33" x14ac:dyDescent="0.2">
      <c r="A1025" s="2"/>
      <c r="B1025" s="80"/>
      <c r="C1025" s="80"/>
      <c r="D1025" s="80"/>
      <c r="E1025" s="80"/>
      <c r="F1025" s="80"/>
      <c r="G1025" s="80"/>
      <c r="H1025" s="80"/>
      <c r="I1025" s="80"/>
      <c r="J1025" s="80"/>
      <c r="K1025" s="80"/>
      <c r="L1025" s="2"/>
      <c r="M1025" s="2"/>
      <c r="N1025" s="2"/>
      <c r="O1025" s="2"/>
      <c r="P1025" s="2"/>
      <c r="Q1025" s="2"/>
      <c r="R1025" s="80"/>
      <c r="S1025" s="80"/>
      <c r="T1025" s="80"/>
      <c r="U1025" s="80"/>
      <c r="V1025" s="80"/>
      <c r="W1025" s="80"/>
      <c r="X1025" s="80"/>
      <c r="Y1025" s="80"/>
      <c r="Z1025" s="80"/>
      <c r="AA1025" s="80"/>
      <c r="AB1025" s="80"/>
      <c r="AC1025" s="80"/>
      <c r="AD1025" s="80"/>
      <c r="AE1025" s="80"/>
      <c r="AF1025" s="80"/>
      <c r="AG1025" s="80"/>
    </row>
    <row r="1026" spans="1:33" x14ac:dyDescent="0.2">
      <c r="A1026" s="2"/>
      <c r="B1026" s="80"/>
      <c r="C1026" s="80"/>
      <c r="D1026" s="80"/>
      <c r="E1026" s="80"/>
      <c r="F1026" s="80"/>
      <c r="G1026" s="80"/>
      <c r="H1026" s="80"/>
      <c r="I1026" s="80"/>
      <c r="J1026" s="80"/>
      <c r="K1026" s="80"/>
      <c r="L1026" s="2"/>
      <c r="M1026" s="2"/>
      <c r="N1026" s="2"/>
      <c r="O1026" s="2"/>
      <c r="P1026" s="2"/>
      <c r="Q1026" s="2"/>
      <c r="R1026" s="80"/>
      <c r="S1026" s="80"/>
      <c r="T1026" s="80"/>
      <c r="U1026" s="80"/>
      <c r="V1026" s="80"/>
      <c r="W1026" s="80"/>
      <c r="X1026" s="80"/>
      <c r="Y1026" s="80"/>
      <c r="Z1026" s="80"/>
      <c r="AA1026" s="80"/>
      <c r="AB1026" s="80"/>
      <c r="AC1026" s="80"/>
      <c r="AD1026" s="80"/>
      <c r="AE1026" s="80"/>
      <c r="AF1026" s="80"/>
      <c r="AG1026" s="80"/>
    </row>
    <row r="1027" spans="1:33" x14ac:dyDescent="0.2">
      <c r="A1027" s="2"/>
      <c r="B1027" s="80"/>
      <c r="C1027" s="80"/>
      <c r="D1027" s="80"/>
      <c r="E1027" s="80"/>
      <c r="F1027" s="80"/>
      <c r="G1027" s="80"/>
      <c r="H1027" s="80"/>
      <c r="I1027" s="80"/>
      <c r="J1027" s="80"/>
      <c r="K1027" s="80"/>
      <c r="L1027" s="2"/>
      <c r="M1027" s="2"/>
      <c r="N1027" s="2"/>
      <c r="O1027" s="2"/>
      <c r="P1027" s="2"/>
      <c r="Q1027" s="2"/>
      <c r="R1027" s="80"/>
      <c r="S1027" s="80"/>
      <c r="T1027" s="80"/>
      <c r="U1027" s="80"/>
      <c r="V1027" s="80"/>
      <c r="W1027" s="80"/>
      <c r="X1027" s="80"/>
      <c r="Y1027" s="80"/>
      <c r="Z1027" s="80"/>
      <c r="AA1027" s="80"/>
      <c r="AB1027" s="80"/>
      <c r="AC1027" s="80"/>
      <c r="AD1027" s="80"/>
      <c r="AE1027" s="80"/>
      <c r="AF1027" s="80"/>
      <c r="AG1027" s="80"/>
    </row>
    <row r="1028" spans="1:33" x14ac:dyDescent="0.2">
      <c r="A1028" s="2"/>
      <c r="B1028" s="80"/>
      <c r="C1028" s="80"/>
      <c r="D1028" s="80"/>
      <c r="E1028" s="80"/>
      <c r="F1028" s="80"/>
      <c r="G1028" s="80"/>
      <c r="H1028" s="80"/>
      <c r="I1028" s="80"/>
      <c r="J1028" s="80"/>
      <c r="K1028" s="80"/>
      <c r="L1028" s="2"/>
      <c r="M1028" s="2"/>
      <c r="N1028" s="2"/>
      <c r="O1028" s="2"/>
      <c r="P1028" s="2"/>
      <c r="Q1028" s="2"/>
      <c r="R1028" s="80"/>
      <c r="S1028" s="80"/>
      <c r="T1028" s="80"/>
      <c r="U1028" s="80"/>
      <c r="V1028" s="80"/>
      <c r="W1028" s="80"/>
      <c r="X1028" s="80"/>
      <c r="Y1028" s="80"/>
      <c r="Z1028" s="80"/>
      <c r="AA1028" s="80"/>
      <c r="AB1028" s="80"/>
      <c r="AC1028" s="80"/>
      <c r="AD1028" s="80"/>
      <c r="AE1028" s="80"/>
      <c r="AF1028" s="80"/>
      <c r="AG1028" s="80"/>
    </row>
    <row r="1029" spans="1:33" x14ac:dyDescent="0.2">
      <c r="A1029" s="2"/>
      <c r="B1029" s="80"/>
      <c r="C1029" s="80"/>
      <c r="D1029" s="80"/>
      <c r="E1029" s="80"/>
      <c r="F1029" s="80"/>
      <c r="G1029" s="80"/>
      <c r="H1029" s="80"/>
      <c r="I1029" s="80"/>
      <c r="J1029" s="80"/>
      <c r="K1029" s="80"/>
      <c r="L1029" s="2"/>
      <c r="M1029" s="2"/>
      <c r="N1029" s="2"/>
      <c r="O1029" s="2"/>
      <c r="P1029" s="2"/>
      <c r="Q1029" s="2"/>
      <c r="R1029" s="80"/>
      <c r="S1029" s="80"/>
      <c r="T1029" s="80"/>
      <c r="U1029" s="80"/>
      <c r="V1029" s="80"/>
      <c r="W1029" s="80"/>
      <c r="X1029" s="80"/>
      <c r="Y1029" s="80"/>
      <c r="Z1029" s="80"/>
      <c r="AA1029" s="80"/>
      <c r="AB1029" s="80"/>
      <c r="AC1029" s="80"/>
      <c r="AD1029" s="80"/>
      <c r="AE1029" s="80"/>
      <c r="AF1029" s="80"/>
      <c r="AG1029" s="80"/>
    </row>
    <row r="1030" spans="1:33" x14ac:dyDescent="0.2">
      <c r="A1030" s="2"/>
      <c r="B1030" s="80"/>
      <c r="C1030" s="80"/>
      <c r="D1030" s="80"/>
      <c r="E1030" s="80"/>
      <c r="F1030" s="80"/>
      <c r="G1030" s="80"/>
      <c r="H1030" s="80"/>
      <c r="I1030" s="80"/>
      <c r="J1030" s="80"/>
      <c r="K1030" s="80"/>
      <c r="L1030" s="2"/>
      <c r="M1030" s="2"/>
      <c r="N1030" s="2"/>
      <c r="O1030" s="2"/>
      <c r="P1030" s="2"/>
      <c r="Q1030" s="2"/>
      <c r="R1030" s="80"/>
      <c r="S1030" s="80"/>
      <c r="T1030" s="80"/>
      <c r="U1030" s="80"/>
      <c r="V1030" s="80"/>
      <c r="W1030" s="80"/>
      <c r="X1030" s="80"/>
      <c r="Y1030" s="80"/>
      <c r="Z1030" s="80"/>
      <c r="AA1030" s="80"/>
      <c r="AB1030" s="80"/>
      <c r="AC1030" s="80"/>
      <c r="AD1030" s="80"/>
      <c r="AE1030" s="80"/>
      <c r="AF1030" s="80"/>
      <c r="AG1030" s="80"/>
    </row>
    <row r="1031" spans="1:33" x14ac:dyDescent="0.2">
      <c r="A1031" s="2"/>
      <c r="B1031" s="80"/>
      <c r="C1031" s="80"/>
      <c r="D1031" s="80"/>
      <c r="E1031" s="80"/>
      <c r="F1031" s="80"/>
      <c r="G1031" s="80"/>
      <c r="H1031" s="80"/>
      <c r="I1031" s="80"/>
      <c r="J1031" s="80"/>
      <c r="K1031" s="80"/>
      <c r="L1031" s="2"/>
      <c r="M1031" s="2"/>
      <c r="N1031" s="2"/>
      <c r="O1031" s="2"/>
      <c r="P1031" s="2"/>
      <c r="Q1031" s="2"/>
      <c r="R1031" s="80"/>
      <c r="S1031" s="80"/>
      <c r="T1031" s="80"/>
      <c r="U1031" s="80"/>
      <c r="V1031" s="80"/>
      <c r="W1031" s="80"/>
      <c r="X1031" s="80"/>
      <c r="Y1031" s="80"/>
      <c r="Z1031" s="80"/>
      <c r="AA1031" s="80"/>
      <c r="AB1031" s="80"/>
      <c r="AC1031" s="80"/>
      <c r="AD1031" s="80"/>
      <c r="AE1031" s="80"/>
      <c r="AF1031" s="80"/>
      <c r="AG1031" s="80"/>
    </row>
    <row r="1032" spans="1:33" x14ac:dyDescent="0.2">
      <c r="A1032" s="2"/>
      <c r="B1032" s="80"/>
      <c r="C1032" s="80"/>
      <c r="D1032" s="80"/>
      <c r="E1032" s="80"/>
      <c r="F1032" s="80"/>
      <c r="G1032" s="80"/>
      <c r="H1032" s="80"/>
      <c r="I1032" s="80"/>
      <c r="J1032" s="80"/>
      <c r="K1032" s="80"/>
      <c r="L1032" s="2"/>
      <c r="M1032" s="2"/>
      <c r="N1032" s="2"/>
      <c r="O1032" s="2"/>
      <c r="P1032" s="2"/>
      <c r="Q1032" s="2"/>
      <c r="R1032" s="80"/>
      <c r="S1032" s="80"/>
      <c r="T1032" s="80"/>
      <c r="U1032" s="80"/>
      <c r="V1032" s="80"/>
      <c r="W1032" s="80"/>
      <c r="X1032" s="80"/>
      <c r="Y1032" s="80"/>
      <c r="Z1032" s="80"/>
      <c r="AA1032" s="80"/>
      <c r="AB1032" s="80"/>
      <c r="AC1032" s="80"/>
      <c r="AD1032" s="80"/>
      <c r="AE1032" s="80"/>
      <c r="AF1032" s="80"/>
      <c r="AG1032" s="80"/>
    </row>
    <row r="1033" spans="1:33" x14ac:dyDescent="0.2">
      <c r="A1033" s="2"/>
      <c r="B1033" s="80"/>
      <c r="C1033" s="80"/>
      <c r="D1033" s="80"/>
      <c r="E1033" s="80"/>
      <c r="F1033" s="80"/>
      <c r="G1033" s="80"/>
      <c r="H1033" s="80"/>
      <c r="I1033" s="80"/>
      <c r="J1033" s="80"/>
      <c r="K1033" s="80"/>
      <c r="L1033" s="2"/>
      <c r="M1033" s="2"/>
      <c r="N1033" s="2"/>
      <c r="O1033" s="2"/>
      <c r="P1033" s="2"/>
      <c r="Q1033" s="2"/>
      <c r="R1033" s="80"/>
      <c r="S1033" s="80"/>
      <c r="T1033" s="80"/>
      <c r="U1033" s="80"/>
      <c r="V1033" s="80"/>
      <c r="W1033" s="80"/>
      <c r="X1033" s="80"/>
      <c r="Y1033" s="80"/>
      <c r="Z1033" s="80"/>
      <c r="AA1033" s="80"/>
      <c r="AB1033" s="80"/>
      <c r="AC1033" s="80"/>
      <c r="AD1033" s="80"/>
      <c r="AE1033" s="80"/>
      <c r="AF1033" s="80"/>
      <c r="AG1033" s="80"/>
    </row>
    <row r="1034" spans="1:33" x14ac:dyDescent="0.2">
      <c r="A1034" s="2"/>
      <c r="B1034" s="80"/>
      <c r="C1034" s="80"/>
      <c r="D1034" s="80"/>
      <c r="E1034" s="80"/>
      <c r="F1034" s="80"/>
      <c r="G1034" s="80"/>
      <c r="H1034" s="80"/>
      <c r="I1034" s="80"/>
      <c r="J1034" s="80"/>
      <c r="K1034" s="80"/>
      <c r="L1034" s="2"/>
      <c r="M1034" s="2"/>
      <c r="N1034" s="2"/>
      <c r="O1034" s="2"/>
      <c r="P1034" s="2"/>
      <c r="Q1034" s="2"/>
      <c r="R1034" s="80"/>
      <c r="S1034" s="80"/>
      <c r="T1034" s="80"/>
      <c r="U1034" s="80"/>
      <c r="V1034" s="80"/>
      <c r="W1034" s="80"/>
      <c r="X1034" s="80"/>
      <c r="Y1034" s="80"/>
      <c r="Z1034" s="80"/>
      <c r="AA1034" s="80"/>
      <c r="AB1034" s="80"/>
      <c r="AC1034" s="80"/>
      <c r="AD1034" s="80"/>
      <c r="AE1034" s="80"/>
      <c r="AF1034" s="80"/>
      <c r="AG1034" s="80"/>
    </row>
    <row r="1035" spans="1:33" x14ac:dyDescent="0.2">
      <c r="A1035" s="2"/>
      <c r="B1035" s="80"/>
      <c r="C1035" s="80"/>
      <c r="D1035" s="80"/>
      <c r="E1035" s="80"/>
      <c r="F1035" s="80"/>
      <c r="G1035" s="80"/>
      <c r="H1035" s="80"/>
      <c r="I1035" s="80"/>
      <c r="J1035" s="80"/>
      <c r="K1035" s="80"/>
      <c r="L1035" s="2"/>
      <c r="M1035" s="2"/>
      <c r="N1035" s="2"/>
      <c r="O1035" s="2"/>
      <c r="P1035" s="2"/>
      <c r="Q1035" s="2"/>
      <c r="R1035" s="80"/>
      <c r="S1035" s="80"/>
      <c r="T1035" s="80"/>
      <c r="U1035" s="80"/>
      <c r="V1035" s="80"/>
      <c r="W1035" s="80"/>
      <c r="X1035" s="80"/>
      <c r="Y1035" s="80"/>
      <c r="Z1035" s="80"/>
      <c r="AA1035" s="80"/>
      <c r="AB1035" s="80"/>
      <c r="AC1035" s="80"/>
      <c r="AD1035" s="80"/>
      <c r="AE1035" s="80"/>
      <c r="AF1035" s="80"/>
      <c r="AG1035" s="80"/>
    </row>
    <row r="1036" spans="1:33" x14ac:dyDescent="0.2">
      <c r="A1036" s="2"/>
      <c r="B1036" s="80"/>
      <c r="C1036" s="80"/>
      <c r="D1036" s="80"/>
      <c r="E1036" s="80"/>
      <c r="F1036" s="80"/>
      <c r="G1036" s="80"/>
      <c r="H1036" s="80"/>
      <c r="I1036" s="80"/>
      <c r="J1036" s="80"/>
      <c r="K1036" s="80"/>
      <c r="L1036" s="2"/>
      <c r="M1036" s="2"/>
      <c r="N1036" s="2"/>
      <c r="O1036" s="2"/>
      <c r="P1036" s="2"/>
      <c r="Q1036" s="2"/>
      <c r="R1036" s="80"/>
      <c r="S1036" s="80"/>
      <c r="T1036" s="80"/>
      <c r="U1036" s="80"/>
      <c r="V1036" s="80"/>
      <c r="W1036" s="80"/>
      <c r="X1036" s="80"/>
      <c r="Y1036" s="80"/>
      <c r="Z1036" s="80"/>
      <c r="AA1036" s="80"/>
      <c r="AB1036" s="80"/>
      <c r="AC1036" s="80"/>
      <c r="AD1036" s="80"/>
      <c r="AE1036" s="80"/>
      <c r="AF1036" s="80"/>
      <c r="AG1036" s="80"/>
    </row>
    <row r="1037" spans="1:33" x14ac:dyDescent="0.2">
      <c r="A1037" s="2"/>
      <c r="B1037" s="80"/>
      <c r="C1037" s="80"/>
      <c r="D1037" s="80"/>
      <c r="E1037" s="80"/>
      <c r="F1037" s="80"/>
      <c r="G1037" s="80"/>
      <c r="H1037" s="80"/>
      <c r="I1037" s="80"/>
      <c r="J1037" s="80"/>
      <c r="K1037" s="80"/>
      <c r="L1037" s="2"/>
      <c r="M1037" s="2"/>
      <c r="N1037" s="2"/>
      <c r="O1037" s="2"/>
      <c r="P1037" s="2"/>
      <c r="Q1037" s="2"/>
      <c r="R1037" s="80"/>
      <c r="S1037" s="80"/>
      <c r="T1037" s="80"/>
      <c r="U1037" s="80"/>
      <c r="V1037" s="80"/>
      <c r="W1037" s="80"/>
      <c r="X1037" s="80"/>
      <c r="Y1037" s="80"/>
      <c r="Z1037" s="80"/>
      <c r="AA1037" s="80"/>
      <c r="AB1037" s="80"/>
      <c r="AC1037" s="80"/>
      <c r="AD1037" s="80"/>
      <c r="AE1037" s="80"/>
      <c r="AF1037" s="80"/>
      <c r="AG1037" s="80"/>
    </row>
    <row r="1038" spans="1:33" x14ac:dyDescent="0.2">
      <c r="A1038" s="2"/>
      <c r="B1038" s="80"/>
      <c r="C1038" s="80"/>
      <c r="D1038" s="80"/>
      <c r="E1038" s="80"/>
      <c r="F1038" s="80"/>
      <c r="G1038" s="80"/>
      <c r="H1038" s="80"/>
      <c r="I1038" s="80"/>
      <c r="J1038" s="80"/>
      <c r="K1038" s="80"/>
      <c r="L1038" s="2"/>
      <c r="M1038" s="2"/>
      <c r="N1038" s="2"/>
      <c r="O1038" s="2"/>
      <c r="P1038" s="2"/>
      <c r="Q1038" s="2"/>
      <c r="R1038" s="80"/>
      <c r="S1038" s="80"/>
      <c r="T1038" s="80"/>
      <c r="U1038" s="80"/>
      <c r="V1038" s="80"/>
      <c r="W1038" s="80"/>
      <c r="X1038" s="80"/>
      <c r="Y1038" s="80"/>
      <c r="Z1038" s="80"/>
      <c r="AA1038" s="80"/>
      <c r="AB1038" s="80"/>
      <c r="AC1038" s="80"/>
      <c r="AD1038" s="80"/>
      <c r="AE1038" s="80"/>
      <c r="AF1038" s="80"/>
      <c r="AG1038" s="80"/>
    </row>
    <row r="1039" spans="1:33" x14ac:dyDescent="0.2">
      <c r="A1039" s="2"/>
      <c r="B1039" s="80"/>
      <c r="C1039" s="80"/>
      <c r="D1039" s="80"/>
      <c r="E1039" s="80"/>
      <c r="F1039" s="80"/>
      <c r="G1039" s="80"/>
      <c r="H1039" s="80"/>
      <c r="I1039" s="80"/>
      <c r="J1039" s="80"/>
      <c r="K1039" s="80"/>
      <c r="L1039" s="2"/>
      <c r="M1039" s="2"/>
      <c r="N1039" s="2"/>
      <c r="O1039" s="2"/>
      <c r="P1039" s="2"/>
      <c r="Q1039" s="2"/>
      <c r="R1039" s="80"/>
      <c r="S1039" s="80"/>
      <c r="T1039" s="80"/>
      <c r="U1039" s="80"/>
      <c r="V1039" s="80"/>
      <c r="W1039" s="80"/>
      <c r="X1039" s="80"/>
      <c r="Y1039" s="80"/>
      <c r="Z1039" s="80"/>
      <c r="AA1039" s="80"/>
      <c r="AB1039" s="80"/>
      <c r="AC1039" s="80"/>
      <c r="AD1039" s="80"/>
      <c r="AE1039" s="80"/>
      <c r="AF1039" s="80"/>
      <c r="AG1039" s="80"/>
    </row>
    <row r="1040" spans="1:33" x14ac:dyDescent="0.2">
      <c r="A1040" s="2"/>
      <c r="B1040" s="80"/>
      <c r="C1040" s="80"/>
      <c r="D1040" s="80"/>
      <c r="E1040" s="80"/>
      <c r="F1040" s="80"/>
      <c r="G1040" s="80"/>
      <c r="H1040" s="80"/>
      <c r="I1040" s="80"/>
      <c r="J1040" s="80"/>
      <c r="K1040" s="80"/>
      <c r="L1040" s="2"/>
      <c r="M1040" s="2"/>
      <c r="N1040" s="2"/>
      <c r="O1040" s="2"/>
      <c r="P1040" s="2"/>
      <c r="Q1040" s="2"/>
      <c r="R1040" s="80"/>
      <c r="S1040" s="80"/>
      <c r="T1040" s="80"/>
      <c r="U1040" s="80"/>
      <c r="V1040" s="80"/>
      <c r="W1040" s="80"/>
      <c r="X1040" s="80"/>
      <c r="Y1040" s="80"/>
      <c r="Z1040" s="80"/>
      <c r="AA1040" s="80"/>
      <c r="AB1040" s="80"/>
      <c r="AC1040" s="80"/>
      <c r="AD1040" s="80"/>
      <c r="AE1040" s="80"/>
      <c r="AF1040" s="80"/>
      <c r="AG1040" s="80"/>
    </row>
    <row r="1041" spans="1:33" x14ac:dyDescent="0.2">
      <c r="A1041" s="2"/>
      <c r="B1041" s="80"/>
      <c r="C1041" s="80"/>
      <c r="D1041" s="80"/>
      <c r="E1041" s="80"/>
      <c r="F1041" s="80"/>
      <c r="G1041" s="80"/>
      <c r="H1041" s="80"/>
      <c r="I1041" s="80"/>
      <c r="J1041" s="80"/>
      <c r="K1041" s="80"/>
      <c r="L1041" s="2"/>
      <c r="M1041" s="2"/>
      <c r="N1041" s="2"/>
      <c r="O1041" s="2"/>
      <c r="P1041" s="2"/>
      <c r="Q1041" s="2"/>
      <c r="R1041" s="80"/>
      <c r="S1041" s="80"/>
      <c r="T1041" s="80"/>
      <c r="U1041" s="80"/>
      <c r="V1041" s="80"/>
      <c r="W1041" s="80"/>
      <c r="X1041" s="80"/>
      <c r="Y1041" s="80"/>
      <c r="Z1041" s="80"/>
      <c r="AA1041" s="80"/>
      <c r="AB1041" s="80"/>
      <c r="AC1041" s="80"/>
      <c r="AD1041" s="80"/>
      <c r="AE1041" s="80"/>
      <c r="AF1041" s="80"/>
      <c r="AG1041" s="80"/>
    </row>
    <row r="1042" spans="1:33" x14ac:dyDescent="0.2">
      <c r="A1042" s="2"/>
      <c r="B1042" s="80"/>
      <c r="C1042" s="80"/>
      <c r="D1042" s="80"/>
      <c r="E1042" s="80"/>
      <c r="F1042" s="80"/>
      <c r="G1042" s="80"/>
      <c r="H1042" s="80"/>
      <c r="I1042" s="80"/>
      <c r="J1042" s="80"/>
      <c r="K1042" s="80"/>
      <c r="L1042" s="2"/>
      <c r="M1042" s="2"/>
      <c r="N1042" s="2"/>
      <c r="O1042" s="2"/>
      <c r="P1042" s="2"/>
      <c r="Q1042" s="2"/>
      <c r="R1042" s="80"/>
      <c r="S1042" s="80"/>
      <c r="T1042" s="80"/>
      <c r="U1042" s="80"/>
      <c r="V1042" s="80"/>
      <c r="W1042" s="80"/>
      <c r="X1042" s="80"/>
      <c r="Y1042" s="80"/>
      <c r="Z1042" s="80"/>
      <c r="AA1042" s="80"/>
      <c r="AB1042" s="80"/>
      <c r="AC1042" s="80"/>
      <c r="AD1042" s="80"/>
      <c r="AE1042" s="80"/>
      <c r="AF1042" s="80"/>
      <c r="AG1042" s="80"/>
    </row>
    <row r="1043" spans="1:33" x14ac:dyDescent="0.2">
      <c r="A1043" s="2"/>
      <c r="B1043" s="80"/>
      <c r="C1043" s="80"/>
      <c r="D1043" s="80"/>
      <c r="E1043" s="80"/>
      <c r="F1043" s="80"/>
      <c r="G1043" s="80"/>
      <c r="H1043" s="80"/>
      <c r="I1043" s="80"/>
      <c r="J1043" s="80"/>
      <c r="K1043" s="80"/>
      <c r="L1043" s="2"/>
      <c r="M1043" s="2"/>
      <c r="N1043" s="2"/>
      <c r="O1043" s="2"/>
      <c r="P1043" s="2"/>
      <c r="Q1043" s="2"/>
      <c r="R1043" s="80"/>
      <c r="S1043" s="80"/>
      <c r="T1043" s="80"/>
      <c r="U1043" s="80"/>
      <c r="V1043" s="80"/>
      <c r="W1043" s="80"/>
      <c r="X1043" s="80"/>
      <c r="Y1043" s="80"/>
      <c r="Z1043" s="80"/>
      <c r="AA1043" s="80"/>
      <c r="AB1043" s="80"/>
      <c r="AC1043" s="80"/>
      <c r="AD1043" s="80"/>
      <c r="AE1043" s="80"/>
      <c r="AF1043" s="80"/>
      <c r="AG1043" s="80"/>
    </row>
    <row r="1044" spans="1:33" x14ac:dyDescent="0.2">
      <c r="A1044" s="2"/>
      <c r="B1044" s="80"/>
      <c r="C1044" s="80"/>
      <c r="D1044" s="80"/>
      <c r="E1044" s="80"/>
      <c r="F1044" s="80"/>
      <c r="G1044" s="80"/>
      <c r="H1044" s="80"/>
      <c r="I1044" s="80"/>
      <c r="J1044" s="80"/>
      <c r="K1044" s="80"/>
      <c r="L1044" s="2"/>
      <c r="M1044" s="2"/>
      <c r="N1044" s="2"/>
      <c r="O1044" s="2"/>
      <c r="P1044" s="2"/>
      <c r="Q1044" s="2"/>
      <c r="R1044" s="80"/>
      <c r="S1044" s="80"/>
      <c r="T1044" s="80"/>
      <c r="U1044" s="80"/>
      <c r="V1044" s="80"/>
      <c r="W1044" s="80"/>
      <c r="X1044" s="80"/>
      <c r="Y1044" s="80"/>
      <c r="Z1044" s="80"/>
      <c r="AA1044" s="80"/>
      <c r="AB1044" s="80"/>
      <c r="AC1044" s="80"/>
      <c r="AD1044" s="80"/>
      <c r="AE1044" s="80"/>
      <c r="AF1044" s="80"/>
      <c r="AG1044" s="80"/>
    </row>
    <row r="1045" spans="1:33" x14ac:dyDescent="0.2">
      <c r="A1045" s="2"/>
      <c r="B1045" s="80"/>
      <c r="C1045" s="80"/>
      <c r="D1045" s="80"/>
      <c r="E1045" s="80"/>
      <c r="F1045" s="80"/>
      <c r="G1045" s="80"/>
      <c r="H1045" s="80"/>
      <c r="I1045" s="80"/>
      <c r="J1045" s="80"/>
      <c r="K1045" s="80"/>
      <c r="L1045" s="2"/>
      <c r="M1045" s="2"/>
      <c r="N1045" s="2"/>
      <c r="O1045" s="2"/>
      <c r="P1045" s="2"/>
      <c r="Q1045" s="2"/>
      <c r="R1045" s="80"/>
      <c r="S1045" s="80"/>
      <c r="T1045" s="80"/>
      <c r="U1045" s="80"/>
      <c r="V1045" s="80"/>
      <c r="W1045" s="80"/>
      <c r="X1045" s="80"/>
      <c r="Y1045" s="80"/>
      <c r="Z1045" s="80"/>
      <c r="AA1045" s="80"/>
      <c r="AB1045" s="80"/>
      <c r="AC1045" s="80"/>
      <c r="AD1045" s="80"/>
      <c r="AE1045" s="80"/>
      <c r="AF1045" s="80"/>
      <c r="AG1045" s="80"/>
    </row>
    <row r="1046" spans="1:33" x14ac:dyDescent="0.2">
      <c r="A1046" s="2"/>
      <c r="B1046" s="80"/>
      <c r="C1046" s="80"/>
      <c r="D1046" s="80"/>
      <c r="E1046" s="80"/>
      <c r="F1046" s="80"/>
      <c r="G1046" s="80"/>
      <c r="H1046" s="80"/>
      <c r="I1046" s="80"/>
      <c r="J1046" s="80"/>
      <c r="K1046" s="80"/>
      <c r="L1046" s="2"/>
      <c r="M1046" s="2"/>
      <c r="N1046" s="2"/>
      <c r="O1046" s="2"/>
      <c r="P1046" s="2"/>
      <c r="Q1046" s="2"/>
      <c r="R1046" s="80"/>
      <c r="S1046" s="80"/>
      <c r="T1046" s="80"/>
      <c r="U1046" s="80"/>
      <c r="V1046" s="80"/>
      <c r="W1046" s="80"/>
      <c r="X1046" s="80"/>
      <c r="Y1046" s="80"/>
      <c r="Z1046" s="80"/>
      <c r="AA1046" s="80"/>
      <c r="AB1046" s="80"/>
      <c r="AC1046" s="80"/>
      <c r="AD1046" s="80"/>
      <c r="AE1046" s="80"/>
      <c r="AF1046" s="80"/>
      <c r="AG1046" s="80"/>
    </row>
    <row r="1047" spans="1:33" x14ac:dyDescent="0.2">
      <c r="A1047" s="2"/>
      <c r="B1047" s="80"/>
      <c r="C1047" s="80"/>
      <c r="D1047" s="80"/>
      <c r="E1047" s="80"/>
      <c r="F1047" s="80"/>
      <c r="G1047" s="80"/>
      <c r="H1047" s="80"/>
      <c r="I1047" s="80"/>
      <c r="J1047" s="80"/>
      <c r="K1047" s="80"/>
      <c r="L1047" s="2"/>
      <c r="M1047" s="2"/>
      <c r="N1047" s="2"/>
      <c r="O1047" s="2"/>
      <c r="P1047" s="2"/>
      <c r="Q1047" s="2"/>
      <c r="R1047" s="80"/>
      <c r="S1047" s="80"/>
      <c r="T1047" s="80"/>
      <c r="U1047" s="80"/>
      <c r="V1047" s="80"/>
      <c r="W1047" s="80"/>
      <c r="X1047" s="80"/>
      <c r="Y1047" s="80"/>
      <c r="Z1047" s="80"/>
      <c r="AA1047" s="80"/>
      <c r="AB1047" s="80"/>
      <c r="AC1047" s="80"/>
      <c r="AD1047" s="80"/>
      <c r="AE1047" s="80"/>
      <c r="AF1047" s="80"/>
      <c r="AG1047" s="80"/>
    </row>
    <row r="1048" spans="1:33" x14ac:dyDescent="0.2">
      <c r="A1048" s="2"/>
      <c r="B1048" s="80"/>
      <c r="C1048" s="80"/>
      <c r="D1048" s="80"/>
      <c r="E1048" s="80"/>
      <c r="F1048" s="80"/>
      <c r="G1048" s="80"/>
      <c r="H1048" s="80"/>
      <c r="I1048" s="80"/>
      <c r="J1048" s="80"/>
      <c r="K1048" s="80"/>
      <c r="L1048" s="2"/>
      <c r="M1048" s="2"/>
      <c r="N1048" s="2"/>
      <c r="O1048" s="2"/>
      <c r="P1048" s="2"/>
      <c r="Q1048" s="2"/>
      <c r="R1048" s="80"/>
      <c r="S1048" s="80"/>
      <c r="T1048" s="80"/>
      <c r="U1048" s="80"/>
      <c r="V1048" s="80"/>
      <c r="W1048" s="80"/>
      <c r="X1048" s="80"/>
      <c r="Y1048" s="80"/>
      <c r="Z1048" s="80"/>
      <c r="AA1048" s="80"/>
      <c r="AB1048" s="80"/>
      <c r="AC1048" s="80"/>
      <c r="AD1048" s="80"/>
      <c r="AE1048" s="80"/>
      <c r="AF1048" s="80"/>
      <c r="AG1048" s="80"/>
    </row>
    <row r="1049" spans="1:33" x14ac:dyDescent="0.2">
      <c r="A1049" s="2"/>
      <c r="B1049" s="80"/>
      <c r="C1049" s="80"/>
      <c r="D1049" s="80"/>
      <c r="E1049" s="80"/>
      <c r="F1049" s="80"/>
      <c r="G1049" s="80"/>
      <c r="H1049" s="80"/>
      <c r="I1049" s="80"/>
      <c r="J1049" s="80"/>
      <c r="K1049" s="80"/>
      <c r="L1049" s="2"/>
      <c r="M1049" s="2"/>
      <c r="N1049" s="2"/>
      <c r="O1049" s="2"/>
      <c r="P1049" s="2"/>
      <c r="Q1049" s="2"/>
      <c r="R1049" s="80"/>
      <c r="S1049" s="80"/>
      <c r="T1049" s="80"/>
      <c r="U1049" s="80"/>
      <c r="V1049" s="80"/>
      <c r="W1049" s="80"/>
      <c r="X1049" s="80"/>
      <c r="Y1049" s="80"/>
      <c r="Z1049" s="80"/>
      <c r="AA1049" s="80"/>
      <c r="AB1049" s="80"/>
      <c r="AC1049" s="80"/>
      <c r="AD1049" s="80"/>
      <c r="AE1049" s="80"/>
      <c r="AF1049" s="80"/>
      <c r="AG1049" s="80"/>
    </row>
    <row r="1050" spans="1:33" x14ac:dyDescent="0.2">
      <c r="A1050" s="2"/>
      <c r="B1050" s="80"/>
      <c r="C1050" s="80"/>
      <c r="D1050" s="80"/>
      <c r="E1050" s="80"/>
      <c r="F1050" s="80"/>
      <c r="G1050" s="80"/>
      <c r="H1050" s="80"/>
      <c r="I1050" s="80"/>
      <c r="J1050" s="80"/>
      <c r="K1050" s="80"/>
      <c r="L1050" s="2"/>
      <c r="M1050" s="2"/>
      <c r="N1050" s="2"/>
      <c r="O1050" s="2"/>
      <c r="P1050" s="2"/>
      <c r="Q1050" s="2"/>
      <c r="R1050" s="80"/>
      <c r="S1050" s="80"/>
      <c r="T1050" s="80"/>
      <c r="U1050" s="80"/>
      <c r="V1050" s="80"/>
      <c r="W1050" s="80"/>
      <c r="X1050" s="80"/>
      <c r="Y1050" s="80"/>
      <c r="Z1050" s="80"/>
      <c r="AA1050" s="80"/>
      <c r="AB1050" s="80"/>
      <c r="AC1050" s="80"/>
      <c r="AD1050" s="80"/>
      <c r="AE1050" s="80"/>
      <c r="AF1050" s="80"/>
      <c r="AG1050" s="80"/>
    </row>
    <row r="1051" spans="1:33" x14ac:dyDescent="0.2">
      <c r="A1051" s="2"/>
      <c r="B1051" s="80"/>
      <c r="C1051" s="80"/>
      <c r="D1051" s="80"/>
      <c r="E1051" s="80"/>
      <c r="F1051" s="80"/>
      <c r="G1051" s="80"/>
      <c r="H1051" s="80"/>
      <c r="I1051" s="80"/>
      <c r="J1051" s="80"/>
      <c r="K1051" s="80"/>
      <c r="L1051" s="2"/>
      <c r="M1051" s="2"/>
      <c r="N1051" s="2"/>
      <c r="O1051" s="2"/>
      <c r="P1051" s="2"/>
      <c r="Q1051" s="2"/>
      <c r="R1051" s="80"/>
      <c r="S1051" s="80"/>
      <c r="T1051" s="80"/>
      <c r="U1051" s="80"/>
      <c r="V1051" s="80"/>
      <c r="W1051" s="80"/>
      <c r="X1051" s="80"/>
      <c r="Y1051" s="80"/>
      <c r="Z1051" s="80"/>
      <c r="AA1051" s="80"/>
      <c r="AB1051" s="80"/>
      <c r="AC1051" s="80"/>
      <c r="AD1051" s="80"/>
      <c r="AE1051" s="80"/>
      <c r="AF1051" s="80"/>
      <c r="AG1051" s="80"/>
    </row>
    <row r="1052" spans="1:33" x14ac:dyDescent="0.2">
      <c r="A1052" s="2"/>
      <c r="B1052" s="80"/>
      <c r="C1052" s="80"/>
      <c r="D1052" s="80"/>
      <c r="E1052" s="80"/>
      <c r="F1052" s="80"/>
      <c r="G1052" s="80"/>
      <c r="H1052" s="80"/>
      <c r="I1052" s="80"/>
      <c r="J1052" s="80"/>
      <c r="K1052" s="80"/>
      <c r="L1052" s="2"/>
      <c r="M1052" s="2"/>
      <c r="N1052" s="2"/>
      <c r="O1052" s="2"/>
      <c r="P1052" s="2"/>
      <c r="Q1052" s="2"/>
      <c r="R1052" s="80"/>
      <c r="S1052" s="80"/>
      <c r="T1052" s="80"/>
      <c r="U1052" s="80"/>
      <c r="V1052" s="80"/>
      <c r="W1052" s="80"/>
      <c r="X1052" s="80"/>
      <c r="Y1052" s="80"/>
      <c r="Z1052" s="80"/>
      <c r="AA1052" s="80"/>
      <c r="AB1052" s="80"/>
      <c r="AC1052" s="80"/>
      <c r="AD1052" s="80"/>
      <c r="AE1052" s="80"/>
      <c r="AF1052" s="80"/>
      <c r="AG1052" s="80"/>
    </row>
    <row r="1053" spans="1:33" x14ac:dyDescent="0.2">
      <c r="A1053" s="2"/>
      <c r="B1053" s="80"/>
      <c r="C1053" s="80"/>
      <c r="D1053" s="80"/>
      <c r="E1053" s="80"/>
      <c r="F1053" s="80"/>
      <c r="G1053" s="80"/>
      <c r="H1053" s="80"/>
      <c r="I1053" s="80"/>
      <c r="J1053" s="80"/>
      <c r="K1053" s="80"/>
      <c r="L1053" s="2"/>
      <c r="M1053" s="2"/>
      <c r="N1053" s="2"/>
      <c r="O1053" s="2"/>
      <c r="P1053" s="2"/>
      <c r="Q1053" s="2"/>
      <c r="R1053" s="80"/>
      <c r="S1053" s="80"/>
      <c r="T1053" s="80"/>
      <c r="U1053" s="80"/>
      <c r="V1053" s="80"/>
      <c r="W1053" s="80"/>
      <c r="X1053" s="80"/>
      <c r="Y1053" s="80"/>
      <c r="Z1053" s="80"/>
      <c r="AA1053" s="80"/>
      <c r="AB1053" s="80"/>
      <c r="AC1053" s="80"/>
      <c r="AD1053" s="80"/>
      <c r="AE1053" s="80"/>
      <c r="AF1053" s="80"/>
      <c r="AG1053" s="80"/>
    </row>
    <row r="1054" spans="1:33" x14ac:dyDescent="0.2">
      <c r="A1054" s="2"/>
      <c r="B1054" s="80"/>
      <c r="C1054" s="80"/>
      <c r="D1054" s="80"/>
      <c r="E1054" s="80"/>
      <c r="F1054" s="80"/>
      <c r="G1054" s="80"/>
      <c r="H1054" s="80"/>
      <c r="I1054" s="80"/>
      <c r="J1054" s="80"/>
      <c r="K1054" s="80"/>
      <c r="L1054" s="2"/>
      <c r="M1054" s="2"/>
      <c r="N1054" s="2"/>
      <c r="O1054" s="2"/>
      <c r="P1054" s="2"/>
      <c r="Q1054" s="2"/>
      <c r="R1054" s="80"/>
      <c r="S1054" s="80"/>
      <c r="T1054" s="80"/>
      <c r="U1054" s="80"/>
      <c r="V1054" s="80"/>
      <c r="W1054" s="80"/>
      <c r="X1054" s="80"/>
      <c r="Y1054" s="80"/>
      <c r="Z1054" s="80"/>
      <c r="AA1054" s="80"/>
      <c r="AB1054" s="80"/>
      <c r="AC1054" s="80"/>
      <c r="AD1054" s="80"/>
      <c r="AE1054" s="80"/>
      <c r="AF1054" s="80"/>
      <c r="AG1054" s="80"/>
    </row>
    <row r="1055" spans="1:33" x14ac:dyDescent="0.2">
      <c r="A1055" s="2"/>
      <c r="B1055" s="80"/>
      <c r="C1055" s="80"/>
      <c r="D1055" s="80"/>
      <c r="E1055" s="80"/>
      <c r="F1055" s="80"/>
      <c r="G1055" s="80"/>
      <c r="H1055" s="80"/>
      <c r="I1055" s="80"/>
      <c r="J1055" s="80"/>
      <c r="K1055" s="80"/>
      <c r="L1055" s="2"/>
      <c r="M1055" s="2"/>
      <c r="N1055" s="2"/>
      <c r="O1055" s="2"/>
      <c r="P1055" s="2"/>
      <c r="Q1055" s="2"/>
      <c r="R1055" s="80"/>
      <c r="S1055" s="80"/>
      <c r="T1055" s="80"/>
      <c r="U1055" s="80"/>
      <c r="V1055" s="80"/>
      <c r="W1055" s="80"/>
      <c r="X1055" s="80"/>
      <c r="Y1055" s="80"/>
      <c r="Z1055" s="80"/>
      <c r="AA1055" s="80"/>
      <c r="AB1055" s="80"/>
      <c r="AC1055" s="80"/>
      <c r="AD1055" s="80"/>
      <c r="AE1055" s="80"/>
      <c r="AF1055" s="80"/>
      <c r="AG1055" s="80"/>
    </row>
    <row r="1056" spans="1:33" x14ac:dyDescent="0.2">
      <c r="A1056" s="2"/>
      <c r="B1056" s="80"/>
      <c r="C1056" s="80"/>
      <c r="D1056" s="80"/>
      <c r="E1056" s="80"/>
      <c r="F1056" s="80"/>
      <c r="G1056" s="80"/>
      <c r="H1056" s="80"/>
      <c r="I1056" s="80"/>
      <c r="J1056" s="80"/>
      <c r="K1056" s="80"/>
      <c r="L1056" s="2"/>
      <c r="M1056" s="2"/>
      <c r="N1056" s="2"/>
      <c r="O1056" s="2"/>
      <c r="P1056" s="2"/>
      <c r="Q1056" s="2"/>
      <c r="R1056" s="80"/>
      <c r="S1056" s="80"/>
      <c r="T1056" s="80"/>
      <c r="U1056" s="80"/>
      <c r="V1056" s="80"/>
      <c r="W1056" s="80"/>
      <c r="X1056" s="80"/>
      <c r="Y1056" s="80"/>
      <c r="Z1056" s="80"/>
      <c r="AA1056" s="80"/>
      <c r="AB1056" s="80"/>
      <c r="AC1056" s="80"/>
      <c r="AD1056" s="80"/>
      <c r="AE1056" s="80"/>
      <c r="AF1056" s="80"/>
      <c r="AG1056" s="80"/>
    </row>
    <row r="1057" spans="1:33" x14ac:dyDescent="0.2">
      <c r="A1057" s="2"/>
      <c r="B1057" s="80"/>
      <c r="C1057" s="80"/>
      <c r="D1057" s="80"/>
      <c r="E1057" s="80"/>
      <c r="F1057" s="80"/>
      <c r="G1057" s="80"/>
      <c r="H1057" s="80"/>
      <c r="I1057" s="80"/>
      <c r="J1057" s="80"/>
      <c r="K1057" s="80"/>
      <c r="L1057" s="2"/>
      <c r="M1057" s="2"/>
      <c r="N1057" s="2"/>
      <c r="O1057" s="2"/>
      <c r="P1057" s="2"/>
      <c r="Q1057" s="2"/>
      <c r="R1057" s="80"/>
      <c r="S1057" s="80"/>
      <c r="T1057" s="80"/>
      <c r="U1057" s="80"/>
      <c r="V1057" s="80"/>
      <c r="W1057" s="80"/>
      <c r="X1057" s="80"/>
      <c r="Y1057" s="80"/>
      <c r="Z1057" s="80"/>
      <c r="AA1057" s="80"/>
      <c r="AB1057" s="80"/>
      <c r="AC1057" s="80"/>
      <c r="AD1057" s="80"/>
      <c r="AE1057" s="80"/>
      <c r="AF1057" s="80"/>
      <c r="AG1057" s="80"/>
    </row>
    <row r="1058" spans="1:33" x14ac:dyDescent="0.2">
      <c r="A1058" s="2"/>
      <c r="B1058" s="80"/>
      <c r="C1058" s="80"/>
      <c r="D1058" s="80"/>
      <c r="E1058" s="80"/>
      <c r="F1058" s="80"/>
      <c r="G1058" s="80"/>
      <c r="H1058" s="80"/>
      <c r="I1058" s="80"/>
      <c r="J1058" s="80"/>
      <c r="K1058" s="80"/>
      <c r="L1058" s="2"/>
      <c r="M1058" s="2"/>
      <c r="N1058" s="2"/>
      <c r="O1058" s="2"/>
      <c r="P1058" s="2"/>
      <c r="Q1058" s="2"/>
      <c r="R1058" s="80"/>
      <c r="S1058" s="80"/>
      <c r="T1058" s="80"/>
      <c r="U1058" s="80"/>
      <c r="V1058" s="80"/>
      <c r="W1058" s="80"/>
      <c r="X1058" s="80"/>
      <c r="Y1058" s="80"/>
      <c r="Z1058" s="80"/>
      <c r="AA1058" s="80"/>
      <c r="AB1058" s="80"/>
      <c r="AC1058" s="80"/>
      <c r="AD1058" s="80"/>
      <c r="AE1058" s="80"/>
      <c r="AF1058" s="80"/>
      <c r="AG1058" s="80"/>
    </row>
    <row r="1059" spans="1:33" x14ac:dyDescent="0.2">
      <c r="A1059" s="2"/>
      <c r="B1059" s="80"/>
      <c r="C1059" s="80"/>
      <c r="D1059" s="80"/>
      <c r="E1059" s="80"/>
      <c r="F1059" s="80"/>
      <c r="G1059" s="80"/>
      <c r="H1059" s="80"/>
      <c r="I1059" s="80"/>
      <c r="J1059" s="80"/>
      <c r="K1059" s="80"/>
      <c r="L1059" s="2"/>
      <c r="M1059" s="2"/>
      <c r="N1059" s="2"/>
      <c r="O1059" s="2"/>
      <c r="P1059" s="2"/>
      <c r="Q1059" s="2"/>
      <c r="R1059" s="80"/>
      <c r="S1059" s="80"/>
      <c r="T1059" s="80"/>
      <c r="U1059" s="80"/>
      <c r="V1059" s="80"/>
      <c r="W1059" s="80"/>
      <c r="X1059" s="80"/>
      <c r="Y1059" s="80"/>
      <c r="Z1059" s="80"/>
      <c r="AA1059" s="80"/>
      <c r="AB1059" s="80"/>
      <c r="AC1059" s="80"/>
      <c r="AD1059" s="80"/>
      <c r="AE1059" s="80"/>
      <c r="AF1059" s="80"/>
      <c r="AG1059" s="80"/>
    </row>
    <row r="1060" spans="1:33" x14ac:dyDescent="0.2">
      <c r="A1060" s="2"/>
      <c r="B1060" s="80"/>
      <c r="C1060" s="80"/>
      <c r="D1060" s="80"/>
      <c r="E1060" s="80"/>
      <c r="F1060" s="80"/>
      <c r="G1060" s="80"/>
      <c r="H1060" s="80"/>
      <c r="I1060" s="80"/>
      <c r="J1060" s="80"/>
      <c r="K1060" s="80"/>
      <c r="L1060" s="2"/>
      <c r="M1060" s="2"/>
      <c r="N1060" s="2"/>
      <c r="O1060" s="2"/>
      <c r="P1060" s="2"/>
      <c r="Q1060" s="2"/>
      <c r="R1060" s="80"/>
      <c r="S1060" s="80"/>
      <c r="T1060" s="80"/>
      <c r="U1060" s="80"/>
      <c r="V1060" s="80"/>
      <c r="W1060" s="80"/>
      <c r="X1060" s="80"/>
      <c r="Y1060" s="80"/>
      <c r="Z1060" s="80"/>
      <c r="AA1060" s="80"/>
      <c r="AB1060" s="80"/>
      <c r="AC1060" s="80"/>
      <c r="AD1060" s="80"/>
      <c r="AE1060" s="80"/>
      <c r="AF1060" s="80"/>
      <c r="AG1060" s="80"/>
    </row>
    <row r="1061" spans="1:33" x14ac:dyDescent="0.2">
      <c r="A1061" s="2"/>
      <c r="B1061" s="80"/>
      <c r="C1061" s="80"/>
      <c r="D1061" s="80"/>
      <c r="E1061" s="80"/>
      <c r="F1061" s="80"/>
      <c r="G1061" s="80"/>
      <c r="H1061" s="80"/>
      <c r="I1061" s="80"/>
      <c r="J1061" s="80"/>
      <c r="K1061" s="80"/>
      <c r="L1061" s="2"/>
      <c r="M1061" s="2"/>
      <c r="N1061" s="2"/>
      <c r="O1061" s="2"/>
      <c r="P1061" s="2"/>
      <c r="Q1061" s="2"/>
      <c r="R1061" s="80"/>
      <c r="S1061" s="80"/>
      <c r="T1061" s="80"/>
      <c r="U1061" s="80"/>
      <c r="V1061" s="80"/>
      <c r="W1061" s="80"/>
      <c r="X1061" s="80"/>
      <c r="Y1061" s="80"/>
      <c r="Z1061" s="80"/>
      <c r="AA1061" s="80"/>
      <c r="AB1061" s="80"/>
      <c r="AC1061" s="80"/>
      <c r="AD1061" s="80"/>
      <c r="AE1061" s="80"/>
      <c r="AF1061" s="80"/>
      <c r="AG1061" s="80"/>
    </row>
    <row r="1062" spans="1:33" x14ac:dyDescent="0.2">
      <c r="A1062" s="2"/>
      <c r="B1062" s="80"/>
      <c r="C1062" s="80"/>
      <c r="D1062" s="80"/>
      <c r="E1062" s="80"/>
      <c r="F1062" s="80"/>
      <c r="G1062" s="80"/>
      <c r="H1062" s="80"/>
      <c r="I1062" s="80"/>
      <c r="J1062" s="80"/>
      <c r="K1062" s="80"/>
      <c r="L1062" s="2"/>
      <c r="M1062" s="2"/>
      <c r="N1062" s="2"/>
      <c r="O1062" s="2"/>
      <c r="P1062" s="2"/>
      <c r="Q1062" s="2"/>
      <c r="R1062" s="80"/>
      <c r="S1062" s="80"/>
      <c r="T1062" s="80"/>
      <c r="U1062" s="80"/>
      <c r="V1062" s="80"/>
      <c r="W1062" s="80"/>
      <c r="X1062" s="80"/>
      <c r="Y1062" s="80"/>
      <c r="Z1062" s="80"/>
      <c r="AA1062" s="80"/>
      <c r="AB1062" s="80"/>
      <c r="AC1062" s="80"/>
      <c r="AD1062" s="80"/>
      <c r="AE1062" s="80"/>
      <c r="AF1062" s="80"/>
      <c r="AG1062" s="80"/>
    </row>
    <row r="1063" spans="1:33" x14ac:dyDescent="0.2">
      <c r="A1063" s="2"/>
      <c r="B1063" s="80"/>
      <c r="C1063" s="80"/>
      <c r="D1063" s="80"/>
      <c r="E1063" s="80"/>
      <c r="F1063" s="80"/>
      <c r="G1063" s="80"/>
      <c r="H1063" s="80"/>
      <c r="I1063" s="80"/>
      <c r="J1063" s="80"/>
      <c r="K1063" s="80"/>
      <c r="L1063" s="2"/>
      <c r="M1063" s="2"/>
      <c r="N1063" s="2"/>
      <c r="O1063" s="2"/>
      <c r="P1063" s="2"/>
      <c r="Q1063" s="2"/>
      <c r="R1063" s="80"/>
      <c r="S1063" s="80"/>
      <c r="T1063" s="80"/>
      <c r="U1063" s="80"/>
      <c r="V1063" s="80"/>
      <c r="W1063" s="80"/>
      <c r="X1063" s="80"/>
      <c r="Y1063" s="80"/>
      <c r="Z1063" s="80"/>
      <c r="AA1063" s="80"/>
      <c r="AB1063" s="80"/>
      <c r="AC1063" s="80"/>
      <c r="AD1063" s="80"/>
      <c r="AE1063" s="80"/>
      <c r="AF1063" s="80"/>
      <c r="AG1063" s="80"/>
    </row>
    <row r="1064" spans="1:33" x14ac:dyDescent="0.2">
      <c r="A1064" s="2"/>
      <c r="B1064" s="80"/>
      <c r="C1064" s="80"/>
      <c r="D1064" s="80"/>
      <c r="E1064" s="80"/>
      <c r="F1064" s="80"/>
      <c r="G1064" s="80"/>
      <c r="H1064" s="80"/>
      <c r="I1064" s="80"/>
      <c r="J1064" s="80"/>
      <c r="K1064" s="80"/>
      <c r="L1064" s="2"/>
      <c r="M1064" s="2"/>
      <c r="N1064" s="2"/>
      <c r="O1064" s="2"/>
      <c r="P1064" s="2"/>
      <c r="Q1064" s="2"/>
      <c r="R1064" s="80"/>
      <c r="S1064" s="80"/>
      <c r="T1064" s="80"/>
      <c r="U1064" s="80"/>
      <c r="V1064" s="80"/>
      <c r="W1064" s="80"/>
      <c r="X1064" s="80"/>
      <c r="Y1064" s="80"/>
      <c r="Z1064" s="80"/>
      <c r="AA1064" s="80"/>
      <c r="AB1064" s="80"/>
      <c r="AC1064" s="80"/>
      <c r="AD1064" s="80"/>
      <c r="AE1064" s="80"/>
      <c r="AF1064" s="80"/>
      <c r="AG1064" s="80"/>
    </row>
    <row r="1065" spans="1:33" x14ac:dyDescent="0.2">
      <c r="A1065" s="2"/>
      <c r="B1065" s="80"/>
      <c r="C1065" s="80"/>
      <c r="D1065" s="80"/>
      <c r="E1065" s="80"/>
      <c r="F1065" s="80"/>
      <c r="G1065" s="80"/>
      <c r="H1065" s="80"/>
      <c r="I1065" s="80"/>
      <c r="J1065" s="80"/>
      <c r="K1065" s="80"/>
      <c r="L1065" s="2"/>
      <c r="M1065" s="2"/>
      <c r="N1065" s="2"/>
      <c r="O1065" s="2"/>
      <c r="P1065" s="2"/>
      <c r="Q1065" s="2"/>
      <c r="R1065" s="80"/>
      <c r="S1065" s="80"/>
      <c r="T1065" s="80"/>
      <c r="U1065" s="80"/>
      <c r="V1065" s="80"/>
      <c r="W1065" s="80"/>
      <c r="X1065" s="80"/>
      <c r="Y1065" s="80"/>
      <c r="Z1065" s="80"/>
      <c r="AA1065" s="80"/>
      <c r="AB1065" s="80"/>
      <c r="AC1065" s="80"/>
      <c r="AD1065" s="80"/>
      <c r="AE1065" s="80"/>
      <c r="AF1065" s="80"/>
      <c r="AG1065" s="80"/>
    </row>
    <row r="1066" spans="1:33" x14ac:dyDescent="0.2">
      <c r="A1066" s="2"/>
      <c r="B1066" s="80"/>
      <c r="C1066" s="80"/>
      <c r="D1066" s="80"/>
      <c r="E1066" s="80"/>
      <c r="F1066" s="80"/>
      <c r="G1066" s="80"/>
      <c r="H1066" s="80"/>
      <c r="I1066" s="80"/>
      <c r="J1066" s="80"/>
      <c r="K1066" s="80"/>
      <c r="L1066" s="2"/>
      <c r="M1066" s="2"/>
      <c r="N1066" s="2"/>
      <c r="O1066" s="2"/>
      <c r="P1066" s="2"/>
      <c r="Q1066" s="2"/>
      <c r="R1066" s="80"/>
      <c r="S1066" s="80"/>
      <c r="T1066" s="80"/>
      <c r="U1066" s="80"/>
      <c r="V1066" s="80"/>
      <c r="W1066" s="80"/>
      <c r="X1066" s="80"/>
      <c r="Y1066" s="80"/>
      <c r="Z1066" s="80"/>
      <c r="AA1066" s="80"/>
      <c r="AB1066" s="80"/>
      <c r="AC1066" s="80"/>
      <c r="AD1066" s="80"/>
      <c r="AE1066" s="80"/>
      <c r="AF1066" s="80"/>
      <c r="AG1066" s="80"/>
    </row>
    <row r="1067" spans="1:33" x14ac:dyDescent="0.2">
      <c r="A1067" s="2"/>
      <c r="B1067" s="80"/>
      <c r="C1067" s="80"/>
      <c r="D1067" s="80"/>
      <c r="E1067" s="80"/>
      <c r="F1067" s="80"/>
      <c r="G1067" s="80"/>
      <c r="H1067" s="80"/>
      <c r="I1067" s="80"/>
      <c r="J1067" s="80"/>
      <c r="K1067" s="80"/>
      <c r="L1067" s="2"/>
      <c r="M1067" s="2"/>
      <c r="N1067" s="2"/>
      <c r="O1067" s="2"/>
      <c r="P1067" s="2"/>
      <c r="Q1067" s="2"/>
      <c r="R1067" s="80"/>
      <c r="S1067" s="80"/>
      <c r="T1067" s="80"/>
      <c r="U1067" s="80"/>
      <c r="V1067" s="80"/>
      <c r="W1067" s="80"/>
      <c r="X1067" s="80"/>
      <c r="Y1067" s="80"/>
      <c r="Z1067" s="80"/>
      <c r="AA1067" s="80"/>
      <c r="AB1067" s="80"/>
      <c r="AC1067" s="80"/>
      <c r="AD1067" s="80"/>
      <c r="AE1067" s="80"/>
      <c r="AF1067" s="80"/>
      <c r="AG1067" s="80"/>
    </row>
    <row r="1068" spans="1:33" x14ac:dyDescent="0.2">
      <c r="A1068" s="2"/>
      <c r="B1068" s="80"/>
      <c r="C1068" s="80"/>
      <c r="D1068" s="80"/>
      <c r="E1068" s="80"/>
      <c r="F1068" s="80"/>
      <c r="G1068" s="80"/>
      <c r="H1068" s="80"/>
      <c r="I1068" s="80"/>
      <c r="J1068" s="80"/>
      <c r="K1068" s="80"/>
      <c r="L1068" s="2"/>
      <c r="M1068" s="2"/>
      <c r="N1068" s="2"/>
      <c r="O1068" s="2"/>
      <c r="P1068" s="2"/>
      <c r="Q1068" s="2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E1068" s="80"/>
      <c r="AF1068" s="80"/>
      <c r="AG1068" s="80"/>
    </row>
    <row r="1069" spans="1:33" x14ac:dyDescent="0.2">
      <c r="A1069" s="2"/>
      <c r="B1069" s="80"/>
      <c r="C1069" s="80"/>
      <c r="D1069" s="80"/>
      <c r="E1069" s="80"/>
      <c r="F1069" s="80"/>
      <c r="G1069" s="80"/>
      <c r="H1069" s="80"/>
      <c r="I1069" s="80"/>
      <c r="J1069" s="80"/>
      <c r="K1069" s="80"/>
      <c r="L1069" s="2"/>
      <c r="M1069" s="2"/>
      <c r="N1069" s="2"/>
      <c r="O1069" s="2"/>
      <c r="P1069" s="2"/>
      <c r="Q1069" s="2"/>
      <c r="R1069" s="80"/>
      <c r="S1069" s="80"/>
      <c r="T1069" s="80"/>
      <c r="U1069" s="80"/>
      <c r="V1069" s="80"/>
      <c r="W1069" s="80"/>
      <c r="X1069" s="80"/>
      <c r="Y1069" s="80"/>
      <c r="Z1069" s="80"/>
      <c r="AA1069" s="80"/>
      <c r="AB1069" s="80"/>
      <c r="AC1069" s="80"/>
      <c r="AD1069" s="80"/>
      <c r="AE1069" s="80"/>
      <c r="AF1069" s="80"/>
      <c r="AG1069" s="80"/>
    </row>
    <row r="1070" spans="1:33" x14ac:dyDescent="0.2">
      <c r="A1070" s="2"/>
      <c r="B1070" s="80"/>
      <c r="C1070" s="80"/>
      <c r="D1070" s="80"/>
      <c r="E1070" s="80"/>
      <c r="F1070" s="80"/>
      <c r="G1070" s="80"/>
      <c r="H1070" s="80"/>
      <c r="I1070" s="80"/>
      <c r="J1070" s="80"/>
      <c r="K1070" s="80"/>
      <c r="L1070" s="2"/>
      <c r="M1070" s="2"/>
      <c r="N1070" s="2"/>
      <c r="O1070" s="2"/>
      <c r="P1070" s="2"/>
      <c r="Q1070" s="2"/>
      <c r="R1070" s="80"/>
      <c r="S1070" s="80"/>
      <c r="T1070" s="80"/>
      <c r="U1070" s="80"/>
      <c r="V1070" s="80"/>
      <c r="W1070" s="80"/>
      <c r="X1070" s="80"/>
      <c r="Y1070" s="80"/>
      <c r="Z1070" s="80"/>
      <c r="AA1070" s="80"/>
      <c r="AB1070" s="80"/>
      <c r="AC1070" s="80"/>
      <c r="AD1070" s="80"/>
      <c r="AE1070" s="80"/>
      <c r="AF1070" s="80"/>
      <c r="AG1070" s="80"/>
    </row>
    <row r="1071" spans="1:33" x14ac:dyDescent="0.2">
      <c r="A1071" s="2"/>
      <c r="B1071" s="80"/>
      <c r="C1071" s="80"/>
      <c r="D1071" s="80"/>
      <c r="E1071" s="80"/>
      <c r="F1071" s="80"/>
      <c r="G1071" s="80"/>
      <c r="H1071" s="80"/>
      <c r="I1071" s="80"/>
      <c r="J1071" s="80"/>
      <c r="K1071" s="80"/>
      <c r="L1071" s="2"/>
      <c r="M1071" s="2"/>
      <c r="N1071" s="2"/>
      <c r="O1071" s="2"/>
      <c r="P1071" s="2"/>
      <c r="Q1071" s="2"/>
      <c r="R1071" s="80"/>
      <c r="S1071" s="80"/>
      <c r="T1071" s="80"/>
      <c r="U1071" s="80"/>
      <c r="V1071" s="80"/>
      <c r="W1071" s="80"/>
      <c r="X1071" s="80"/>
      <c r="Y1071" s="80"/>
      <c r="Z1071" s="80"/>
      <c r="AA1071" s="80"/>
      <c r="AB1071" s="80"/>
      <c r="AC1071" s="80"/>
      <c r="AD1071" s="80"/>
      <c r="AE1071" s="80"/>
      <c r="AF1071" s="80"/>
      <c r="AG1071" s="80"/>
    </row>
    <row r="1072" spans="1:33" x14ac:dyDescent="0.2">
      <c r="A1072" s="2"/>
      <c r="B1072" s="80"/>
      <c r="C1072" s="80"/>
      <c r="D1072" s="80"/>
      <c r="E1072" s="80"/>
      <c r="F1072" s="80"/>
      <c r="G1072" s="80"/>
      <c r="H1072" s="80"/>
      <c r="I1072" s="80"/>
      <c r="J1072" s="80"/>
      <c r="K1072" s="80"/>
      <c r="L1072" s="2"/>
      <c r="M1072" s="2"/>
      <c r="N1072" s="2"/>
      <c r="O1072" s="2"/>
      <c r="P1072" s="2"/>
      <c r="Q1072" s="2"/>
      <c r="R1072" s="80"/>
      <c r="S1072" s="80"/>
      <c r="T1072" s="80"/>
      <c r="U1072" s="80"/>
      <c r="V1072" s="80"/>
      <c r="W1072" s="80"/>
      <c r="X1072" s="80"/>
      <c r="Y1072" s="80"/>
      <c r="Z1072" s="80"/>
      <c r="AA1072" s="80"/>
      <c r="AB1072" s="80"/>
      <c r="AC1072" s="80"/>
      <c r="AD1072" s="80"/>
      <c r="AE1072" s="80"/>
      <c r="AF1072" s="80"/>
      <c r="AG1072" s="80"/>
    </row>
    <row r="1073" spans="1:33" x14ac:dyDescent="0.2">
      <c r="A1073" s="2"/>
      <c r="B1073" s="80"/>
      <c r="C1073" s="80"/>
      <c r="D1073" s="80"/>
      <c r="E1073" s="80"/>
      <c r="F1073" s="80"/>
      <c r="G1073" s="80"/>
      <c r="H1073" s="80"/>
      <c r="I1073" s="80"/>
      <c r="J1073" s="80"/>
      <c r="K1073" s="80"/>
      <c r="L1073" s="2"/>
      <c r="M1073" s="2"/>
      <c r="N1073" s="2"/>
      <c r="O1073" s="2"/>
      <c r="P1073" s="2"/>
      <c r="Q1073" s="2"/>
      <c r="R1073" s="80"/>
      <c r="S1073" s="80"/>
      <c r="T1073" s="80"/>
      <c r="U1073" s="80"/>
      <c r="V1073" s="80"/>
      <c r="W1073" s="80"/>
      <c r="X1073" s="80"/>
      <c r="Y1073" s="80"/>
      <c r="Z1073" s="80"/>
      <c r="AA1073" s="80"/>
      <c r="AB1073" s="80"/>
      <c r="AC1073" s="80"/>
      <c r="AD1073" s="80"/>
      <c r="AE1073" s="80"/>
      <c r="AF1073" s="80"/>
      <c r="AG1073" s="80"/>
    </row>
    <row r="1074" spans="1:33" x14ac:dyDescent="0.2">
      <c r="A1074" s="2"/>
      <c r="B1074" s="80"/>
      <c r="C1074" s="80"/>
      <c r="D1074" s="80"/>
      <c r="E1074" s="80"/>
      <c r="F1074" s="80"/>
      <c r="G1074" s="80"/>
      <c r="H1074" s="80"/>
      <c r="I1074" s="80"/>
      <c r="J1074" s="80"/>
      <c r="K1074" s="80"/>
      <c r="L1074" s="2"/>
      <c r="M1074" s="2"/>
      <c r="N1074" s="2"/>
      <c r="O1074" s="2"/>
      <c r="P1074" s="2"/>
      <c r="Q1074" s="2"/>
      <c r="R1074" s="80"/>
      <c r="S1074" s="80"/>
      <c r="T1074" s="80"/>
      <c r="U1074" s="80"/>
      <c r="V1074" s="80"/>
      <c r="W1074" s="80"/>
      <c r="X1074" s="80"/>
      <c r="Y1074" s="80"/>
      <c r="Z1074" s="80"/>
      <c r="AA1074" s="80"/>
      <c r="AB1074" s="80"/>
      <c r="AC1074" s="80"/>
      <c r="AD1074" s="80"/>
      <c r="AE1074" s="80"/>
      <c r="AF1074" s="80"/>
      <c r="AG1074" s="80"/>
    </row>
    <row r="1075" spans="1:33" x14ac:dyDescent="0.2">
      <c r="A1075" s="2"/>
      <c r="B1075" s="80"/>
      <c r="C1075" s="80"/>
      <c r="D1075" s="80"/>
      <c r="E1075" s="80"/>
      <c r="F1075" s="80"/>
      <c r="G1075" s="80"/>
      <c r="H1075" s="80"/>
      <c r="I1075" s="80"/>
      <c r="J1075" s="80"/>
      <c r="K1075" s="80"/>
      <c r="L1075" s="2"/>
      <c r="M1075" s="2"/>
      <c r="N1075" s="2"/>
      <c r="O1075" s="2"/>
      <c r="P1075" s="2"/>
      <c r="Q1075" s="2"/>
      <c r="R1075" s="80"/>
      <c r="S1075" s="80"/>
      <c r="T1075" s="80"/>
      <c r="U1075" s="80"/>
      <c r="V1075" s="80"/>
      <c r="W1075" s="80"/>
      <c r="X1075" s="80"/>
      <c r="Y1075" s="80"/>
      <c r="Z1075" s="80"/>
      <c r="AA1075" s="80"/>
      <c r="AB1075" s="80"/>
      <c r="AC1075" s="80"/>
      <c r="AD1075" s="80"/>
      <c r="AE1075" s="80"/>
      <c r="AF1075" s="80"/>
      <c r="AG1075" s="80"/>
    </row>
    <row r="1076" spans="1:33" x14ac:dyDescent="0.2">
      <c r="A1076" s="2"/>
      <c r="B1076" s="80"/>
      <c r="C1076" s="80"/>
      <c r="D1076" s="80"/>
      <c r="E1076" s="80"/>
      <c r="F1076" s="80"/>
      <c r="G1076" s="80"/>
      <c r="H1076" s="80"/>
      <c r="I1076" s="80"/>
      <c r="J1076" s="80"/>
      <c r="K1076" s="80"/>
      <c r="L1076" s="2"/>
      <c r="M1076" s="2"/>
      <c r="N1076" s="2"/>
      <c r="O1076" s="2"/>
      <c r="P1076" s="2"/>
      <c r="Q1076" s="2"/>
      <c r="R1076" s="80"/>
      <c r="S1076" s="80"/>
      <c r="T1076" s="80"/>
      <c r="U1076" s="80"/>
      <c r="V1076" s="80"/>
      <c r="W1076" s="80"/>
      <c r="X1076" s="80"/>
      <c r="Y1076" s="80"/>
      <c r="Z1076" s="80"/>
      <c r="AA1076" s="80"/>
      <c r="AB1076" s="80"/>
      <c r="AC1076" s="80"/>
      <c r="AD1076" s="80"/>
      <c r="AE1076" s="80"/>
      <c r="AF1076" s="80"/>
      <c r="AG1076" s="80"/>
    </row>
    <row r="1077" spans="1:33" x14ac:dyDescent="0.2">
      <c r="A1077" s="2"/>
      <c r="B1077" s="80"/>
      <c r="C1077" s="80"/>
      <c r="D1077" s="80"/>
      <c r="E1077" s="80"/>
      <c r="F1077" s="80"/>
      <c r="G1077" s="80"/>
      <c r="H1077" s="80"/>
      <c r="I1077" s="80"/>
      <c r="J1077" s="80"/>
      <c r="K1077" s="80"/>
      <c r="L1077" s="2"/>
      <c r="M1077" s="2"/>
      <c r="N1077" s="2"/>
      <c r="O1077" s="2"/>
      <c r="P1077" s="2"/>
      <c r="Q1077" s="2"/>
      <c r="R1077" s="80"/>
      <c r="S1077" s="80"/>
      <c r="T1077" s="80"/>
      <c r="U1077" s="80"/>
      <c r="V1077" s="80"/>
      <c r="W1077" s="80"/>
      <c r="X1077" s="80"/>
      <c r="Y1077" s="80"/>
      <c r="Z1077" s="80"/>
      <c r="AA1077" s="80"/>
      <c r="AB1077" s="80"/>
      <c r="AC1077" s="80"/>
      <c r="AD1077" s="80"/>
      <c r="AE1077" s="80"/>
      <c r="AF1077" s="80"/>
      <c r="AG1077" s="80"/>
    </row>
    <row r="1078" spans="1:33" x14ac:dyDescent="0.2">
      <c r="A1078" s="2"/>
      <c r="B1078" s="80"/>
      <c r="C1078" s="80"/>
      <c r="D1078" s="80"/>
      <c r="E1078" s="80"/>
      <c r="F1078" s="80"/>
      <c r="G1078" s="80"/>
      <c r="H1078" s="80"/>
      <c r="I1078" s="80"/>
      <c r="J1078" s="80"/>
      <c r="K1078" s="80"/>
      <c r="L1078" s="2"/>
      <c r="M1078" s="2"/>
      <c r="N1078" s="2"/>
      <c r="O1078" s="2"/>
      <c r="P1078" s="2"/>
      <c r="Q1078" s="2"/>
      <c r="R1078" s="80"/>
      <c r="S1078" s="80"/>
      <c r="T1078" s="80"/>
      <c r="U1078" s="80"/>
      <c r="V1078" s="80"/>
      <c r="W1078" s="80"/>
      <c r="X1078" s="80"/>
      <c r="Y1078" s="80"/>
      <c r="Z1078" s="80"/>
      <c r="AA1078" s="80"/>
      <c r="AB1078" s="80"/>
      <c r="AC1078" s="80"/>
      <c r="AD1078" s="80"/>
      <c r="AE1078" s="80"/>
      <c r="AF1078" s="80"/>
      <c r="AG1078" s="80"/>
    </row>
    <row r="1079" spans="1:33" x14ac:dyDescent="0.2">
      <c r="A1079" s="2"/>
      <c r="B1079" s="80"/>
      <c r="C1079" s="80"/>
      <c r="D1079" s="80"/>
      <c r="E1079" s="80"/>
      <c r="F1079" s="80"/>
      <c r="G1079" s="80"/>
      <c r="H1079" s="80"/>
      <c r="I1079" s="80"/>
      <c r="J1079" s="80"/>
      <c r="K1079" s="80"/>
      <c r="L1079" s="2"/>
      <c r="M1079" s="2"/>
      <c r="N1079" s="2"/>
      <c r="O1079" s="2"/>
      <c r="P1079" s="2"/>
      <c r="Q1079" s="2"/>
      <c r="R1079" s="80"/>
      <c r="S1079" s="80"/>
      <c r="T1079" s="80"/>
      <c r="U1079" s="80"/>
      <c r="V1079" s="80"/>
      <c r="W1079" s="80"/>
      <c r="X1079" s="80"/>
      <c r="Y1079" s="80"/>
      <c r="Z1079" s="80"/>
      <c r="AA1079" s="80"/>
      <c r="AB1079" s="80"/>
      <c r="AC1079" s="80"/>
      <c r="AD1079" s="80"/>
      <c r="AE1079" s="80"/>
      <c r="AF1079" s="80"/>
      <c r="AG1079" s="80"/>
    </row>
    <row r="1080" spans="1:33" x14ac:dyDescent="0.2">
      <c r="A1080" s="2"/>
      <c r="B1080" s="80"/>
      <c r="C1080" s="80"/>
      <c r="D1080" s="80"/>
      <c r="E1080" s="80"/>
      <c r="F1080" s="80"/>
      <c r="G1080" s="80"/>
      <c r="H1080" s="80"/>
      <c r="I1080" s="80"/>
      <c r="J1080" s="80"/>
      <c r="K1080" s="80"/>
      <c r="L1080" s="2"/>
      <c r="M1080" s="2"/>
      <c r="N1080" s="2"/>
      <c r="O1080" s="2"/>
      <c r="P1080" s="2"/>
      <c r="Q1080" s="2"/>
      <c r="R1080" s="80"/>
      <c r="S1080" s="80"/>
      <c r="T1080" s="80"/>
      <c r="U1080" s="80"/>
      <c r="V1080" s="80"/>
      <c r="W1080" s="80"/>
      <c r="X1080" s="80"/>
      <c r="Y1080" s="80"/>
      <c r="Z1080" s="80"/>
      <c r="AA1080" s="80"/>
      <c r="AB1080" s="80"/>
      <c r="AC1080" s="80"/>
      <c r="AD1080" s="80"/>
      <c r="AE1080" s="80"/>
      <c r="AF1080" s="80"/>
      <c r="AG1080" s="80"/>
    </row>
    <row r="1081" spans="1:33" x14ac:dyDescent="0.2">
      <c r="A1081" s="2"/>
      <c r="B1081" s="80"/>
      <c r="C1081" s="80"/>
      <c r="D1081" s="80"/>
      <c r="E1081" s="80"/>
      <c r="F1081" s="80"/>
      <c r="G1081" s="80"/>
      <c r="H1081" s="80"/>
      <c r="I1081" s="80"/>
      <c r="J1081" s="80"/>
      <c r="K1081" s="80"/>
      <c r="L1081" s="2"/>
      <c r="M1081" s="2"/>
      <c r="N1081" s="2"/>
      <c r="O1081" s="2"/>
      <c r="P1081" s="2"/>
      <c r="Q1081" s="2"/>
      <c r="R1081" s="80"/>
      <c r="S1081" s="80"/>
      <c r="T1081" s="80"/>
      <c r="U1081" s="80"/>
      <c r="V1081" s="80"/>
      <c r="W1081" s="80"/>
      <c r="X1081" s="80"/>
      <c r="Y1081" s="80"/>
      <c r="Z1081" s="80"/>
      <c r="AA1081" s="80"/>
      <c r="AB1081" s="80"/>
      <c r="AC1081" s="80"/>
      <c r="AD1081" s="80"/>
      <c r="AE1081" s="80"/>
      <c r="AF1081" s="80"/>
      <c r="AG1081" s="80"/>
    </row>
    <row r="1082" spans="1:33" x14ac:dyDescent="0.2">
      <c r="A1082" s="2"/>
      <c r="B1082" s="80"/>
      <c r="C1082" s="80"/>
      <c r="D1082" s="80"/>
      <c r="E1082" s="80"/>
      <c r="F1082" s="80"/>
      <c r="G1082" s="80"/>
      <c r="H1082" s="80"/>
      <c r="I1082" s="80"/>
      <c r="J1082" s="80"/>
      <c r="K1082" s="80"/>
      <c r="L1082" s="2"/>
      <c r="M1082" s="2"/>
      <c r="N1082" s="2"/>
      <c r="O1082" s="2"/>
      <c r="P1082" s="2"/>
      <c r="Q1082" s="2"/>
      <c r="R1082" s="80"/>
      <c r="S1082" s="80"/>
      <c r="T1082" s="80"/>
      <c r="U1082" s="80"/>
      <c r="V1082" s="80"/>
      <c r="W1082" s="80"/>
      <c r="X1082" s="80"/>
      <c r="Y1082" s="80"/>
      <c r="Z1082" s="80"/>
      <c r="AA1082" s="80"/>
      <c r="AB1082" s="80"/>
      <c r="AC1082" s="80"/>
      <c r="AD1082" s="80"/>
      <c r="AE1082" s="80"/>
      <c r="AF1082" s="80"/>
      <c r="AG1082" s="80"/>
    </row>
    <row r="1083" spans="1:33" x14ac:dyDescent="0.2">
      <c r="A1083" s="2"/>
      <c r="B1083" s="80"/>
      <c r="C1083" s="80"/>
      <c r="D1083" s="80"/>
      <c r="E1083" s="80"/>
      <c r="F1083" s="80"/>
      <c r="G1083" s="80"/>
      <c r="H1083" s="80"/>
      <c r="I1083" s="80"/>
      <c r="J1083" s="80"/>
      <c r="K1083" s="80"/>
      <c r="L1083" s="2"/>
      <c r="M1083" s="2"/>
      <c r="N1083" s="2"/>
      <c r="O1083" s="2"/>
      <c r="P1083" s="2"/>
      <c r="Q1083" s="2"/>
      <c r="R1083" s="80"/>
      <c r="S1083" s="80"/>
      <c r="T1083" s="80"/>
      <c r="U1083" s="80"/>
      <c r="V1083" s="80"/>
      <c r="W1083" s="80"/>
      <c r="X1083" s="80"/>
      <c r="Y1083" s="80"/>
      <c r="Z1083" s="80"/>
      <c r="AA1083" s="80"/>
      <c r="AB1083" s="80"/>
      <c r="AC1083" s="80"/>
      <c r="AD1083" s="80"/>
      <c r="AE1083" s="80"/>
      <c r="AF1083" s="80"/>
      <c r="AG1083" s="80"/>
    </row>
    <row r="1084" spans="1:33" x14ac:dyDescent="0.2">
      <c r="A1084" s="2"/>
      <c r="B1084" s="80"/>
      <c r="C1084" s="80"/>
      <c r="D1084" s="80"/>
      <c r="E1084" s="80"/>
      <c r="F1084" s="80"/>
      <c r="G1084" s="80"/>
      <c r="H1084" s="80"/>
      <c r="I1084" s="80"/>
      <c r="J1084" s="80"/>
      <c r="K1084" s="80"/>
      <c r="L1084" s="2"/>
      <c r="M1084" s="2"/>
      <c r="N1084" s="2"/>
      <c r="O1084" s="2"/>
      <c r="P1084" s="2"/>
      <c r="Q1084" s="2"/>
      <c r="R1084" s="80"/>
      <c r="S1084" s="80"/>
      <c r="T1084" s="80"/>
      <c r="U1084" s="80"/>
      <c r="V1084" s="80"/>
      <c r="W1084" s="80"/>
      <c r="X1084" s="80"/>
      <c r="Y1084" s="80"/>
      <c r="Z1084" s="80"/>
      <c r="AA1084" s="80"/>
      <c r="AB1084" s="80"/>
      <c r="AC1084" s="80"/>
      <c r="AD1084" s="80"/>
      <c r="AE1084" s="80"/>
      <c r="AF1084" s="80"/>
      <c r="AG1084" s="80"/>
    </row>
    <row r="1085" spans="1:33" x14ac:dyDescent="0.2">
      <c r="A1085" s="2"/>
      <c r="B1085" s="80"/>
      <c r="C1085" s="80"/>
      <c r="D1085" s="80"/>
      <c r="E1085" s="80"/>
      <c r="F1085" s="80"/>
      <c r="G1085" s="80"/>
      <c r="H1085" s="80"/>
      <c r="I1085" s="80"/>
      <c r="J1085" s="80"/>
      <c r="K1085" s="80"/>
      <c r="L1085" s="2"/>
      <c r="M1085" s="2"/>
      <c r="N1085" s="2"/>
      <c r="O1085" s="2"/>
      <c r="P1085" s="2"/>
      <c r="Q1085" s="2"/>
      <c r="R1085" s="80"/>
      <c r="S1085" s="80"/>
      <c r="T1085" s="80"/>
      <c r="U1085" s="80"/>
      <c r="V1085" s="80"/>
      <c r="W1085" s="80"/>
      <c r="X1085" s="80"/>
      <c r="Y1085" s="80"/>
      <c r="Z1085" s="80"/>
      <c r="AA1085" s="80"/>
      <c r="AB1085" s="80"/>
      <c r="AC1085" s="80"/>
      <c r="AD1085" s="80"/>
      <c r="AE1085" s="80"/>
      <c r="AF1085" s="80"/>
      <c r="AG1085" s="80"/>
    </row>
    <row r="1086" spans="1:33" x14ac:dyDescent="0.2">
      <c r="A1086" s="2"/>
      <c r="B1086" s="80"/>
      <c r="C1086" s="80"/>
      <c r="D1086" s="80"/>
      <c r="E1086" s="80"/>
      <c r="F1086" s="80"/>
      <c r="G1086" s="80"/>
      <c r="H1086" s="80"/>
      <c r="I1086" s="80"/>
      <c r="J1086" s="80"/>
      <c r="K1086" s="80"/>
      <c r="L1086" s="2"/>
      <c r="M1086" s="2"/>
      <c r="N1086" s="2"/>
      <c r="O1086" s="2"/>
      <c r="P1086" s="2"/>
      <c r="Q1086" s="2"/>
      <c r="R1086" s="80"/>
      <c r="S1086" s="80"/>
      <c r="T1086" s="80"/>
      <c r="U1086" s="80"/>
      <c r="V1086" s="80"/>
      <c r="W1086" s="80"/>
      <c r="X1086" s="80"/>
      <c r="Y1086" s="80"/>
      <c r="Z1086" s="80"/>
      <c r="AA1086" s="80"/>
      <c r="AB1086" s="80"/>
      <c r="AC1086" s="80"/>
      <c r="AD1086" s="80"/>
      <c r="AE1086" s="80"/>
      <c r="AF1086" s="80"/>
      <c r="AG1086" s="80"/>
    </row>
    <row r="1087" spans="1:33" x14ac:dyDescent="0.2">
      <c r="A1087" s="2"/>
      <c r="B1087" s="80"/>
      <c r="C1087" s="80"/>
      <c r="D1087" s="80"/>
      <c r="E1087" s="80"/>
      <c r="F1087" s="80"/>
      <c r="G1087" s="80"/>
      <c r="H1087" s="80"/>
      <c r="I1087" s="80"/>
      <c r="J1087" s="80"/>
      <c r="K1087" s="80"/>
      <c r="L1087" s="2"/>
      <c r="M1087" s="2"/>
      <c r="N1087" s="2"/>
      <c r="O1087" s="2"/>
      <c r="P1087" s="2"/>
      <c r="Q1087" s="2"/>
      <c r="R1087" s="80"/>
      <c r="S1087" s="80"/>
      <c r="T1087" s="80"/>
      <c r="U1087" s="80"/>
      <c r="V1087" s="80"/>
      <c r="W1087" s="80"/>
      <c r="X1087" s="80"/>
      <c r="Y1087" s="80"/>
      <c r="Z1087" s="80"/>
      <c r="AA1087" s="80"/>
      <c r="AB1087" s="80"/>
      <c r="AC1087" s="80"/>
      <c r="AD1087" s="80"/>
      <c r="AE1087" s="80"/>
      <c r="AF1087" s="80"/>
      <c r="AG1087" s="80"/>
    </row>
    <row r="1088" spans="1:33" x14ac:dyDescent="0.2">
      <c r="A1088" s="2"/>
      <c r="B1088" s="80"/>
      <c r="C1088" s="80"/>
      <c r="D1088" s="80"/>
      <c r="E1088" s="80"/>
      <c r="F1088" s="80"/>
      <c r="G1088" s="80"/>
      <c r="H1088" s="80"/>
      <c r="I1088" s="80"/>
      <c r="J1088" s="80"/>
      <c r="K1088" s="80"/>
      <c r="L1088" s="2"/>
      <c r="M1088" s="2"/>
      <c r="N1088" s="2"/>
      <c r="O1088" s="2"/>
      <c r="P1088" s="2"/>
      <c r="Q1088" s="2"/>
      <c r="R1088" s="80"/>
      <c r="S1088" s="80"/>
      <c r="T1088" s="80"/>
      <c r="U1088" s="80"/>
      <c r="V1088" s="80"/>
      <c r="W1088" s="80"/>
      <c r="X1088" s="80"/>
      <c r="Y1088" s="80"/>
      <c r="Z1088" s="80"/>
      <c r="AA1088" s="80"/>
      <c r="AB1088" s="80"/>
      <c r="AC1088" s="80"/>
      <c r="AD1088" s="80"/>
      <c r="AE1088" s="80"/>
      <c r="AF1088" s="80"/>
      <c r="AG1088" s="80"/>
    </row>
    <row r="1089" spans="1:33" x14ac:dyDescent="0.2">
      <c r="A1089" s="2"/>
      <c r="B1089" s="80"/>
      <c r="C1089" s="80"/>
      <c r="D1089" s="80"/>
      <c r="E1089" s="80"/>
      <c r="F1089" s="80"/>
      <c r="G1089" s="80"/>
      <c r="H1089" s="80"/>
      <c r="I1089" s="80"/>
      <c r="J1089" s="80"/>
      <c r="K1089" s="80"/>
      <c r="L1089" s="2"/>
      <c r="M1089" s="2"/>
      <c r="N1089" s="2"/>
      <c r="O1089" s="2"/>
      <c r="P1089" s="2"/>
      <c r="Q1089" s="2"/>
      <c r="R1089" s="80"/>
      <c r="S1089" s="80"/>
      <c r="T1089" s="80"/>
      <c r="U1089" s="80"/>
      <c r="V1089" s="80"/>
      <c r="W1089" s="80"/>
      <c r="X1089" s="80"/>
      <c r="Y1089" s="80"/>
      <c r="Z1089" s="80"/>
      <c r="AA1089" s="80"/>
      <c r="AB1089" s="80"/>
      <c r="AC1089" s="80"/>
      <c r="AD1089" s="80"/>
      <c r="AE1089" s="80"/>
      <c r="AF1089" s="80"/>
      <c r="AG1089" s="80"/>
    </row>
    <row r="1090" spans="1:33" x14ac:dyDescent="0.2">
      <c r="A1090" s="2"/>
      <c r="B1090" s="80"/>
      <c r="C1090" s="80"/>
      <c r="D1090" s="80"/>
      <c r="E1090" s="80"/>
      <c r="F1090" s="80"/>
      <c r="G1090" s="80"/>
      <c r="H1090" s="80"/>
      <c r="I1090" s="80"/>
      <c r="J1090" s="80"/>
      <c r="K1090" s="80"/>
      <c r="L1090" s="2"/>
      <c r="M1090" s="2"/>
      <c r="N1090" s="2"/>
      <c r="O1090" s="2"/>
      <c r="P1090" s="2"/>
      <c r="Q1090" s="2"/>
      <c r="R1090" s="80"/>
      <c r="S1090" s="80"/>
      <c r="T1090" s="80"/>
      <c r="U1090" s="80"/>
      <c r="V1090" s="80"/>
      <c r="W1090" s="80"/>
      <c r="X1090" s="80"/>
      <c r="Y1090" s="80"/>
      <c r="Z1090" s="80"/>
      <c r="AA1090" s="80"/>
      <c r="AB1090" s="80"/>
      <c r="AC1090" s="80"/>
      <c r="AD1090" s="80"/>
      <c r="AE1090" s="80"/>
      <c r="AF1090" s="80"/>
      <c r="AG1090" s="80"/>
    </row>
    <row r="1091" spans="1:33" x14ac:dyDescent="0.2">
      <c r="A1091" s="2"/>
      <c r="B1091" s="80"/>
      <c r="C1091" s="80"/>
      <c r="D1091" s="80"/>
      <c r="E1091" s="80"/>
      <c r="F1091" s="80"/>
      <c r="G1091" s="80"/>
      <c r="H1091" s="80"/>
      <c r="I1091" s="80"/>
      <c r="J1091" s="80"/>
      <c r="K1091" s="80"/>
      <c r="L1091" s="2"/>
      <c r="M1091" s="2"/>
      <c r="N1091" s="2"/>
      <c r="O1091" s="2"/>
      <c r="P1091" s="2"/>
      <c r="Q1091" s="2"/>
      <c r="R1091" s="80"/>
      <c r="S1091" s="80"/>
      <c r="T1091" s="80"/>
      <c r="U1091" s="80"/>
      <c r="V1091" s="80"/>
      <c r="W1091" s="80"/>
      <c r="X1091" s="80"/>
      <c r="Y1091" s="80"/>
      <c r="Z1091" s="80"/>
      <c r="AA1091" s="80"/>
      <c r="AB1091" s="80"/>
      <c r="AC1091" s="80"/>
      <c r="AD1091" s="80"/>
      <c r="AE1091" s="80"/>
      <c r="AF1091" s="80"/>
      <c r="AG1091" s="80"/>
    </row>
    <row r="1092" spans="1:33" x14ac:dyDescent="0.2">
      <c r="A1092" s="2"/>
      <c r="B1092" s="80"/>
      <c r="C1092" s="80"/>
      <c r="D1092" s="80"/>
      <c r="E1092" s="80"/>
      <c r="F1092" s="80"/>
      <c r="G1092" s="80"/>
      <c r="H1092" s="80"/>
      <c r="I1092" s="80"/>
      <c r="J1092" s="80"/>
      <c r="K1092" s="80"/>
      <c r="L1092" s="2"/>
      <c r="M1092" s="2"/>
      <c r="N1092" s="2"/>
      <c r="O1092" s="2"/>
      <c r="P1092" s="2"/>
      <c r="Q1092" s="2"/>
      <c r="R1092" s="80"/>
      <c r="S1092" s="80"/>
      <c r="T1092" s="80"/>
      <c r="U1092" s="80"/>
      <c r="V1092" s="80"/>
      <c r="W1092" s="80"/>
      <c r="X1092" s="80"/>
      <c r="Y1092" s="80"/>
      <c r="Z1092" s="80"/>
      <c r="AA1092" s="80"/>
      <c r="AB1092" s="80"/>
      <c r="AC1092" s="80"/>
      <c r="AD1092" s="80"/>
      <c r="AE1092" s="80"/>
      <c r="AF1092" s="80"/>
      <c r="AG1092" s="80"/>
    </row>
    <row r="1093" spans="1:33" x14ac:dyDescent="0.2">
      <c r="A1093" s="2"/>
      <c r="B1093" s="80"/>
      <c r="C1093" s="80"/>
      <c r="D1093" s="80"/>
      <c r="E1093" s="80"/>
      <c r="F1093" s="80"/>
      <c r="G1093" s="80"/>
      <c r="H1093" s="80"/>
      <c r="I1093" s="80"/>
      <c r="J1093" s="80"/>
      <c r="K1093" s="80"/>
      <c r="L1093" s="2"/>
      <c r="M1093" s="2"/>
      <c r="N1093" s="2"/>
      <c r="O1093" s="2"/>
      <c r="P1093" s="2"/>
      <c r="Q1093" s="2"/>
      <c r="R1093" s="80"/>
      <c r="S1093" s="80"/>
      <c r="T1093" s="80"/>
      <c r="U1093" s="80"/>
      <c r="V1093" s="80"/>
      <c r="W1093" s="80"/>
      <c r="X1093" s="80"/>
      <c r="Y1093" s="80"/>
      <c r="Z1093" s="80"/>
      <c r="AA1093" s="80"/>
      <c r="AB1093" s="80"/>
      <c r="AC1093" s="80"/>
      <c r="AD1093" s="80"/>
      <c r="AE1093" s="80"/>
      <c r="AF1093" s="80"/>
      <c r="AG1093" s="80"/>
    </row>
    <row r="1094" spans="1:33" x14ac:dyDescent="0.2">
      <c r="A1094" s="2"/>
      <c r="B1094" s="80"/>
      <c r="C1094" s="80"/>
      <c r="D1094" s="80"/>
      <c r="E1094" s="80"/>
      <c r="F1094" s="80"/>
      <c r="G1094" s="80"/>
      <c r="H1094" s="80"/>
      <c r="I1094" s="80"/>
      <c r="J1094" s="80"/>
      <c r="K1094" s="80"/>
      <c r="L1094" s="2"/>
      <c r="M1094" s="2"/>
      <c r="N1094" s="2"/>
      <c r="O1094" s="2"/>
      <c r="P1094" s="2"/>
      <c r="Q1094" s="2"/>
      <c r="R1094" s="80"/>
      <c r="S1094" s="80"/>
      <c r="T1094" s="80"/>
      <c r="U1094" s="80"/>
      <c r="V1094" s="80"/>
      <c r="W1094" s="80"/>
      <c r="X1094" s="80"/>
      <c r="Y1094" s="80"/>
      <c r="Z1094" s="80"/>
      <c r="AA1094" s="80"/>
      <c r="AB1094" s="80"/>
      <c r="AC1094" s="80"/>
      <c r="AD1094" s="80"/>
      <c r="AE1094" s="80"/>
      <c r="AF1094" s="80"/>
      <c r="AG1094" s="80"/>
    </row>
    <row r="1095" spans="1:33" x14ac:dyDescent="0.2">
      <c r="A1095" s="2"/>
      <c r="B1095" s="80"/>
      <c r="C1095" s="80"/>
      <c r="D1095" s="80"/>
      <c r="E1095" s="80"/>
      <c r="F1095" s="80"/>
      <c r="G1095" s="80"/>
      <c r="H1095" s="80"/>
      <c r="I1095" s="80"/>
      <c r="J1095" s="80"/>
      <c r="K1095" s="80"/>
      <c r="L1095" s="2"/>
      <c r="M1095" s="2"/>
      <c r="N1095" s="2"/>
      <c r="O1095" s="2"/>
      <c r="P1095" s="2"/>
      <c r="Q1095" s="2"/>
      <c r="R1095" s="80"/>
      <c r="S1095" s="80"/>
      <c r="T1095" s="80"/>
      <c r="U1095" s="80"/>
      <c r="V1095" s="80"/>
      <c r="W1095" s="80"/>
      <c r="X1095" s="80"/>
      <c r="Y1095" s="80"/>
      <c r="Z1095" s="80"/>
      <c r="AA1095" s="80"/>
      <c r="AB1095" s="80"/>
      <c r="AC1095" s="80"/>
      <c r="AD1095" s="80"/>
      <c r="AE1095" s="80"/>
      <c r="AF1095" s="80"/>
      <c r="AG1095" s="80"/>
    </row>
    <row r="1096" spans="1:33" x14ac:dyDescent="0.2">
      <c r="A1096" s="2"/>
      <c r="B1096" s="80"/>
      <c r="C1096" s="80"/>
      <c r="D1096" s="80"/>
      <c r="E1096" s="80"/>
      <c r="F1096" s="80"/>
      <c r="G1096" s="80"/>
      <c r="H1096" s="80"/>
      <c r="I1096" s="80"/>
      <c r="J1096" s="80"/>
      <c r="K1096" s="80"/>
      <c r="L1096" s="2"/>
      <c r="M1096" s="2"/>
      <c r="N1096" s="2"/>
      <c r="O1096" s="2"/>
      <c r="P1096" s="2"/>
      <c r="Q1096" s="2"/>
      <c r="R1096" s="80"/>
      <c r="S1096" s="80"/>
      <c r="T1096" s="80"/>
      <c r="U1096" s="80"/>
      <c r="V1096" s="80"/>
      <c r="W1096" s="80"/>
      <c r="X1096" s="80"/>
      <c r="Y1096" s="80"/>
      <c r="Z1096" s="80"/>
      <c r="AA1096" s="80"/>
      <c r="AB1096" s="80"/>
      <c r="AC1096" s="80"/>
      <c r="AD1096" s="80"/>
      <c r="AE1096" s="80"/>
      <c r="AF1096" s="80"/>
      <c r="AG1096" s="80"/>
    </row>
    <row r="1097" spans="1:33" x14ac:dyDescent="0.2">
      <c r="A1097" s="2"/>
      <c r="B1097" s="80"/>
      <c r="C1097" s="80"/>
      <c r="D1097" s="80"/>
      <c r="E1097" s="80"/>
      <c r="F1097" s="80"/>
      <c r="G1097" s="80"/>
      <c r="H1097" s="80"/>
      <c r="I1097" s="80"/>
      <c r="J1097" s="80"/>
      <c r="K1097" s="80"/>
      <c r="L1097" s="2"/>
      <c r="M1097" s="2"/>
      <c r="N1097" s="2"/>
      <c r="O1097" s="2"/>
      <c r="P1097" s="2"/>
      <c r="Q1097" s="2"/>
      <c r="R1097" s="80"/>
      <c r="S1097" s="80"/>
      <c r="T1097" s="80"/>
      <c r="U1097" s="80"/>
      <c r="V1097" s="80"/>
      <c r="W1097" s="80"/>
      <c r="X1097" s="80"/>
      <c r="Y1097" s="80"/>
      <c r="Z1097" s="80"/>
      <c r="AA1097" s="80"/>
      <c r="AB1097" s="80"/>
      <c r="AC1097" s="80"/>
      <c r="AD1097" s="80"/>
      <c r="AE1097" s="80"/>
      <c r="AF1097" s="80"/>
      <c r="AG1097" s="80"/>
    </row>
    <row r="1098" spans="1:33" x14ac:dyDescent="0.2">
      <c r="A1098" s="2"/>
      <c r="B1098" s="80"/>
      <c r="C1098" s="80"/>
      <c r="D1098" s="80"/>
      <c r="E1098" s="80"/>
      <c r="F1098" s="80"/>
      <c r="G1098" s="80"/>
      <c r="H1098" s="80"/>
      <c r="I1098" s="80"/>
      <c r="J1098" s="80"/>
      <c r="K1098" s="80"/>
      <c r="L1098" s="2"/>
      <c r="M1098" s="2"/>
      <c r="N1098" s="2"/>
      <c r="O1098" s="2"/>
      <c r="P1098" s="2"/>
      <c r="Q1098" s="2"/>
      <c r="R1098" s="80"/>
      <c r="S1098" s="80"/>
      <c r="T1098" s="80"/>
      <c r="U1098" s="80"/>
      <c r="V1098" s="80"/>
      <c r="W1098" s="80"/>
      <c r="X1098" s="80"/>
      <c r="Y1098" s="80"/>
      <c r="Z1098" s="80"/>
      <c r="AA1098" s="80"/>
      <c r="AB1098" s="80"/>
      <c r="AC1098" s="80"/>
      <c r="AD1098" s="80"/>
      <c r="AE1098" s="80"/>
      <c r="AF1098" s="80"/>
      <c r="AG1098" s="80"/>
    </row>
    <row r="1099" spans="1:33" x14ac:dyDescent="0.2">
      <c r="A1099" s="2"/>
      <c r="B1099" s="80"/>
      <c r="C1099" s="80"/>
      <c r="D1099" s="80"/>
      <c r="E1099" s="80"/>
      <c r="F1099" s="80"/>
      <c r="G1099" s="80"/>
      <c r="H1099" s="80"/>
      <c r="I1099" s="80"/>
      <c r="J1099" s="80"/>
      <c r="K1099" s="80"/>
      <c r="L1099" s="2"/>
      <c r="M1099" s="2"/>
      <c r="N1099" s="2"/>
      <c r="O1099" s="2"/>
      <c r="P1099" s="2"/>
      <c r="Q1099" s="2"/>
      <c r="R1099" s="80"/>
      <c r="S1099" s="80"/>
      <c r="T1099" s="80"/>
      <c r="U1099" s="80"/>
      <c r="V1099" s="80"/>
      <c r="W1099" s="80"/>
      <c r="X1099" s="80"/>
      <c r="Y1099" s="80"/>
      <c r="Z1099" s="80"/>
      <c r="AA1099" s="80"/>
      <c r="AB1099" s="80"/>
      <c r="AC1099" s="80"/>
      <c r="AD1099" s="80"/>
      <c r="AE1099" s="80"/>
      <c r="AF1099" s="80"/>
      <c r="AG1099" s="80"/>
    </row>
    <row r="1100" spans="1:33" x14ac:dyDescent="0.2">
      <c r="A1100" s="2"/>
      <c r="B1100" s="80"/>
      <c r="C1100" s="80"/>
      <c r="D1100" s="80"/>
      <c r="E1100" s="80"/>
      <c r="F1100" s="80"/>
      <c r="G1100" s="80"/>
      <c r="H1100" s="80"/>
      <c r="I1100" s="80"/>
      <c r="J1100" s="80"/>
      <c r="K1100" s="80"/>
      <c r="L1100" s="2"/>
      <c r="M1100" s="2"/>
      <c r="N1100" s="2"/>
      <c r="O1100" s="2"/>
      <c r="P1100" s="2"/>
      <c r="Q1100" s="2"/>
      <c r="R1100" s="80"/>
      <c r="S1100" s="80"/>
      <c r="T1100" s="80"/>
      <c r="U1100" s="80"/>
      <c r="V1100" s="80"/>
      <c r="W1100" s="80"/>
      <c r="X1100" s="80"/>
      <c r="Y1100" s="80"/>
      <c r="Z1100" s="80"/>
      <c r="AA1100" s="80"/>
      <c r="AB1100" s="80"/>
      <c r="AC1100" s="80"/>
      <c r="AD1100" s="80"/>
      <c r="AE1100" s="80"/>
      <c r="AF1100" s="80"/>
      <c r="AG1100" s="80"/>
    </row>
    <row r="1101" spans="1:33" x14ac:dyDescent="0.2">
      <c r="A1101" s="2"/>
      <c r="B1101" s="80"/>
      <c r="C1101" s="80"/>
      <c r="D1101" s="80"/>
      <c r="E1101" s="80"/>
      <c r="F1101" s="80"/>
      <c r="G1101" s="80"/>
      <c r="H1101" s="80"/>
      <c r="I1101" s="80"/>
      <c r="J1101" s="80"/>
      <c r="K1101" s="80"/>
      <c r="L1101" s="2"/>
      <c r="M1101" s="2"/>
      <c r="N1101" s="2"/>
      <c r="O1101" s="2"/>
      <c r="P1101" s="2"/>
      <c r="Q1101" s="2"/>
      <c r="R1101" s="80"/>
      <c r="S1101" s="80"/>
      <c r="T1101" s="80"/>
      <c r="U1101" s="80"/>
      <c r="V1101" s="80"/>
      <c r="W1101" s="80"/>
      <c r="X1101" s="80"/>
      <c r="Y1101" s="80"/>
      <c r="Z1101" s="80"/>
      <c r="AA1101" s="80"/>
      <c r="AB1101" s="80"/>
      <c r="AC1101" s="80"/>
      <c r="AD1101" s="80"/>
      <c r="AE1101" s="80"/>
      <c r="AF1101" s="80"/>
      <c r="AG1101" s="80"/>
    </row>
    <row r="1102" spans="1:33" x14ac:dyDescent="0.2">
      <c r="A1102" s="2"/>
      <c r="B1102" s="80"/>
      <c r="C1102" s="80"/>
      <c r="D1102" s="80"/>
      <c r="E1102" s="80"/>
      <c r="F1102" s="80"/>
      <c r="G1102" s="80"/>
      <c r="H1102" s="80"/>
      <c r="I1102" s="80"/>
      <c r="J1102" s="80"/>
      <c r="K1102" s="80"/>
      <c r="L1102" s="2"/>
      <c r="M1102" s="2"/>
      <c r="N1102" s="2"/>
      <c r="O1102" s="2"/>
      <c r="P1102" s="2"/>
      <c r="Q1102" s="2"/>
      <c r="R1102" s="80"/>
      <c r="S1102" s="80"/>
      <c r="T1102" s="80"/>
      <c r="U1102" s="80"/>
      <c r="V1102" s="80"/>
      <c r="W1102" s="80"/>
      <c r="X1102" s="80"/>
      <c r="Y1102" s="80"/>
      <c r="Z1102" s="80"/>
      <c r="AA1102" s="80"/>
      <c r="AB1102" s="80"/>
      <c r="AC1102" s="80"/>
      <c r="AD1102" s="80"/>
      <c r="AE1102" s="80"/>
      <c r="AF1102" s="80"/>
      <c r="AG1102" s="80"/>
    </row>
    <row r="1103" spans="1:33" x14ac:dyDescent="0.2">
      <c r="A1103" s="2"/>
      <c r="B1103" s="80"/>
      <c r="C1103" s="80"/>
      <c r="D1103" s="80"/>
      <c r="E1103" s="80"/>
      <c r="F1103" s="80"/>
      <c r="G1103" s="80"/>
      <c r="H1103" s="80"/>
      <c r="I1103" s="80"/>
      <c r="J1103" s="80"/>
      <c r="K1103" s="80"/>
      <c r="L1103" s="2"/>
      <c r="M1103" s="2"/>
      <c r="N1103" s="2"/>
      <c r="O1103" s="2"/>
      <c r="P1103" s="2"/>
      <c r="Q1103" s="2"/>
      <c r="R1103" s="80"/>
      <c r="S1103" s="80"/>
      <c r="T1103" s="80"/>
      <c r="U1103" s="80"/>
      <c r="V1103" s="80"/>
      <c r="W1103" s="80"/>
      <c r="X1103" s="80"/>
      <c r="Y1103" s="80"/>
      <c r="Z1103" s="80"/>
      <c r="AA1103" s="80"/>
      <c r="AB1103" s="80"/>
      <c r="AC1103" s="80"/>
      <c r="AD1103" s="80"/>
      <c r="AE1103" s="80"/>
      <c r="AF1103" s="80"/>
      <c r="AG1103" s="80"/>
    </row>
    <row r="1104" spans="1:33" x14ac:dyDescent="0.2">
      <c r="A1104" s="2"/>
      <c r="B1104" s="80"/>
      <c r="C1104" s="80"/>
      <c r="D1104" s="80"/>
      <c r="E1104" s="80"/>
      <c r="F1104" s="80"/>
      <c r="G1104" s="80"/>
      <c r="H1104" s="80"/>
      <c r="I1104" s="80"/>
      <c r="J1104" s="80"/>
      <c r="K1104" s="80"/>
      <c r="L1104" s="2"/>
      <c r="M1104" s="2"/>
      <c r="N1104" s="2"/>
      <c r="O1104" s="2"/>
      <c r="P1104" s="2"/>
      <c r="Q1104" s="2"/>
      <c r="R1104" s="80"/>
      <c r="S1104" s="80"/>
      <c r="T1104" s="80"/>
      <c r="U1104" s="80"/>
      <c r="V1104" s="80"/>
      <c r="W1104" s="80"/>
      <c r="X1104" s="80"/>
      <c r="Y1104" s="80"/>
      <c r="Z1104" s="80"/>
      <c r="AA1104" s="80"/>
      <c r="AB1104" s="80"/>
      <c r="AC1104" s="80"/>
      <c r="AD1104" s="80"/>
      <c r="AE1104" s="80"/>
      <c r="AF1104" s="80"/>
      <c r="AG1104" s="80"/>
    </row>
    <row r="1105" spans="1:33" x14ac:dyDescent="0.2">
      <c r="A1105" s="2"/>
      <c r="B1105" s="80"/>
      <c r="C1105" s="80"/>
      <c r="D1105" s="80"/>
      <c r="E1105" s="80"/>
      <c r="F1105" s="80"/>
      <c r="G1105" s="80"/>
      <c r="H1105" s="80"/>
      <c r="I1105" s="80"/>
      <c r="J1105" s="80"/>
      <c r="K1105" s="80"/>
      <c r="L1105" s="2"/>
      <c r="M1105" s="2"/>
      <c r="N1105" s="2"/>
      <c r="O1105" s="2"/>
      <c r="P1105" s="2"/>
      <c r="Q1105" s="2"/>
      <c r="R1105" s="80"/>
      <c r="S1105" s="80"/>
      <c r="T1105" s="80"/>
      <c r="U1105" s="80"/>
      <c r="V1105" s="80"/>
      <c r="W1105" s="80"/>
      <c r="X1105" s="80"/>
      <c r="Y1105" s="80"/>
      <c r="Z1105" s="80"/>
      <c r="AA1105" s="80"/>
      <c r="AB1105" s="80"/>
      <c r="AC1105" s="80"/>
      <c r="AD1105" s="80"/>
      <c r="AE1105" s="80"/>
      <c r="AF1105" s="80"/>
      <c r="AG1105" s="80"/>
    </row>
    <row r="1106" spans="1:33" x14ac:dyDescent="0.2">
      <c r="A1106" s="2"/>
      <c r="B1106" s="80"/>
      <c r="C1106" s="80"/>
      <c r="D1106" s="80"/>
      <c r="E1106" s="80"/>
      <c r="F1106" s="80"/>
      <c r="G1106" s="80"/>
      <c r="H1106" s="80"/>
      <c r="I1106" s="80"/>
      <c r="J1106" s="80"/>
      <c r="K1106" s="80"/>
      <c r="L1106" s="2"/>
      <c r="M1106" s="2"/>
      <c r="N1106" s="2"/>
      <c r="O1106" s="2"/>
      <c r="P1106" s="2"/>
      <c r="Q1106" s="2"/>
      <c r="R1106" s="80"/>
      <c r="S1106" s="80"/>
      <c r="T1106" s="80"/>
      <c r="U1106" s="80"/>
      <c r="V1106" s="80"/>
      <c r="W1106" s="80"/>
      <c r="X1106" s="80"/>
      <c r="Y1106" s="80"/>
      <c r="Z1106" s="80"/>
      <c r="AA1106" s="80"/>
      <c r="AB1106" s="80"/>
      <c r="AC1106" s="80"/>
      <c r="AD1106" s="80"/>
      <c r="AE1106" s="80"/>
      <c r="AF1106" s="80"/>
      <c r="AG1106" s="80"/>
    </row>
    <row r="1107" spans="1:33" x14ac:dyDescent="0.2">
      <c r="A1107" s="2"/>
      <c r="B1107" s="80"/>
      <c r="C1107" s="80"/>
      <c r="D1107" s="80"/>
      <c r="E1107" s="80"/>
      <c r="F1107" s="80"/>
      <c r="G1107" s="80"/>
      <c r="H1107" s="80"/>
      <c r="I1107" s="80"/>
      <c r="J1107" s="80"/>
      <c r="K1107" s="80"/>
      <c r="L1107" s="2"/>
      <c r="M1107" s="2"/>
      <c r="N1107" s="2"/>
      <c r="O1107" s="2"/>
      <c r="P1107" s="2"/>
      <c r="Q1107" s="2"/>
      <c r="R1107" s="80"/>
      <c r="S1107" s="80"/>
      <c r="T1107" s="80"/>
      <c r="U1107" s="80"/>
      <c r="V1107" s="80"/>
      <c r="W1107" s="80"/>
      <c r="X1107" s="80"/>
      <c r="Y1107" s="80"/>
      <c r="Z1107" s="80"/>
      <c r="AA1107" s="80"/>
      <c r="AB1107" s="80"/>
      <c r="AC1107" s="80"/>
      <c r="AD1107" s="80"/>
      <c r="AE1107" s="80"/>
      <c r="AF1107" s="80"/>
      <c r="AG1107" s="80"/>
    </row>
    <row r="1108" spans="1:33" x14ac:dyDescent="0.2">
      <c r="A1108" s="2"/>
      <c r="B1108" s="80"/>
      <c r="C1108" s="80"/>
      <c r="D1108" s="80"/>
      <c r="E1108" s="80"/>
      <c r="F1108" s="80"/>
      <c r="G1108" s="80"/>
      <c r="H1108" s="80"/>
      <c r="I1108" s="80"/>
      <c r="J1108" s="80"/>
      <c r="K1108" s="80"/>
      <c r="L1108" s="2"/>
      <c r="M1108" s="2"/>
      <c r="N1108" s="2"/>
      <c r="O1108" s="2"/>
      <c r="P1108" s="2"/>
      <c r="Q1108" s="2"/>
      <c r="R1108" s="80"/>
      <c r="S1108" s="80"/>
      <c r="T1108" s="80"/>
      <c r="U1108" s="80"/>
      <c r="V1108" s="80"/>
      <c r="W1108" s="80"/>
      <c r="X1108" s="80"/>
      <c r="Y1108" s="80"/>
      <c r="Z1108" s="80"/>
      <c r="AA1108" s="80"/>
      <c r="AB1108" s="80"/>
      <c r="AC1108" s="80"/>
      <c r="AD1108" s="80"/>
      <c r="AE1108" s="80"/>
      <c r="AF1108" s="80"/>
      <c r="AG1108" s="80"/>
    </row>
    <row r="1109" spans="1:33" x14ac:dyDescent="0.2">
      <c r="A1109" s="2"/>
      <c r="B1109" s="80"/>
      <c r="C1109" s="80"/>
      <c r="D1109" s="80"/>
      <c r="E1109" s="80"/>
      <c r="F1109" s="80"/>
      <c r="G1109" s="80"/>
      <c r="H1109" s="80"/>
      <c r="I1109" s="80"/>
      <c r="J1109" s="80"/>
      <c r="K1109" s="80"/>
      <c r="L1109" s="2"/>
      <c r="M1109" s="2"/>
      <c r="N1109" s="2"/>
      <c r="O1109" s="2"/>
      <c r="P1109" s="2"/>
      <c r="Q1109" s="2"/>
      <c r="R1109" s="80"/>
      <c r="S1109" s="80"/>
      <c r="T1109" s="80"/>
      <c r="U1109" s="80"/>
      <c r="V1109" s="80"/>
      <c r="W1109" s="80"/>
      <c r="X1109" s="80"/>
      <c r="Y1109" s="80"/>
      <c r="Z1109" s="80"/>
      <c r="AA1109" s="80"/>
      <c r="AB1109" s="80"/>
      <c r="AC1109" s="80"/>
      <c r="AD1109" s="80"/>
      <c r="AE1109" s="80"/>
      <c r="AF1109" s="80"/>
      <c r="AG1109" s="80"/>
    </row>
    <row r="1110" spans="1:33" x14ac:dyDescent="0.2">
      <c r="A1110" s="2"/>
      <c r="B1110" s="80"/>
      <c r="C1110" s="80"/>
      <c r="D1110" s="80"/>
      <c r="E1110" s="80"/>
      <c r="F1110" s="80"/>
      <c r="G1110" s="80"/>
      <c r="H1110" s="80"/>
      <c r="I1110" s="80"/>
      <c r="J1110" s="80"/>
      <c r="K1110" s="80"/>
      <c r="L1110" s="2"/>
      <c r="M1110" s="2"/>
      <c r="N1110" s="2"/>
      <c r="O1110" s="2"/>
      <c r="P1110" s="2"/>
      <c r="Q1110" s="2"/>
      <c r="R1110" s="80"/>
      <c r="S1110" s="80"/>
      <c r="T1110" s="80"/>
      <c r="U1110" s="80"/>
      <c r="V1110" s="80"/>
      <c r="W1110" s="80"/>
      <c r="X1110" s="80"/>
      <c r="Y1110" s="80"/>
      <c r="Z1110" s="80"/>
      <c r="AA1110" s="80"/>
      <c r="AB1110" s="80"/>
      <c r="AC1110" s="80"/>
      <c r="AD1110" s="80"/>
      <c r="AE1110" s="80"/>
      <c r="AF1110" s="80"/>
      <c r="AG1110" s="80"/>
    </row>
    <row r="1111" spans="1:33" x14ac:dyDescent="0.2">
      <c r="A1111" s="2"/>
      <c r="B1111" s="80"/>
      <c r="C1111" s="80"/>
      <c r="D1111" s="80"/>
      <c r="E1111" s="80"/>
      <c r="F1111" s="80"/>
      <c r="G1111" s="80"/>
      <c r="H1111" s="80"/>
      <c r="I1111" s="80"/>
      <c r="J1111" s="80"/>
      <c r="K1111" s="80"/>
      <c r="L1111" s="2"/>
      <c r="M1111" s="2"/>
      <c r="N1111" s="2"/>
      <c r="O1111" s="2"/>
      <c r="P1111" s="2"/>
      <c r="Q1111" s="2"/>
      <c r="R1111" s="80"/>
      <c r="S1111" s="80"/>
      <c r="T1111" s="80"/>
      <c r="U1111" s="80"/>
      <c r="V1111" s="80"/>
      <c r="W1111" s="80"/>
      <c r="X1111" s="80"/>
      <c r="Y1111" s="80"/>
      <c r="Z1111" s="80"/>
      <c r="AA1111" s="80"/>
      <c r="AB1111" s="80"/>
      <c r="AC1111" s="80"/>
      <c r="AD1111" s="80"/>
      <c r="AE1111" s="80"/>
      <c r="AF1111" s="80"/>
      <c r="AG1111" s="80"/>
    </row>
    <row r="1112" spans="1:33" x14ac:dyDescent="0.2">
      <c r="A1112" s="2"/>
      <c r="B1112" s="80"/>
      <c r="C1112" s="80"/>
      <c r="D1112" s="80"/>
      <c r="E1112" s="80"/>
      <c r="F1112" s="80"/>
      <c r="G1112" s="80"/>
      <c r="H1112" s="80"/>
      <c r="I1112" s="80"/>
      <c r="J1112" s="80"/>
      <c r="K1112" s="80"/>
      <c r="L1112" s="2"/>
      <c r="M1112" s="2"/>
      <c r="N1112" s="2"/>
      <c r="O1112" s="2"/>
      <c r="P1112" s="2"/>
      <c r="Q1112" s="2"/>
      <c r="R1112" s="80"/>
      <c r="S1112" s="80"/>
      <c r="T1112" s="80"/>
      <c r="U1112" s="80"/>
      <c r="V1112" s="80"/>
      <c r="W1112" s="80"/>
      <c r="X1112" s="80"/>
      <c r="Y1112" s="80"/>
      <c r="Z1112" s="80"/>
      <c r="AA1112" s="80"/>
      <c r="AB1112" s="80"/>
      <c r="AC1112" s="80"/>
      <c r="AD1112" s="80"/>
      <c r="AE1112" s="80"/>
      <c r="AF1112" s="80"/>
      <c r="AG1112" s="80"/>
    </row>
    <row r="1113" spans="1:33" x14ac:dyDescent="0.2">
      <c r="A1113" s="2"/>
      <c r="B1113" s="80"/>
      <c r="C1113" s="80"/>
      <c r="D1113" s="80"/>
      <c r="E1113" s="80"/>
      <c r="F1113" s="80"/>
      <c r="G1113" s="80"/>
      <c r="H1113" s="80"/>
      <c r="I1113" s="80"/>
      <c r="J1113" s="80"/>
      <c r="K1113" s="80"/>
      <c r="L1113" s="2"/>
      <c r="M1113" s="2"/>
      <c r="N1113" s="2"/>
      <c r="O1113" s="2"/>
      <c r="P1113" s="2"/>
      <c r="Q1113" s="2"/>
      <c r="R1113" s="80"/>
      <c r="S1113" s="80"/>
      <c r="T1113" s="80"/>
      <c r="U1113" s="80"/>
      <c r="V1113" s="80"/>
      <c r="W1113" s="80"/>
      <c r="X1113" s="80"/>
      <c r="Y1113" s="80"/>
      <c r="Z1113" s="80"/>
      <c r="AA1113" s="80"/>
      <c r="AB1113" s="80"/>
      <c r="AC1113" s="80"/>
      <c r="AD1113" s="80"/>
      <c r="AE1113" s="80"/>
      <c r="AF1113" s="80"/>
      <c r="AG1113" s="80"/>
    </row>
    <row r="1114" spans="1:33" x14ac:dyDescent="0.2">
      <c r="A1114" s="2"/>
      <c r="B1114" s="80"/>
      <c r="C1114" s="80"/>
      <c r="D1114" s="80"/>
      <c r="E1114" s="80"/>
      <c r="F1114" s="80"/>
      <c r="G1114" s="80"/>
      <c r="H1114" s="80"/>
      <c r="I1114" s="80"/>
      <c r="J1114" s="80"/>
      <c r="K1114" s="80"/>
      <c r="L1114" s="2"/>
      <c r="M1114" s="2"/>
      <c r="N1114" s="2"/>
      <c r="O1114" s="2"/>
      <c r="P1114" s="2"/>
      <c r="Q1114" s="2"/>
      <c r="R1114" s="80"/>
      <c r="S1114" s="80"/>
      <c r="T1114" s="80"/>
      <c r="U1114" s="80"/>
      <c r="V1114" s="80"/>
      <c r="W1114" s="80"/>
      <c r="X1114" s="80"/>
      <c r="Y1114" s="80"/>
      <c r="Z1114" s="80"/>
      <c r="AA1114" s="80"/>
      <c r="AB1114" s="80"/>
      <c r="AC1114" s="80"/>
      <c r="AD1114" s="80"/>
      <c r="AE1114" s="80"/>
      <c r="AF1114" s="80"/>
      <c r="AG1114" s="80"/>
    </row>
    <row r="1115" spans="1:33" x14ac:dyDescent="0.2">
      <c r="A1115" s="2"/>
      <c r="B1115" s="80"/>
      <c r="C1115" s="80"/>
      <c r="D1115" s="80"/>
      <c r="E1115" s="80"/>
      <c r="F1115" s="80"/>
      <c r="G1115" s="80"/>
      <c r="H1115" s="80"/>
      <c r="I1115" s="80"/>
      <c r="J1115" s="80"/>
      <c r="K1115" s="80"/>
      <c r="L1115" s="2"/>
      <c r="M1115" s="2"/>
      <c r="N1115" s="2"/>
      <c r="O1115" s="2"/>
      <c r="P1115" s="2"/>
      <c r="Q1115" s="2"/>
      <c r="R1115" s="80"/>
      <c r="S1115" s="80"/>
      <c r="T1115" s="80"/>
      <c r="U1115" s="80"/>
      <c r="V1115" s="80"/>
      <c r="W1115" s="80"/>
      <c r="X1115" s="80"/>
      <c r="Y1115" s="80"/>
      <c r="Z1115" s="80"/>
      <c r="AA1115" s="80"/>
      <c r="AB1115" s="80"/>
      <c r="AC1115" s="80"/>
      <c r="AD1115" s="80"/>
      <c r="AE1115" s="80"/>
      <c r="AF1115" s="80"/>
      <c r="AG1115" s="80"/>
    </row>
    <row r="1116" spans="1:33" x14ac:dyDescent="0.2">
      <c r="A1116" s="2"/>
      <c r="B1116" s="80"/>
      <c r="C1116" s="80"/>
      <c r="D1116" s="80"/>
      <c r="E1116" s="80"/>
      <c r="F1116" s="80"/>
      <c r="G1116" s="80"/>
      <c r="H1116" s="80"/>
      <c r="I1116" s="80"/>
      <c r="J1116" s="80"/>
      <c r="K1116" s="80"/>
      <c r="L1116" s="2"/>
      <c r="M1116" s="2"/>
      <c r="N1116" s="2"/>
      <c r="O1116" s="2"/>
      <c r="P1116" s="2"/>
      <c r="Q1116" s="2"/>
      <c r="R1116" s="80"/>
      <c r="S1116" s="80"/>
      <c r="T1116" s="80"/>
      <c r="U1116" s="80"/>
      <c r="V1116" s="80"/>
      <c r="W1116" s="80"/>
      <c r="X1116" s="80"/>
      <c r="Y1116" s="80"/>
      <c r="Z1116" s="80"/>
      <c r="AA1116" s="80"/>
      <c r="AB1116" s="80"/>
      <c r="AC1116" s="80"/>
      <c r="AD1116" s="80"/>
      <c r="AE1116" s="80"/>
      <c r="AF1116" s="80"/>
      <c r="AG1116" s="80"/>
    </row>
    <row r="1117" spans="1:33" x14ac:dyDescent="0.2">
      <c r="A1117" s="2"/>
      <c r="B1117" s="80"/>
      <c r="C1117" s="80"/>
      <c r="D1117" s="80"/>
      <c r="E1117" s="80"/>
      <c r="F1117" s="80"/>
      <c r="G1117" s="80"/>
      <c r="H1117" s="80"/>
      <c r="I1117" s="80"/>
      <c r="J1117" s="80"/>
      <c r="K1117" s="80"/>
      <c r="L1117" s="2"/>
      <c r="M1117" s="2"/>
      <c r="N1117" s="2"/>
      <c r="O1117" s="2"/>
      <c r="P1117" s="2"/>
      <c r="Q1117" s="2"/>
      <c r="R1117" s="80"/>
      <c r="S1117" s="80"/>
      <c r="T1117" s="80"/>
      <c r="U1117" s="80"/>
      <c r="V1117" s="80"/>
      <c r="W1117" s="80"/>
      <c r="X1117" s="80"/>
      <c r="Y1117" s="80"/>
      <c r="Z1117" s="80"/>
      <c r="AA1117" s="80"/>
      <c r="AB1117" s="80"/>
      <c r="AC1117" s="80"/>
      <c r="AD1117" s="80"/>
      <c r="AE1117" s="80"/>
      <c r="AF1117" s="80"/>
      <c r="AG1117" s="80"/>
    </row>
    <row r="1118" spans="1:33" x14ac:dyDescent="0.2">
      <c r="A1118" s="2"/>
      <c r="B1118" s="80"/>
      <c r="C1118" s="80"/>
      <c r="D1118" s="80"/>
      <c r="E1118" s="80"/>
      <c r="F1118" s="80"/>
      <c r="G1118" s="80"/>
      <c r="H1118" s="80"/>
      <c r="I1118" s="80"/>
      <c r="J1118" s="80"/>
      <c r="K1118" s="80"/>
      <c r="L1118" s="2"/>
      <c r="M1118" s="2"/>
      <c r="N1118" s="2"/>
      <c r="O1118" s="2"/>
      <c r="P1118" s="2"/>
      <c r="Q1118" s="2"/>
      <c r="R1118" s="80"/>
      <c r="S1118" s="80"/>
      <c r="T1118" s="80"/>
      <c r="U1118" s="80"/>
      <c r="V1118" s="80"/>
      <c r="W1118" s="80"/>
      <c r="X1118" s="80"/>
      <c r="Y1118" s="80"/>
      <c r="Z1118" s="80"/>
      <c r="AA1118" s="80"/>
      <c r="AB1118" s="80"/>
      <c r="AC1118" s="80"/>
      <c r="AD1118" s="80"/>
      <c r="AE1118" s="80"/>
      <c r="AF1118" s="80"/>
      <c r="AG1118" s="80"/>
    </row>
    <row r="1119" spans="1:33" x14ac:dyDescent="0.2">
      <c r="A1119" s="2"/>
      <c r="B1119" s="80"/>
      <c r="C1119" s="80"/>
      <c r="D1119" s="80"/>
      <c r="E1119" s="80"/>
      <c r="F1119" s="80"/>
      <c r="G1119" s="80"/>
      <c r="H1119" s="80"/>
      <c r="I1119" s="80"/>
      <c r="J1119" s="80"/>
      <c r="K1119" s="80"/>
      <c r="L1119" s="2"/>
      <c r="M1119" s="2"/>
      <c r="N1119" s="2"/>
      <c r="O1119" s="2"/>
      <c r="P1119" s="2"/>
      <c r="Q1119" s="2"/>
      <c r="R1119" s="80"/>
      <c r="S1119" s="80"/>
      <c r="T1119" s="80"/>
      <c r="U1119" s="80"/>
      <c r="V1119" s="80"/>
      <c r="W1119" s="80"/>
      <c r="X1119" s="80"/>
      <c r="Y1119" s="80"/>
      <c r="Z1119" s="80"/>
      <c r="AA1119" s="80"/>
      <c r="AB1119" s="80"/>
      <c r="AC1119" s="80"/>
      <c r="AD1119" s="80"/>
      <c r="AE1119" s="80"/>
      <c r="AF1119" s="80"/>
      <c r="AG1119" s="80"/>
    </row>
    <row r="1120" spans="1:33" x14ac:dyDescent="0.2">
      <c r="A1120" s="2"/>
      <c r="B1120" s="80"/>
      <c r="C1120" s="80"/>
      <c r="D1120" s="80"/>
      <c r="E1120" s="80"/>
      <c r="F1120" s="80"/>
      <c r="G1120" s="80"/>
      <c r="H1120" s="80"/>
      <c r="I1120" s="80"/>
      <c r="J1120" s="80"/>
      <c r="K1120" s="80"/>
      <c r="L1120" s="2"/>
      <c r="M1120" s="2"/>
      <c r="N1120" s="2"/>
      <c r="O1120" s="2"/>
      <c r="P1120" s="2"/>
      <c r="Q1120" s="2"/>
      <c r="R1120" s="80"/>
      <c r="S1120" s="80"/>
      <c r="T1120" s="80"/>
      <c r="U1120" s="80"/>
      <c r="V1120" s="80"/>
      <c r="W1120" s="80"/>
      <c r="X1120" s="80"/>
      <c r="Y1120" s="80"/>
      <c r="Z1120" s="80"/>
      <c r="AA1120" s="80"/>
      <c r="AB1120" s="80"/>
      <c r="AC1120" s="80"/>
      <c r="AD1120" s="80"/>
      <c r="AE1120" s="80"/>
      <c r="AF1120" s="80"/>
      <c r="AG1120" s="80"/>
    </row>
    <row r="1121" spans="1:33" x14ac:dyDescent="0.2">
      <c r="A1121" s="2"/>
      <c r="B1121" s="80"/>
      <c r="C1121" s="80"/>
      <c r="D1121" s="80"/>
      <c r="E1121" s="80"/>
      <c r="F1121" s="80"/>
      <c r="G1121" s="80"/>
      <c r="H1121" s="80"/>
      <c r="I1121" s="80"/>
      <c r="J1121" s="80"/>
      <c r="K1121" s="80"/>
      <c r="L1121" s="2"/>
      <c r="M1121" s="2"/>
      <c r="N1121" s="2"/>
      <c r="O1121" s="2"/>
      <c r="P1121" s="2"/>
      <c r="Q1121" s="2"/>
      <c r="R1121" s="80"/>
      <c r="S1121" s="80"/>
      <c r="T1121" s="80"/>
      <c r="U1121" s="80"/>
      <c r="V1121" s="80"/>
      <c r="W1121" s="80"/>
      <c r="X1121" s="80"/>
      <c r="Y1121" s="80"/>
      <c r="Z1121" s="80"/>
      <c r="AA1121" s="80"/>
      <c r="AB1121" s="80"/>
      <c r="AC1121" s="80"/>
      <c r="AD1121" s="80"/>
      <c r="AE1121" s="80"/>
      <c r="AF1121" s="80"/>
      <c r="AG1121" s="80"/>
    </row>
    <row r="1122" spans="1:33" x14ac:dyDescent="0.2">
      <c r="A1122" s="2"/>
      <c r="B1122" s="80"/>
      <c r="C1122" s="80"/>
      <c r="D1122" s="80"/>
      <c r="E1122" s="80"/>
      <c r="F1122" s="80"/>
      <c r="G1122" s="80"/>
      <c r="H1122" s="80"/>
      <c r="I1122" s="80"/>
      <c r="J1122" s="80"/>
      <c r="K1122" s="80"/>
      <c r="L1122" s="2"/>
      <c r="M1122" s="2"/>
      <c r="N1122" s="2"/>
      <c r="O1122" s="2"/>
      <c r="P1122" s="2"/>
      <c r="Q1122" s="2"/>
      <c r="R1122" s="80"/>
      <c r="S1122" s="80"/>
      <c r="T1122" s="80"/>
      <c r="U1122" s="80"/>
      <c r="V1122" s="80"/>
      <c r="W1122" s="80"/>
      <c r="X1122" s="80"/>
      <c r="Y1122" s="80"/>
      <c r="Z1122" s="80"/>
      <c r="AA1122" s="80"/>
      <c r="AB1122" s="80"/>
      <c r="AC1122" s="80"/>
      <c r="AD1122" s="80"/>
      <c r="AE1122" s="80"/>
      <c r="AF1122" s="80"/>
      <c r="AG1122" s="80"/>
    </row>
    <row r="1123" spans="1:33" x14ac:dyDescent="0.2">
      <c r="A1123" s="2"/>
      <c r="B1123" s="80"/>
      <c r="C1123" s="80"/>
      <c r="D1123" s="80"/>
      <c r="E1123" s="80"/>
      <c r="F1123" s="80"/>
      <c r="G1123" s="80"/>
      <c r="H1123" s="80"/>
      <c r="I1123" s="80"/>
      <c r="J1123" s="80"/>
      <c r="K1123" s="80"/>
      <c r="L1123" s="2"/>
      <c r="M1123" s="2"/>
      <c r="N1123" s="2"/>
      <c r="O1123" s="2"/>
      <c r="P1123" s="2"/>
      <c r="Q1123" s="2"/>
      <c r="R1123" s="80"/>
      <c r="S1123" s="80"/>
      <c r="T1123" s="80"/>
      <c r="U1123" s="80"/>
      <c r="V1123" s="80"/>
      <c r="W1123" s="80"/>
      <c r="X1123" s="80"/>
      <c r="Y1123" s="80"/>
      <c r="Z1123" s="80"/>
      <c r="AA1123" s="80"/>
      <c r="AB1123" s="80"/>
      <c r="AC1123" s="80"/>
      <c r="AD1123" s="80"/>
      <c r="AE1123" s="80"/>
      <c r="AF1123" s="80"/>
      <c r="AG1123" s="80"/>
    </row>
    <row r="1124" spans="1:33" x14ac:dyDescent="0.2">
      <c r="A1124" s="2"/>
      <c r="B1124" s="80"/>
      <c r="C1124" s="80"/>
      <c r="D1124" s="80"/>
      <c r="E1124" s="80"/>
      <c r="F1124" s="80"/>
      <c r="G1124" s="80"/>
      <c r="H1124" s="80"/>
      <c r="I1124" s="80"/>
      <c r="J1124" s="80"/>
      <c r="K1124" s="80"/>
      <c r="L1124" s="2"/>
      <c r="M1124" s="2"/>
      <c r="N1124" s="2"/>
      <c r="O1124" s="2"/>
      <c r="P1124" s="2"/>
      <c r="Q1124" s="2"/>
      <c r="R1124" s="80"/>
      <c r="S1124" s="80"/>
      <c r="T1124" s="80"/>
      <c r="U1124" s="80"/>
      <c r="V1124" s="80"/>
      <c r="W1124" s="80"/>
      <c r="X1124" s="80"/>
      <c r="Y1124" s="80"/>
      <c r="Z1124" s="80"/>
      <c r="AA1124" s="80"/>
      <c r="AB1124" s="80"/>
      <c r="AC1124" s="80"/>
      <c r="AD1124" s="80"/>
      <c r="AE1124" s="80"/>
      <c r="AF1124" s="80"/>
      <c r="AG1124" s="80"/>
    </row>
    <row r="1125" spans="1:33" x14ac:dyDescent="0.2">
      <c r="A1125" s="2"/>
      <c r="B1125" s="80"/>
      <c r="C1125" s="80"/>
      <c r="D1125" s="80"/>
      <c r="E1125" s="80"/>
      <c r="F1125" s="80"/>
      <c r="G1125" s="80"/>
      <c r="H1125" s="80"/>
      <c r="I1125" s="80"/>
      <c r="J1125" s="80"/>
      <c r="K1125" s="80"/>
      <c r="L1125" s="2"/>
      <c r="M1125" s="2"/>
      <c r="N1125" s="2"/>
      <c r="O1125" s="2"/>
      <c r="P1125" s="2"/>
      <c r="Q1125" s="2"/>
      <c r="R1125" s="80"/>
      <c r="S1125" s="80"/>
      <c r="T1125" s="80"/>
      <c r="U1125" s="80"/>
      <c r="V1125" s="80"/>
      <c r="W1125" s="80"/>
      <c r="X1125" s="80"/>
      <c r="Y1125" s="80"/>
      <c r="Z1125" s="80"/>
      <c r="AA1125" s="80"/>
      <c r="AB1125" s="80"/>
      <c r="AC1125" s="80"/>
      <c r="AD1125" s="80"/>
      <c r="AE1125" s="80"/>
      <c r="AF1125" s="80"/>
      <c r="AG1125" s="80"/>
    </row>
    <row r="1126" spans="1:33" x14ac:dyDescent="0.2">
      <c r="A1126" s="2"/>
      <c r="B1126" s="80"/>
      <c r="C1126" s="80"/>
      <c r="D1126" s="80"/>
      <c r="E1126" s="80"/>
      <c r="F1126" s="80"/>
      <c r="G1126" s="80"/>
      <c r="H1126" s="80"/>
      <c r="I1126" s="80"/>
      <c r="J1126" s="80"/>
      <c r="K1126" s="80"/>
      <c r="L1126" s="2"/>
      <c r="M1126" s="2"/>
      <c r="N1126" s="2"/>
      <c r="O1126" s="2"/>
      <c r="P1126" s="2"/>
      <c r="Q1126" s="2"/>
      <c r="R1126" s="80"/>
      <c r="S1126" s="80"/>
      <c r="T1126" s="80"/>
      <c r="U1126" s="80"/>
      <c r="V1126" s="80"/>
      <c r="W1126" s="80"/>
      <c r="X1126" s="80"/>
      <c r="Y1126" s="80"/>
      <c r="Z1126" s="80"/>
      <c r="AA1126" s="80"/>
      <c r="AB1126" s="80"/>
      <c r="AC1126" s="80"/>
      <c r="AD1126" s="80"/>
      <c r="AE1126" s="80"/>
      <c r="AF1126" s="80"/>
      <c r="AG1126" s="80"/>
    </row>
    <row r="1127" spans="1:33" x14ac:dyDescent="0.2">
      <c r="A1127" s="2"/>
      <c r="B1127" s="80"/>
      <c r="C1127" s="80"/>
      <c r="D1127" s="80"/>
      <c r="E1127" s="80"/>
      <c r="F1127" s="80"/>
      <c r="G1127" s="80"/>
      <c r="H1127" s="80"/>
      <c r="I1127" s="80"/>
      <c r="J1127" s="80"/>
      <c r="K1127" s="80"/>
      <c r="L1127" s="2"/>
      <c r="M1127" s="2"/>
      <c r="N1127" s="2"/>
      <c r="O1127" s="2"/>
      <c r="P1127" s="2"/>
      <c r="Q1127" s="2"/>
      <c r="R1127" s="80"/>
      <c r="S1127" s="80"/>
      <c r="T1127" s="80"/>
      <c r="U1127" s="80"/>
      <c r="V1127" s="80"/>
      <c r="W1127" s="80"/>
      <c r="X1127" s="80"/>
      <c r="Y1127" s="80"/>
      <c r="Z1127" s="80"/>
      <c r="AA1127" s="80"/>
      <c r="AB1127" s="80"/>
      <c r="AC1127" s="80"/>
      <c r="AD1127" s="80"/>
      <c r="AE1127" s="80"/>
      <c r="AF1127" s="80"/>
      <c r="AG1127" s="80"/>
    </row>
    <row r="1128" spans="1:33" x14ac:dyDescent="0.2">
      <c r="A1128" s="2"/>
      <c r="B1128" s="80"/>
      <c r="C1128" s="80"/>
      <c r="D1128" s="80"/>
      <c r="E1128" s="80"/>
      <c r="F1128" s="80"/>
      <c r="G1128" s="80"/>
      <c r="H1128" s="80"/>
      <c r="I1128" s="80"/>
      <c r="J1128" s="80"/>
      <c r="K1128" s="80"/>
      <c r="L1128" s="2"/>
      <c r="M1128" s="2"/>
      <c r="N1128" s="2"/>
      <c r="O1128" s="2"/>
      <c r="P1128" s="2"/>
      <c r="Q1128" s="2"/>
      <c r="R1128" s="80"/>
      <c r="S1128" s="80"/>
      <c r="T1128" s="80"/>
      <c r="U1128" s="80"/>
      <c r="V1128" s="80"/>
      <c r="W1128" s="80"/>
      <c r="X1128" s="80"/>
      <c r="Y1128" s="80"/>
      <c r="Z1128" s="80"/>
      <c r="AA1128" s="80"/>
      <c r="AB1128" s="80"/>
      <c r="AC1128" s="80"/>
      <c r="AD1128" s="80"/>
      <c r="AE1128" s="80"/>
      <c r="AF1128" s="80"/>
      <c r="AG1128" s="80"/>
    </row>
    <row r="1129" spans="1:33" x14ac:dyDescent="0.2">
      <c r="A1129" s="2"/>
      <c r="B1129" s="80"/>
      <c r="C1129" s="80"/>
      <c r="D1129" s="80"/>
      <c r="E1129" s="80"/>
      <c r="F1129" s="80"/>
      <c r="G1129" s="80"/>
      <c r="H1129" s="80"/>
      <c r="I1129" s="80"/>
      <c r="J1129" s="80"/>
      <c r="K1129" s="80"/>
      <c r="L1129" s="2"/>
      <c r="M1129" s="2"/>
      <c r="N1129" s="2"/>
      <c r="O1129" s="2"/>
      <c r="P1129" s="2"/>
      <c r="Q1129" s="2"/>
      <c r="R1129" s="80"/>
      <c r="S1129" s="80"/>
      <c r="T1129" s="80"/>
      <c r="U1129" s="80"/>
      <c r="V1129" s="80"/>
      <c r="W1129" s="80"/>
      <c r="X1129" s="80"/>
      <c r="Y1129" s="80"/>
      <c r="Z1129" s="80"/>
      <c r="AA1129" s="80"/>
      <c r="AB1129" s="80"/>
      <c r="AC1129" s="80"/>
      <c r="AD1129" s="80"/>
      <c r="AE1129" s="80"/>
      <c r="AF1129" s="80"/>
      <c r="AG1129" s="80"/>
    </row>
    <row r="1130" spans="1:33" x14ac:dyDescent="0.2">
      <c r="A1130" s="2"/>
      <c r="B1130" s="80"/>
      <c r="C1130" s="80"/>
      <c r="D1130" s="80"/>
      <c r="E1130" s="80"/>
      <c r="F1130" s="80"/>
      <c r="G1130" s="80"/>
      <c r="H1130" s="80"/>
      <c r="I1130" s="80"/>
      <c r="J1130" s="80"/>
      <c r="K1130" s="80"/>
      <c r="L1130" s="2"/>
      <c r="M1130" s="2"/>
      <c r="N1130" s="2"/>
      <c r="O1130" s="2"/>
      <c r="P1130" s="2"/>
      <c r="Q1130" s="2"/>
      <c r="R1130" s="80"/>
      <c r="S1130" s="80"/>
      <c r="T1130" s="80"/>
      <c r="U1130" s="80"/>
      <c r="V1130" s="80"/>
      <c r="W1130" s="80"/>
      <c r="X1130" s="80"/>
      <c r="Y1130" s="80"/>
      <c r="Z1130" s="80"/>
      <c r="AA1130" s="80"/>
      <c r="AB1130" s="80"/>
      <c r="AC1130" s="80"/>
      <c r="AD1130" s="80"/>
      <c r="AE1130" s="80"/>
      <c r="AF1130" s="80"/>
      <c r="AG1130" s="80"/>
    </row>
    <row r="1131" spans="1:33" x14ac:dyDescent="0.2">
      <c r="A1131" s="2"/>
      <c r="B1131" s="80"/>
      <c r="C1131" s="80"/>
      <c r="D1131" s="80"/>
      <c r="E1131" s="80"/>
      <c r="F1131" s="80"/>
      <c r="G1131" s="80"/>
      <c r="H1131" s="80"/>
      <c r="I1131" s="80"/>
      <c r="J1131" s="80"/>
      <c r="K1131" s="80"/>
      <c r="L1131" s="2"/>
      <c r="M1131" s="2"/>
      <c r="N1131" s="2"/>
      <c r="O1131" s="2"/>
      <c r="P1131" s="2"/>
      <c r="Q1131" s="2"/>
      <c r="R1131" s="80"/>
      <c r="S1131" s="80"/>
      <c r="T1131" s="80"/>
      <c r="U1131" s="80"/>
      <c r="V1131" s="80"/>
      <c r="W1131" s="80"/>
      <c r="X1131" s="80"/>
      <c r="Y1131" s="80"/>
      <c r="Z1131" s="80"/>
      <c r="AA1131" s="80"/>
      <c r="AB1131" s="80"/>
      <c r="AC1131" s="80"/>
      <c r="AD1131" s="80"/>
      <c r="AE1131" s="80"/>
      <c r="AF1131" s="80"/>
      <c r="AG1131" s="80"/>
    </row>
    <row r="1132" spans="1:33" x14ac:dyDescent="0.2">
      <c r="A1132" s="2"/>
      <c r="B1132" s="80"/>
      <c r="C1132" s="80"/>
      <c r="D1132" s="80"/>
      <c r="E1132" s="80"/>
      <c r="F1132" s="80"/>
      <c r="G1132" s="80"/>
      <c r="H1132" s="80"/>
      <c r="I1132" s="80"/>
      <c r="J1132" s="80"/>
      <c r="K1132" s="80"/>
      <c r="L1132" s="2"/>
      <c r="M1132" s="2"/>
      <c r="N1132" s="2"/>
      <c r="O1132" s="2"/>
      <c r="P1132" s="2"/>
      <c r="Q1132" s="2"/>
      <c r="R1132" s="80"/>
      <c r="S1132" s="80"/>
      <c r="T1132" s="80"/>
      <c r="U1132" s="80"/>
      <c r="V1132" s="80"/>
      <c r="W1132" s="80"/>
      <c r="X1132" s="80"/>
      <c r="Y1132" s="80"/>
      <c r="Z1132" s="80"/>
      <c r="AA1132" s="80"/>
      <c r="AB1132" s="80"/>
      <c r="AC1132" s="80"/>
      <c r="AD1132" s="80"/>
      <c r="AE1132" s="80"/>
      <c r="AF1132" s="80"/>
      <c r="AG1132" s="80"/>
    </row>
    <row r="1133" spans="1:33" x14ac:dyDescent="0.2">
      <c r="A1133" s="2"/>
      <c r="B1133" s="80"/>
      <c r="C1133" s="80"/>
      <c r="D1133" s="80"/>
      <c r="E1133" s="80"/>
      <c r="F1133" s="80"/>
      <c r="G1133" s="80"/>
      <c r="H1133" s="80"/>
      <c r="I1133" s="80"/>
      <c r="J1133" s="80"/>
      <c r="K1133" s="80"/>
      <c r="L1133" s="2"/>
      <c r="M1133" s="2"/>
      <c r="N1133" s="2"/>
      <c r="O1133" s="2"/>
      <c r="P1133" s="2"/>
      <c r="Q1133" s="2"/>
      <c r="R1133" s="80"/>
      <c r="S1133" s="80"/>
      <c r="T1133" s="80"/>
      <c r="U1133" s="80"/>
      <c r="V1133" s="80"/>
      <c r="W1133" s="80"/>
      <c r="X1133" s="80"/>
      <c r="Y1133" s="80"/>
      <c r="Z1133" s="80"/>
      <c r="AA1133" s="80"/>
      <c r="AB1133" s="80"/>
      <c r="AC1133" s="80"/>
      <c r="AD1133" s="80"/>
      <c r="AE1133" s="80"/>
      <c r="AF1133" s="80"/>
      <c r="AG1133" s="80"/>
    </row>
    <row r="1134" spans="1:33" x14ac:dyDescent="0.2">
      <c r="A1134" s="2"/>
      <c r="B1134" s="80"/>
      <c r="C1134" s="80"/>
      <c r="D1134" s="80"/>
      <c r="E1134" s="80"/>
      <c r="F1134" s="80"/>
      <c r="G1134" s="80"/>
      <c r="H1134" s="80"/>
      <c r="I1134" s="80"/>
      <c r="J1134" s="80"/>
      <c r="K1134" s="80"/>
      <c r="L1134" s="2"/>
      <c r="M1134" s="2"/>
      <c r="N1134" s="2"/>
      <c r="O1134" s="2"/>
      <c r="P1134" s="2"/>
      <c r="Q1134" s="2"/>
      <c r="R1134" s="80"/>
      <c r="S1134" s="80"/>
      <c r="T1134" s="80"/>
      <c r="U1134" s="80"/>
      <c r="V1134" s="80"/>
      <c r="W1134" s="80"/>
      <c r="X1134" s="80"/>
      <c r="Y1134" s="80"/>
      <c r="Z1134" s="80"/>
      <c r="AA1134" s="80"/>
      <c r="AB1134" s="80"/>
      <c r="AC1134" s="80"/>
      <c r="AD1134" s="80"/>
      <c r="AE1134" s="80"/>
      <c r="AF1134" s="80"/>
      <c r="AG1134" s="80"/>
    </row>
    <row r="1135" spans="1:33" x14ac:dyDescent="0.2">
      <c r="A1135" s="2"/>
      <c r="B1135" s="80"/>
      <c r="C1135" s="80"/>
      <c r="D1135" s="80"/>
      <c r="E1135" s="80"/>
      <c r="F1135" s="80"/>
      <c r="G1135" s="80"/>
      <c r="H1135" s="80"/>
      <c r="I1135" s="80"/>
      <c r="J1135" s="80"/>
      <c r="K1135" s="80"/>
      <c r="L1135" s="2"/>
      <c r="M1135" s="2"/>
      <c r="N1135" s="2"/>
      <c r="O1135" s="2"/>
      <c r="P1135" s="2"/>
      <c r="Q1135" s="2"/>
      <c r="R1135" s="80"/>
      <c r="S1135" s="80"/>
      <c r="T1135" s="80"/>
      <c r="U1135" s="80"/>
      <c r="V1135" s="80"/>
      <c r="W1135" s="80"/>
      <c r="X1135" s="80"/>
      <c r="Y1135" s="80"/>
      <c r="Z1135" s="80"/>
      <c r="AA1135" s="80"/>
      <c r="AB1135" s="80"/>
      <c r="AC1135" s="80"/>
      <c r="AD1135" s="80"/>
      <c r="AE1135" s="80"/>
      <c r="AF1135" s="80"/>
      <c r="AG1135" s="80"/>
    </row>
    <row r="1136" spans="1:33" x14ac:dyDescent="0.2">
      <c r="A1136" s="2"/>
      <c r="B1136" s="80"/>
      <c r="C1136" s="80"/>
      <c r="D1136" s="80"/>
      <c r="E1136" s="80"/>
      <c r="F1136" s="80"/>
      <c r="G1136" s="80"/>
      <c r="H1136" s="80"/>
      <c r="I1136" s="80"/>
      <c r="J1136" s="80"/>
      <c r="K1136" s="80"/>
      <c r="L1136" s="2"/>
      <c r="M1136" s="2"/>
      <c r="N1136" s="2"/>
      <c r="O1136" s="2"/>
      <c r="P1136" s="2"/>
      <c r="Q1136" s="2"/>
      <c r="R1136" s="80"/>
      <c r="S1136" s="80"/>
      <c r="T1136" s="80"/>
      <c r="U1136" s="80"/>
      <c r="V1136" s="80"/>
      <c r="W1136" s="80"/>
      <c r="X1136" s="80"/>
      <c r="Y1136" s="80"/>
      <c r="Z1136" s="80"/>
      <c r="AA1136" s="80"/>
      <c r="AB1136" s="80"/>
      <c r="AC1136" s="80"/>
      <c r="AD1136" s="80"/>
      <c r="AE1136" s="80"/>
      <c r="AF1136" s="80"/>
      <c r="AG1136" s="80"/>
    </row>
    <row r="1137" spans="1:33" x14ac:dyDescent="0.2">
      <c r="A1137" s="2"/>
      <c r="B1137" s="80"/>
      <c r="C1137" s="80"/>
      <c r="D1137" s="80"/>
      <c r="E1137" s="80"/>
      <c r="F1137" s="80"/>
      <c r="G1137" s="80"/>
      <c r="H1137" s="80"/>
      <c r="I1137" s="80"/>
      <c r="J1137" s="80"/>
      <c r="K1137" s="80"/>
      <c r="L1137" s="2"/>
      <c r="M1137" s="2"/>
      <c r="N1137" s="2"/>
      <c r="O1137" s="2"/>
      <c r="P1137" s="2"/>
      <c r="Q1137" s="2"/>
      <c r="R1137" s="80"/>
      <c r="S1137" s="80"/>
      <c r="T1137" s="80"/>
      <c r="U1137" s="80"/>
      <c r="V1137" s="80"/>
      <c r="W1137" s="80"/>
      <c r="X1137" s="80"/>
      <c r="Y1137" s="80"/>
      <c r="Z1137" s="80"/>
      <c r="AA1137" s="80"/>
      <c r="AB1137" s="80"/>
      <c r="AC1137" s="80"/>
      <c r="AD1137" s="80"/>
      <c r="AE1137" s="80"/>
      <c r="AF1137" s="80"/>
      <c r="AG1137" s="80"/>
    </row>
    <row r="1138" spans="1:33" x14ac:dyDescent="0.2">
      <c r="A1138" s="2"/>
      <c r="B1138" s="80"/>
      <c r="C1138" s="80"/>
      <c r="D1138" s="80"/>
      <c r="E1138" s="80"/>
      <c r="F1138" s="80"/>
      <c r="G1138" s="80"/>
      <c r="H1138" s="80"/>
      <c r="I1138" s="80"/>
      <c r="J1138" s="80"/>
      <c r="K1138" s="80"/>
      <c r="L1138" s="2"/>
      <c r="M1138" s="2"/>
      <c r="N1138" s="2"/>
      <c r="O1138" s="2"/>
      <c r="P1138" s="2"/>
      <c r="Q1138" s="2"/>
      <c r="R1138" s="80"/>
      <c r="S1138" s="80"/>
      <c r="T1138" s="80"/>
      <c r="U1138" s="80"/>
      <c r="V1138" s="80"/>
      <c r="W1138" s="80"/>
      <c r="X1138" s="80"/>
      <c r="Y1138" s="80"/>
      <c r="Z1138" s="80"/>
      <c r="AA1138" s="80"/>
      <c r="AB1138" s="80"/>
      <c r="AC1138" s="80"/>
      <c r="AD1138" s="80"/>
      <c r="AE1138" s="80"/>
      <c r="AF1138" s="80"/>
      <c r="AG1138" s="80"/>
    </row>
    <row r="1139" spans="1:33" x14ac:dyDescent="0.2">
      <c r="A1139" s="2"/>
      <c r="B1139" s="80"/>
      <c r="C1139" s="80"/>
      <c r="D1139" s="80"/>
      <c r="E1139" s="80"/>
      <c r="F1139" s="80"/>
      <c r="G1139" s="80"/>
      <c r="H1139" s="80"/>
      <c r="I1139" s="80"/>
      <c r="J1139" s="80"/>
      <c r="K1139" s="80"/>
      <c r="L1139" s="2"/>
      <c r="M1139" s="2"/>
      <c r="N1139" s="2"/>
      <c r="O1139" s="2"/>
      <c r="P1139" s="2"/>
      <c r="Q1139" s="2"/>
      <c r="R1139" s="80"/>
      <c r="S1139" s="80"/>
      <c r="T1139" s="80"/>
      <c r="U1139" s="80"/>
      <c r="V1139" s="80"/>
      <c r="W1139" s="80"/>
      <c r="X1139" s="80"/>
      <c r="Y1139" s="80"/>
      <c r="Z1139" s="80"/>
      <c r="AA1139" s="80"/>
      <c r="AB1139" s="80"/>
      <c r="AC1139" s="80"/>
      <c r="AD1139" s="80"/>
      <c r="AE1139" s="80"/>
      <c r="AF1139" s="80"/>
      <c r="AG1139" s="80"/>
    </row>
    <row r="1140" spans="1:33" x14ac:dyDescent="0.2">
      <c r="A1140" s="2"/>
      <c r="B1140" s="80"/>
      <c r="C1140" s="80"/>
      <c r="D1140" s="80"/>
      <c r="E1140" s="80"/>
      <c r="F1140" s="80"/>
      <c r="G1140" s="80"/>
      <c r="H1140" s="80"/>
      <c r="I1140" s="80"/>
      <c r="J1140" s="80"/>
      <c r="K1140" s="80"/>
      <c r="L1140" s="2"/>
      <c r="M1140" s="2"/>
      <c r="N1140" s="2"/>
      <c r="O1140" s="2"/>
      <c r="P1140" s="2"/>
      <c r="Q1140" s="2"/>
      <c r="R1140" s="80"/>
      <c r="S1140" s="80"/>
      <c r="T1140" s="80"/>
      <c r="U1140" s="80"/>
      <c r="V1140" s="80"/>
      <c r="W1140" s="80"/>
      <c r="X1140" s="80"/>
      <c r="Y1140" s="80"/>
      <c r="Z1140" s="80"/>
      <c r="AA1140" s="80"/>
      <c r="AB1140" s="80"/>
      <c r="AC1140" s="80"/>
      <c r="AD1140" s="80"/>
      <c r="AE1140" s="80"/>
      <c r="AF1140" s="80"/>
      <c r="AG1140" s="80"/>
    </row>
    <row r="1141" spans="1:33" x14ac:dyDescent="0.2">
      <c r="A1141" s="2"/>
      <c r="B1141" s="80"/>
      <c r="C1141" s="80"/>
      <c r="D1141" s="80"/>
      <c r="E1141" s="80"/>
      <c r="F1141" s="80"/>
      <c r="G1141" s="80"/>
      <c r="H1141" s="80"/>
      <c r="I1141" s="80"/>
      <c r="J1141" s="80"/>
      <c r="K1141" s="80"/>
      <c r="L1141" s="2"/>
      <c r="M1141" s="2"/>
      <c r="N1141" s="2"/>
      <c r="O1141" s="2"/>
      <c r="P1141" s="2"/>
      <c r="Q1141" s="2"/>
      <c r="R1141" s="80"/>
      <c r="S1141" s="80"/>
      <c r="T1141" s="80"/>
      <c r="U1141" s="80"/>
      <c r="V1141" s="80"/>
      <c r="W1141" s="80"/>
      <c r="X1141" s="80"/>
      <c r="Y1141" s="80"/>
      <c r="Z1141" s="80"/>
      <c r="AA1141" s="80"/>
      <c r="AB1141" s="80"/>
      <c r="AC1141" s="80"/>
      <c r="AD1141" s="80"/>
      <c r="AE1141" s="80"/>
      <c r="AF1141" s="80"/>
      <c r="AG1141" s="80"/>
    </row>
    <row r="1142" spans="1:33" x14ac:dyDescent="0.2">
      <c r="A1142" s="2"/>
      <c r="B1142" s="80"/>
      <c r="C1142" s="80"/>
      <c r="D1142" s="80"/>
      <c r="E1142" s="80"/>
      <c r="F1142" s="80"/>
      <c r="G1142" s="80"/>
      <c r="H1142" s="80"/>
      <c r="I1142" s="80"/>
      <c r="J1142" s="80"/>
      <c r="K1142" s="80"/>
      <c r="L1142" s="2"/>
      <c r="M1142" s="2"/>
      <c r="N1142" s="2"/>
      <c r="O1142" s="2"/>
      <c r="P1142" s="2"/>
      <c r="Q1142" s="2"/>
      <c r="R1142" s="80"/>
      <c r="S1142" s="80"/>
      <c r="T1142" s="80"/>
      <c r="U1142" s="80"/>
      <c r="V1142" s="80"/>
      <c r="W1142" s="80"/>
      <c r="X1142" s="80"/>
      <c r="Y1142" s="80"/>
      <c r="Z1142" s="80"/>
      <c r="AA1142" s="80"/>
      <c r="AB1142" s="80"/>
      <c r="AC1142" s="80"/>
      <c r="AD1142" s="80"/>
      <c r="AE1142" s="80"/>
      <c r="AF1142" s="80"/>
      <c r="AG1142" s="80"/>
    </row>
    <row r="1143" spans="1:33" x14ac:dyDescent="0.2">
      <c r="A1143" s="2"/>
      <c r="B1143" s="80"/>
      <c r="C1143" s="80"/>
      <c r="D1143" s="80"/>
      <c r="E1143" s="80"/>
      <c r="F1143" s="80"/>
      <c r="G1143" s="80"/>
      <c r="H1143" s="80"/>
      <c r="I1143" s="80"/>
      <c r="J1143" s="80"/>
      <c r="K1143" s="80"/>
      <c r="L1143" s="2"/>
      <c r="M1143" s="2"/>
      <c r="N1143" s="2"/>
      <c r="O1143" s="2"/>
      <c r="P1143" s="2"/>
      <c r="Q1143" s="2"/>
      <c r="R1143" s="80"/>
      <c r="S1143" s="80"/>
      <c r="T1143" s="80"/>
      <c r="U1143" s="80"/>
      <c r="V1143" s="80"/>
      <c r="W1143" s="80"/>
      <c r="X1143" s="80"/>
      <c r="Y1143" s="80"/>
      <c r="Z1143" s="80"/>
      <c r="AA1143" s="80"/>
      <c r="AB1143" s="80"/>
      <c r="AC1143" s="80"/>
      <c r="AD1143" s="80"/>
      <c r="AE1143" s="80"/>
      <c r="AF1143" s="80"/>
      <c r="AG1143" s="80"/>
    </row>
    <row r="1144" spans="1:33" x14ac:dyDescent="0.2">
      <c r="A1144" s="2"/>
      <c r="B1144" s="80"/>
      <c r="C1144" s="80"/>
      <c r="D1144" s="80"/>
      <c r="E1144" s="80"/>
      <c r="F1144" s="80"/>
      <c r="G1144" s="80"/>
      <c r="H1144" s="80"/>
      <c r="I1144" s="80"/>
      <c r="J1144" s="80"/>
      <c r="K1144" s="80"/>
      <c r="L1144" s="2"/>
      <c r="M1144" s="2"/>
      <c r="N1144" s="2"/>
      <c r="O1144" s="2"/>
      <c r="P1144" s="2"/>
      <c r="Q1144" s="2"/>
      <c r="R1144" s="80"/>
      <c r="S1144" s="80"/>
      <c r="T1144" s="80"/>
      <c r="U1144" s="80"/>
      <c r="V1144" s="80"/>
      <c r="W1144" s="80"/>
      <c r="X1144" s="80"/>
      <c r="Y1144" s="80"/>
      <c r="Z1144" s="80"/>
      <c r="AA1144" s="80"/>
      <c r="AB1144" s="80"/>
      <c r="AC1144" s="80"/>
      <c r="AD1144" s="80"/>
      <c r="AE1144" s="80"/>
      <c r="AF1144" s="80"/>
      <c r="AG1144" s="80"/>
    </row>
    <row r="1145" spans="1:33" x14ac:dyDescent="0.2">
      <c r="A1145" s="2"/>
      <c r="B1145" s="80"/>
      <c r="C1145" s="80"/>
      <c r="D1145" s="80"/>
      <c r="E1145" s="80"/>
      <c r="F1145" s="80"/>
      <c r="G1145" s="80"/>
      <c r="H1145" s="80"/>
      <c r="I1145" s="80"/>
      <c r="J1145" s="80"/>
      <c r="K1145" s="80"/>
      <c r="L1145" s="2"/>
      <c r="M1145" s="2"/>
      <c r="N1145" s="2"/>
      <c r="O1145" s="2"/>
      <c r="P1145" s="2"/>
      <c r="Q1145" s="2"/>
      <c r="R1145" s="80"/>
      <c r="S1145" s="80"/>
      <c r="T1145" s="80"/>
      <c r="U1145" s="80"/>
      <c r="V1145" s="80"/>
      <c r="W1145" s="80"/>
      <c r="X1145" s="80"/>
      <c r="Y1145" s="80"/>
      <c r="Z1145" s="80"/>
      <c r="AA1145" s="80"/>
      <c r="AB1145" s="80"/>
      <c r="AC1145" s="80"/>
      <c r="AD1145" s="80"/>
      <c r="AE1145" s="80"/>
      <c r="AF1145" s="80"/>
      <c r="AG1145" s="80"/>
    </row>
    <row r="1146" spans="1:33" x14ac:dyDescent="0.2">
      <c r="A1146" s="2"/>
      <c r="B1146" s="80"/>
      <c r="C1146" s="80"/>
      <c r="D1146" s="80"/>
      <c r="E1146" s="80"/>
      <c r="F1146" s="80"/>
      <c r="G1146" s="80"/>
      <c r="H1146" s="80"/>
      <c r="I1146" s="80"/>
      <c r="J1146" s="80"/>
      <c r="K1146" s="80"/>
      <c r="L1146" s="2"/>
      <c r="M1146" s="2"/>
      <c r="N1146" s="2"/>
      <c r="O1146" s="2"/>
      <c r="P1146" s="2"/>
      <c r="Q1146" s="2"/>
      <c r="R1146" s="80"/>
      <c r="S1146" s="80"/>
      <c r="T1146" s="80"/>
      <c r="U1146" s="80"/>
      <c r="V1146" s="80"/>
      <c r="W1146" s="80"/>
      <c r="X1146" s="80"/>
      <c r="Y1146" s="80"/>
      <c r="Z1146" s="80"/>
      <c r="AA1146" s="80"/>
      <c r="AB1146" s="80"/>
      <c r="AC1146" s="80"/>
      <c r="AD1146" s="80"/>
      <c r="AE1146" s="80"/>
      <c r="AF1146" s="80"/>
      <c r="AG1146" s="80"/>
    </row>
    <row r="1147" spans="1:33" x14ac:dyDescent="0.2">
      <c r="A1147" s="2"/>
      <c r="B1147" s="80"/>
      <c r="C1147" s="80"/>
      <c r="D1147" s="80"/>
      <c r="E1147" s="80"/>
      <c r="F1147" s="80"/>
      <c r="G1147" s="80"/>
      <c r="H1147" s="80"/>
      <c r="I1147" s="80"/>
      <c r="J1147" s="80"/>
      <c r="K1147" s="80"/>
      <c r="L1147" s="2"/>
      <c r="M1147" s="2"/>
      <c r="N1147" s="2"/>
      <c r="O1147" s="2"/>
      <c r="P1147" s="2"/>
      <c r="Q1147" s="2"/>
      <c r="R1147" s="80"/>
      <c r="S1147" s="80"/>
      <c r="T1147" s="80"/>
      <c r="U1147" s="80"/>
      <c r="V1147" s="80"/>
      <c r="W1147" s="80"/>
      <c r="X1147" s="80"/>
      <c r="Y1147" s="80"/>
      <c r="Z1147" s="80"/>
      <c r="AA1147" s="80"/>
      <c r="AB1147" s="80"/>
      <c r="AC1147" s="80"/>
      <c r="AD1147" s="80"/>
      <c r="AE1147" s="80"/>
      <c r="AF1147" s="80"/>
      <c r="AG1147" s="80"/>
    </row>
    <row r="1148" spans="1:33" x14ac:dyDescent="0.2">
      <c r="A1148" s="2"/>
      <c r="B1148" s="80"/>
      <c r="C1148" s="80"/>
      <c r="D1148" s="80"/>
      <c r="E1148" s="80"/>
      <c r="F1148" s="80"/>
      <c r="G1148" s="80"/>
      <c r="H1148" s="80"/>
      <c r="I1148" s="80"/>
      <c r="J1148" s="80"/>
      <c r="K1148" s="80"/>
      <c r="L1148" s="2"/>
      <c r="M1148" s="2"/>
      <c r="N1148" s="2"/>
      <c r="O1148" s="2"/>
      <c r="P1148" s="2"/>
      <c r="Q1148" s="2"/>
      <c r="R1148" s="80"/>
      <c r="S1148" s="80"/>
      <c r="T1148" s="80"/>
      <c r="U1148" s="80"/>
      <c r="V1148" s="80"/>
      <c r="W1148" s="80"/>
      <c r="X1148" s="80"/>
      <c r="Y1148" s="80"/>
      <c r="Z1148" s="80"/>
      <c r="AA1148" s="80"/>
      <c r="AB1148" s="80"/>
      <c r="AC1148" s="80"/>
      <c r="AD1148" s="80"/>
      <c r="AE1148" s="80"/>
      <c r="AF1148" s="80"/>
      <c r="AG1148" s="80"/>
    </row>
    <row r="1149" spans="1:33" x14ac:dyDescent="0.2">
      <c r="A1149" s="2"/>
      <c r="B1149" s="80"/>
      <c r="C1149" s="80"/>
      <c r="D1149" s="80"/>
      <c r="E1149" s="80"/>
      <c r="F1149" s="80"/>
      <c r="G1149" s="80"/>
      <c r="H1149" s="80"/>
      <c r="I1149" s="80"/>
      <c r="J1149" s="80"/>
      <c r="K1149" s="80"/>
      <c r="L1149" s="2"/>
      <c r="M1149" s="2"/>
      <c r="N1149" s="2"/>
      <c r="O1149" s="2"/>
      <c r="P1149" s="2"/>
      <c r="Q1149" s="2"/>
      <c r="R1149" s="80"/>
      <c r="S1149" s="80"/>
      <c r="T1149" s="80"/>
      <c r="U1149" s="80"/>
      <c r="V1149" s="80"/>
      <c r="W1149" s="80"/>
      <c r="X1149" s="80"/>
      <c r="Y1149" s="80"/>
      <c r="Z1149" s="80"/>
      <c r="AA1149" s="80"/>
      <c r="AB1149" s="80"/>
      <c r="AC1149" s="80"/>
      <c r="AD1149" s="80"/>
      <c r="AE1149" s="80"/>
      <c r="AF1149" s="80"/>
      <c r="AG1149" s="80"/>
    </row>
    <row r="1150" spans="1:33" x14ac:dyDescent="0.2">
      <c r="A1150" s="2"/>
      <c r="B1150" s="80"/>
      <c r="C1150" s="80"/>
      <c r="D1150" s="80"/>
      <c r="E1150" s="80"/>
      <c r="F1150" s="80"/>
      <c r="G1150" s="80"/>
      <c r="H1150" s="80"/>
      <c r="I1150" s="80"/>
      <c r="J1150" s="80"/>
      <c r="K1150" s="80"/>
      <c r="L1150" s="2"/>
      <c r="M1150" s="2"/>
      <c r="N1150" s="2"/>
      <c r="O1150" s="2"/>
      <c r="P1150" s="2"/>
      <c r="Q1150" s="2"/>
      <c r="R1150" s="80"/>
      <c r="S1150" s="80"/>
      <c r="T1150" s="80"/>
      <c r="U1150" s="80"/>
      <c r="V1150" s="80"/>
      <c r="W1150" s="80"/>
      <c r="X1150" s="80"/>
      <c r="Y1150" s="80"/>
      <c r="Z1150" s="80"/>
      <c r="AA1150" s="80"/>
      <c r="AB1150" s="80"/>
      <c r="AC1150" s="80"/>
      <c r="AD1150" s="80"/>
      <c r="AE1150" s="80"/>
      <c r="AF1150" s="80"/>
      <c r="AG1150" s="80"/>
    </row>
    <row r="1151" spans="1:33" x14ac:dyDescent="0.2">
      <c r="A1151" s="2"/>
      <c r="B1151" s="80"/>
      <c r="C1151" s="80"/>
      <c r="D1151" s="80"/>
      <c r="E1151" s="80"/>
      <c r="F1151" s="80"/>
      <c r="G1151" s="80"/>
      <c r="H1151" s="80"/>
      <c r="I1151" s="80"/>
      <c r="J1151" s="80"/>
      <c r="K1151" s="80"/>
      <c r="L1151" s="2"/>
      <c r="M1151" s="2"/>
      <c r="N1151" s="2"/>
      <c r="O1151" s="2"/>
      <c r="P1151" s="2"/>
      <c r="Q1151" s="2"/>
      <c r="R1151" s="80"/>
      <c r="S1151" s="80"/>
      <c r="T1151" s="80"/>
      <c r="U1151" s="80"/>
      <c r="V1151" s="80"/>
      <c r="W1151" s="80"/>
      <c r="X1151" s="80"/>
      <c r="Y1151" s="80"/>
      <c r="Z1151" s="80"/>
      <c r="AA1151" s="80"/>
      <c r="AB1151" s="80"/>
      <c r="AC1151" s="80"/>
      <c r="AD1151" s="80"/>
      <c r="AE1151" s="80"/>
      <c r="AF1151" s="80"/>
      <c r="AG1151" s="80"/>
    </row>
    <row r="1152" spans="1:33" x14ac:dyDescent="0.2">
      <c r="A1152" s="2"/>
      <c r="B1152" s="80"/>
      <c r="C1152" s="80"/>
      <c r="D1152" s="80"/>
      <c r="E1152" s="80"/>
      <c r="F1152" s="80"/>
      <c r="G1152" s="80"/>
      <c r="H1152" s="80"/>
      <c r="I1152" s="80"/>
      <c r="J1152" s="80"/>
      <c r="K1152" s="80"/>
      <c r="L1152" s="2"/>
      <c r="M1152" s="2"/>
      <c r="N1152" s="2"/>
      <c r="O1152" s="2"/>
      <c r="P1152" s="2"/>
      <c r="Q1152" s="2"/>
      <c r="R1152" s="80"/>
      <c r="S1152" s="80"/>
      <c r="T1152" s="80"/>
      <c r="U1152" s="80"/>
      <c r="V1152" s="80"/>
      <c r="W1152" s="80"/>
      <c r="X1152" s="80"/>
      <c r="Y1152" s="80"/>
      <c r="Z1152" s="80"/>
      <c r="AA1152" s="80"/>
      <c r="AB1152" s="80"/>
      <c r="AC1152" s="80"/>
      <c r="AD1152" s="80"/>
      <c r="AE1152" s="80"/>
      <c r="AF1152" s="80"/>
      <c r="AG1152" s="80"/>
    </row>
    <row r="1153" spans="1:33" x14ac:dyDescent="0.2">
      <c r="A1153" s="2"/>
      <c r="B1153" s="80"/>
      <c r="C1153" s="80"/>
      <c r="D1153" s="80"/>
      <c r="E1153" s="80"/>
      <c r="F1153" s="80"/>
      <c r="G1153" s="80"/>
      <c r="H1153" s="80"/>
      <c r="I1153" s="80"/>
      <c r="J1153" s="80"/>
      <c r="K1153" s="80"/>
      <c r="L1153" s="2"/>
      <c r="M1153" s="2"/>
      <c r="N1153" s="2"/>
      <c r="O1153" s="2"/>
      <c r="P1153" s="2"/>
      <c r="Q1153" s="2"/>
      <c r="R1153" s="80"/>
      <c r="S1153" s="80"/>
      <c r="T1153" s="80"/>
      <c r="U1153" s="80"/>
      <c r="V1153" s="80"/>
      <c r="W1153" s="80"/>
      <c r="X1153" s="80"/>
      <c r="Y1153" s="80"/>
      <c r="Z1153" s="80"/>
      <c r="AA1153" s="80"/>
      <c r="AB1153" s="80"/>
      <c r="AC1153" s="80"/>
      <c r="AD1153" s="80"/>
      <c r="AE1153" s="80"/>
      <c r="AF1153" s="80"/>
      <c r="AG1153" s="80"/>
    </row>
    <row r="1154" spans="1:33" x14ac:dyDescent="0.2">
      <c r="A1154" s="2"/>
      <c r="B1154" s="80"/>
      <c r="C1154" s="80"/>
      <c r="D1154" s="80"/>
      <c r="E1154" s="80"/>
      <c r="F1154" s="80"/>
      <c r="G1154" s="80"/>
      <c r="H1154" s="80"/>
      <c r="I1154" s="80"/>
      <c r="J1154" s="80"/>
      <c r="K1154" s="80"/>
      <c r="L1154" s="2"/>
      <c r="M1154" s="2"/>
      <c r="N1154" s="2"/>
      <c r="O1154" s="2"/>
      <c r="P1154" s="2"/>
      <c r="Q1154" s="2"/>
      <c r="R1154" s="80"/>
      <c r="S1154" s="80"/>
      <c r="T1154" s="80"/>
      <c r="U1154" s="80"/>
      <c r="V1154" s="80"/>
      <c r="W1154" s="80"/>
      <c r="X1154" s="80"/>
      <c r="Y1154" s="80"/>
      <c r="Z1154" s="80"/>
      <c r="AA1154" s="80"/>
      <c r="AB1154" s="80"/>
      <c r="AC1154" s="80"/>
      <c r="AD1154" s="80"/>
      <c r="AE1154" s="80"/>
      <c r="AF1154" s="80"/>
      <c r="AG1154" s="80"/>
    </row>
    <row r="1155" spans="1:33" x14ac:dyDescent="0.2">
      <c r="A1155" s="2"/>
      <c r="B1155" s="80"/>
      <c r="C1155" s="80"/>
      <c r="D1155" s="80"/>
      <c r="E1155" s="80"/>
      <c r="F1155" s="80"/>
      <c r="G1155" s="80"/>
      <c r="H1155" s="80"/>
      <c r="I1155" s="80"/>
      <c r="J1155" s="80"/>
      <c r="K1155" s="80"/>
      <c r="L1155" s="2"/>
      <c r="M1155" s="2"/>
      <c r="N1155" s="2"/>
      <c r="O1155" s="2"/>
      <c r="P1155" s="2"/>
      <c r="Q1155" s="2"/>
      <c r="R1155" s="80"/>
      <c r="S1155" s="80"/>
      <c r="T1155" s="80"/>
      <c r="U1155" s="80"/>
      <c r="V1155" s="80"/>
      <c r="W1155" s="80"/>
      <c r="X1155" s="80"/>
      <c r="Y1155" s="80"/>
      <c r="Z1155" s="80"/>
      <c r="AA1155" s="80"/>
      <c r="AB1155" s="80"/>
      <c r="AC1155" s="80"/>
      <c r="AD1155" s="80"/>
      <c r="AE1155" s="80"/>
      <c r="AF1155" s="80"/>
      <c r="AG1155" s="80"/>
    </row>
    <row r="1156" spans="1:33" x14ac:dyDescent="0.2">
      <c r="A1156" s="2"/>
      <c r="B1156" s="80"/>
      <c r="C1156" s="80"/>
      <c r="D1156" s="80"/>
      <c r="E1156" s="80"/>
      <c r="F1156" s="80"/>
      <c r="G1156" s="80"/>
      <c r="H1156" s="80"/>
      <c r="I1156" s="80"/>
      <c r="J1156" s="80"/>
      <c r="K1156" s="80"/>
      <c r="L1156" s="2"/>
      <c r="M1156" s="2"/>
      <c r="N1156" s="2"/>
      <c r="O1156" s="2"/>
      <c r="P1156" s="2"/>
      <c r="Q1156" s="2"/>
      <c r="R1156" s="80"/>
      <c r="S1156" s="80"/>
      <c r="T1156" s="80"/>
      <c r="U1156" s="80"/>
      <c r="V1156" s="80"/>
      <c r="W1156" s="80"/>
      <c r="X1156" s="80"/>
      <c r="Y1156" s="80"/>
      <c r="Z1156" s="80"/>
      <c r="AA1156" s="80"/>
      <c r="AB1156" s="80"/>
      <c r="AC1156" s="80"/>
      <c r="AD1156" s="80"/>
      <c r="AE1156" s="80"/>
      <c r="AF1156" s="80"/>
      <c r="AG1156" s="80"/>
    </row>
    <row r="1157" spans="1:33" x14ac:dyDescent="0.2">
      <c r="A1157" s="2"/>
      <c r="B1157" s="80"/>
      <c r="C1157" s="80"/>
      <c r="D1157" s="80"/>
      <c r="E1157" s="80"/>
      <c r="F1157" s="80"/>
      <c r="G1157" s="80"/>
      <c r="H1157" s="80"/>
      <c r="I1157" s="80"/>
      <c r="J1157" s="80"/>
      <c r="K1157" s="80"/>
      <c r="L1157" s="2"/>
      <c r="M1157" s="2"/>
      <c r="N1157" s="2"/>
      <c r="O1157" s="2"/>
      <c r="P1157" s="2"/>
      <c r="Q1157" s="2"/>
      <c r="R1157" s="80"/>
      <c r="S1157" s="80"/>
      <c r="T1157" s="80"/>
      <c r="U1157" s="80"/>
      <c r="V1157" s="80"/>
      <c r="W1157" s="80"/>
      <c r="X1157" s="80"/>
      <c r="Y1157" s="80"/>
      <c r="Z1157" s="80"/>
      <c r="AA1157" s="80"/>
      <c r="AB1157" s="80"/>
      <c r="AC1157" s="80"/>
      <c r="AD1157" s="80"/>
      <c r="AE1157" s="80"/>
      <c r="AF1157" s="80"/>
      <c r="AG1157" s="80"/>
    </row>
    <row r="1158" spans="1:33" x14ac:dyDescent="0.2">
      <c r="A1158" s="2"/>
      <c r="B1158" s="80"/>
      <c r="C1158" s="80"/>
      <c r="D1158" s="80"/>
      <c r="E1158" s="80"/>
      <c r="F1158" s="80"/>
      <c r="G1158" s="80"/>
      <c r="H1158" s="80"/>
      <c r="I1158" s="80"/>
      <c r="J1158" s="80"/>
      <c r="K1158" s="80"/>
      <c r="L1158" s="2"/>
      <c r="M1158" s="2"/>
      <c r="N1158" s="2"/>
      <c r="O1158" s="2"/>
      <c r="P1158" s="2"/>
      <c r="Q1158" s="2"/>
      <c r="R1158" s="80"/>
      <c r="S1158" s="80"/>
      <c r="T1158" s="80"/>
      <c r="U1158" s="80"/>
      <c r="V1158" s="80"/>
      <c r="W1158" s="80"/>
      <c r="X1158" s="80"/>
      <c r="Y1158" s="80"/>
      <c r="Z1158" s="80"/>
      <c r="AA1158" s="80"/>
      <c r="AB1158" s="80"/>
      <c r="AC1158" s="80"/>
      <c r="AD1158" s="80"/>
      <c r="AE1158" s="80"/>
      <c r="AF1158" s="80"/>
      <c r="AG1158" s="80"/>
    </row>
    <row r="1159" spans="1:33" x14ac:dyDescent="0.2">
      <c r="A1159" s="2"/>
      <c r="B1159" s="80"/>
      <c r="C1159" s="80"/>
      <c r="D1159" s="80"/>
      <c r="E1159" s="80"/>
      <c r="F1159" s="80"/>
      <c r="G1159" s="80"/>
      <c r="H1159" s="80"/>
      <c r="I1159" s="80"/>
      <c r="J1159" s="80"/>
      <c r="K1159" s="80"/>
      <c r="L1159" s="2"/>
      <c r="M1159" s="2"/>
      <c r="N1159" s="2"/>
      <c r="O1159" s="2"/>
      <c r="P1159" s="2"/>
      <c r="Q1159" s="2"/>
      <c r="R1159" s="80"/>
      <c r="S1159" s="80"/>
      <c r="T1159" s="80"/>
      <c r="U1159" s="80"/>
      <c r="V1159" s="80"/>
      <c r="W1159" s="80"/>
      <c r="X1159" s="80"/>
      <c r="Y1159" s="80"/>
      <c r="Z1159" s="80"/>
      <c r="AA1159" s="80"/>
      <c r="AB1159" s="80"/>
      <c r="AC1159" s="80"/>
      <c r="AD1159" s="80"/>
      <c r="AE1159" s="80"/>
      <c r="AF1159" s="80"/>
      <c r="AG1159" s="80"/>
    </row>
    <row r="1160" spans="1:33" x14ac:dyDescent="0.2">
      <c r="A1160" s="2"/>
      <c r="B1160" s="80"/>
      <c r="C1160" s="80"/>
      <c r="D1160" s="80"/>
      <c r="E1160" s="80"/>
      <c r="F1160" s="80"/>
      <c r="G1160" s="80"/>
      <c r="H1160" s="80"/>
      <c r="I1160" s="80"/>
      <c r="J1160" s="80"/>
      <c r="K1160" s="80"/>
      <c r="L1160" s="2"/>
      <c r="M1160" s="2"/>
      <c r="N1160" s="2"/>
      <c r="O1160" s="2"/>
      <c r="P1160" s="2"/>
      <c r="Q1160" s="2"/>
      <c r="R1160" s="80"/>
      <c r="S1160" s="80"/>
      <c r="T1160" s="80"/>
      <c r="U1160" s="80"/>
      <c r="V1160" s="80"/>
      <c r="W1160" s="80"/>
      <c r="X1160" s="80"/>
      <c r="Y1160" s="80"/>
      <c r="Z1160" s="80"/>
      <c r="AA1160" s="80"/>
      <c r="AB1160" s="80"/>
      <c r="AC1160" s="80"/>
      <c r="AD1160" s="80"/>
      <c r="AE1160" s="80"/>
      <c r="AF1160" s="80"/>
      <c r="AG1160" s="80"/>
    </row>
    <row r="1161" spans="1:33" x14ac:dyDescent="0.2">
      <c r="A1161" s="2"/>
      <c r="B1161" s="80"/>
      <c r="C1161" s="80"/>
      <c r="D1161" s="80"/>
      <c r="E1161" s="80"/>
      <c r="F1161" s="80"/>
      <c r="G1161" s="80"/>
      <c r="H1161" s="80"/>
      <c r="I1161" s="80"/>
      <c r="J1161" s="80"/>
      <c r="K1161" s="80"/>
      <c r="L1161" s="2"/>
      <c r="M1161" s="2"/>
      <c r="N1161" s="2"/>
      <c r="O1161" s="2"/>
      <c r="P1161" s="2"/>
      <c r="Q1161" s="2"/>
      <c r="R1161" s="80"/>
      <c r="S1161" s="80"/>
      <c r="T1161" s="80"/>
      <c r="U1161" s="80"/>
      <c r="V1161" s="80"/>
      <c r="W1161" s="80"/>
      <c r="X1161" s="80"/>
      <c r="Y1161" s="80"/>
      <c r="Z1161" s="80"/>
      <c r="AA1161" s="80"/>
      <c r="AB1161" s="80"/>
      <c r="AC1161" s="80"/>
      <c r="AD1161" s="80"/>
      <c r="AE1161" s="80"/>
      <c r="AF1161" s="80"/>
      <c r="AG1161" s="80"/>
    </row>
    <row r="1162" spans="1:33" x14ac:dyDescent="0.2">
      <c r="A1162" s="2"/>
      <c r="B1162" s="80"/>
      <c r="C1162" s="80"/>
      <c r="D1162" s="80"/>
      <c r="E1162" s="80"/>
      <c r="F1162" s="80"/>
      <c r="G1162" s="80"/>
      <c r="H1162" s="80"/>
      <c r="I1162" s="80"/>
      <c r="J1162" s="80"/>
      <c r="K1162" s="80"/>
      <c r="L1162" s="2"/>
      <c r="M1162" s="2"/>
      <c r="N1162" s="2"/>
      <c r="O1162" s="2"/>
      <c r="P1162" s="2"/>
      <c r="Q1162" s="2"/>
      <c r="R1162" s="80"/>
      <c r="S1162" s="80"/>
      <c r="T1162" s="80"/>
      <c r="U1162" s="80"/>
      <c r="V1162" s="80"/>
      <c r="W1162" s="80"/>
      <c r="X1162" s="80"/>
      <c r="Y1162" s="80"/>
      <c r="Z1162" s="80"/>
      <c r="AA1162" s="80"/>
      <c r="AB1162" s="80"/>
      <c r="AC1162" s="80"/>
      <c r="AD1162" s="80"/>
      <c r="AE1162" s="80"/>
      <c r="AF1162" s="80"/>
      <c r="AG1162" s="80"/>
    </row>
    <row r="1163" spans="1:33" x14ac:dyDescent="0.2">
      <c r="A1163" s="2"/>
      <c r="B1163" s="80"/>
      <c r="C1163" s="80"/>
      <c r="D1163" s="80"/>
      <c r="E1163" s="80"/>
      <c r="F1163" s="80"/>
      <c r="G1163" s="80"/>
      <c r="H1163" s="80"/>
      <c r="I1163" s="80"/>
      <c r="J1163" s="80"/>
      <c r="K1163" s="80"/>
      <c r="L1163" s="2"/>
      <c r="M1163" s="2"/>
      <c r="N1163" s="2"/>
      <c r="O1163" s="2"/>
      <c r="P1163" s="2"/>
      <c r="Q1163" s="2"/>
      <c r="R1163" s="80"/>
      <c r="S1163" s="80"/>
      <c r="T1163" s="80"/>
      <c r="U1163" s="80"/>
      <c r="V1163" s="80"/>
      <c r="W1163" s="80"/>
      <c r="X1163" s="80"/>
      <c r="Y1163" s="80"/>
      <c r="Z1163" s="80"/>
      <c r="AA1163" s="80"/>
      <c r="AB1163" s="80"/>
      <c r="AC1163" s="80"/>
      <c r="AD1163" s="80"/>
      <c r="AE1163" s="80"/>
      <c r="AF1163" s="80"/>
      <c r="AG1163" s="80"/>
    </row>
    <row r="1164" spans="1:33" x14ac:dyDescent="0.2">
      <c r="A1164" s="2"/>
      <c r="B1164" s="80"/>
      <c r="C1164" s="80"/>
      <c r="D1164" s="80"/>
      <c r="E1164" s="80"/>
      <c r="F1164" s="80"/>
      <c r="G1164" s="80"/>
      <c r="H1164" s="80"/>
      <c r="I1164" s="80"/>
      <c r="J1164" s="80"/>
      <c r="K1164" s="80"/>
      <c r="L1164" s="2"/>
      <c r="M1164" s="2"/>
      <c r="N1164" s="2"/>
      <c r="O1164" s="2"/>
      <c r="P1164" s="2"/>
      <c r="Q1164" s="2"/>
      <c r="R1164" s="80"/>
      <c r="S1164" s="80"/>
      <c r="T1164" s="80"/>
      <c r="U1164" s="80"/>
      <c r="V1164" s="80"/>
      <c r="W1164" s="80"/>
      <c r="X1164" s="80"/>
      <c r="Y1164" s="80"/>
      <c r="Z1164" s="80"/>
      <c r="AA1164" s="80"/>
      <c r="AB1164" s="80"/>
      <c r="AC1164" s="80"/>
      <c r="AD1164" s="80"/>
      <c r="AE1164" s="80"/>
      <c r="AF1164" s="80"/>
      <c r="AG1164" s="80"/>
    </row>
    <row r="1165" spans="1:33" x14ac:dyDescent="0.2">
      <c r="A1165" s="2"/>
      <c r="B1165" s="80"/>
      <c r="C1165" s="80"/>
      <c r="D1165" s="80"/>
      <c r="E1165" s="80"/>
      <c r="F1165" s="80"/>
      <c r="G1165" s="80"/>
      <c r="H1165" s="80"/>
      <c r="I1165" s="80"/>
      <c r="J1165" s="80"/>
      <c r="K1165" s="80"/>
      <c r="L1165" s="2"/>
      <c r="M1165" s="2"/>
      <c r="N1165" s="2"/>
      <c r="O1165" s="2"/>
      <c r="P1165" s="2"/>
      <c r="Q1165" s="2"/>
      <c r="R1165" s="80"/>
      <c r="S1165" s="80"/>
      <c r="T1165" s="80"/>
      <c r="U1165" s="80"/>
      <c r="V1165" s="80"/>
      <c r="W1165" s="80"/>
      <c r="X1165" s="80"/>
      <c r="Y1165" s="80"/>
      <c r="Z1165" s="80"/>
      <c r="AA1165" s="80"/>
      <c r="AB1165" s="80"/>
      <c r="AC1165" s="80"/>
      <c r="AD1165" s="80"/>
      <c r="AE1165" s="80"/>
      <c r="AF1165" s="80"/>
      <c r="AG1165" s="80"/>
    </row>
    <row r="1166" spans="1:33" x14ac:dyDescent="0.2">
      <c r="A1166" s="2"/>
      <c r="B1166" s="80"/>
      <c r="C1166" s="80"/>
      <c r="D1166" s="80"/>
      <c r="E1166" s="80"/>
      <c r="F1166" s="80"/>
      <c r="G1166" s="80"/>
      <c r="H1166" s="80"/>
      <c r="I1166" s="80"/>
      <c r="J1166" s="80"/>
      <c r="K1166" s="80"/>
      <c r="L1166" s="2"/>
      <c r="M1166" s="2"/>
      <c r="N1166" s="2"/>
      <c r="O1166" s="2"/>
      <c r="P1166" s="2"/>
      <c r="Q1166" s="2"/>
      <c r="R1166" s="80"/>
      <c r="S1166" s="80"/>
      <c r="T1166" s="80"/>
      <c r="U1166" s="80"/>
      <c r="V1166" s="80"/>
      <c r="W1166" s="80"/>
      <c r="X1166" s="80"/>
      <c r="Y1166" s="80"/>
      <c r="Z1166" s="80"/>
      <c r="AA1166" s="80"/>
      <c r="AB1166" s="80"/>
      <c r="AC1166" s="80"/>
      <c r="AD1166" s="80"/>
      <c r="AE1166" s="80"/>
      <c r="AF1166" s="80"/>
      <c r="AG1166" s="80"/>
    </row>
    <row r="1167" spans="1:33" x14ac:dyDescent="0.2">
      <c r="A1167" s="2"/>
      <c r="B1167" s="80"/>
      <c r="C1167" s="80"/>
      <c r="D1167" s="80"/>
      <c r="E1167" s="80"/>
      <c r="F1167" s="80"/>
      <c r="G1167" s="80"/>
      <c r="H1167" s="80"/>
      <c r="I1167" s="80"/>
      <c r="J1167" s="80"/>
      <c r="K1167" s="80"/>
      <c r="L1167" s="2"/>
      <c r="M1167" s="2"/>
      <c r="N1167" s="2"/>
      <c r="O1167" s="2"/>
      <c r="P1167" s="2"/>
      <c r="Q1167" s="2"/>
      <c r="R1167" s="80"/>
      <c r="S1167" s="80"/>
      <c r="T1167" s="80"/>
      <c r="U1167" s="80"/>
      <c r="V1167" s="80"/>
      <c r="W1167" s="80"/>
      <c r="X1167" s="80"/>
      <c r="Y1167" s="80"/>
      <c r="Z1167" s="80"/>
      <c r="AA1167" s="80"/>
      <c r="AB1167" s="80"/>
      <c r="AC1167" s="80"/>
      <c r="AD1167" s="80"/>
      <c r="AE1167" s="80"/>
      <c r="AF1167" s="80"/>
      <c r="AG1167" s="80"/>
    </row>
    <row r="1168" spans="1:33" x14ac:dyDescent="0.2">
      <c r="A1168" s="2"/>
      <c r="B1168" s="80"/>
      <c r="C1168" s="80"/>
      <c r="D1168" s="80"/>
      <c r="E1168" s="80"/>
      <c r="F1168" s="80"/>
      <c r="G1168" s="80"/>
      <c r="H1168" s="80"/>
      <c r="I1168" s="80"/>
      <c r="J1168" s="80"/>
      <c r="K1168" s="80"/>
      <c r="L1168" s="2"/>
      <c r="M1168" s="2"/>
      <c r="N1168" s="2"/>
      <c r="O1168" s="2"/>
      <c r="P1168" s="2"/>
      <c r="Q1168" s="2"/>
      <c r="R1168" s="80"/>
      <c r="S1168" s="80"/>
      <c r="T1168" s="80"/>
      <c r="U1168" s="80"/>
      <c r="V1168" s="80"/>
      <c r="W1168" s="80"/>
      <c r="X1168" s="80"/>
      <c r="Y1168" s="80"/>
      <c r="Z1168" s="80"/>
      <c r="AA1168" s="80"/>
      <c r="AB1168" s="80"/>
      <c r="AC1168" s="80"/>
      <c r="AD1168" s="80"/>
      <c r="AE1168" s="80"/>
      <c r="AF1168" s="80"/>
      <c r="AG1168" s="80"/>
    </row>
    <row r="1169" spans="1:33" x14ac:dyDescent="0.2">
      <c r="A1169" s="2"/>
      <c r="B1169" s="80"/>
      <c r="C1169" s="80"/>
      <c r="D1169" s="80"/>
      <c r="E1169" s="80"/>
      <c r="F1169" s="80"/>
      <c r="G1169" s="80"/>
      <c r="H1169" s="80"/>
      <c r="I1169" s="80"/>
      <c r="J1169" s="80"/>
      <c r="K1169" s="80"/>
      <c r="L1169" s="2"/>
      <c r="M1169" s="2"/>
      <c r="N1169" s="2"/>
      <c r="O1169" s="2"/>
      <c r="P1169" s="2"/>
      <c r="Q1169" s="2"/>
      <c r="R1169" s="80"/>
      <c r="S1169" s="80"/>
      <c r="T1169" s="80"/>
      <c r="U1169" s="80"/>
      <c r="V1169" s="80"/>
      <c r="W1169" s="80"/>
      <c r="X1169" s="80"/>
      <c r="Y1169" s="80"/>
      <c r="Z1169" s="80"/>
      <c r="AA1169" s="80"/>
      <c r="AB1169" s="80"/>
      <c r="AC1169" s="80"/>
      <c r="AD1169" s="80"/>
      <c r="AE1169" s="80"/>
      <c r="AF1169" s="80"/>
      <c r="AG1169" s="80"/>
    </row>
    <row r="1170" spans="1:33" x14ac:dyDescent="0.2">
      <c r="A1170" s="2"/>
      <c r="B1170" s="80"/>
      <c r="C1170" s="80"/>
      <c r="D1170" s="80"/>
      <c r="E1170" s="80"/>
      <c r="F1170" s="80"/>
      <c r="G1170" s="80"/>
      <c r="H1170" s="80"/>
      <c r="I1170" s="80"/>
      <c r="J1170" s="80"/>
      <c r="K1170" s="80"/>
      <c r="L1170" s="2"/>
      <c r="M1170" s="2"/>
      <c r="N1170" s="2"/>
      <c r="O1170" s="2"/>
      <c r="P1170" s="2"/>
      <c r="Q1170" s="2"/>
      <c r="R1170" s="80"/>
      <c r="S1170" s="80"/>
      <c r="T1170" s="80"/>
      <c r="U1170" s="80"/>
      <c r="V1170" s="80"/>
      <c r="W1170" s="80"/>
      <c r="X1170" s="80"/>
      <c r="Y1170" s="80"/>
      <c r="Z1170" s="80"/>
      <c r="AA1170" s="80"/>
      <c r="AB1170" s="80"/>
      <c r="AC1170" s="80"/>
      <c r="AD1170" s="80"/>
      <c r="AE1170" s="80"/>
      <c r="AF1170" s="80"/>
      <c r="AG1170" s="80"/>
    </row>
    <row r="1171" spans="1:33" x14ac:dyDescent="0.2">
      <c r="A1171" s="2"/>
      <c r="B1171" s="80"/>
      <c r="C1171" s="80"/>
      <c r="D1171" s="80"/>
      <c r="E1171" s="80"/>
      <c r="F1171" s="80"/>
      <c r="G1171" s="80"/>
      <c r="H1171" s="80"/>
      <c r="I1171" s="80"/>
      <c r="J1171" s="80"/>
      <c r="K1171" s="80"/>
      <c r="L1171" s="2"/>
      <c r="M1171" s="2"/>
      <c r="N1171" s="2"/>
      <c r="O1171" s="2"/>
      <c r="P1171" s="2"/>
      <c r="Q1171" s="2"/>
      <c r="R1171" s="80"/>
      <c r="S1171" s="80"/>
      <c r="T1171" s="80"/>
      <c r="U1171" s="80"/>
      <c r="V1171" s="80"/>
      <c r="W1171" s="80"/>
      <c r="X1171" s="80"/>
      <c r="Y1171" s="80"/>
      <c r="Z1171" s="80"/>
      <c r="AA1171" s="80"/>
      <c r="AB1171" s="80"/>
      <c r="AC1171" s="80"/>
      <c r="AD1171" s="80"/>
      <c r="AE1171" s="80"/>
      <c r="AF1171" s="80"/>
      <c r="AG1171" s="80"/>
    </row>
    <row r="1172" spans="1:33" x14ac:dyDescent="0.2">
      <c r="A1172" s="2"/>
      <c r="B1172" s="80"/>
      <c r="C1172" s="80"/>
      <c r="D1172" s="80"/>
      <c r="E1172" s="80"/>
      <c r="F1172" s="80"/>
      <c r="G1172" s="80"/>
      <c r="H1172" s="80"/>
      <c r="I1172" s="80"/>
      <c r="J1172" s="80"/>
      <c r="K1172" s="80"/>
      <c r="L1172" s="2"/>
      <c r="M1172" s="2"/>
      <c r="N1172" s="2"/>
      <c r="O1172" s="2"/>
      <c r="P1172" s="2"/>
      <c r="Q1172" s="2"/>
      <c r="R1172" s="80"/>
      <c r="S1172" s="80"/>
      <c r="T1172" s="80"/>
      <c r="U1172" s="80"/>
      <c r="V1172" s="80"/>
      <c r="W1172" s="80"/>
      <c r="X1172" s="80"/>
      <c r="Y1172" s="80"/>
      <c r="Z1172" s="80"/>
      <c r="AA1172" s="80"/>
      <c r="AB1172" s="80"/>
      <c r="AC1172" s="80"/>
      <c r="AD1172" s="80"/>
      <c r="AE1172" s="80"/>
      <c r="AF1172" s="80"/>
      <c r="AG1172" s="80"/>
    </row>
    <row r="1173" spans="1:33" x14ac:dyDescent="0.2">
      <c r="A1173" s="2"/>
      <c r="B1173" s="80"/>
      <c r="C1173" s="80"/>
      <c r="D1173" s="80"/>
      <c r="E1173" s="80"/>
      <c r="F1173" s="80"/>
      <c r="G1173" s="80"/>
      <c r="H1173" s="80"/>
      <c r="I1173" s="80"/>
      <c r="J1173" s="80"/>
      <c r="K1173" s="80"/>
      <c r="L1173" s="2"/>
      <c r="M1173" s="2"/>
      <c r="N1173" s="2"/>
      <c r="O1173" s="2"/>
      <c r="P1173" s="2"/>
      <c r="Q1173" s="2"/>
      <c r="R1173" s="80"/>
      <c r="S1173" s="80"/>
      <c r="T1173" s="80"/>
      <c r="U1173" s="80"/>
      <c r="V1173" s="80"/>
      <c r="W1173" s="80"/>
      <c r="X1173" s="80"/>
      <c r="Y1173" s="80"/>
      <c r="Z1173" s="80"/>
      <c r="AA1173" s="80"/>
      <c r="AB1173" s="80"/>
      <c r="AC1173" s="80"/>
      <c r="AD1173" s="80"/>
      <c r="AE1173" s="80"/>
      <c r="AF1173" s="80"/>
      <c r="AG1173" s="80"/>
    </row>
    <row r="1174" spans="1:33" x14ac:dyDescent="0.2">
      <c r="A1174" s="2"/>
      <c r="B1174" s="80"/>
      <c r="C1174" s="80"/>
      <c r="D1174" s="80"/>
      <c r="E1174" s="80"/>
      <c r="F1174" s="80"/>
      <c r="G1174" s="80"/>
      <c r="H1174" s="80"/>
      <c r="I1174" s="80"/>
      <c r="J1174" s="80"/>
      <c r="K1174" s="80"/>
      <c r="L1174" s="2"/>
      <c r="M1174" s="2"/>
      <c r="N1174" s="2"/>
      <c r="O1174" s="2"/>
      <c r="P1174" s="2"/>
      <c r="Q1174" s="2"/>
      <c r="R1174" s="80"/>
      <c r="S1174" s="80"/>
      <c r="T1174" s="80"/>
      <c r="U1174" s="80"/>
      <c r="V1174" s="80"/>
      <c r="W1174" s="80"/>
      <c r="X1174" s="80"/>
      <c r="Y1174" s="80"/>
      <c r="Z1174" s="80"/>
      <c r="AA1174" s="80"/>
      <c r="AB1174" s="80"/>
      <c r="AC1174" s="80"/>
      <c r="AD1174" s="80"/>
      <c r="AE1174" s="80"/>
      <c r="AF1174" s="80"/>
      <c r="AG1174" s="80"/>
    </row>
    <row r="1175" spans="1:33" x14ac:dyDescent="0.2">
      <c r="A1175" s="2"/>
      <c r="B1175" s="80"/>
      <c r="C1175" s="80"/>
      <c r="D1175" s="80"/>
      <c r="E1175" s="80"/>
      <c r="F1175" s="80"/>
      <c r="G1175" s="80"/>
      <c r="H1175" s="80"/>
      <c r="I1175" s="80"/>
      <c r="J1175" s="80"/>
      <c r="K1175" s="80"/>
      <c r="L1175" s="2"/>
      <c r="M1175" s="2"/>
      <c r="N1175" s="2"/>
      <c r="O1175" s="2"/>
      <c r="P1175" s="2"/>
      <c r="Q1175" s="2"/>
      <c r="R1175" s="80"/>
      <c r="S1175" s="80"/>
      <c r="T1175" s="80"/>
      <c r="U1175" s="80"/>
      <c r="V1175" s="80"/>
      <c r="W1175" s="80"/>
      <c r="X1175" s="80"/>
      <c r="Y1175" s="80"/>
      <c r="Z1175" s="80"/>
      <c r="AA1175" s="80"/>
      <c r="AB1175" s="80"/>
      <c r="AC1175" s="80"/>
      <c r="AD1175" s="80"/>
      <c r="AE1175" s="80"/>
      <c r="AF1175" s="80"/>
      <c r="AG1175" s="80"/>
    </row>
    <row r="1176" spans="1:33" x14ac:dyDescent="0.2">
      <c r="A1176" s="2"/>
      <c r="B1176" s="80"/>
      <c r="C1176" s="80"/>
      <c r="D1176" s="80"/>
      <c r="E1176" s="80"/>
      <c r="F1176" s="80"/>
      <c r="G1176" s="80"/>
      <c r="H1176" s="80"/>
      <c r="I1176" s="80"/>
      <c r="J1176" s="80"/>
      <c r="K1176" s="80"/>
      <c r="L1176" s="2"/>
      <c r="M1176" s="2"/>
      <c r="N1176" s="2"/>
      <c r="O1176" s="2"/>
      <c r="P1176" s="2"/>
      <c r="Q1176" s="2"/>
      <c r="R1176" s="80"/>
      <c r="S1176" s="80"/>
      <c r="T1176" s="80"/>
      <c r="U1176" s="80"/>
      <c r="V1176" s="80"/>
      <c r="W1176" s="80"/>
      <c r="X1176" s="80"/>
      <c r="Y1176" s="80"/>
      <c r="Z1176" s="80"/>
      <c r="AA1176" s="80"/>
      <c r="AB1176" s="80"/>
      <c r="AC1176" s="80"/>
      <c r="AD1176" s="80"/>
      <c r="AE1176" s="80"/>
      <c r="AF1176" s="80"/>
      <c r="AG1176" s="80"/>
    </row>
    <row r="1177" spans="1:33" x14ac:dyDescent="0.2">
      <c r="A1177" s="2"/>
      <c r="B1177" s="80"/>
      <c r="C1177" s="80"/>
      <c r="D1177" s="80"/>
      <c r="E1177" s="80"/>
      <c r="F1177" s="80"/>
      <c r="G1177" s="80"/>
      <c r="H1177" s="80"/>
      <c r="I1177" s="80"/>
      <c r="J1177" s="80"/>
      <c r="K1177" s="80"/>
      <c r="L1177" s="2"/>
      <c r="M1177" s="2"/>
      <c r="N1177" s="2"/>
      <c r="O1177" s="2"/>
      <c r="P1177" s="2"/>
      <c r="Q1177" s="2"/>
      <c r="R1177" s="80"/>
      <c r="S1177" s="80"/>
      <c r="T1177" s="80"/>
      <c r="U1177" s="80"/>
      <c r="V1177" s="80"/>
      <c r="W1177" s="80"/>
      <c r="X1177" s="80"/>
      <c r="Y1177" s="80"/>
      <c r="Z1177" s="80"/>
      <c r="AA1177" s="80"/>
      <c r="AB1177" s="80"/>
      <c r="AC1177" s="80"/>
      <c r="AD1177" s="80"/>
      <c r="AE1177" s="80"/>
      <c r="AF1177" s="80"/>
      <c r="AG1177" s="80"/>
    </row>
    <row r="1178" spans="1:33" x14ac:dyDescent="0.2">
      <c r="A1178" s="2"/>
      <c r="B1178" s="80"/>
      <c r="C1178" s="80"/>
      <c r="D1178" s="80"/>
      <c r="E1178" s="80"/>
      <c r="F1178" s="80"/>
      <c r="G1178" s="80"/>
      <c r="H1178" s="80"/>
      <c r="I1178" s="80"/>
      <c r="J1178" s="80"/>
      <c r="K1178" s="80"/>
      <c r="L1178" s="2"/>
      <c r="M1178" s="2"/>
      <c r="N1178" s="2"/>
      <c r="O1178" s="2"/>
      <c r="P1178" s="2"/>
      <c r="Q1178" s="2"/>
      <c r="R1178" s="80"/>
      <c r="S1178" s="80"/>
      <c r="T1178" s="80"/>
      <c r="U1178" s="80"/>
      <c r="V1178" s="80"/>
      <c r="W1178" s="80"/>
      <c r="X1178" s="80"/>
      <c r="Y1178" s="80"/>
      <c r="Z1178" s="80"/>
      <c r="AA1178" s="80"/>
      <c r="AB1178" s="80"/>
      <c r="AC1178" s="80"/>
      <c r="AD1178" s="80"/>
      <c r="AE1178" s="80"/>
      <c r="AF1178" s="80"/>
      <c r="AG1178" s="80"/>
    </row>
    <row r="1179" spans="1:33" x14ac:dyDescent="0.2">
      <c r="A1179" s="2"/>
      <c r="B1179" s="80"/>
      <c r="C1179" s="80"/>
      <c r="D1179" s="80"/>
      <c r="E1179" s="80"/>
      <c r="F1179" s="80"/>
      <c r="G1179" s="80"/>
      <c r="H1179" s="80"/>
      <c r="I1179" s="80"/>
      <c r="J1179" s="80"/>
      <c r="K1179" s="80"/>
      <c r="L1179" s="2"/>
      <c r="M1179" s="2"/>
      <c r="N1179" s="2"/>
      <c r="O1179" s="2"/>
      <c r="P1179" s="2"/>
      <c r="Q1179" s="2"/>
      <c r="R1179" s="80"/>
      <c r="S1179" s="80"/>
      <c r="T1179" s="80"/>
      <c r="U1179" s="80"/>
      <c r="V1179" s="80"/>
      <c r="W1179" s="80"/>
      <c r="X1179" s="80"/>
      <c r="Y1179" s="80"/>
      <c r="Z1179" s="80"/>
      <c r="AA1179" s="80"/>
      <c r="AB1179" s="80"/>
      <c r="AC1179" s="80"/>
      <c r="AD1179" s="80"/>
      <c r="AE1179" s="80"/>
      <c r="AF1179" s="80"/>
      <c r="AG1179" s="80"/>
    </row>
    <row r="1180" spans="1:33" x14ac:dyDescent="0.2">
      <c r="A1180" s="2"/>
      <c r="B1180" s="80"/>
      <c r="C1180" s="80"/>
      <c r="D1180" s="80"/>
      <c r="E1180" s="80"/>
      <c r="F1180" s="80"/>
      <c r="G1180" s="80"/>
      <c r="H1180" s="80"/>
      <c r="I1180" s="80"/>
      <c r="J1180" s="80"/>
      <c r="K1180" s="80"/>
      <c r="L1180" s="2"/>
      <c r="M1180" s="2"/>
      <c r="N1180" s="2"/>
      <c r="O1180" s="2"/>
      <c r="P1180" s="2"/>
      <c r="Q1180" s="2"/>
      <c r="R1180" s="80"/>
      <c r="S1180" s="80"/>
      <c r="T1180" s="80"/>
      <c r="U1180" s="80"/>
      <c r="V1180" s="80"/>
      <c r="W1180" s="80"/>
      <c r="X1180" s="80"/>
      <c r="Y1180" s="80"/>
      <c r="Z1180" s="80"/>
      <c r="AA1180" s="80"/>
      <c r="AB1180" s="80"/>
      <c r="AC1180" s="80"/>
      <c r="AD1180" s="80"/>
      <c r="AE1180" s="80"/>
      <c r="AF1180" s="80"/>
      <c r="AG1180" s="80"/>
    </row>
    <row r="1181" spans="1:33" x14ac:dyDescent="0.2">
      <c r="A1181" s="2"/>
      <c r="B1181" s="80"/>
      <c r="C1181" s="80"/>
      <c r="D1181" s="80"/>
      <c r="E1181" s="80"/>
      <c r="F1181" s="80"/>
      <c r="G1181" s="80"/>
      <c r="H1181" s="80"/>
      <c r="I1181" s="80"/>
      <c r="J1181" s="80"/>
      <c r="K1181" s="80"/>
      <c r="L1181" s="2"/>
      <c r="M1181" s="2"/>
      <c r="N1181" s="2"/>
      <c r="O1181" s="2"/>
      <c r="P1181" s="2"/>
      <c r="Q1181" s="2"/>
      <c r="R1181" s="80"/>
      <c r="S1181" s="80"/>
      <c r="T1181" s="80"/>
      <c r="U1181" s="80"/>
      <c r="V1181" s="80"/>
      <c r="W1181" s="80"/>
      <c r="X1181" s="80"/>
      <c r="Y1181" s="80"/>
      <c r="Z1181" s="80"/>
      <c r="AA1181" s="80"/>
      <c r="AB1181" s="80"/>
      <c r="AC1181" s="80"/>
      <c r="AD1181" s="80"/>
      <c r="AE1181" s="80"/>
      <c r="AF1181" s="80"/>
      <c r="AG1181" s="80"/>
    </row>
    <row r="1182" spans="1:33" x14ac:dyDescent="0.2">
      <c r="A1182" s="2"/>
      <c r="B1182" s="80"/>
      <c r="C1182" s="80"/>
      <c r="D1182" s="80"/>
      <c r="E1182" s="80"/>
      <c r="F1182" s="80"/>
      <c r="G1182" s="80"/>
      <c r="H1182" s="80"/>
      <c r="I1182" s="80"/>
      <c r="J1182" s="80"/>
      <c r="K1182" s="80"/>
      <c r="L1182" s="2"/>
      <c r="M1182" s="2"/>
      <c r="N1182" s="2"/>
      <c r="O1182" s="2"/>
      <c r="P1182" s="2"/>
      <c r="Q1182" s="2"/>
      <c r="R1182" s="80"/>
      <c r="S1182" s="80"/>
      <c r="T1182" s="80"/>
      <c r="U1182" s="80"/>
      <c r="V1182" s="80"/>
      <c r="W1182" s="80"/>
      <c r="X1182" s="80"/>
      <c r="Y1182" s="80"/>
      <c r="Z1182" s="80"/>
      <c r="AA1182" s="80"/>
      <c r="AB1182" s="80"/>
      <c r="AC1182" s="80"/>
      <c r="AD1182" s="80"/>
      <c r="AE1182" s="80"/>
      <c r="AF1182" s="80"/>
      <c r="AG1182" s="80"/>
    </row>
    <row r="1183" spans="1:33" x14ac:dyDescent="0.2">
      <c r="A1183" s="2"/>
      <c r="B1183" s="80"/>
      <c r="C1183" s="80"/>
      <c r="D1183" s="80"/>
      <c r="E1183" s="80"/>
      <c r="F1183" s="80"/>
      <c r="G1183" s="80"/>
      <c r="H1183" s="80"/>
      <c r="I1183" s="80"/>
      <c r="J1183" s="80"/>
      <c r="K1183" s="80"/>
      <c r="L1183" s="2"/>
      <c r="M1183" s="2"/>
      <c r="N1183" s="2"/>
      <c r="O1183" s="2"/>
      <c r="P1183" s="2"/>
      <c r="Q1183" s="2"/>
      <c r="R1183" s="80"/>
      <c r="S1183" s="80"/>
      <c r="T1183" s="80"/>
      <c r="U1183" s="80"/>
      <c r="V1183" s="80"/>
      <c r="W1183" s="80"/>
      <c r="X1183" s="80"/>
      <c r="Y1183" s="80"/>
      <c r="Z1183" s="80"/>
      <c r="AA1183" s="80"/>
      <c r="AB1183" s="80"/>
      <c r="AC1183" s="80"/>
      <c r="AD1183" s="80"/>
      <c r="AE1183" s="80"/>
      <c r="AF1183" s="80"/>
      <c r="AG1183" s="80"/>
    </row>
    <row r="1184" spans="1:33" x14ac:dyDescent="0.2">
      <c r="A1184" s="2"/>
      <c r="B1184" s="80"/>
      <c r="C1184" s="80"/>
      <c r="D1184" s="80"/>
      <c r="E1184" s="80"/>
      <c r="F1184" s="80"/>
      <c r="G1184" s="80"/>
      <c r="H1184" s="80"/>
      <c r="I1184" s="80"/>
      <c r="J1184" s="80"/>
      <c r="K1184" s="80"/>
      <c r="L1184" s="2"/>
      <c r="M1184" s="2"/>
      <c r="N1184" s="2"/>
      <c r="O1184" s="2"/>
      <c r="P1184" s="2"/>
      <c r="Q1184" s="2"/>
      <c r="R1184" s="80"/>
      <c r="S1184" s="80"/>
      <c r="T1184" s="80"/>
      <c r="U1184" s="80"/>
      <c r="V1184" s="80"/>
      <c r="W1184" s="80"/>
      <c r="X1184" s="80"/>
      <c r="Y1184" s="80"/>
      <c r="Z1184" s="80"/>
      <c r="AA1184" s="80"/>
      <c r="AB1184" s="80"/>
      <c r="AC1184" s="80"/>
      <c r="AD1184" s="80"/>
      <c r="AE1184" s="80"/>
      <c r="AF1184" s="80"/>
      <c r="AG1184" s="80"/>
    </row>
    <row r="1185" spans="1:33" x14ac:dyDescent="0.2">
      <c r="A1185" s="2"/>
      <c r="B1185" s="80"/>
      <c r="C1185" s="80"/>
      <c r="D1185" s="80"/>
      <c r="E1185" s="80"/>
      <c r="F1185" s="80"/>
      <c r="G1185" s="80"/>
      <c r="H1185" s="80"/>
      <c r="I1185" s="80"/>
      <c r="J1185" s="80"/>
      <c r="K1185" s="80"/>
      <c r="L1185" s="2"/>
      <c r="M1185" s="2"/>
      <c r="N1185" s="2"/>
      <c r="O1185" s="2"/>
      <c r="P1185" s="2"/>
      <c r="Q1185" s="2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E1185" s="80"/>
      <c r="AF1185" s="80"/>
      <c r="AG1185" s="80"/>
    </row>
    <row r="1186" spans="1:33" x14ac:dyDescent="0.2">
      <c r="A1186" s="2"/>
      <c r="B1186" s="80"/>
      <c r="C1186" s="80"/>
      <c r="D1186" s="80"/>
      <c r="E1186" s="80"/>
      <c r="F1186" s="80"/>
      <c r="G1186" s="80"/>
      <c r="H1186" s="80"/>
      <c r="I1186" s="80"/>
      <c r="J1186" s="80"/>
      <c r="K1186" s="80"/>
      <c r="L1186" s="2"/>
      <c r="M1186" s="2"/>
      <c r="N1186" s="2"/>
      <c r="O1186" s="2"/>
      <c r="P1186" s="2"/>
      <c r="Q1186" s="2"/>
      <c r="R1186" s="80"/>
      <c r="S1186" s="80"/>
      <c r="T1186" s="80"/>
      <c r="U1186" s="80"/>
      <c r="V1186" s="80"/>
      <c r="W1186" s="80"/>
      <c r="X1186" s="80"/>
      <c r="Y1186" s="80"/>
      <c r="Z1186" s="80"/>
      <c r="AA1186" s="80"/>
      <c r="AB1186" s="80"/>
      <c r="AC1186" s="80"/>
      <c r="AD1186" s="80"/>
      <c r="AE1186" s="80"/>
      <c r="AF1186" s="80"/>
      <c r="AG1186" s="80"/>
    </row>
    <row r="1187" spans="1:33" x14ac:dyDescent="0.2">
      <c r="A1187" s="2"/>
      <c r="B1187" s="80"/>
      <c r="C1187" s="80"/>
      <c r="D1187" s="80"/>
      <c r="E1187" s="80"/>
      <c r="F1187" s="80"/>
      <c r="G1187" s="80"/>
      <c r="H1187" s="80"/>
      <c r="I1187" s="80"/>
      <c r="J1187" s="80"/>
      <c r="K1187" s="80"/>
      <c r="L1187" s="2"/>
      <c r="M1187" s="2"/>
      <c r="N1187" s="2"/>
      <c r="O1187" s="2"/>
      <c r="P1187" s="2"/>
      <c r="Q1187" s="2"/>
      <c r="R1187" s="80"/>
      <c r="S1187" s="80"/>
      <c r="T1187" s="80"/>
      <c r="U1187" s="80"/>
      <c r="V1187" s="80"/>
      <c r="W1187" s="80"/>
      <c r="X1187" s="80"/>
      <c r="Y1187" s="80"/>
      <c r="Z1187" s="80"/>
      <c r="AA1187" s="80"/>
      <c r="AB1187" s="80"/>
      <c r="AC1187" s="80"/>
      <c r="AD1187" s="80"/>
      <c r="AE1187" s="80"/>
      <c r="AF1187" s="80"/>
      <c r="AG1187" s="80"/>
    </row>
    <row r="1188" spans="1:33" x14ac:dyDescent="0.2">
      <c r="A1188" s="2"/>
      <c r="B1188" s="80"/>
      <c r="C1188" s="80"/>
      <c r="D1188" s="80"/>
      <c r="E1188" s="80"/>
      <c r="F1188" s="80"/>
      <c r="G1188" s="80"/>
      <c r="H1188" s="80"/>
      <c r="I1188" s="80"/>
      <c r="J1188" s="80"/>
      <c r="K1188" s="80"/>
      <c r="L1188" s="2"/>
      <c r="M1188" s="2"/>
      <c r="N1188" s="2"/>
      <c r="O1188" s="2"/>
      <c r="P1188" s="2"/>
      <c r="Q1188" s="2"/>
      <c r="R1188" s="80"/>
      <c r="S1188" s="80"/>
      <c r="T1188" s="80"/>
      <c r="U1188" s="80"/>
      <c r="V1188" s="80"/>
      <c r="W1188" s="80"/>
      <c r="X1188" s="80"/>
      <c r="Y1188" s="80"/>
      <c r="Z1188" s="80"/>
      <c r="AA1188" s="80"/>
      <c r="AB1188" s="80"/>
      <c r="AC1188" s="80"/>
      <c r="AD1188" s="80"/>
      <c r="AE1188" s="80"/>
      <c r="AF1188" s="80"/>
      <c r="AG1188" s="80"/>
    </row>
    <row r="1189" spans="1:33" x14ac:dyDescent="0.2">
      <c r="A1189" s="2"/>
      <c r="B1189" s="80"/>
      <c r="C1189" s="80"/>
      <c r="D1189" s="80"/>
      <c r="E1189" s="80"/>
      <c r="F1189" s="80"/>
      <c r="G1189" s="80"/>
      <c r="H1189" s="80"/>
      <c r="I1189" s="80"/>
      <c r="J1189" s="80"/>
      <c r="K1189" s="80"/>
      <c r="L1189" s="2"/>
      <c r="M1189" s="2"/>
      <c r="N1189" s="2"/>
      <c r="O1189" s="2"/>
      <c r="P1189" s="2"/>
      <c r="Q1189" s="2"/>
      <c r="R1189" s="80"/>
      <c r="S1189" s="80"/>
      <c r="T1189" s="80"/>
      <c r="U1189" s="80"/>
      <c r="V1189" s="80"/>
      <c r="W1189" s="80"/>
      <c r="X1189" s="80"/>
      <c r="Y1189" s="80"/>
      <c r="Z1189" s="80"/>
      <c r="AA1189" s="80"/>
      <c r="AB1189" s="80"/>
      <c r="AC1189" s="80"/>
      <c r="AD1189" s="80"/>
      <c r="AE1189" s="80"/>
      <c r="AF1189" s="80"/>
      <c r="AG1189" s="80"/>
    </row>
    <row r="1190" spans="1:33" x14ac:dyDescent="0.2">
      <c r="A1190" s="2"/>
      <c r="B1190" s="80"/>
      <c r="C1190" s="80"/>
      <c r="D1190" s="80"/>
      <c r="E1190" s="80"/>
      <c r="F1190" s="80"/>
      <c r="G1190" s="80"/>
      <c r="H1190" s="80"/>
      <c r="I1190" s="80"/>
      <c r="J1190" s="80"/>
      <c r="K1190" s="80"/>
      <c r="L1190" s="2"/>
      <c r="M1190" s="2"/>
      <c r="N1190" s="2"/>
      <c r="O1190" s="2"/>
      <c r="P1190" s="2"/>
      <c r="Q1190" s="2"/>
      <c r="R1190" s="80"/>
      <c r="S1190" s="80"/>
      <c r="T1190" s="80"/>
      <c r="U1190" s="80"/>
      <c r="V1190" s="80"/>
      <c r="W1190" s="80"/>
      <c r="X1190" s="80"/>
      <c r="Y1190" s="80"/>
      <c r="Z1190" s="80"/>
      <c r="AA1190" s="80"/>
      <c r="AB1190" s="80"/>
      <c r="AC1190" s="80"/>
      <c r="AD1190" s="80"/>
      <c r="AE1190" s="80"/>
      <c r="AF1190" s="80"/>
      <c r="AG1190" s="80"/>
    </row>
    <row r="1191" spans="1:33" x14ac:dyDescent="0.2">
      <c r="A1191" s="2"/>
      <c r="B1191" s="80"/>
      <c r="C1191" s="80"/>
      <c r="D1191" s="80"/>
      <c r="E1191" s="80"/>
      <c r="F1191" s="80"/>
      <c r="G1191" s="80"/>
      <c r="H1191" s="80"/>
      <c r="I1191" s="80"/>
      <c r="J1191" s="80"/>
      <c r="K1191" s="80"/>
      <c r="L1191" s="2"/>
      <c r="M1191" s="2"/>
      <c r="N1191" s="2"/>
      <c r="O1191" s="2"/>
      <c r="P1191" s="2"/>
      <c r="Q1191" s="2"/>
      <c r="R1191" s="80"/>
      <c r="S1191" s="80"/>
      <c r="T1191" s="80"/>
      <c r="U1191" s="80"/>
      <c r="V1191" s="80"/>
      <c r="W1191" s="80"/>
      <c r="X1191" s="80"/>
      <c r="Y1191" s="80"/>
      <c r="Z1191" s="80"/>
      <c r="AA1191" s="80"/>
      <c r="AB1191" s="80"/>
      <c r="AC1191" s="80"/>
      <c r="AD1191" s="80"/>
      <c r="AE1191" s="80"/>
      <c r="AF1191" s="80"/>
      <c r="AG1191" s="80"/>
    </row>
    <row r="1192" spans="1:33" x14ac:dyDescent="0.2">
      <c r="A1192" s="2"/>
      <c r="B1192" s="80"/>
      <c r="C1192" s="80"/>
      <c r="D1192" s="80"/>
      <c r="E1192" s="80"/>
      <c r="F1192" s="80"/>
      <c r="G1192" s="80"/>
      <c r="H1192" s="80"/>
      <c r="I1192" s="80"/>
      <c r="J1192" s="80"/>
      <c r="K1192" s="80"/>
      <c r="L1192" s="2"/>
      <c r="M1192" s="2"/>
      <c r="N1192" s="2"/>
      <c r="O1192" s="2"/>
      <c r="P1192" s="2"/>
      <c r="Q1192" s="2"/>
      <c r="R1192" s="80"/>
      <c r="S1192" s="80"/>
      <c r="T1192" s="80"/>
      <c r="U1192" s="80"/>
      <c r="V1192" s="80"/>
      <c r="W1192" s="80"/>
      <c r="X1192" s="80"/>
      <c r="Y1192" s="80"/>
      <c r="Z1192" s="80"/>
      <c r="AA1192" s="80"/>
      <c r="AB1192" s="80"/>
      <c r="AC1192" s="80"/>
      <c r="AD1192" s="80"/>
      <c r="AE1192" s="80"/>
      <c r="AF1192" s="80"/>
      <c r="AG1192" s="80"/>
    </row>
    <row r="1193" spans="1:33" x14ac:dyDescent="0.2">
      <c r="A1193" s="2"/>
      <c r="B1193" s="80"/>
      <c r="C1193" s="80"/>
      <c r="D1193" s="80"/>
      <c r="E1193" s="80"/>
      <c r="F1193" s="80"/>
      <c r="G1193" s="80"/>
      <c r="H1193" s="80"/>
      <c r="I1193" s="80"/>
      <c r="J1193" s="80"/>
      <c r="K1193" s="80"/>
      <c r="L1193" s="2"/>
      <c r="M1193" s="2"/>
      <c r="N1193" s="2"/>
      <c r="O1193" s="2"/>
      <c r="P1193" s="2"/>
      <c r="Q1193" s="2"/>
      <c r="R1193" s="80"/>
      <c r="S1193" s="80"/>
      <c r="T1193" s="80"/>
      <c r="U1193" s="80"/>
      <c r="V1193" s="80"/>
      <c r="W1193" s="80"/>
      <c r="X1193" s="80"/>
      <c r="Y1193" s="80"/>
      <c r="Z1193" s="80"/>
      <c r="AA1193" s="80"/>
      <c r="AB1193" s="80"/>
      <c r="AC1193" s="80"/>
      <c r="AD1193" s="80"/>
      <c r="AE1193" s="80"/>
      <c r="AF1193" s="80"/>
      <c r="AG1193" s="80"/>
    </row>
    <row r="1194" spans="1:33" x14ac:dyDescent="0.2">
      <c r="A1194" s="2"/>
      <c r="B1194" s="80"/>
      <c r="C1194" s="80"/>
      <c r="D1194" s="80"/>
      <c r="E1194" s="80"/>
      <c r="F1194" s="80"/>
      <c r="G1194" s="80"/>
      <c r="H1194" s="80"/>
      <c r="I1194" s="80"/>
      <c r="J1194" s="80"/>
      <c r="K1194" s="80"/>
      <c r="L1194" s="2"/>
      <c r="M1194" s="2"/>
      <c r="N1194" s="2"/>
      <c r="O1194" s="2"/>
      <c r="P1194" s="2"/>
      <c r="Q1194" s="2"/>
      <c r="R1194" s="80"/>
      <c r="S1194" s="80"/>
      <c r="T1194" s="80"/>
      <c r="U1194" s="80"/>
      <c r="V1194" s="80"/>
      <c r="W1194" s="80"/>
      <c r="X1194" s="80"/>
      <c r="Y1194" s="80"/>
      <c r="Z1194" s="80"/>
      <c r="AA1194" s="80"/>
      <c r="AB1194" s="80"/>
      <c r="AC1194" s="80"/>
      <c r="AD1194" s="80"/>
      <c r="AE1194" s="80"/>
      <c r="AF1194" s="80"/>
      <c r="AG1194" s="80"/>
    </row>
    <row r="1195" spans="1:33" x14ac:dyDescent="0.2">
      <c r="A1195" s="2"/>
      <c r="B1195" s="80"/>
      <c r="C1195" s="80"/>
      <c r="D1195" s="80"/>
      <c r="E1195" s="80"/>
      <c r="F1195" s="80"/>
      <c r="G1195" s="80"/>
      <c r="H1195" s="80"/>
      <c r="I1195" s="80"/>
      <c r="J1195" s="80"/>
      <c r="K1195" s="80"/>
      <c r="L1195" s="2"/>
      <c r="M1195" s="2"/>
      <c r="N1195" s="2"/>
      <c r="O1195" s="2"/>
      <c r="P1195" s="2"/>
      <c r="Q1195" s="2"/>
      <c r="R1195" s="80"/>
      <c r="S1195" s="80"/>
      <c r="T1195" s="80"/>
      <c r="U1195" s="80"/>
      <c r="V1195" s="80"/>
      <c r="W1195" s="80"/>
      <c r="X1195" s="80"/>
      <c r="Y1195" s="80"/>
      <c r="Z1195" s="80"/>
      <c r="AA1195" s="80"/>
      <c r="AB1195" s="80"/>
      <c r="AC1195" s="80"/>
      <c r="AD1195" s="80"/>
      <c r="AE1195" s="80"/>
      <c r="AF1195" s="80"/>
      <c r="AG1195" s="80"/>
    </row>
    <row r="1196" spans="1:33" x14ac:dyDescent="0.2">
      <c r="A1196" s="2"/>
      <c r="B1196" s="80"/>
      <c r="C1196" s="80"/>
      <c r="D1196" s="80"/>
      <c r="E1196" s="80"/>
      <c r="F1196" s="80"/>
      <c r="G1196" s="80"/>
      <c r="H1196" s="80"/>
      <c r="I1196" s="80"/>
      <c r="J1196" s="80"/>
      <c r="K1196" s="80"/>
      <c r="L1196" s="2"/>
      <c r="M1196" s="2"/>
      <c r="N1196" s="2"/>
      <c r="O1196" s="2"/>
      <c r="P1196" s="2"/>
      <c r="Q1196" s="2"/>
      <c r="R1196" s="80"/>
      <c r="S1196" s="80"/>
      <c r="T1196" s="80"/>
      <c r="U1196" s="80"/>
      <c r="V1196" s="80"/>
      <c r="W1196" s="80"/>
      <c r="X1196" s="80"/>
      <c r="Y1196" s="80"/>
      <c r="Z1196" s="80"/>
      <c r="AA1196" s="80"/>
      <c r="AB1196" s="80"/>
      <c r="AC1196" s="80"/>
      <c r="AD1196" s="80"/>
      <c r="AE1196" s="80"/>
      <c r="AF1196" s="80"/>
      <c r="AG1196" s="80"/>
    </row>
    <row r="1197" spans="1:33" x14ac:dyDescent="0.2">
      <c r="A1197" s="2"/>
      <c r="B1197" s="80"/>
      <c r="C1197" s="80"/>
      <c r="D1197" s="80"/>
      <c r="E1197" s="80"/>
      <c r="F1197" s="80"/>
      <c r="G1197" s="80"/>
      <c r="H1197" s="80"/>
      <c r="I1197" s="80"/>
      <c r="J1197" s="80"/>
      <c r="K1197" s="80"/>
      <c r="L1197" s="2"/>
      <c r="M1197" s="2"/>
      <c r="N1197" s="2"/>
      <c r="O1197" s="2"/>
      <c r="P1197" s="2"/>
      <c r="Q1197" s="2"/>
      <c r="R1197" s="80"/>
      <c r="S1197" s="80"/>
      <c r="T1197" s="80"/>
      <c r="U1197" s="80"/>
      <c r="V1197" s="80"/>
      <c r="W1197" s="80"/>
      <c r="X1197" s="80"/>
      <c r="Y1197" s="80"/>
      <c r="Z1197" s="80"/>
      <c r="AA1197" s="80"/>
      <c r="AB1197" s="80"/>
      <c r="AC1197" s="80"/>
      <c r="AD1197" s="80"/>
      <c r="AE1197" s="80"/>
      <c r="AF1197" s="80"/>
      <c r="AG1197" s="80"/>
    </row>
    <row r="1198" spans="1:33" x14ac:dyDescent="0.2">
      <c r="A1198" s="2"/>
      <c r="B1198" s="80"/>
      <c r="C1198" s="80"/>
      <c r="D1198" s="80"/>
      <c r="E1198" s="80"/>
      <c r="F1198" s="80"/>
      <c r="G1198" s="80"/>
      <c r="H1198" s="80"/>
      <c r="I1198" s="80"/>
      <c r="J1198" s="80"/>
      <c r="K1198" s="80"/>
      <c r="L1198" s="2"/>
      <c r="M1198" s="2"/>
      <c r="N1198" s="2"/>
      <c r="O1198" s="2"/>
      <c r="P1198" s="2"/>
      <c r="Q1198" s="2"/>
      <c r="R1198" s="80"/>
      <c r="S1198" s="80"/>
      <c r="T1198" s="80"/>
      <c r="U1198" s="80"/>
      <c r="V1198" s="80"/>
      <c r="W1198" s="80"/>
      <c r="X1198" s="80"/>
      <c r="Y1198" s="80"/>
      <c r="Z1198" s="80"/>
      <c r="AA1198" s="80"/>
      <c r="AB1198" s="80"/>
      <c r="AC1198" s="80"/>
      <c r="AD1198" s="80"/>
      <c r="AE1198" s="80"/>
      <c r="AF1198" s="80"/>
      <c r="AG1198" s="80"/>
    </row>
    <row r="1199" spans="1:33" x14ac:dyDescent="0.2">
      <c r="A1199" s="2"/>
      <c r="B1199" s="80"/>
      <c r="C1199" s="80"/>
      <c r="D1199" s="80"/>
      <c r="E1199" s="80"/>
      <c r="F1199" s="80"/>
      <c r="G1199" s="80"/>
      <c r="H1199" s="80"/>
      <c r="I1199" s="80"/>
      <c r="J1199" s="80"/>
      <c r="K1199" s="80"/>
      <c r="L1199" s="2"/>
      <c r="M1199" s="2"/>
      <c r="N1199" s="2"/>
      <c r="O1199" s="2"/>
      <c r="P1199" s="2"/>
      <c r="Q1199" s="2"/>
      <c r="R1199" s="80"/>
      <c r="S1199" s="80"/>
      <c r="T1199" s="80"/>
      <c r="U1199" s="80"/>
      <c r="V1199" s="80"/>
      <c r="W1199" s="80"/>
      <c r="X1199" s="80"/>
      <c r="Y1199" s="80"/>
      <c r="Z1199" s="80"/>
      <c r="AA1199" s="80"/>
      <c r="AB1199" s="80"/>
      <c r="AC1199" s="80"/>
      <c r="AD1199" s="80"/>
      <c r="AE1199" s="80"/>
      <c r="AF1199" s="80"/>
      <c r="AG1199" s="80"/>
    </row>
    <row r="1200" spans="1:33" x14ac:dyDescent="0.2">
      <c r="A1200" s="2"/>
      <c r="B1200" s="80"/>
      <c r="C1200" s="80"/>
      <c r="D1200" s="80"/>
      <c r="E1200" s="80"/>
      <c r="F1200" s="80"/>
      <c r="G1200" s="80"/>
      <c r="H1200" s="80"/>
      <c r="I1200" s="80"/>
      <c r="J1200" s="80"/>
      <c r="K1200" s="80"/>
      <c r="L1200" s="2"/>
      <c r="M1200" s="2"/>
      <c r="N1200" s="2"/>
      <c r="O1200" s="2"/>
      <c r="P1200" s="2"/>
      <c r="Q1200" s="2"/>
      <c r="R1200" s="80"/>
      <c r="S1200" s="80"/>
      <c r="T1200" s="80"/>
      <c r="U1200" s="80"/>
      <c r="V1200" s="80"/>
      <c r="W1200" s="80"/>
      <c r="X1200" s="80"/>
      <c r="Y1200" s="80"/>
      <c r="Z1200" s="80"/>
      <c r="AA1200" s="80"/>
      <c r="AB1200" s="80"/>
      <c r="AC1200" s="80"/>
      <c r="AD1200" s="80"/>
      <c r="AE1200" s="80"/>
      <c r="AF1200" s="80"/>
      <c r="AG1200" s="80"/>
    </row>
    <row r="1201" spans="1:33" x14ac:dyDescent="0.2">
      <c r="A1201" s="2"/>
      <c r="B1201" s="80"/>
      <c r="C1201" s="80"/>
      <c r="D1201" s="80"/>
      <c r="E1201" s="80"/>
      <c r="F1201" s="80"/>
      <c r="G1201" s="80"/>
      <c r="H1201" s="80"/>
      <c r="I1201" s="80"/>
      <c r="J1201" s="80"/>
      <c r="K1201" s="80"/>
      <c r="L1201" s="2"/>
      <c r="M1201" s="2"/>
      <c r="N1201" s="2"/>
      <c r="O1201" s="2"/>
      <c r="P1201" s="2"/>
      <c r="Q1201" s="2"/>
      <c r="R1201" s="80"/>
      <c r="S1201" s="80"/>
      <c r="T1201" s="80"/>
      <c r="U1201" s="80"/>
      <c r="V1201" s="80"/>
      <c r="W1201" s="80"/>
      <c r="X1201" s="80"/>
      <c r="Y1201" s="80"/>
      <c r="Z1201" s="80"/>
      <c r="AA1201" s="80"/>
      <c r="AB1201" s="80"/>
      <c r="AC1201" s="80"/>
      <c r="AD1201" s="80"/>
      <c r="AE1201" s="80"/>
      <c r="AF1201" s="80"/>
      <c r="AG1201" s="80"/>
    </row>
    <row r="1202" spans="1:33" x14ac:dyDescent="0.2">
      <c r="A1202" s="2"/>
      <c r="B1202" s="80"/>
      <c r="C1202" s="80"/>
      <c r="D1202" s="80"/>
      <c r="E1202" s="80"/>
      <c r="F1202" s="80"/>
      <c r="G1202" s="80"/>
      <c r="H1202" s="80"/>
      <c r="I1202" s="80"/>
      <c r="J1202" s="80"/>
      <c r="K1202" s="80"/>
      <c r="L1202" s="2"/>
      <c r="M1202" s="2"/>
      <c r="N1202" s="2"/>
      <c r="O1202" s="2"/>
      <c r="P1202" s="2"/>
      <c r="Q1202" s="2"/>
      <c r="R1202" s="80"/>
      <c r="S1202" s="80"/>
      <c r="T1202" s="80"/>
      <c r="U1202" s="80"/>
      <c r="V1202" s="80"/>
      <c r="W1202" s="80"/>
      <c r="X1202" s="80"/>
      <c r="Y1202" s="80"/>
      <c r="Z1202" s="80"/>
      <c r="AA1202" s="80"/>
      <c r="AB1202" s="80"/>
      <c r="AC1202" s="80"/>
      <c r="AD1202" s="80"/>
      <c r="AE1202" s="80"/>
      <c r="AF1202" s="80"/>
      <c r="AG1202" s="80"/>
    </row>
    <row r="1203" spans="1:33" x14ac:dyDescent="0.2">
      <c r="A1203" s="2"/>
      <c r="B1203" s="80"/>
      <c r="C1203" s="80"/>
      <c r="D1203" s="80"/>
      <c r="E1203" s="80"/>
      <c r="F1203" s="80"/>
      <c r="G1203" s="80"/>
      <c r="H1203" s="80"/>
      <c r="I1203" s="80"/>
      <c r="J1203" s="80"/>
      <c r="K1203" s="80"/>
      <c r="L1203" s="2"/>
      <c r="M1203" s="2"/>
      <c r="N1203" s="2"/>
      <c r="O1203" s="2"/>
      <c r="P1203" s="2"/>
      <c r="Q1203" s="2"/>
      <c r="R1203" s="80"/>
      <c r="S1203" s="80"/>
      <c r="T1203" s="80"/>
      <c r="U1203" s="80"/>
      <c r="V1203" s="80"/>
      <c r="W1203" s="80"/>
      <c r="X1203" s="80"/>
      <c r="Y1203" s="80"/>
      <c r="Z1203" s="80"/>
      <c r="AA1203" s="80"/>
      <c r="AB1203" s="80"/>
      <c r="AC1203" s="80"/>
      <c r="AD1203" s="80"/>
      <c r="AE1203" s="80"/>
      <c r="AF1203" s="80"/>
      <c r="AG1203" s="80"/>
    </row>
    <row r="1204" spans="1:33" x14ac:dyDescent="0.2">
      <c r="A1204" s="2"/>
      <c r="B1204" s="80"/>
      <c r="C1204" s="80"/>
      <c r="D1204" s="80"/>
      <c r="E1204" s="80"/>
      <c r="F1204" s="80"/>
      <c r="G1204" s="80"/>
      <c r="H1204" s="80"/>
      <c r="I1204" s="80"/>
      <c r="J1204" s="80"/>
      <c r="K1204" s="80"/>
      <c r="L1204" s="2"/>
      <c r="M1204" s="2"/>
      <c r="N1204" s="2"/>
      <c r="O1204" s="2"/>
      <c r="P1204" s="2"/>
      <c r="Q1204" s="2"/>
      <c r="R1204" s="80"/>
      <c r="S1204" s="80"/>
      <c r="T1204" s="80"/>
      <c r="U1204" s="80"/>
      <c r="V1204" s="80"/>
      <c r="W1204" s="80"/>
      <c r="X1204" s="80"/>
      <c r="Y1204" s="80"/>
      <c r="Z1204" s="80"/>
      <c r="AA1204" s="80"/>
      <c r="AB1204" s="80"/>
      <c r="AC1204" s="80"/>
      <c r="AD1204" s="80"/>
      <c r="AE1204" s="80"/>
      <c r="AF1204" s="80"/>
      <c r="AG1204" s="80"/>
    </row>
    <row r="1205" spans="1:33" x14ac:dyDescent="0.2">
      <c r="A1205" s="2"/>
      <c r="B1205" s="80"/>
      <c r="C1205" s="80"/>
      <c r="D1205" s="80"/>
      <c r="E1205" s="80"/>
      <c r="F1205" s="80"/>
      <c r="G1205" s="80"/>
      <c r="H1205" s="80"/>
      <c r="I1205" s="80"/>
      <c r="J1205" s="80"/>
      <c r="K1205" s="80"/>
      <c r="L1205" s="2"/>
      <c r="M1205" s="2"/>
      <c r="N1205" s="2"/>
      <c r="O1205" s="2"/>
      <c r="P1205" s="2"/>
      <c r="Q1205" s="2"/>
      <c r="R1205" s="80"/>
      <c r="S1205" s="80"/>
      <c r="T1205" s="80"/>
      <c r="U1205" s="80"/>
      <c r="V1205" s="80"/>
      <c r="W1205" s="80"/>
      <c r="X1205" s="80"/>
      <c r="Y1205" s="80"/>
      <c r="Z1205" s="80"/>
      <c r="AA1205" s="80"/>
      <c r="AB1205" s="80"/>
      <c r="AC1205" s="80"/>
      <c r="AD1205" s="80"/>
      <c r="AE1205" s="80"/>
      <c r="AF1205" s="80"/>
      <c r="AG1205" s="80"/>
    </row>
    <row r="1206" spans="1:33" x14ac:dyDescent="0.2">
      <c r="A1206" s="2"/>
      <c r="B1206" s="80"/>
      <c r="C1206" s="80"/>
      <c r="D1206" s="80"/>
      <c r="E1206" s="80"/>
      <c r="F1206" s="80"/>
      <c r="G1206" s="80"/>
      <c r="H1206" s="80"/>
      <c r="I1206" s="80"/>
      <c r="J1206" s="80"/>
      <c r="K1206" s="80"/>
      <c r="L1206" s="2"/>
      <c r="M1206" s="2"/>
      <c r="N1206" s="2"/>
      <c r="O1206" s="2"/>
      <c r="P1206" s="2"/>
      <c r="Q1206" s="2"/>
      <c r="R1206" s="80"/>
      <c r="S1206" s="80"/>
      <c r="T1206" s="80"/>
      <c r="U1206" s="80"/>
      <c r="V1206" s="80"/>
      <c r="W1206" s="80"/>
      <c r="X1206" s="80"/>
      <c r="Y1206" s="80"/>
      <c r="Z1206" s="80"/>
      <c r="AA1206" s="80"/>
      <c r="AB1206" s="80"/>
      <c r="AC1206" s="80"/>
      <c r="AD1206" s="80"/>
      <c r="AE1206" s="80"/>
      <c r="AF1206" s="80"/>
      <c r="AG1206" s="80"/>
    </row>
    <row r="1207" spans="1:33" x14ac:dyDescent="0.2">
      <c r="A1207" s="2"/>
      <c r="B1207" s="80"/>
      <c r="C1207" s="80"/>
      <c r="D1207" s="80"/>
      <c r="E1207" s="80"/>
      <c r="F1207" s="80"/>
      <c r="G1207" s="80"/>
      <c r="H1207" s="80"/>
      <c r="I1207" s="80"/>
      <c r="J1207" s="80"/>
      <c r="K1207" s="80"/>
      <c r="L1207" s="2"/>
      <c r="M1207" s="2"/>
      <c r="N1207" s="2"/>
      <c r="O1207" s="2"/>
      <c r="P1207" s="2"/>
      <c r="Q1207" s="2"/>
      <c r="R1207" s="80"/>
      <c r="S1207" s="80"/>
      <c r="T1207" s="80"/>
      <c r="U1207" s="80"/>
      <c r="V1207" s="80"/>
      <c r="W1207" s="80"/>
      <c r="X1207" s="80"/>
      <c r="Y1207" s="80"/>
      <c r="Z1207" s="80"/>
      <c r="AA1207" s="80"/>
      <c r="AB1207" s="80"/>
      <c r="AC1207" s="80"/>
      <c r="AD1207" s="80"/>
      <c r="AE1207" s="80"/>
      <c r="AF1207" s="80"/>
      <c r="AG1207" s="80"/>
    </row>
    <row r="1208" spans="1:33" x14ac:dyDescent="0.2">
      <c r="A1208" s="2"/>
      <c r="B1208" s="80"/>
      <c r="C1208" s="80"/>
      <c r="D1208" s="80"/>
      <c r="E1208" s="80"/>
      <c r="F1208" s="80"/>
      <c r="G1208" s="80"/>
      <c r="H1208" s="80"/>
      <c r="I1208" s="80"/>
      <c r="J1208" s="80"/>
      <c r="K1208" s="80"/>
      <c r="L1208" s="2"/>
      <c r="M1208" s="2"/>
      <c r="N1208" s="2"/>
      <c r="O1208" s="2"/>
      <c r="P1208" s="2"/>
      <c r="Q1208" s="2"/>
      <c r="R1208" s="80"/>
      <c r="S1208" s="80"/>
      <c r="T1208" s="80"/>
      <c r="U1208" s="80"/>
      <c r="V1208" s="80"/>
      <c r="W1208" s="80"/>
      <c r="X1208" s="80"/>
      <c r="Y1208" s="80"/>
      <c r="Z1208" s="80"/>
      <c r="AA1208" s="80"/>
      <c r="AB1208" s="80"/>
      <c r="AC1208" s="80"/>
      <c r="AD1208" s="80"/>
      <c r="AE1208" s="80"/>
      <c r="AF1208" s="80"/>
      <c r="AG1208" s="80"/>
    </row>
    <row r="1209" spans="1:33" x14ac:dyDescent="0.2">
      <c r="A1209" s="2"/>
      <c r="B1209" s="80"/>
      <c r="C1209" s="80"/>
      <c r="D1209" s="80"/>
      <c r="E1209" s="80"/>
      <c r="F1209" s="80"/>
      <c r="G1209" s="80"/>
      <c r="H1209" s="80"/>
      <c r="I1209" s="80"/>
      <c r="J1209" s="80"/>
      <c r="K1209" s="80"/>
      <c r="L1209" s="2"/>
      <c r="M1209" s="2"/>
      <c r="N1209" s="2"/>
      <c r="O1209" s="2"/>
      <c r="P1209" s="2"/>
      <c r="Q1209" s="2"/>
      <c r="R1209" s="80"/>
      <c r="S1209" s="80"/>
      <c r="T1209" s="80"/>
      <c r="U1209" s="80"/>
      <c r="V1209" s="80"/>
      <c r="W1209" s="80"/>
      <c r="X1209" s="80"/>
      <c r="Y1209" s="80"/>
      <c r="Z1209" s="80"/>
      <c r="AA1209" s="80"/>
      <c r="AB1209" s="80"/>
      <c r="AC1209" s="80"/>
      <c r="AD1209" s="80"/>
      <c r="AE1209" s="80"/>
      <c r="AF1209" s="80"/>
      <c r="AG1209" s="80"/>
    </row>
    <row r="1210" spans="1:33" x14ac:dyDescent="0.2">
      <c r="A1210" s="2"/>
      <c r="B1210" s="80"/>
      <c r="C1210" s="80"/>
      <c r="D1210" s="80"/>
      <c r="E1210" s="80"/>
      <c r="F1210" s="80"/>
      <c r="G1210" s="80"/>
      <c r="H1210" s="80"/>
      <c r="I1210" s="80"/>
      <c r="J1210" s="80"/>
      <c r="K1210" s="80"/>
      <c r="L1210" s="2"/>
      <c r="M1210" s="2"/>
      <c r="N1210" s="2"/>
      <c r="O1210" s="2"/>
      <c r="P1210" s="2"/>
      <c r="Q1210" s="2"/>
      <c r="R1210" s="80"/>
      <c r="S1210" s="80"/>
      <c r="T1210" s="80"/>
      <c r="U1210" s="80"/>
      <c r="V1210" s="80"/>
      <c r="W1210" s="80"/>
      <c r="X1210" s="80"/>
      <c r="Y1210" s="80"/>
      <c r="Z1210" s="80"/>
      <c r="AA1210" s="80"/>
      <c r="AB1210" s="80"/>
      <c r="AC1210" s="80"/>
      <c r="AD1210" s="80"/>
      <c r="AE1210" s="80"/>
      <c r="AF1210" s="80"/>
      <c r="AG1210" s="80"/>
    </row>
    <row r="1211" spans="1:33" x14ac:dyDescent="0.2">
      <c r="A1211" s="2"/>
      <c r="B1211" s="80"/>
      <c r="C1211" s="80"/>
      <c r="D1211" s="80"/>
      <c r="E1211" s="80"/>
      <c r="F1211" s="80"/>
      <c r="G1211" s="80"/>
      <c r="H1211" s="80"/>
      <c r="I1211" s="80"/>
      <c r="J1211" s="80"/>
      <c r="K1211" s="80"/>
      <c r="L1211" s="2"/>
      <c r="M1211" s="2"/>
      <c r="N1211" s="2"/>
      <c r="O1211" s="2"/>
      <c r="P1211" s="2"/>
      <c r="Q1211" s="2"/>
      <c r="R1211" s="80"/>
      <c r="S1211" s="80"/>
      <c r="T1211" s="80"/>
      <c r="U1211" s="80"/>
      <c r="V1211" s="80"/>
      <c r="W1211" s="80"/>
      <c r="X1211" s="80"/>
      <c r="Y1211" s="80"/>
      <c r="Z1211" s="80"/>
      <c r="AA1211" s="80"/>
      <c r="AB1211" s="80"/>
      <c r="AC1211" s="80"/>
      <c r="AD1211" s="80"/>
      <c r="AE1211" s="80"/>
      <c r="AF1211" s="80"/>
      <c r="AG1211" s="80"/>
    </row>
    <row r="1212" spans="1:33" x14ac:dyDescent="0.2">
      <c r="A1212" s="2"/>
      <c r="B1212" s="80"/>
      <c r="C1212" s="80"/>
      <c r="D1212" s="80"/>
      <c r="E1212" s="80"/>
      <c r="F1212" s="80"/>
      <c r="G1212" s="80"/>
      <c r="H1212" s="80"/>
      <c r="I1212" s="80"/>
      <c r="J1212" s="80"/>
      <c r="K1212" s="80"/>
      <c r="L1212" s="2"/>
      <c r="M1212" s="2"/>
      <c r="N1212" s="2"/>
      <c r="O1212" s="2"/>
      <c r="P1212" s="2"/>
      <c r="Q1212" s="2"/>
      <c r="R1212" s="80"/>
      <c r="S1212" s="80"/>
      <c r="T1212" s="80"/>
      <c r="U1212" s="80"/>
      <c r="V1212" s="80"/>
      <c r="W1212" s="80"/>
      <c r="X1212" s="80"/>
      <c r="Y1212" s="80"/>
      <c r="Z1212" s="80"/>
      <c r="AA1212" s="80"/>
      <c r="AB1212" s="80"/>
      <c r="AC1212" s="80"/>
      <c r="AD1212" s="80"/>
      <c r="AE1212" s="80"/>
      <c r="AF1212" s="80"/>
      <c r="AG1212" s="80"/>
    </row>
    <row r="1213" spans="1:33" x14ac:dyDescent="0.2">
      <c r="A1213" s="2"/>
      <c r="B1213" s="80"/>
      <c r="C1213" s="80"/>
      <c r="D1213" s="80"/>
      <c r="E1213" s="80"/>
      <c r="F1213" s="80"/>
      <c r="G1213" s="80"/>
      <c r="H1213" s="80"/>
      <c r="I1213" s="80"/>
      <c r="J1213" s="80"/>
      <c r="K1213" s="80"/>
      <c r="L1213" s="2"/>
      <c r="M1213" s="2"/>
      <c r="N1213" s="2"/>
      <c r="O1213" s="2"/>
      <c r="P1213" s="2"/>
      <c r="Q1213" s="2"/>
      <c r="R1213" s="80"/>
      <c r="S1213" s="80"/>
      <c r="T1213" s="80"/>
      <c r="U1213" s="80"/>
      <c r="V1213" s="80"/>
      <c r="W1213" s="80"/>
      <c r="X1213" s="80"/>
      <c r="Y1213" s="80"/>
      <c r="Z1213" s="80"/>
      <c r="AA1213" s="80"/>
      <c r="AB1213" s="80"/>
      <c r="AC1213" s="80"/>
      <c r="AD1213" s="80"/>
      <c r="AE1213" s="80"/>
      <c r="AF1213" s="80"/>
      <c r="AG1213" s="80"/>
    </row>
    <row r="1214" spans="1:33" x14ac:dyDescent="0.2">
      <c r="A1214" s="2"/>
      <c r="B1214" s="80"/>
      <c r="C1214" s="80"/>
      <c r="D1214" s="80"/>
      <c r="E1214" s="80"/>
      <c r="F1214" s="80"/>
      <c r="G1214" s="80"/>
      <c r="H1214" s="80"/>
      <c r="I1214" s="80"/>
      <c r="J1214" s="80"/>
      <c r="K1214" s="80"/>
      <c r="L1214" s="2"/>
      <c r="M1214" s="2"/>
      <c r="N1214" s="2"/>
      <c r="O1214" s="2"/>
      <c r="P1214" s="2"/>
      <c r="Q1214" s="2"/>
      <c r="R1214" s="80"/>
      <c r="S1214" s="80"/>
      <c r="T1214" s="80"/>
      <c r="U1214" s="80"/>
      <c r="V1214" s="80"/>
      <c r="W1214" s="80"/>
      <c r="X1214" s="80"/>
      <c r="Y1214" s="80"/>
      <c r="Z1214" s="80"/>
      <c r="AA1214" s="80"/>
      <c r="AB1214" s="80"/>
      <c r="AC1214" s="80"/>
      <c r="AD1214" s="80"/>
      <c r="AE1214" s="80"/>
      <c r="AF1214" s="80"/>
      <c r="AG1214" s="80"/>
    </row>
    <row r="1215" spans="1:33" x14ac:dyDescent="0.2">
      <c r="A1215" s="2"/>
      <c r="B1215" s="80"/>
      <c r="C1215" s="80"/>
      <c r="D1215" s="80"/>
      <c r="E1215" s="80"/>
      <c r="F1215" s="80"/>
      <c r="G1215" s="80"/>
      <c r="H1215" s="80"/>
      <c r="I1215" s="80"/>
      <c r="J1215" s="80"/>
      <c r="K1215" s="80"/>
      <c r="L1215" s="2"/>
      <c r="M1215" s="2"/>
      <c r="N1215" s="2"/>
      <c r="O1215" s="2"/>
      <c r="P1215" s="2"/>
      <c r="Q1215" s="2"/>
      <c r="R1215" s="80"/>
      <c r="S1215" s="80"/>
      <c r="T1215" s="80"/>
      <c r="U1215" s="80"/>
      <c r="V1215" s="80"/>
      <c r="W1215" s="80"/>
      <c r="X1215" s="80"/>
      <c r="Y1215" s="80"/>
      <c r="Z1215" s="80"/>
      <c r="AA1215" s="80"/>
      <c r="AB1215" s="80"/>
      <c r="AC1215" s="80"/>
      <c r="AD1215" s="80"/>
      <c r="AE1215" s="80"/>
      <c r="AF1215" s="80"/>
      <c r="AG1215" s="80"/>
    </row>
    <row r="1216" spans="1:33" x14ac:dyDescent="0.2">
      <c r="A1216" s="2"/>
      <c r="B1216" s="80"/>
      <c r="C1216" s="80"/>
      <c r="D1216" s="80"/>
      <c r="E1216" s="80"/>
      <c r="F1216" s="80"/>
      <c r="G1216" s="80"/>
      <c r="H1216" s="80"/>
      <c r="I1216" s="80"/>
      <c r="J1216" s="80"/>
      <c r="K1216" s="80"/>
      <c r="L1216" s="2"/>
      <c r="M1216" s="2"/>
      <c r="N1216" s="2"/>
      <c r="O1216" s="2"/>
      <c r="P1216" s="2"/>
      <c r="Q1216" s="2"/>
      <c r="R1216" s="80"/>
      <c r="S1216" s="80"/>
      <c r="T1216" s="80"/>
      <c r="U1216" s="80"/>
      <c r="V1216" s="80"/>
      <c r="W1216" s="80"/>
      <c r="X1216" s="80"/>
      <c r="Y1216" s="80"/>
      <c r="Z1216" s="80"/>
      <c r="AA1216" s="80"/>
      <c r="AB1216" s="80"/>
      <c r="AC1216" s="80"/>
      <c r="AD1216" s="80"/>
      <c r="AE1216" s="80"/>
      <c r="AF1216" s="80"/>
      <c r="AG1216" s="80"/>
    </row>
    <row r="1217" spans="1:33" x14ac:dyDescent="0.2">
      <c r="A1217" s="2"/>
      <c r="B1217" s="80"/>
      <c r="C1217" s="80"/>
      <c r="D1217" s="80"/>
      <c r="E1217" s="80"/>
      <c r="F1217" s="80"/>
      <c r="G1217" s="80"/>
      <c r="H1217" s="80"/>
      <c r="I1217" s="80"/>
      <c r="J1217" s="80"/>
      <c r="K1217" s="80"/>
      <c r="L1217" s="2"/>
      <c r="M1217" s="2"/>
      <c r="N1217" s="2"/>
      <c r="O1217" s="2"/>
      <c r="P1217" s="2"/>
      <c r="Q1217" s="2"/>
      <c r="R1217" s="80"/>
      <c r="S1217" s="80"/>
      <c r="T1217" s="80"/>
      <c r="U1217" s="80"/>
      <c r="V1217" s="80"/>
      <c r="W1217" s="80"/>
      <c r="X1217" s="80"/>
      <c r="Y1217" s="80"/>
      <c r="Z1217" s="80"/>
      <c r="AA1217" s="80"/>
      <c r="AB1217" s="80"/>
      <c r="AC1217" s="80"/>
      <c r="AD1217" s="80"/>
      <c r="AE1217" s="80"/>
      <c r="AF1217" s="80"/>
      <c r="AG1217" s="80"/>
    </row>
    <row r="1218" spans="1:33" x14ac:dyDescent="0.2">
      <c r="A1218" s="2"/>
      <c r="B1218" s="80"/>
      <c r="C1218" s="80"/>
      <c r="D1218" s="80"/>
      <c r="E1218" s="80"/>
      <c r="F1218" s="80"/>
      <c r="G1218" s="80"/>
      <c r="H1218" s="80"/>
      <c r="I1218" s="80"/>
      <c r="J1218" s="80"/>
      <c r="K1218" s="80"/>
      <c r="L1218" s="2"/>
      <c r="M1218" s="2"/>
      <c r="N1218" s="2"/>
      <c r="O1218" s="2"/>
      <c r="P1218" s="2"/>
      <c r="Q1218" s="2"/>
      <c r="R1218" s="80"/>
      <c r="S1218" s="80"/>
      <c r="T1218" s="80"/>
      <c r="U1218" s="80"/>
      <c r="V1218" s="80"/>
      <c r="W1218" s="80"/>
      <c r="X1218" s="80"/>
      <c r="Y1218" s="80"/>
      <c r="Z1218" s="80"/>
      <c r="AA1218" s="80"/>
      <c r="AB1218" s="80"/>
      <c r="AC1218" s="80"/>
      <c r="AD1218" s="80"/>
      <c r="AE1218" s="80"/>
      <c r="AF1218" s="80"/>
      <c r="AG1218" s="80"/>
    </row>
    <row r="1219" spans="1:33" x14ac:dyDescent="0.2">
      <c r="A1219" s="2"/>
      <c r="B1219" s="80"/>
      <c r="C1219" s="80"/>
      <c r="D1219" s="80"/>
      <c r="E1219" s="80"/>
      <c r="F1219" s="80"/>
      <c r="G1219" s="80"/>
      <c r="H1219" s="80"/>
      <c r="I1219" s="80"/>
      <c r="J1219" s="80"/>
      <c r="K1219" s="80"/>
      <c r="L1219" s="2"/>
      <c r="M1219" s="2"/>
      <c r="N1219" s="2"/>
      <c r="O1219" s="2"/>
      <c r="P1219" s="2"/>
      <c r="Q1219" s="2"/>
      <c r="R1219" s="80"/>
      <c r="S1219" s="80"/>
      <c r="T1219" s="80"/>
      <c r="U1219" s="80"/>
      <c r="V1219" s="80"/>
      <c r="W1219" s="80"/>
      <c r="X1219" s="80"/>
      <c r="Y1219" s="80"/>
      <c r="Z1219" s="80"/>
      <c r="AA1219" s="80"/>
      <c r="AB1219" s="80"/>
      <c r="AC1219" s="80"/>
      <c r="AD1219" s="80"/>
      <c r="AE1219" s="80"/>
      <c r="AF1219" s="80"/>
      <c r="AG1219" s="80"/>
    </row>
    <row r="1220" spans="1:33" x14ac:dyDescent="0.2">
      <c r="A1220" s="2"/>
      <c r="B1220" s="80"/>
      <c r="C1220" s="80"/>
      <c r="D1220" s="80"/>
      <c r="E1220" s="80"/>
      <c r="F1220" s="80"/>
      <c r="G1220" s="80"/>
      <c r="H1220" s="80"/>
      <c r="I1220" s="80"/>
      <c r="J1220" s="80"/>
      <c r="K1220" s="80"/>
      <c r="L1220" s="2"/>
      <c r="M1220" s="2"/>
      <c r="N1220" s="2"/>
      <c r="O1220" s="2"/>
      <c r="P1220" s="2"/>
      <c r="Q1220" s="2"/>
      <c r="R1220" s="80"/>
      <c r="S1220" s="80"/>
      <c r="T1220" s="80"/>
      <c r="U1220" s="80"/>
      <c r="V1220" s="80"/>
      <c r="W1220" s="80"/>
      <c r="X1220" s="80"/>
      <c r="Y1220" s="80"/>
      <c r="Z1220" s="80"/>
      <c r="AA1220" s="80"/>
      <c r="AB1220" s="80"/>
      <c r="AC1220" s="80"/>
      <c r="AD1220" s="80"/>
      <c r="AE1220" s="80"/>
      <c r="AF1220" s="80"/>
      <c r="AG1220" s="80"/>
    </row>
    <row r="1221" spans="1:33" x14ac:dyDescent="0.2">
      <c r="A1221" s="2"/>
      <c r="B1221" s="80"/>
      <c r="C1221" s="80"/>
      <c r="D1221" s="80"/>
      <c r="E1221" s="80"/>
      <c r="F1221" s="80"/>
      <c r="G1221" s="80"/>
      <c r="H1221" s="80"/>
      <c r="I1221" s="80"/>
      <c r="J1221" s="80"/>
      <c r="K1221" s="80"/>
      <c r="L1221" s="2"/>
      <c r="M1221" s="2"/>
      <c r="N1221" s="2"/>
      <c r="O1221" s="2"/>
      <c r="P1221" s="2"/>
      <c r="Q1221" s="2"/>
      <c r="R1221" s="80"/>
      <c r="S1221" s="80"/>
      <c r="T1221" s="80"/>
      <c r="U1221" s="80"/>
      <c r="V1221" s="80"/>
      <c r="W1221" s="80"/>
      <c r="X1221" s="80"/>
      <c r="Y1221" s="80"/>
      <c r="Z1221" s="80"/>
      <c r="AA1221" s="80"/>
      <c r="AB1221" s="80"/>
      <c r="AC1221" s="80"/>
      <c r="AD1221" s="80"/>
      <c r="AE1221" s="80"/>
      <c r="AF1221" s="80"/>
      <c r="AG1221" s="80"/>
    </row>
    <row r="1222" spans="1:33" x14ac:dyDescent="0.2">
      <c r="A1222" s="2"/>
      <c r="B1222" s="80"/>
      <c r="C1222" s="80"/>
      <c r="D1222" s="80"/>
      <c r="E1222" s="80"/>
      <c r="F1222" s="80"/>
      <c r="G1222" s="80"/>
      <c r="H1222" s="80"/>
      <c r="I1222" s="80"/>
      <c r="J1222" s="80"/>
      <c r="K1222" s="80"/>
      <c r="L1222" s="2"/>
      <c r="M1222" s="2"/>
      <c r="N1222" s="2"/>
      <c r="O1222" s="2"/>
      <c r="P1222" s="2"/>
      <c r="Q1222" s="2"/>
      <c r="R1222" s="80"/>
      <c r="S1222" s="80"/>
      <c r="T1222" s="80"/>
      <c r="U1222" s="80"/>
      <c r="V1222" s="80"/>
      <c r="W1222" s="80"/>
      <c r="X1222" s="80"/>
      <c r="Y1222" s="80"/>
      <c r="Z1222" s="80"/>
      <c r="AA1222" s="80"/>
      <c r="AB1222" s="80"/>
      <c r="AC1222" s="80"/>
      <c r="AD1222" s="80"/>
      <c r="AE1222" s="80"/>
      <c r="AF1222" s="80"/>
      <c r="AG1222" s="80"/>
    </row>
    <row r="1223" spans="1:33" x14ac:dyDescent="0.2">
      <c r="A1223" s="2"/>
      <c r="B1223" s="80"/>
      <c r="C1223" s="80"/>
      <c r="D1223" s="80"/>
      <c r="E1223" s="80"/>
      <c r="F1223" s="80"/>
      <c r="G1223" s="80"/>
      <c r="H1223" s="80"/>
      <c r="I1223" s="80"/>
      <c r="J1223" s="80"/>
      <c r="K1223" s="80"/>
      <c r="L1223" s="2"/>
      <c r="M1223" s="2"/>
      <c r="N1223" s="2"/>
      <c r="O1223" s="2"/>
      <c r="P1223" s="2"/>
      <c r="Q1223" s="2"/>
      <c r="R1223" s="80"/>
      <c r="S1223" s="80"/>
      <c r="T1223" s="80"/>
      <c r="U1223" s="80"/>
      <c r="V1223" s="80"/>
      <c r="W1223" s="80"/>
      <c r="X1223" s="80"/>
      <c r="Y1223" s="80"/>
      <c r="Z1223" s="80"/>
      <c r="AA1223" s="80"/>
      <c r="AB1223" s="80"/>
      <c r="AC1223" s="80"/>
      <c r="AD1223" s="80"/>
      <c r="AE1223" s="80"/>
      <c r="AF1223" s="80"/>
      <c r="AG1223" s="80"/>
    </row>
    <row r="1224" spans="1:33" x14ac:dyDescent="0.2">
      <c r="A1224" s="2"/>
      <c r="B1224" s="80"/>
      <c r="C1224" s="80"/>
      <c r="D1224" s="80"/>
      <c r="E1224" s="80"/>
      <c r="F1224" s="80"/>
      <c r="G1224" s="80"/>
      <c r="H1224" s="80"/>
      <c r="I1224" s="80"/>
      <c r="J1224" s="80"/>
      <c r="K1224" s="80"/>
      <c r="L1224" s="2"/>
      <c r="M1224" s="2"/>
      <c r="N1224" s="2"/>
      <c r="O1224" s="2"/>
      <c r="P1224" s="2"/>
      <c r="Q1224" s="2"/>
      <c r="R1224" s="80"/>
      <c r="S1224" s="80"/>
      <c r="T1224" s="80"/>
      <c r="U1224" s="80"/>
      <c r="V1224" s="80"/>
      <c r="W1224" s="80"/>
      <c r="X1224" s="80"/>
      <c r="Y1224" s="80"/>
      <c r="Z1224" s="80"/>
      <c r="AA1224" s="80"/>
      <c r="AB1224" s="80"/>
      <c r="AC1224" s="80"/>
      <c r="AD1224" s="80"/>
      <c r="AE1224" s="80"/>
      <c r="AF1224" s="80"/>
      <c r="AG1224" s="80"/>
    </row>
    <row r="1225" spans="1:33" x14ac:dyDescent="0.2">
      <c r="A1225" s="2"/>
      <c r="B1225" s="80"/>
      <c r="C1225" s="80"/>
      <c r="D1225" s="80"/>
      <c r="E1225" s="80"/>
      <c r="F1225" s="80"/>
      <c r="G1225" s="80"/>
      <c r="H1225" s="80"/>
      <c r="I1225" s="80"/>
      <c r="J1225" s="80"/>
      <c r="K1225" s="80"/>
      <c r="L1225" s="2"/>
      <c r="M1225" s="2"/>
      <c r="N1225" s="2"/>
      <c r="O1225" s="2"/>
      <c r="P1225" s="2"/>
      <c r="Q1225" s="2"/>
      <c r="R1225" s="80"/>
      <c r="S1225" s="80"/>
      <c r="T1225" s="80"/>
      <c r="U1225" s="80"/>
      <c r="V1225" s="80"/>
      <c r="W1225" s="80"/>
      <c r="X1225" s="80"/>
      <c r="Y1225" s="80"/>
      <c r="Z1225" s="80"/>
      <c r="AA1225" s="80"/>
      <c r="AB1225" s="80"/>
      <c r="AC1225" s="80"/>
      <c r="AD1225" s="80"/>
      <c r="AE1225" s="80"/>
      <c r="AF1225" s="80"/>
      <c r="AG1225" s="80"/>
    </row>
    <row r="1226" spans="1:33" x14ac:dyDescent="0.2">
      <c r="A1226" s="2"/>
      <c r="B1226" s="80"/>
      <c r="C1226" s="80"/>
      <c r="D1226" s="80"/>
      <c r="E1226" s="80"/>
      <c r="F1226" s="80"/>
      <c r="G1226" s="80"/>
      <c r="H1226" s="80"/>
      <c r="I1226" s="80"/>
      <c r="J1226" s="80"/>
      <c r="K1226" s="80"/>
      <c r="L1226" s="2"/>
      <c r="M1226" s="2"/>
      <c r="N1226" s="2"/>
      <c r="O1226" s="2"/>
      <c r="P1226" s="2"/>
      <c r="Q1226" s="2"/>
      <c r="R1226" s="80"/>
      <c r="S1226" s="80"/>
      <c r="T1226" s="80"/>
      <c r="U1226" s="80"/>
      <c r="V1226" s="80"/>
      <c r="W1226" s="80"/>
      <c r="X1226" s="80"/>
      <c r="Y1226" s="80"/>
      <c r="Z1226" s="80"/>
      <c r="AA1226" s="80"/>
      <c r="AB1226" s="80"/>
      <c r="AC1226" s="80"/>
      <c r="AD1226" s="80"/>
      <c r="AE1226" s="80"/>
      <c r="AF1226" s="80"/>
      <c r="AG1226" s="80"/>
    </row>
    <row r="1227" spans="1:33" x14ac:dyDescent="0.2">
      <c r="A1227" s="2"/>
      <c r="B1227" s="80"/>
      <c r="C1227" s="80"/>
      <c r="D1227" s="80"/>
      <c r="E1227" s="80"/>
      <c r="F1227" s="80"/>
      <c r="G1227" s="80"/>
      <c r="H1227" s="80"/>
      <c r="I1227" s="80"/>
      <c r="J1227" s="80"/>
      <c r="K1227" s="80"/>
      <c r="L1227" s="2"/>
      <c r="M1227" s="2"/>
      <c r="N1227" s="2"/>
      <c r="O1227" s="2"/>
      <c r="P1227" s="2"/>
      <c r="Q1227" s="2"/>
      <c r="R1227" s="80"/>
      <c r="S1227" s="80"/>
      <c r="T1227" s="80"/>
      <c r="U1227" s="80"/>
      <c r="V1227" s="80"/>
      <c r="W1227" s="80"/>
      <c r="X1227" s="80"/>
      <c r="Y1227" s="80"/>
      <c r="Z1227" s="80"/>
      <c r="AA1227" s="80"/>
      <c r="AB1227" s="80"/>
      <c r="AC1227" s="80"/>
      <c r="AD1227" s="80"/>
      <c r="AE1227" s="80"/>
      <c r="AF1227" s="80"/>
      <c r="AG1227" s="80"/>
    </row>
    <row r="1228" spans="1:33" x14ac:dyDescent="0.2">
      <c r="A1228" s="2"/>
      <c r="B1228" s="80"/>
      <c r="C1228" s="80"/>
      <c r="D1228" s="80"/>
      <c r="E1228" s="80"/>
      <c r="F1228" s="80"/>
      <c r="G1228" s="80"/>
      <c r="H1228" s="80"/>
      <c r="I1228" s="80"/>
      <c r="J1228" s="80"/>
      <c r="K1228" s="80"/>
      <c r="L1228" s="2"/>
      <c r="M1228" s="2"/>
      <c r="N1228" s="2"/>
      <c r="O1228" s="2"/>
      <c r="P1228" s="2"/>
      <c r="Q1228" s="2"/>
      <c r="R1228" s="80"/>
      <c r="S1228" s="80"/>
      <c r="T1228" s="80"/>
      <c r="U1228" s="80"/>
      <c r="V1228" s="80"/>
      <c r="W1228" s="80"/>
      <c r="X1228" s="80"/>
      <c r="Y1228" s="80"/>
      <c r="Z1228" s="80"/>
      <c r="AA1228" s="80"/>
      <c r="AB1228" s="80"/>
      <c r="AC1228" s="80"/>
      <c r="AD1228" s="80"/>
      <c r="AE1228" s="80"/>
      <c r="AF1228" s="80"/>
      <c r="AG1228" s="80"/>
    </row>
    <row r="1229" spans="1:33" x14ac:dyDescent="0.2">
      <c r="A1229" s="2"/>
      <c r="B1229" s="80"/>
      <c r="C1229" s="80"/>
      <c r="D1229" s="80"/>
      <c r="E1229" s="80"/>
      <c r="F1229" s="80"/>
      <c r="G1229" s="80"/>
      <c r="H1229" s="80"/>
      <c r="I1229" s="80"/>
      <c r="J1229" s="80"/>
      <c r="K1229" s="80"/>
      <c r="L1229" s="2"/>
      <c r="M1229" s="2"/>
      <c r="N1229" s="2"/>
      <c r="O1229" s="2"/>
      <c r="P1229" s="2"/>
      <c r="Q1229" s="2"/>
      <c r="R1229" s="80"/>
      <c r="S1229" s="80"/>
      <c r="T1229" s="80"/>
      <c r="U1229" s="80"/>
      <c r="V1229" s="80"/>
      <c r="W1229" s="80"/>
      <c r="X1229" s="80"/>
      <c r="Y1229" s="80"/>
      <c r="Z1229" s="80"/>
      <c r="AA1229" s="80"/>
      <c r="AB1229" s="80"/>
      <c r="AC1229" s="80"/>
      <c r="AD1229" s="80"/>
      <c r="AE1229" s="80"/>
      <c r="AF1229" s="80"/>
      <c r="AG1229" s="80"/>
    </row>
    <row r="1230" spans="1:33" x14ac:dyDescent="0.2">
      <c r="A1230" s="2"/>
      <c r="B1230" s="80"/>
      <c r="C1230" s="80"/>
      <c r="D1230" s="80"/>
      <c r="E1230" s="80"/>
      <c r="F1230" s="80"/>
      <c r="G1230" s="80"/>
      <c r="H1230" s="80"/>
      <c r="I1230" s="80"/>
      <c r="J1230" s="80"/>
      <c r="K1230" s="80"/>
      <c r="L1230" s="2"/>
      <c r="M1230" s="2"/>
      <c r="N1230" s="2"/>
      <c r="O1230" s="2"/>
      <c r="P1230" s="2"/>
      <c r="Q1230" s="2"/>
      <c r="R1230" s="80"/>
      <c r="S1230" s="80"/>
      <c r="T1230" s="80"/>
      <c r="U1230" s="80"/>
      <c r="V1230" s="80"/>
      <c r="W1230" s="80"/>
      <c r="X1230" s="80"/>
      <c r="Y1230" s="80"/>
      <c r="Z1230" s="80"/>
      <c r="AA1230" s="80"/>
      <c r="AB1230" s="80"/>
      <c r="AC1230" s="80"/>
      <c r="AD1230" s="80"/>
      <c r="AE1230" s="80"/>
      <c r="AF1230" s="80"/>
      <c r="AG1230" s="80"/>
    </row>
    <row r="1231" spans="1:33" x14ac:dyDescent="0.2">
      <c r="A1231" s="2"/>
      <c r="B1231" s="80"/>
      <c r="C1231" s="80"/>
      <c r="D1231" s="80"/>
      <c r="E1231" s="80"/>
      <c r="F1231" s="80"/>
      <c r="G1231" s="80"/>
      <c r="H1231" s="80"/>
      <c r="I1231" s="80"/>
      <c r="J1231" s="80"/>
      <c r="K1231" s="80"/>
      <c r="L1231" s="2"/>
      <c r="M1231" s="2"/>
      <c r="N1231" s="2"/>
      <c r="O1231" s="2"/>
      <c r="P1231" s="2"/>
      <c r="Q1231" s="2"/>
      <c r="R1231" s="80"/>
      <c r="S1231" s="80"/>
      <c r="T1231" s="80"/>
      <c r="U1231" s="80"/>
      <c r="V1231" s="80"/>
      <c r="W1231" s="80"/>
      <c r="X1231" s="80"/>
      <c r="Y1231" s="80"/>
      <c r="Z1231" s="80"/>
      <c r="AA1231" s="80"/>
      <c r="AB1231" s="80"/>
      <c r="AC1231" s="80"/>
      <c r="AD1231" s="80"/>
      <c r="AE1231" s="80"/>
      <c r="AF1231" s="80"/>
      <c r="AG1231" s="80"/>
    </row>
    <row r="1232" spans="1:33" x14ac:dyDescent="0.2">
      <c r="A1232" s="2"/>
      <c r="B1232" s="80"/>
      <c r="C1232" s="80"/>
      <c r="D1232" s="80"/>
      <c r="E1232" s="80"/>
      <c r="F1232" s="80"/>
      <c r="G1232" s="80"/>
      <c r="H1232" s="80"/>
      <c r="I1232" s="80"/>
      <c r="J1232" s="80"/>
      <c r="K1232" s="80"/>
      <c r="L1232" s="2"/>
      <c r="M1232" s="2"/>
      <c r="N1232" s="2"/>
      <c r="O1232" s="2"/>
      <c r="P1232" s="2"/>
      <c r="Q1232" s="2"/>
      <c r="R1232" s="80"/>
      <c r="S1232" s="80"/>
      <c r="T1232" s="80"/>
      <c r="U1232" s="80"/>
      <c r="V1232" s="80"/>
      <c r="W1232" s="80"/>
      <c r="X1232" s="80"/>
      <c r="Y1232" s="80"/>
      <c r="Z1232" s="80"/>
      <c r="AA1232" s="80"/>
      <c r="AB1232" s="80"/>
      <c r="AC1232" s="80"/>
      <c r="AD1232" s="80"/>
      <c r="AE1232" s="80"/>
      <c r="AF1232" s="80"/>
      <c r="AG1232" s="80"/>
    </row>
    <row r="1233" spans="1:33" x14ac:dyDescent="0.2">
      <c r="A1233" s="2"/>
      <c r="B1233" s="80"/>
      <c r="C1233" s="80"/>
      <c r="D1233" s="80"/>
      <c r="E1233" s="80"/>
      <c r="F1233" s="80"/>
      <c r="G1233" s="80"/>
      <c r="H1233" s="80"/>
      <c r="I1233" s="80"/>
      <c r="J1233" s="80"/>
      <c r="K1233" s="80"/>
      <c r="L1233" s="2"/>
      <c r="M1233" s="2"/>
      <c r="N1233" s="2"/>
      <c r="O1233" s="2"/>
      <c r="P1233" s="2"/>
      <c r="Q1233" s="2"/>
      <c r="R1233" s="80"/>
      <c r="S1233" s="80"/>
      <c r="T1233" s="80"/>
      <c r="U1233" s="80"/>
      <c r="V1233" s="80"/>
      <c r="W1233" s="80"/>
      <c r="X1233" s="80"/>
      <c r="Y1233" s="80"/>
      <c r="Z1233" s="80"/>
      <c r="AA1233" s="80"/>
      <c r="AB1233" s="80"/>
      <c r="AC1233" s="80"/>
      <c r="AD1233" s="80"/>
      <c r="AE1233" s="80"/>
      <c r="AF1233" s="80"/>
      <c r="AG1233" s="80"/>
    </row>
    <row r="1234" spans="1:33" x14ac:dyDescent="0.2">
      <c r="A1234" s="2"/>
      <c r="B1234" s="80"/>
      <c r="C1234" s="80"/>
      <c r="D1234" s="80"/>
      <c r="E1234" s="80"/>
      <c r="F1234" s="80"/>
      <c r="G1234" s="80"/>
      <c r="H1234" s="80"/>
      <c r="I1234" s="80"/>
      <c r="J1234" s="80"/>
      <c r="K1234" s="80"/>
      <c r="L1234" s="2"/>
      <c r="M1234" s="2"/>
      <c r="N1234" s="2"/>
      <c r="O1234" s="2"/>
      <c r="P1234" s="2"/>
      <c r="Q1234" s="2"/>
      <c r="R1234" s="80"/>
      <c r="S1234" s="80"/>
      <c r="T1234" s="80"/>
      <c r="U1234" s="80"/>
      <c r="V1234" s="80"/>
      <c r="W1234" s="80"/>
      <c r="X1234" s="80"/>
      <c r="Y1234" s="80"/>
      <c r="Z1234" s="80"/>
      <c r="AA1234" s="80"/>
      <c r="AB1234" s="80"/>
      <c r="AC1234" s="80"/>
      <c r="AD1234" s="80"/>
      <c r="AE1234" s="80"/>
      <c r="AF1234" s="80"/>
      <c r="AG1234" s="80"/>
    </row>
    <row r="1235" spans="1:33" x14ac:dyDescent="0.2">
      <c r="A1235" s="2"/>
      <c r="B1235" s="80"/>
      <c r="C1235" s="80"/>
      <c r="D1235" s="80"/>
      <c r="E1235" s="80"/>
      <c r="F1235" s="80"/>
      <c r="G1235" s="80"/>
      <c r="H1235" s="80"/>
      <c r="I1235" s="80"/>
      <c r="J1235" s="80"/>
      <c r="K1235" s="80"/>
      <c r="L1235" s="2"/>
      <c r="M1235" s="2"/>
      <c r="N1235" s="2"/>
      <c r="O1235" s="2"/>
      <c r="P1235" s="2"/>
      <c r="Q1235" s="2"/>
      <c r="R1235" s="80"/>
      <c r="S1235" s="80"/>
      <c r="T1235" s="80"/>
      <c r="U1235" s="80"/>
      <c r="V1235" s="80"/>
      <c r="W1235" s="80"/>
      <c r="X1235" s="80"/>
      <c r="Y1235" s="80"/>
      <c r="Z1235" s="80"/>
      <c r="AA1235" s="80"/>
      <c r="AB1235" s="80"/>
      <c r="AC1235" s="80"/>
      <c r="AD1235" s="80"/>
      <c r="AE1235" s="80"/>
      <c r="AF1235" s="80"/>
      <c r="AG1235" s="80"/>
    </row>
    <row r="1236" spans="1:33" x14ac:dyDescent="0.2">
      <c r="A1236" s="2"/>
      <c r="B1236" s="80"/>
      <c r="C1236" s="80"/>
      <c r="D1236" s="80"/>
      <c r="E1236" s="80"/>
      <c r="F1236" s="80"/>
      <c r="G1236" s="80"/>
      <c r="H1236" s="80"/>
      <c r="I1236" s="80"/>
      <c r="J1236" s="80"/>
      <c r="K1236" s="80"/>
      <c r="L1236" s="2"/>
      <c r="M1236" s="2"/>
      <c r="N1236" s="2"/>
      <c r="O1236" s="2"/>
      <c r="P1236" s="2"/>
      <c r="Q1236" s="2"/>
      <c r="R1236" s="80"/>
      <c r="S1236" s="80"/>
      <c r="T1236" s="80"/>
      <c r="U1236" s="80"/>
      <c r="V1236" s="80"/>
      <c r="W1236" s="80"/>
      <c r="X1236" s="80"/>
      <c r="Y1236" s="80"/>
      <c r="Z1236" s="80"/>
      <c r="AA1236" s="80"/>
      <c r="AB1236" s="80"/>
      <c r="AC1236" s="80"/>
      <c r="AD1236" s="80"/>
      <c r="AE1236" s="80"/>
      <c r="AF1236" s="80"/>
      <c r="AG1236" s="80"/>
    </row>
    <row r="1237" spans="1:33" x14ac:dyDescent="0.2">
      <c r="A1237" s="2"/>
      <c r="B1237" s="80"/>
      <c r="C1237" s="80"/>
      <c r="D1237" s="80"/>
      <c r="E1237" s="80"/>
      <c r="F1237" s="80"/>
      <c r="G1237" s="80"/>
      <c r="H1237" s="80"/>
      <c r="I1237" s="80"/>
      <c r="J1237" s="80"/>
      <c r="K1237" s="80"/>
      <c r="L1237" s="2"/>
      <c r="M1237" s="2"/>
      <c r="N1237" s="2"/>
      <c r="O1237" s="2"/>
      <c r="P1237" s="2"/>
      <c r="Q1237" s="2"/>
      <c r="R1237" s="80"/>
      <c r="S1237" s="80"/>
      <c r="T1237" s="80"/>
      <c r="U1237" s="80"/>
      <c r="V1237" s="80"/>
      <c r="W1237" s="80"/>
      <c r="X1237" s="80"/>
      <c r="Y1237" s="80"/>
      <c r="Z1237" s="80"/>
      <c r="AA1237" s="80"/>
      <c r="AB1237" s="80"/>
      <c r="AC1237" s="80"/>
      <c r="AD1237" s="80"/>
      <c r="AE1237" s="80"/>
      <c r="AF1237" s="80"/>
      <c r="AG1237" s="80"/>
    </row>
    <row r="1238" spans="1:33" x14ac:dyDescent="0.2">
      <c r="A1238" s="2"/>
      <c r="B1238" s="80"/>
      <c r="C1238" s="80"/>
      <c r="D1238" s="80"/>
      <c r="E1238" s="80"/>
      <c r="F1238" s="80"/>
      <c r="G1238" s="80"/>
      <c r="H1238" s="80"/>
      <c r="I1238" s="80"/>
      <c r="J1238" s="80"/>
      <c r="K1238" s="80"/>
      <c r="L1238" s="2"/>
      <c r="M1238" s="2"/>
      <c r="N1238" s="2"/>
      <c r="O1238" s="2"/>
      <c r="P1238" s="2"/>
      <c r="Q1238" s="2"/>
      <c r="R1238" s="80"/>
      <c r="S1238" s="80"/>
      <c r="T1238" s="80"/>
      <c r="U1238" s="80"/>
      <c r="V1238" s="80"/>
      <c r="W1238" s="80"/>
      <c r="X1238" s="80"/>
      <c r="Y1238" s="80"/>
      <c r="Z1238" s="80"/>
      <c r="AA1238" s="80"/>
      <c r="AB1238" s="80"/>
      <c r="AC1238" s="80"/>
      <c r="AD1238" s="80"/>
      <c r="AE1238" s="80"/>
      <c r="AF1238" s="80"/>
      <c r="AG1238" s="80"/>
    </row>
    <row r="1239" spans="1:33" x14ac:dyDescent="0.2">
      <c r="A1239" s="2"/>
      <c r="B1239" s="80"/>
      <c r="C1239" s="80"/>
      <c r="D1239" s="80"/>
      <c r="E1239" s="80"/>
      <c r="F1239" s="80"/>
      <c r="G1239" s="80"/>
      <c r="H1239" s="80"/>
      <c r="I1239" s="80"/>
      <c r="J1239" s="80"/>
      <c r="K1239" s="80"/>
      <c r="L1239" s="2"/>
      <c r="M1239" s="2"/>
      <c r="N1239" s="2"/>
      <c r="O1239" s="2"/>
      <c r="P1239" s="2"/>
      <c r="Q1239" s="2"/>
      <c r="R1239" s="80"/>
      <c r="S1239" s="80"/>
      <c r="T1239" s="80"/>
      <c r="U1239" s="80"/>
      <c r="V1239" s="80"/>
      <c r="W1239" s="80"/>
      <c r="X1239" s="80"/>
      <c r="Y1239" s="80"/>
      <c r="Z1239" s="80"/>
      <c r="AA1239" s="80"/>
      <c r="AB1239" s="80"/>
      <c r="AC1239" s="80"/>
      <c r="AD1239" s="80"/>
      <c r="AE1239" s="80"/>
      <c r="AF1239" s="80"/>
      <c r="AG1239" s="80"/>
    </row>
    <row r="1240" spans="1:33" x14ac:dyDescent="0.2">
      <c r="A1240" s="2"/>
      <c r="B1240" s="80"/>
      <c r="C1240" s="80"/>
      <c r="D1240" s="80"/>
      <c r="E1240" s="80"/>
      <c r="F1240" s="80"/>
      <c r="G1240" s="80"/>
      <c r="H1240" s="80"/>
      <c r="I1240" s="80"/>
      <c r="J1240" s="80"/>
      <c r="K1240" s="80"/>
      <c r="L1240" s="2"/>
      <c r="M1240" s="2"/>
      <c r="N1240" s="2"/>
      <c r="O1240" s="2"/>
      <c r="P1240" s="2"/>
      <c r="Q1240" s="2"/>
      <c r="R1240" s="80"/>
      <c r="S1240" s="80"/>
      <c r="T1240" s="80"/>
      <c r="U1240" s="80"/>
      <c r="V1240" s="80"/>
      <c r="W1240" s="80"/>
      <c r="X1240" s="80"/>
      <c r="Y1240" s="80"/>
      <c r="Z1240" s="80"/>
      <c r="AA1240" s="80"/>
      <c r="AB1240" s="80"/>
      <c r="AC1240" s="80"/>
      <c r="AD1240" s="80"/>
      <c r="AE1240" s="80"/>
      <c r="AF1240" s="80"/>
      <c r="AG1240" s="80"/>
    </row>
    <row r="1241" spans="1:33" x14ac:dyDescent="0.2">
      <c r="A1241" s="2"/>
      <c r="B1241" s="80"/>
      <c r="C1241" s="80"/>
      <c r="D1241" s="80"/>
      <c r="E1241" s="80"/>
      <c r="F1241" s="80"/>
      <c r="G1241" s="80"/>
      <c r="H1241" s="80"/>
      <c r="I1241" s="80"/>
      <c r="J1241" s="80"/>
      <c r="K1241" s="80"/>
      <c r="L1241" s="2"/>
      <c r="M1241" s="2"/>
      <c r="N1241" s="2"/>
      <c r="O1241" s="2"/>
      <c r="P1241" s="2"/>
      <c r="Q1241" s="2"/>
      <c r="R1241" s="80"/>
      <c r="S1241" s="80"/>
      <c r="T1241" s="80"/>
      <c r="U1241" s="80"/>
      <c r="V1241" s="80"/>
      <c r="W1241" s="80"/>
      <c r="X1241" s="80"/>
      <c r="Y1241" s="80"/>
      <c r="Z1241" s="80"/>
      <c r="AA1241" s="80"/>
      <c r="AB1241" s="80"/>
      <c r="AC1241" s="80"/>
      <c r="AD1241" s="80"/>
      <c r="AE1241" s="80"/>
      <c r="AF1241" s="80"/>
      <c r="AG1241" s="80"/>
    </row>
    <row r="1242" spans="1:33" x14ac:dyDescent="0.2">
      <c r="A1242" s="2"/>
      <c r="B1242" s="80"/>
      <c r="C1242" s="80"/>
      <c r="D1242" s="80"/>
      <c r="E1242" s="80"/>
      <c r="F1242" s="80"/>
      <c r="G1242" s="80"/>
      <c r="H1242" s="80"/>
      <c r="I1242" s="80"/>
      <c r="J1242" s="80"/>
      <c r="K1242" s="80"/>
      <c r="L1242" s="2"/>
      <c r="M1242" s="2"/>
      <c r="N1242" s="2"/>
      <c r="O1242" s="2"/>
      <c r="P1242" s="2"/>
      <c r="Q1242" s="2"/>
      <c r="R1242" s="80"/>
      <c r="S1242" s="80"/>
      <c r="T1242" s="80"/>
      <c r="U1242" s="80"/>
      <c r="V1242" s="80"/>
      <c r="W1242" s="80"/>
      <c r="X1242" s="80"/>
      <c r="Y1242" s="80"/>
      <c r="Z1242" s="80"/>
      <c r="AA1242" s="80"/>
      <c r="AB1242" s="80"/>
      <c r="AC1242" s="80"/>
      <c r="AD1242" s="80"/>
      <c r="AE1242" s="80"/>
      <c r="AF1242" s="80"/>
      <c r="AG1242" s="80"/>
    </row>
    <row r="1243" spans="1:33" x14ac:dyDescent="0.2">
      <c r="A1243" s="2"/>
      <c r="B1243" s="80"/>
      <c r="C1243" s="80"/>
      <c r="D1243" s="80"/>
      <c r="E1243" s="80"/>
      <c r="F1243" s="80"/>
      <c r="G1243" s="80"/>
      <c r="H1243" s="80"/>
      <c r="I1243" s="80"/>
      <c r="J1243" s="80"/>
      <c r="K1243" s="80"/>
      <c r="L1243" s="2"/>
      <c r="M1243" s="2"/>
      <c r="N1243" s="2"/>
      <c r="O1243" s="2"/>
      <c r="P1243" s="2"/>
      <c r="Q1243" s="2"/>
      <c r="R1243" s="80"/>
      <c r="S1243" s="80"/>
      <c r="T1243" s="80"/>
      <c r="U1243" s="80"/>
      <c r="V1243" s="80"/>
      <c r="W1243" s="80"/>
      <c r="X1243" s="80"/>
      <c r="Y1243" s="80"/>
      <c r="Z1243" s="80"/>
      <c r="AA1243" s="80"/>
      <c r="AB1243" s="80"/>
      <c r="AC1243" s="80"/>
      <c r="AD1243" s="80"/>
      <c r="AE1243" s="80"/>
      <c r="AF1243" s="80"/>
      <c r="AG1243" s="80"/>
    </row>
    <row r="1244" spans="1:33" x14ac:dyDescent="0.2">
      <c r="A1244" s="2"/>
      <c r="B1244" s="80"/>
      <c r="C1244" s="80"/>
      <c r="D1244" s="80"/>
      <c r="E1244" s="80"/>
      <c r="F1244" s="80"/>
      <c r="G1244" s="80"/>
      <c r="H1244" s="80"/>
      <c r="I1244" s="80"/>
      <c r="J1244" s="80"/>
      <c r="K1244" s="80"/>
      <c r="L1244" s="2"/>
      <c r="M1244" s="2"/>
      <c r="N1244" s="2"/>
      <c r="O1244" s="2"/>
      <c r="P1244" s="2"/>
      <c r="Q1244" s="2"/>
      <c r="R1244" s="80"/>
      <c r="S1244" s="80"/>
      <c r="T1244" s="80"/>
      <c r="U1244" s="80"/>
      <c r="V1244" s="80"/>
      <c r="W1244" s="80"/>
      <c r="X1244" s="80"/>
      <c r="Y1244" s="80"/>
      <c r="Z1244" s="80"/>
      <c r="AA1244" s="80"/>
      <c r="AB1244" s="80"/>
      <c r="AC1244" s="80"/>
      <c r="AD1244" s="80"/>
      <c r="AE1244" s="80"/>
      <c r="AF1244" s="80"/>
      <c r="AG1244" s="80"/>
    </row>
    <row r="1245" spans="1:33" x14ac:dyDescent="0.2">
      <c r="A1245" s="2"/>
      <c r="B1245" s="80"/>
      <c r="C1245" s="80"/>
      <c r="D1245" s="80"/>
      <c r="E1245" s="80"/>
      <c r="F1245" s="80"/>
      <c r="G1245" s="80"/>
      <c r="H1245" s="80"/>
      <c r="I1245" s="80"/>
      <c r="J1245" s="80"/>
      <c r="K1245" s="80"/>
      <c r="L1245" s="2"/>
      <c r="M1245" s="2"/>
      <c r="N1245" s="2"/>
      <c r="O1245" s="2"/>
      <c r="P1245" s="2"/>
      <c r="Q1245" s="2"/>
      <c r="R1245" s="80"/>
      <c r="S1245" s="80"/>
      <c r="T1245" s="80"/>
      <c r="U1245" s="80"/>
      <c r="V1245" s="80"/>
      <c r="W1245" s="80"/>
      <c r="X1245" s="80"/>
      <c r="Y1245" s="80"/>
      <c r="Z1245" s="80"/>
      <c r="AA1245" s="80"/>
      <c r="AB1245" s="80"/>
      <c r="AC1245" s="80"/>
      <c r="AD1245" s="80"/>
      <c r="AE1245" s="80"/>
      <c r="AF1245" s="80"/>
      <c r="AG1245" s="80"/>
    </row>
    <row r="1246" spans="1:33" x14ac:dyDescent="0.2">
      <c r="A1246" s="2"/>
      <c r="B1246" s="80"/>
      <c r="C1246" s="80"/>
      <c r="D1246" s="80"/>
      <c r="E1246" s="80"/>
      <c r="F1246" s="80"/>
      <c r="G1246" s="80"/>
      <c r="H1246" s="80"/>
      <c r="I1246" s="80"/>
      <c r="J1246" s="80"/>
      <c r="K1246" s="80"/>
      <c r="L1246" s="2"/>
      <c r="M1246" s="2"/>
      <c r="N1246" s="2"/>
      <c r="O1246" s="2"/>
      <c r="P1246" s="2"/>
      <c r="Q1246" s="2"/>
      <c r="R1246" s="80"/>
      <c r="S1246" s="80"/>
      <c r="T1246" s="80"/>
      <c r="U1246" s="80"/>
      <c r="V1246" s="80"/>
      <c r="W1246" s="80"/>
      <c r="X1246" s="80"/>
      <c r="Y1246" s="80"/>
      <c r="Z1246" s="80"/>
      <c r="AA1246" s="80"/>
      <c r="AB1246" s="80"/>
      <c r="AC1246" s="80"/>
      <c r="AD1246" s="80"/>
      <c r="AE1246" s="80"/>
      <c r="AF1246" s="80"/>
      <c r="AG1246" s="80"/>
    </row>
    <row r="1247" spans="1:33" x14ac:dyDescent="0.2">
      <c r="A1247" s="2"/>
      <c r="B1247" s="80"/>
      <c r="C1247" s="80"/>
      <c r="D1247" s="80"/>
      <c r="E1247" s="80"/>
      <c r="F1247" s="80"/>
      <c r="G1247" s="80"/>
      <c r="H1247" s="80"/>
      <c r="I1247" s="80"/>
      <c r="J1247" s="80"/>
      <c r="K1247" s="80"/>
      <c r="L1247" s="2"/>
      <c r="M1247" s="2"/>
      <c r="N1247" s="2"/>
      <c r="O1247" s="2"/>
      <c r="P1247" s="2"/>
      <c r="Q1247" s="2"/>
      <c r="R1247" s="80"/>
      <c r="S1247" s="80"/>
      <c r="T1247" s="80"/>
      <c r="U1247" s="80"/>
      <c r="V1247" s="80"/>
      <c r="W1247" s="80"/>
      <c r="X1247" s="80"/>
      <c r="Y1247" s="80"/>
      <c r="Z1247" s="80"/>
      <c r="AA1247" s="80"/>
      <c r="AB1247" s="80"/>
      <c r="AC1247" s="80"/>
      <c r="AD1247" s="80"/>
      <c r="AE1247" s="80"/>
      <c r="AF1247" s="80"/>
      <c r="AG1247" s="80"/>
    </row>
    <row r="1248" spans="1:33" x14ac:dyDescent="0.2">
      <c r="A1248" s="2"/>
      <c r="B1248" s="80"/>
      <c r="C1248" s="80"/>
      <c r="D1248" s="80"/>
      <c r="E1248" s="80"/>
      <c r="F1248" s="80"/>
      <c r="G1248" s="80"/>
      <c r="H1248" s="80"/>
      <c r="I1248" s="80"/>
      <c r="J1248" s="80"/>
      <c r="K1248" s="80"/>
      <c r="L1248" s="2"/>
      <c r="M1248" s="2"/>
      <c r="N1248" s="2"/>
      <c r="O1248" s="2"/>
      <c r="P1248" s="2"/>
      <c r="Q1248" s="2"/>
      <c r="R1248" s="80"/>
      <c r="S1248" s="80"/>
      <c r="T1248" s="80"/>
      <c r="U1248" s="80"/>
      <c r="V1248" s="80"/>
      <c r="W1248" s="80"/>
      <c r="X1248" s="80"/>
      <c r="Y1248" s="80"/>
      <c r="Z1248" s="80"/>
      <c r="AA1248" s="80"/>
      <c r="AB1248" s="80"/>
      <c r="AC1248" s="80"/>
      <c r="AD1248" s="80"/>
      <c r="AE1248" s="80"/>
      <c r="AF1248" s="80"/>
      <c r="AG1248" s="80"/>
    </row>
    <row r="1249" spans="1:33" x14ac:dyDescent="0.2">
      <c r="A1249" s="2"/>
      <c r="B1249" s="80"/>
      <c r="C1249" s="80"/>
      <c r="D1249" s="80"/>
      <c r="E1249" s="80"/>
      <c r="F1249" s="80"/>
      <c r="G1249" s="80"/>
      <c r="H1249" s="80"/>
      <c r="I1249" s="80"/>
      <c r="J1249" s="80"/>
      <c r="K1249" s="80"/>
      <c r="L1249" s="2"/>
      <c r="M1249" s="2"/>
      <c r="N1249" s="2"/>
      <c r="O1249" s="2"/>
      <c r="P1249" s="2"/>
      <c r="Q1249" s="2"/>
      <c r="R1249" s="80"/>
      <c r="S1249" s="80"/>
      <c r="T1249" s="80"/>
      <c r="U1249" s="80"/>
      <c r="V1249" s="80"/>
      <c r="W1249" s="80"/>
      <c r="X1249" s="80"/>
      <c r="Y1249" s="80"/>
      <c r="Z1249" s="80"/>
      <c r="AA1249" s="80"/>
      <c r="AB1249" s="80"/>
      <c r="AC1249" s="80"/>
      <c r="AD1249" s="80"/>
      <c r="AE1249" s="80"/>
      <c r="AF1249" s="80"/>
      <c r="AG1249" s="80"/>
    </row>
    <row r="1250" spans="1:33" x14ac:dyDescent="0.2">
      <c r="A1250" s="2"/>
      <c r="B1250" s="80"/>
      <c r="C1250" s="80"/>
      <c r="D1250" s="80"/>
      <c r="E1250" s="80"/>
      <c r="F1250" s="80"/>
      <c r="G1250" s="80"/>
      <c r="H1250" s="80"/>
      <c r="I1250" s="80"/>
      <c r="J1250" s="80"/>
      <c r="K1250" s="80"/>
      <c r="L1250" s="2"/>
      <c r="M1250" s="2"/>
      <c r="N1250" s="2"/>
      <c r="O1250" s="2"/>
      <c r="P1250" s="2"/>
      <c r="Q1250" s="2"/>
      <c r="R1250" s="80"/>
      <c r="S1250" s="80"/>
      <c r="T1250" s="80"/>
      <c r="U1250" s="80"/>
      <c r="V1250" s="80"/>
      <c r="W1250" s="80"/>
      <c r="X1250" s="80"/>
      <c r="Y1250" s="80"/>
      <c r="Z1250" s="80"/>
      <c r="AA1250" s="80"/>
      <c r="AB1250" s="80"/>
      <c r="AC1250" s="80"/>
      <c r="AD1250" s="80"/>
      <c r="AE1250" s="80"/>
      <c r="AF1250" s="80"/>
      <c r="AG1250" s="80"/>
    </row>
    <row r="1251" spans="1:33" x14ac:dyDescent="0.2">
      <c r="A1251" s="2"/>
      <c r="B1251" s="80"/>
      <c r="C1251" s="80"/>
      <c r="D1251" s="80"/>
      <c r="E1251" s="80"/>
      <c r="F1251" s="80"/>
      <c r="G1251" s="80"/>
      <c r="H1251" s="80"/>
      <c r="I1251" s="80"/>
      <c r="J1251" s="80"/>
      <c r="K1251" s="80"/>
      <c r="L1251" s="2"/>
      <c r="M1251" s="2"/>
      <c r="N1251" s="2"/>
      <c r="O1251" s="2"/>
      <c r="P1251" s="2"/>
      <c r="Q1251" s="2"/>
      <c r="R1251" s="80"/>
      <c r="S1251" s="80"/>
      <c r="T1251" s="80"/>
      <c r="U1251" s="80"/>
      <c r="V1251" s="80"/>
      <c r="W1251" s="80"/>
      <c r="X1251" s="80"/>
      <c r="Y1251" s="80"/>
      <c r="Z1251" s="80"/>
      <c r="AA1251" s="80"/>
      <c r="AB1251" s="80"/>
      <c r="AC1251" s="80"/>
      <c r="AD1251" s="80"/>
      <c r="AE1251" s="80"/>
      <c r="AF1251" s="80"/>
      <c r="AG1251" s="80"/>
    </row>
    <row r="1252" spans="1:33" x14ac:dyDescent="0.2">
      <c r="A1252" s="2"/>
      <c r="B1252" s="80"/>
      <c r="C1252" s="80"/>
      <c r="D1252" s="80"/>
      <c r="E1252" s="80"/>
      <c r="F1252" s="80"/>
      <c r="G1252" s="80"/>
      <c r="H1252" s="80"/>
      <c r="I1252" s="80"/>
      <c r="J1252" s="80"/>
      <c r="K1252" s="80"/>
      <c r="L1252" s="2"/>
      <c r="M1252" s="2"/>
      <c r="N1252" s="2"/>
      <c r="O1252" s="2"/>
      <c r="P1252" s="2"/>
      <c r="Q1252" s="2"/>
      <c r="R1252" s="80"/>
      <c r="S1252" s="80"/>
      <c r="T1252" s="80"/>
      <c r="U1252" s="80"/>
      <c r="V1252" s="80"/>
      <c r="W1252" s="80"/>
      <c r="X1252" s="80"/>
      <c r="Y1252" s="80"/>
      <c r="Z1252" s="80"/>
      <c r="AA1252" s="80"/>
      <c r="AB1252" s="80"/>
      <c r="AC1252" s="80"/>
      <c r="AD1252" s="80"/>
      <c r="AE1252" s="80"/>
      <c r="AF1252" s="80"/>
      <c r="AG1252" s="80"/>
    </row>
    <row r="1253" spans="1:33" x14ac:dyDescent="0.2">
      <c r="A1253" s="2"/>
      <c r="B1253" s="80"/>
      <c r="C1253" s="80"/>
      <c r="D1253" s="80"/>
      <c r="E1253" s="80"/>
      <c r="F1253" s="80"/>
      <c r="G1253" s="80"/>
      <c r="H1253" s="80"/>
      <c r="I1253" s="80"/>
      <c r="J1253" s="80"/>
      <c r="K1253" s="80"/>
      <c r="L1253" s="2"/>
      <c r="M1253" s="2"/>
      <c r="N1253" s="2"/>
      <c r="O1253" s="2"/>
      <c r="P1253" s="2"/>
      <c r="Q1253" s="2"/>
      <c r="R1253" s="80"/>
      <c r="S1253" s="80"/>
      <c r="T1253" s="80"/>
      <c r="U1253" s="80"/>
      <c r="V1253" s="80"/>
      <c r="W1253" s="80"/>
      <c r="X1253" s="80"/>
      <c r="Y1253" s="80"/>
      <c r="Z1253" s="80"/>
      <c r="AA1253" s="80"/>
      <c r="AB1253" s="80"/>
      <c r="AC1253" s="80"/>
      <c r="AD1253" s="80"/>
      <c r="AE1253" s="80"/>
      <c r="AF1253" s="80"/>
      <c r="AG1253" s="80"/>
    </row>
    <row r="1254" spans="1:33" x14ac:dyDescent="0.2">
      <c r="A1254" s="2"/>
      <c r="B1254" s="80"/>
      <c r="C1254" s="80"/>
      <c r="D1254" s="80"/>
      <c r="E1254" s="80"/>
      <c r="F1254" s="80"/>
      <c r="G1254" s="80"/>
      <c r="H1254" s="80"/>
      <c r="I1254" s="80"/>
      <c r="J1254" s="80"/>
      <c r="K1254" s="80"/>
      <c r="L1254" s="2"/>
      <c r="M1254" s="2"/>
      <c r="N1254" s="2"/>
      <c r="O1254" s="2"/>
      <c r="P1254" s="2"/>
      <c r="Q1254" s="2"/>
      <c r="R1254" s="80"/>
      <c r="S1254" s="80"/>
      <c r="T1254" s="80"/>
      <c r="U1254" s="80"/>
      <c r="V1254" s="80"/>
      <c r="W1254" s="80"/>
      <c r="X1254" s="80"/>
      <c r="Y1254" s="80"/>
      <c r="Z1254" s="80"/>
      <c r="AA1254" s="80"/>
      <c r="AB1254" s="80"/>
      <c r="AC1254" s="80"/>
      <c r="AD1254" s="80"/>
      <c r="AE1254" s="80"/>
      <c r="AF1254" s="80"/>
      <c r="AG1254" s="80"/>
    </row>
    <row r="1255" spans="1:33" x14ac:dyDescent="0.2">
      <c r="A1255" s="2"/>
      <c r="B1255" s="80"/>
      <c r="C1255" s="80"/>
      <c r="D1255" s="80"/>
      <c r="E1255" s="80"/>
      <c r="F1255" s="80"/>
      <c r="G1255" s="80"/>
      <c r="H1255" s="80"/>
      <c r="I1255" s="80"/>
      <c r="J1255" s="80"/>
      <c r="K1255" s="80"/>
      <c r="L1255" s="2"/>
      <c r="M1255" s="2"/>
      <c r="N1255" s="2"/>
      <c r="O1255" s="2"/>
      <c r="P1255" s="2"/>
      <c r="Q1255" s="2"/>
      <c r="R1255" s="80"/>
      <c r="S1255" s="80"/>
      <c r="T1255" s="80"/>
      <c r="U1255" s="80"/>
      <c r="V1255" s="80"/>
      <c r="W1255" s="80"/>
      <c r="X1255" s="80"/>
      <c r="Y1255" s="80"/>
      <c r="Z1255" s="80"/>
      <c r="AA1255" s="80"/>
      <c r="AB1255" s="80"/>
      <c r="AC1255" s="80"/>
      <c r="AD1255" s="80"/>
      <c r="AE1255" s="80"/>
      <c r="AF1255" s="80"/>
      <c r="AG1255" s="80"/>
    </row>
    <row r="1256" spans="1:33" x14ac:dyDescent="0.2">
      <c r="A1256" s="2"/>
      <c r="B1256" s="80"/>
      <c r="C1256" s="80"/>
      <c r="D1256" s="80"/>
      <c r="E1256" s="80"/>
      <c r="F1256" s="80"/>
      <c r="G1256" s="80"/>
      <c r="H1256" s="80"/>
      <c r="I1256" s="80"/>
      <c r="J1256" s="80"/>
      <c r="K1256" s="80"/>
      <c r="L1256" s="2"/>
      <c r="M1256" s="2"/>
      <c r="N1256" s="2"/>
      <c r="O1256" s="2"/>
      <c r="P1256" s="2"/>
      <c r="Q1256" s="2"/>
      <c r="R1256" s="80"/>
      <c r="S1256" s="80"/>
      <c r="T1256" s="80"/>
      <c r="U1256" s="80"/>
      <c r="V1256" s="80"/>
      <c r="W1256" s="80"/>
      <c r="X1256" s="80"/>
      <c r="Y1256" s="80"/>
      <c r="Z1256" s="80"/>
      <c r="AA1256" s="80"/>
      <c r="AB1256" s="80"/>
      <c r="AC1256" s="80"/>
      <c r="AD1256" s="80"/>
      <c r="AE1256" s="80"/>
      <c r="AF1256" s="80"/>
      <c r="AG1256" s="80"/>
    </row>
    <row r="1257" spans="1:33" x14ac:dyDescent="0.2">
      <c r="A1257" s="2"/>
      <c r="B1257" s="80"/>
      <c r="C1257" s="80"/>
      <c r="D1257" s="80"/>
      <c r="E1257" s="80"/>
      <c r="F1257" s="80"/>
      <c r="G1257" s="80"/>
      <c r="H1257" s="80"/>
      <c r="I1257" s="80"/>
      <c r="J1257" s="80"/>
      <c r="K1257" s="80"/>
      <c r="L1257" s="2"/>
      <c r="M1257" s="2"/>
      <c r="N1257" s="2"/>
      <c r="O1257" s="2"/>
      <c r="P1257" s="2"/>
      <c r="Q1257" s="2"/>
      <c r="R1257" s="80"/>
      <c r="S1257" s="80"/>
      <c r="T1257" s="80"/>
      <c r="U1257" s="80"/>
      <c r="V1257" s="80"/>
      <c r="W1257" s="80"/>
      <c r="X1257" s="80"/>
      <c r="Y1257" s="80"/>
      <c r="Z1257" s="80"/>
      <c r="AA1257" s="80"/>
      <c r="AB1257" s="80"/>
      <c r="AC1257" s="80"/>
      <c r="AD1257" s="80"/>
      <c r="AE1257" s="80"/>
      <c r="AF1257" s="80"/>
      <c r="AG1257" s="80"/>
    </row>
    <row r="1258" spans="1:33" x14ac:dyDescent="0.2">
      <c r="A1258" s="2"/>
      <c r="B1258" s="80"/>
      <c r="C1258" s="80"/>
      <c r="D1258" s="80"/>
      <c r="E1258" s="80"/>
      <c r="F1258" s="80"/>
      <c r="G1258" s="80"/>
      <c r="H1258" s="80"/>
      <c r="I1258" s="80"/>
      <c r="J1258" s="80"/>
      <c r="K1258" s="80"/>
      <c r="L1258" s="2"/>
      <c r="M1258" s="2"/>
      <c r="N1258" s="2"/>
      <c r="O1258" s="2"/>
      <c r="P1258" s="2"/>
      <c r="Q1258" s="2"/>
      <c r="R1258" s="80"/>
      <c r="S1258" s="80"/>
      <c r="T1258" s="80"/>
      <c r="U1258" s="80"/>
      <c r="V1258" s="80"/>
      <c r="W1258" s="80"/>
      <c r="X1258" s="80"/>
      <c r="Y1258" s="80"/>
      <c r="Z1258" s="80"/>
      <c r="AA1258" s="80"/>
      <c r="AB1258" s="80"/>
      <c r="AC1258" s="80"/>
      <c r="AD1258" s="80"/>
      <c r="AE1258" s="80"/>
      <c r="AF1258" s="80"/>
      <c r="AG1258" s="80"/>
    </row>
    <row r="1259" spans="1:33" x14ac:dyDescent="0.2">
      <c r="A1259" s="2"/>
      <c r="B1259" s="80"/>
      <c r="C1259" s="80"/>
      <c r="D1259" s="80"/>
      <c r="E1259" s="80"/>
      <c r="F1259" s="80"/>
      <c r="G1259" s="80"/>
      <c r="H1259" s="80"/>
      <c r="I1259" s="80"/>
      <c r="J1259" s="80"/>
      <c r="K1259" s="80"/>
      <c r="L1259" s="2"/>
      <c r="M1259" s="2"/>
      <c r="N1259" s="2"/>
      <c r="O1259" s="2"/>
      <c r="P1259" s="2"/>
      <c r="Q1259" s="2"/>
      <c r="R1259" s="80"/>
      <c r="S1259" s="80"/>
      <c r="T1259" s="80"/>
      <c r="U1259" s="80"/>
      <c r="V1259" s="80"/>
      <c r="W1259" s="80"/>
      <c r="X1259" s="80"/>
      <c r="Y1259" s="80"/>
      <c r="Z1259" s="80"/>
      <c r="AA1259" s="80"/>
      <c r="AB1259" s="80"/>
      <c r="AC1259" s="80"/>
      <c r="AD1259" s="80"/>
      <c r="AE1259" s="80"/>
      <c r="AF1259" s="80"/>
      <c r="AG1259" s="80"/>
    </row>
    <row r="1260" spans="1:33" x14ac:dyDescent="0.2">
      <c r="A1260" s="2"/>
      <c r="B1260" s="80"/>
      <c r="C1260" s="80"/>
      <c r="D1260" s="80"/>
      <c r="E1260" s="80"/>
      <c r="F1260" s="80"/>
      <c r="G1260" s="80"/>
      <c r="H1260" s="80"/>
      <c r="I1260" s="80"/>
      <c r="J1260" s="80"/>
      <c r="K1260" s="80"/>
      <c r="L1260" s="2"/>
      <c r="M1260" s="2"/>
      <c r="N1260" s="2"/>
      <c r="O1260" s="2"/>
      <c r="P1260" s="2"/>
      <c r="Q1260" s="2"/>
      <c r="R1260" s="80"/>
      <c r="S1260" s="80"/>
      <c r="T1260" s="80"/>
      <c r="U1260" s="80"/>
      <c r="V1260" s="80"/>
      <c r="W1260" s="80"/>
      <c r="X1260" s="80"/>
      <c r="Y1260" s="80"/>
      <c r="Z1260" s="80"/>
      <c r="AA1260" s="80"/>
      <c r="AB1260" s="80"/>
      <c r="AC1260" s="80"/>
      <c r="AD1260" s="80"/>
      <c r="AE1260" s="80"/>
      <c r="AF1260" s="80"/>
      <c r="AG1260" s="80"/>
    </row>
    <row r="1261" spans="1:33" x14ac:dyDescent="0.2">
      <c r="A1261" s="2"/>
      <c r="B1261" s="80"/>
      <c r="C1261" s="80"/>
      <c r="D1261" s="80"/>
      <c r="E1261" s="80"/>
      <c r="F1261" s="80"/>
      <c r="G1261" s="80"/>
      <c r="H1261" s="80"/>
      <c r="I1261" s="80"/>
      <c r="J1261" s="80"/>
      <c r="K1261" s="80"/>
      <c r="L1261" s="2"/>
      <c r="M1261" s="2"/>
      <c r="N1261" s="2"/>
      <c r="O1261" s="2"/>
      <c r="P1261" s="2"/>
      <c r="Q1261" s="2"/>
      <c r="R1261" s="80"/>
      <c r="S1261" s="80"/>
      <c r="T1261" s="80"/>
      <c r="U1261" s="80"/>
      <c r="V1261" s="80"/>
      <c r="W1261" s="80"/>
      <c r="X1261" s="80"/>
      <c r="Y1261" s="80"/>
      <c r="Z1261" s="80"/>
      <c r="AA1261" s="80"/>
      <c r="AB1261" s="80"/>
      <c r="AC1261" s="80"/>
      <c r="AD1261" s="80"/>
      <c r="AE1261" s="80"/>
      <c r="AF1261" s="80"/>
      <c r="AG1261" s="80"/>
    </row>
    <row r="1262" spans="1:33" x14ac:dyDescent="0.2">
      <c r="A1262" s="2"/>
      <c r="B1262" s="80"/>
      <c r="C1262" s="80"/>
      <c r="D1262" s="80"/>
      <c r="E1262" s="80"/>
      <c r="F1262" s="80"/>
      <c r="G1262" s="80"/>
      <c r="H1262" s="80"/>
      <c r="I1262" s="80"/>
      <c r="J1262" s="80"/>
      <c r="K1262" s="80"/>
      <c r="L1262" s="2"/>
      <c r="M1262" s="2"/>
      <c r="N1262" s="2"/>
      <c r="O1262" s="2"/>
      <c r="P1262" s="2"/>
      <c r="Q1262" s="2"/>
      <c r="R1262" s="80"/>
      <c r="S1262" s="80"/>
      <c r="T1262" s="80"/>
      <c r="U1262" s="80"/>
      <c r="V1262" s="80"/>
      <c r="W1262" s="80"/>
      <c r="X1262" s="80"/>
      <c r="Y1262" s="80"/>
      <c r="Z1262" s="80"/>
      <c r="AA1262" s="80"/>
      <c r="AB1262" s="80"/>
      <c r="AC1262" s="80"/>
      <c r="AD1262" s="80"/>
      <c r="AE1262" s="80"/>
      <c r="AF1262" s="80"/>
      <c r="AG1262" s="80"/>
    </row>
    <row r="1263" spans="1:33" x14ac:dyDescent="0.2">
      <c r="A1263" s="2"/>
      <c r="B1263" s="80"/>
      <c r="C1263" s="80"/>
      <c r="D1263" s="80"/>
      <c r="E1263" s="80"/>
      <c r="F1263" s="80"/>
      <c r="G1263" s="80"/>
      <c r="H1263" s="80"/>
      <c r="I1263" s="80"/>
      <c r="J1263" s="80"/>
      <c r="K1263" s="80"/>
      <c r="L1263" s="2"/>
      <c r="M1263" s="2"/>
      <c r="N1263" s="2"/>
      <c r="O1263" s="2"/>
      <c r="P1263" s="2"/>
      <c r="Q1263" s="2"/>
      <c r="R1263" s="80"/>
      <c r="S1263" s="80"/>
      <c r="T1263" s="80"/>
      <c r="U1263" s="80"/>
      <c r="V1263" s="80"/>
      <c r="W1263" s="80"/>
      <c r="X1263" s="80"/>
      <c r="Y1263" s="80"/>
      <c r="Z1263" s="80"/>
      <c r="AA1263" s="80"/>
      <c r="AB1263" s="80"/>
      <c r="AC1263" s="80"/>
      <c r="AD1263" s="80"/>
      <c r="AE1263" s="80"/>
      <c r="AF1263" s="80"/>
      <c r="AG1263" s="80"/>
    </row>
    <row r="1264" spans="1:33" x14ac:dyDescent="0.2">
      <c r="A1264" s="2"/>
      <c r="B1264" s="80"/>
      <c r="C1264" s="80"/>
      <c r="D1264" s="80"/>
      <c r="E1264" s="80"/>
      <c r="F1264" s="80"/>
      <c r="G1264" s="80"/>
      <c r="H1264" s="80"/>
      <c r="I1264" s="80"/>
      <c r="J1264" s="80"/>
      <c r="K1264" s="80"/>
      <c r="L1264" s="2"/>
      <c r="M1264" s="2"/>
      <c r="N1264" s="2"/>
      <c r="O1264" s="2"/>
      <c r="P1264" s="2"/>
      <c r="Q1264" s="2"/>
      <c r="R1264" s="80"/>
      <c r="S1264" s="80"/>
      <c r="T1264" s="80"/>
      <c r="U1264" s="80"/>
      <c r="V1264" s="80"/>
      <c r="W1264" s="80"/>
      <c r="X1264" s="80"/>
      <c r="Y1264" s="80"/>
      <c r="Z1264" s="80"/>
      <c r="AA1264" s="80"/>
      <c r="AB1264" s="80"/>
      <c r="AC1264" s="80"/>
      <c r="AD1264" s="80"/>
      <c r="AE1264" s="80"/>
      <c r="AF1264" s="80"/>
      <c r="AG1264" s="80"/>
    </row>
    <row r="1265" spans="1:33" x14ac:dyDescent="0.2">
      <c r="A1265" s="2"/>
      <c r="B1265" s="80"/>
      <c r="C1265" s="80"/>
      <c r="D1265" s="80"/>
      <c r="E1265" s="80"/>
      <c r="F1265" s="80"/>
      <c r="G1265" s="80"/>
      <c r="H1265" s="80"/>
      <c r="I1265" s="80"/>
      <c r="J1265" s="80"/>
      <c r="K1265" s="80"/>
      <c r="L1265" s="2"/>
      <c r="M1265" s="2"/>
      <c r="N1265" s="2"/>
      <c r="O1265" s="2"/>
      <c r="P1265" s="2"/>
      <c r="Q1265" s="2"/>
      <c r="R1265" s="80"/>
      <c r="S1265" s="80"/>
      <c r="T1265" s="80"/>
      <c r="U1265" s="80"/>
      <c r="V1265" s="80"/>
      <c r="W1265" s="80"/>
      <c r="X1265" s="80"/>
      <c r="Y1265" s="80"/>
      <c r="Z1265" s="80"/>
      <c r="AA1265" s="80"/>
      <c r="AB1265" s="80"/>
      <c r="AC1265" s="80"/>
      <c r="AD1265" s="80"/>
      <c r="AE1265" s="80"/>
      <c r="AF1265" s="80"/>
      <c r="AG1265" s="80"/>
    </row>
    <row r="1266" spans="1:33" x14ac:dyDescent="0.2">
      <c r="A1266" s="2"/>
      <c r="B1266" s="80"/>
      <c r="C1266" s="80"/>
      <c r="D1266" s="80"/>
      <c r="E1266" s="80"/>
      <c r="F1266" s="80"/>
      <c r="G1266" s="80"/>
      <c r="H1266" s="80"/>
      <c r="I1266" s="80"/>
      <c r="J1266" s="80"/>
      <c r="K1266" s="80"/>
      <c r="L1266" s="2"/>
      <c r="M1266" s="2"/>
      <c r="N1266" s="2"/>
      <c r="O1266" s="2"/>
      <c r="P1266" s="2"/>
      <c r="Q1266" s="2"/>
      <c r="R1266" s="80"/>
      <c r="S1266" s="80"/>
      <c r="T1266" s="80"/>
      <c r="U1266" s="80"/>
      <c r="V1266" s="80"/>
      <c r="W1266" s="80"/>
      <c r="X1266" s="80"/>
      <c r="Y1266" s="80"/>
      <c r="Z1266" s="80"/>
      <c r="AA1266" s="80"/>
      <c r="AB1266" s="80"/>
      <c r="AC1266" s="80"/>
      <c r="AD1266" s="80"/>
      <c r="AE1266" s="80"/>
      <c r="AF1266" s="80"/>
      <c r="AG1266" s="80"/>
    </row>
    <row r="1267" spans="1:33" x14ac:dyDescent="0.2">
      <c r="A1267" s="2"/>
      <c r="B1267" s="80"/>
      <c r="C1267" s="80"/>
      <c r="D1267" s="80"/>
      <c r="E1267" s="80"/>
      <c r="F1267" s="80"/>
      <c r="G1267" s="80"/>
      <c r="H1267" s="80"/>
      <c r="I1267" s="80"/>
      <c r="J1267" s="80"/>
      <c r="K1267" s="80"/>
      <c r="L1267" s="2"/>
      <c r="M1267" s="2"/>
      <c r="N1267" s="2"/>
      <c r="O1267" s="2"/>
      <c r="P1267" s="2"/>
      <c r="Q1267" s="2"/>
      <c r="R1267" s="80"/>
      <c r="S1267" s="80"/>
      <c r="T1267" s="80"/>
      <c r="U1267" s="80"/>
      <c r="V1267" s="80"/>
      <c r="W1267" s="80"/>
      <c r="X1267" s="80"/>
      <c r="Y1267" s="80"/>
      <c r="Z1267" s="80"/>
      <c r="AA1267" s="80"/>
      <c r="AB1267" s="80"/>
      <c r="AC1267" s="80"/>
      <c r="AD1267" s="80"/>
      <c r="AE1267" s="80"/>
      <c r="AF1267" s="80"/>
      <c r="AG1267" s="80"/>
    </row>
    <row r="1268" spans="1:33" x14ac:dyDescent="0.2">
      <c r="A1268" s="2"/>
      <c r="B1268" s="80"/>
      <c r="C1268" s="80"/>
      <c r="D1268" s="80"/>
      <c r="E1268" s="80"/>
      <c r="F1268" s="80"/>
      <c r="G1268" s="80"/>
      <c r="H1268" s="80"/>
      <c r="I1268" s="80"/>
      <c r="J1268" s="80"/>
      <c r="K1268" s="80"/>
      <c r="L1268" s="2"/>
      <c r="M1268" s="2"/>
      <c r="N1268" s="2"/>
      <c r="O1268" s="2"/>
      <c r="P1268" s="2"/>
      <c r="Q1268" s="2"/>
      <c r="R1268" s="80"/>
      <c r="S1268" s="80"/>
      <c r="T1268" s="80"/>
      <c r="U1268" s="80"/>
      <c r="V1268" s="80"/>
      <c r="W1268" s="80"/>
      <c r="X1268" s="80"/>
      <c r="Y1268" s="80"/>
      <c r="Z1268" s="80"/>
      <c r="AA1268" s="80"/>
      <c r="AB1268" s="80"/>
      <c r="AC1268" s="80"/>
      <c r="AD1268" s="80"/>
      <c r="AE1268" s="80"/>
      <c r="AF1268" s="80"/>
      <c r="AG1268" s="80"/>
    </row>
    <row r="1269" spans="1:33" x14ac:dyDescent="0.2">
      <c r="A1269" s="2"/>
      <c r="B1269" s="80"/>
      <c r="C1269" s="80"/>
      <c r="D1269" s="80"/>
      <c r="E1269" s="80"/>
      <c r="F1269" s="80"/>
      <c r="G1269" s="80"/>
      <c r="H1269" s="80"/>
      <c r="I1269" s="80"/>
      <c r="J1269" s="80"/>
      <c r="K1269" s="80"/>
      <c r="L1269" s="2"/>
      <c r="M1269" s="2"/>
      <c r="N1269" s="2"/>
      <c r="O1269" s="2"/>
      <c r="P1269" s="2"/>
      <c r="Q1269" s="2"/>
      <c r="R1269" s="80"/>
      <c r="S1269" s="80"/>
      <c r="T1269" s="80"/>
      <c r="U1269" s="80"/>
      <c r="V1269" s="80"/>
      <c r="W1269" s="80"/>
      <c r="X1269" s="80"/>
      <c r="Y1269" s="80"/>
      <c r="Z1269" s="80"/>
      <c r="AA1269" s="80"/>
      <c r="AB1269" s="80"/>
      <c r="AC1269" s="80"/>
      <c r="AD1269" s="80"/>
      <c r="AE1269" s="80"/>
      <c r="AF1269" s="80"/>
      <c r="AG1269" s="80"/>
    </row>
    <row r="1270" spans="1:33" x14ac:dyDescent="0.2">
      <c r="A1270" s="2"/>
      <c r="B1270" s="80"/>
      <c r="C1270" s="80"/>
      <c r="D1270" s="80"/>
      <c r="E1270" s="80"/>
      <c r="F1270" s="80"/>
      <c r="G1270" s="80"/>
      <c r="H1270" s="80"/>
      <c r="I1270" s="80"/>
      <c r="J1270" s="80"/>
      <c r="K1270" s="80"/>
      <c r="L1270" s="2"/>
      <c r="M1270" s="2"/>
      <c r="N1270" s="2"/>
      <c r="O1270" s="2"/>
      <c r="P1270" s="2"/>
      <c r="Q1270" s="2"/>
      <c r="R1270" s="80"/>
      <c r="S1270" s="80"/>
      <c r="T1270" s="80"/>
      <c r="U1270" s="80"/>
      <c r="V1270" s="80"/>
      <c r="W1270" s="80"/>
      <c r="X1270" s="80"/>
      <c r="Y1270" s="80"/>
      <c r="Z1270" s="80"/>
      <c r="AA1270" s="80"/>
      <c r="AB1270" s="80"/>
      <c r="AC1270" s="80"/>
      <c r="AD1270" s="80"/>
      <c r="AE1270" s="80"/>
      <c r="AF1270" s="80"/>
      <c r="AG1270" s="80"/>
    </row>
    <row r="1271" spans="1:33" x14ac:dyDescent="0.2">
      <c r="A1271" s="2"/>
      <c r="B1271" s="80"/>
      <c r="C1271" s="80"/>
      <c r="D1271" s="80"/>
      <c r="E1271" s="80"/>
      <c r="F1271" s="80"/>
      <c r="G1271" s="80"/>
      <c r="H1271" s="80"/>
      <c r="I1271" s="80"/>
      <c r="J1271" s="80"/>
      <c r="K1271" s="80"/>
      <c r="L1271" s="2"/>
      <c r="M1271" s="2"/>
      <c r="N1271" s="2"/>
      <c r="O1271" s="2"/>
      <c r="P1271" s="2"/>
      <c r="Q1271" s="2"/>
      <c r="R1271" s="80"/>
      <c r="S1271" s="80"/>
      <c r="T1271" s="80"/>
      <c r="U1271" s="80"/>
      <c r="V1271" s="80"/>
      <c r="W1271" s="80"/>
      <c r="X1271" s="80"/>
      <c r="Y1271" s="80"/>
      <c r="Z1271" s="80"/>
      <c r="AA1271" s="80"/>
      <c r="AB1271" s="80"/>
      <c r="AC1271" s="80"/>
      <c r="AD1271" s="80"/>
      <c r="AE1271" s="80"/>
      <c r="AF1271" s="80"/>
      <c r="AG1271" s="80"/>
    </row>
    <row r="1272" spans="1:33" x14ac:dyDescent="0.2">
      <c r="A1272" s="2"/>
      <c r="B1272" s="80"/>
      <c r="C1272" s="80"/>
      <c r="D1272" s="80"/>
      <c r="E1272" s="80"/>
      <c r="F1272" s="80"/>
      <c r="G1272" s="80"/>
      <c r="H1272" s="80"/>
      <c r="I1272" s="80"/>
      <c r="J1272" s="80"/>
      <c r="K1272" s="80"/>
      <c r="L1272" s="2"/>
      <c r="M1272" s="2"/>
      <c r="N1272" s="2"/>
      <c r="O1272" s="2"/>
      <c r="P1272" s="2"/>
      <c r="Q1272" s="2"/>
      <c r="R1272" s="80"/>
      <c r="S1272" s="80"/>
      <c r="T1272" s="80"/>
      <c r="U1272" s="80"/>
      <c r="V1272" s="80"/>
      <c r="W1272" s="80"/>
      <c r="X1272" s="80"/>
      <c r="Y1272" s="80"/>
      <c r="Z1272" s="80"/>
      <c r="AA1272" s="80"/>
      <c r="AB1272" s="80"/>
      <c r="AC1272" s="80"/>
      <c r="AD1272" s="80"/>
      <c r="AE1272" s="80"/>
      <c r="AF1272" s="80"/>
      <c r="AG1272" s="80"/>
    </row>
    <row r="1273" spans="1:33" x14ac:dyDescent="0.2">
      <c r="A1273" s="2"/>
      <c r="B1273" s="80"/>
      <c r="C1273" s="80"/>
      <c r="D1273" s="80"/>
      <c r="E1273" s="80"/>
      <c r="F1273" s="80"/>
      <c r="G1273" s="80"/>
      <c r="H1273" s="80"/>
      <c r="I1273" s="80"/>
      <c r="J1273" s="80"/>
      <c r="K1273" s="80"/>
      <c r="L1273" s="2"/>
      <c r="M1273" s="2"/>
      <c r="N1273" s="2"/>
      <c r="O1273" s="2"/>
      <c r="P1273" s="2"/>
      <c r="Q1273" s="2"/>
      <c r="R1273" s="80"/>
      <c r="S1273" s="80"/>
      <c r="T1273" s="80"/>
      <c r="U1273" s="80"/>
      <c r="V1273" s="80"/>
      <c r="W1273" s="80"/>
      <c r="X1273" s="80"/>
      <c r="Y1273" s="80"/>
      <c r="Z1273" s="80"/>
      <c r="AA1273" s="80"/>
      <c r="AB1273" s="80"/>
      <c r="AC1273" s="80"/>
      <c r="AD1273" s="80"/>
      <c r="AE1273" s="80"/>
      <c r="AF1273" s="80"/>
      <c r="AG1273" s="80"/>
    </row>
    <row r="1274" spans="1:33" x14ac:dyDescent="0.2">
      <c r="A1274" s="2"/>
      <c r="B1274" s="80"/>
      <c r="C1274" s="80"/>
      <c r="D1274" s="80"/>
      <c r="E1274" s="80"/>
      <c r="F1274" s="80"/>
      <c r="G1274" s="80"/>
      <c r="H1274" s="80"/>
      <c r="I1274" s="80"/>
      <c r="J1274" s="80"/>
      <c r="K1274" s="80"/>
      <c r="L1274" s="2"/>
      <c r="M1274" s="2"/>
      <c r="N1274" s="2"/>
      <c r="O1274" s="2"/>
      <c r="P1274" s="2"/>
      <c r="Q1274" s="2"/>
      <c r="R1274" s="80"/>
      <c r="S1274" s="80"/>
      <c r="T1274" s="80"/>
      <c r="U1274" s="80"/>
      <c r="V1274" s="80"/>
      <c r="W1274" s="80"/>
      <c r="X1274" s="80"/>
      <c r="Y1274" s="80"/>
      <c r="Z1274" s="80"/>
      <c r="AA1274" s="80"/>
      <c r="AB1274" s="80"/>
      <c r="AC1274" s="80"/>
      <c r="AD1274" s="80"/>
      <c r="AE1274" s="80"/>
      <c r="AF1274" s="80"/>
      <c r="AG1274" s="80"/>
    </row>
    <row r="1275" spans="1:33" x14ac:dyDescent="0.2">
      <c r="A1275" s="2"/>
      <c r="B1275" s="80"/>
      <c r="C1275" s="80"/>
      <c r="D1275" s="80"/>
      <c r="E1275" s="80"/>
      <c r="F1275" s="80"/>
      <c r="G1275" s="80"/>
      <c r="H1275" s="80"/>
      <c r="I1275" s="80"/>
      <c r="J1275" s="80"/>
      <c r="K1275" s="80"/>
      <c r="L1275" s="2"/>
      <c r="M1275" s="2"/>
      <c r="N1275" s="2"/>
      <c r="O1275" s="2"/>
      <c r="P1275" s="2"/>
      <c r="Q1275" s="2"/>
      <c r="R1275" s="80"/>
      <c r="S1275" s="80"/>
      <c r="T1275" s="80"/>
      <c r="U1275" s="80"/>
      <c r="V1275" s="80"/>
      <c r="W1275" s="80"/>
      <c r="X1275" s="80"/>
      <c r="Y1275" s="80"/>
      <c r="Z1275" s="80"/>
      <c r="AA1275" s="80"/>
      <c r="AB1275" s="80"/>
      <c r="AC1275" s="80"/>
      <c r="AD1275" s="80"/>
      <c r="AE1275" s="80"/>
      <c r="AF1275" s="80"/>
      <c r="AG1275" s="80"/>
    </row>
    <row r="1276" spans="1:33" x14ac:dyDescent="0.2">
      <c r="A1276" s="2"/>
      <c r="B1276" s="80"/>
      <c r="C1276" s="80"/>
      <c r="D1276" s="80"/>
      <c r="E1276" s="80"/>
      <c r="F1276" s="80"/>
      <c r="G1276" s="80"/>
      <c r="H1276" s="80"/>
      <c r="I1276" s="80"/>
      <c r="J1276" s="80"/>
      <c r="K1276" s="80"/>
      <c r="L1276" s="2"/>
      <c r="M1276" s="2"/>
      <c r="N1276" s="2"/>
      <c r="O1276" s="2"/>
      <c r="P1276" s="2"/>
      <c r="Q1276" s="2"/>
      <c r="R1276" s="80"/>
      <c r="S1276" s="80"/>
      <c r="T1276" s="80"/>
      <c r="U1276" s="80"/>
      <c r="V1276" s="80"/>
      <c r="W1276" s="80"/>
      <c r="X1276" s="80"/>
      <c r="Y1276" s="80"/>
      <c r="Z1276" s="80"/>
      <c r="AA1276" s="80"/>
      <c r="AB1276" s="80"/>
      <c r="AC1276" s="80"/>
      <c r="AD1276" s="80"/>
      <c r="AE1276" s="80"/>
      <c r="AF1276" s="80"/>
      <c r="AG1276" s="80"/>
    </row>
    <row r="1277" spans="1:33" x14ac:dyDescent="0.2">
      <c r="A1277" s="2"/>
      <c r="B1277" s="80"/>
      <c r="C1277" s="80"/>
      <c r="D1277" s="80"/>
      <c r="E1277" s="80"/>
      <c r="F1277" s="80"/>
      <c r="G1277" s="80"/>
      <c r="H1277" s="80"/>
      <c r="I1277" s="80"/>
      <c r="J1277" s="80"/>
      <c r="K1277" s="80"/>
      <c r="L1277" s="2"/>
      <c r="M1277" s="2"/>
      <c r="N1277" s="2"/>
      <c r="O1277" s="2"/>
      <c r="P1277" s="2"/>
      <c r="Q1277" s="2"/>
      <c r="R1277" s="80"/>
      <c r="S1277" s="80"/>
      <c r="T1277" s="80"/>
      <c r="U1277" s="80"/>
      <c r="V1277" s="80"/>
      <c r="W1277" s="80"/>
      <c r="X1277" s="80"/>
      <c r="Y1277" s="80"/>
      <c r="Z1277" s="80"/>
      <c r="AA1277" s="80"/>
      <c r="AB1277" s="80"/>
      <c r="AC1277" s="80"/>
      <c r="AD1277" s="80"/>
      <c r="AE1277" s="80"/>
      <c r="AF1277" s="80"/>
      <c r="AG1277" s="80"/>
    </row>
    <row r="1278" spans="1:33" x14ac:dyDescent="0.2">
      <c r="A1278" s="2"/>
      <c r="B1278" s="80"/>
      <c r="C1278" s="80"/>
      <c r="D1278" s="80"/>
      <c r="E1278" s="80"/>
      <c r="F1278" s="80"/>
      <c r="G1278" s="80"/>
      <c r="H1278" s="80"/>
      <c r="I1278" s="80"/>
      <c r="J1278" s="80"/>
      <c r="K1278" s="80"/>
      <c r="L1278" s="2"/>
      <c r="M1278" s="2"/>
      <c r="N1278" s="2"/>
      <c r="O1278" s="2"/>
      <c r="P1278" s="2"/>
      <c r="Q1278" s="2"/>
      <c r="R1278" s="80"/>
      <c r="S1278" s="80"/>
      <c r="T1278" s="80"/>
      <c r="U1278" s="80"/>
      <c r="V1278" s="80"/>
      <c r="W1278" s="80"/>
      <c r="X1278" s="80"/>
      <c r="Y1278" s="80"/>
      <c r="Z1278" s="80"/>
      <c r="AA1278" s="80"/>
      <c r="AB1278" s="80"/>
      <c r="AC1278" s="80"/>
      <c r="AD1278" s="80"/>
      <c r="AE1278" s="80"/>
      <c r="AF1278" s="80"/>
      <c r="AG1278" s="80"/>
    </row>
    <row r="1279" spans="1:33" x14ac:dyDescent="0.2">
      <c r="A1279" s="2"/>
      <c r="B1279" s="80"/>
      <c r="C1279" s="80"/>
      <c r="D1279" s="80"/>
      <c r="E1279" s="80"/>
      <c r="F1279" s="80"/>
      <c r="G1279" s="80"/>
      <c r="H1279" s="80"/>
      <c r="I1279" s="80"/>
      <c r="J1279" s="80"/>
      <c r="K1279" s="80"/>
      <c r="L1279" s="2"/>
      <c r="M1279" s="2"/>
      <c r="N1279" s="2"/>
      <c r="O1279" s="2"/>
      <c r="P1279" s="2"/>
      <c r="Q1279" s="2"/>
      <c r="R1279" s="80"/>
      <c r="S1279" s="80"/>
      <c r="T1279" s="80"/>
      <c r="U1279" s="80"/>
      <c r="V1279" s="80"/>
      <c r="W1279" s="80"/>
      <c r="X1279" s="80"/>
      <c r="Y1279" s="80"/>
      <c r="Z1279" s="80"/>
      <c r="AA1279" s="80"/>
      <c r="AB1279" s="80"/>
      <c r="AC1279" s="80"/>
      <c r="AD1279" s="80"/>
      <c r="AE1279" s="80"/>
      <c r="AF1279" s="80"/>
      <c r="AG1279" s="80"/>
    </row>
    <row r="1280" spans="1:33" x14ac:dyDescent="0.2">
      <c r="A1280" s="2"/>
      <c r="B1280" s="80"/>
      <c r="C1280" s="80"/>
      <c r="D1280" s="80"/>
      <c r="E1280" s="80"/>
      <c r="F1280" s="80"/>
      <c r="G1280" s="80"/>
      <c r="H1280" s="80"/>
      <c r="I1280" s="80"/>
      <c r="J1280" s="80"/>
      <c r="K1280" s="80"/>
      <c r="L1280" s="2"/>
      <c r="M1280" s="2"/>
      <c r="N1280" s="2"/>
      <c r="O1280" s="2"/>
      <c r="P1280" s="2"/>
      <c r="Q1280" s="2"/>
      <c r="R1280" s="80"/>
      <c r="S1280" s="80"/>
      <c r="T1280" s="80"/>
      <c r="U1280" s="80"/>
      <c r="V1280" s="80"/>
      <c r="W1280" s="80"/>
      <c r="X1280" s="80"/>
      <c r="Y1280" s="80"/>
      <c r="Z1280" s="80"/>
      <c r="AA1280" s="80"/>
      <c r="AB1280" s="80"/>
      <c r="AC1280" s="80"/>
      <c r="AD1280" s="80"/>
      <c r="AE1280" s="80"/>
      <c r="AF1280" s="80"/>
      <c r="AG1280" s="80"/>
    </row>
    <row r="1281" spans="1:33" x14ac:dyDescent="0.2">
      <c r="A1281" s="2"/>
      <c r="B1281" s="80"/>
      <c r="C1281" s="80"/>
      <c r="D1281" s="80"/>
      <c r="E1281" s="80"/>
      <c r="F1281" s="80"/>
      <c r="G1281" s="80"/>
      <c r="H1281" s="80"/>
      <c r="I1281" s="80"/>
      <c r="J1281" s="80"/>
      <c r="K1281" s="80"/>
      <c r="L1281" s="2"/>
      <c r="M1281" s="2"/>
      <c r="N1281" s="2"/>
      <c r="O1281" s="2"/>
      <c r="P1281" s="2"/>
      <c r="Q1281" s="2"/>
      <c r="R1281" s="80"/>
      <c r="S1281" s="80"/>
      <c r="T1281" s="80"/>
      <c r="U1281" s="80"/>
      <c r="V1281" s="80"/>
      <c r="W1281" s="80"/>
      <c r="X1281" s="80"/>
      <c r="Y1281" s="80"/>
      <c r="Z1281" s="80"/>
      <c r="AA1281" s="80"/>
      <c r="AB1281" s="80"/>
      <c r="AC1281" s="80"/>
      <c r="AD1281" s="80"/>
      <c r="AE1281" s="80"/>
      <c r="AF1281" s="80"/>
      <c r="AG1281" s="80"/>
    </row>
    <row r="1282" spans="1:33" x14ac:dyDescent="0.2">
      <c r="A1282" s="2"/>
      <c r="B1282" s="80"/>
      <c r="C1282" s="80"/>
      <c r="D1282" s="80"/>
      <c r="E1282" s="80"/>
      <c r="F1282" s="80"/>
      <c r="G1282" s="80"/>
      <c r="H1282" s="80"/>
      <c r="I1282" s="80"/>
      <c r="J1282" s="80"/>
      <c r="K1282" s="80"/>
      <c r="L1282" s="2"/>
      <c r="M1282" s="2"/>
      <c r="N1282" s="2"/>
      <c r="O1282" s="2"/>
      <c r="P1282" s="2"/>
      <c r="Q1282" s="2"/>
      <c r="R1282" s="80"/>
      <c r="S1282" s="80"/>
      <c r="T1282" s="80"/>
      <c r="U1282" s="80"/>
      <c r="V1282" s="80"/>
      <c r="W1282" s="80"/>
      <c r="X1282" s="80"/>
      <c r="Y1282" s="80"/>
      <c r="Z1282" s="80"/>
      <c r="AA1282" s="80"/>
      <c r="AB1282" s="80"/>
      <c r="AC1282" s="80"/>
      <c r="AD1282" s="80"/>
      <c r="AE1282" s="80"/>
      <c r="AF1282" s="80"/>
      <c r="AG1282" s="80"/>
    </row>
    <row r="1283" spans="1:33" x14ac:dyDescent="0.2">
      <c r="A1283" s="2"/>
      <c r="B1283" s="80"/>
      <c r="C1283" s="80"/>
      <c r="D1283" s="80"/>
      <c r="E1283" s="80"/>
      <c r="F1283" s="80"/>
      <c r="G1283" s="80"/>
      <c r="H1283" s="80"/>
      <c r="I1283" s="80"/>
      <c r="J1283" s="80"/>
      <c r="K1283" s="80"/>
      <c r="L1283" s="2"/>
      <c r="M1283" s="2"/>
      <c r="N1283" s="2"/>
      <c r="O1283" s="2"/>
      <c r="P1283" s="2"/>
      <c r="Q1283" s="2"/>
      <c r="R1283" s="80"/>
      <c r="S1283" s="80"/>
      <c r="T1283" s="80"/>
      <c r="U1283" s="80"/>
      <c r="V1283" s="80"/>
      <c r="W1283" s="80"/>
      <c r="X1283" s="80"/>
      <c r="Y1283" s="80"/>
      <c r="Z1283" s="80"/>
      <c r="AA1283" s="80"/>
      <c r="AB1283" s="80"/>
      <c r="AC1283" s="80"/>
      <c r="AD1283" s="80"/>
      <c r="AE1283" s="80"/>
      <c r="AF1283" s="80"/>
      <c r="AG1283" s="80"/>
    </row>
    <row r="1284" spans="1:33" x14ac:dyDescent="0.2">
      <c r="A1284" s="2"/>
      <c r="B1284" s="80"/>
      <c r="C1284" s="80"/>
      <c r="D1284" s="80"/>
      <c r="E1284" s="80"/>
      <c r="F1284" s="80"/>
      <c r="G1284" s="80"/>
      <c r="H1284" s="80"/>
      <c r="I1284" s="80"/>
      <c r="J1284" s="80"/>
      <c r="K1284" s="80"/>
      <c r="L1284" s="2"/>
      <c r="M1284" s="2"/>
      <c r="N1284" s="2"/>
      <c r="O1284" s="2"/>
      <c r="P1284" s="2"/>
      <c r="Q1284" s="2"/>
      <c r="R1284" s="80"/>
      <c r="S1284" s="80"/>
      <c r="T1284" s="80"/>
      <c r="U1284" s="80"/>
      <c r="V1284" s="80"/>
      <c r="W1284" s="80"/>
      <c r="X1284" s="80"/>
      <c r="Y1284" s="80"/>
      <c r="Z1284" s="80"/>
      <c r="AA1284" s="80"/>
      <c r="AB1284" s="80"/>
      <c r="AC1284" s="80"/>
      <c r="AD1284" s="80"/>
      <c r="AE1284" s="80"/>
      <c r="AF1284" s="80"/>
      <c r="AG1284" s="80"/>
    </row>
    <row r="1285" spans="1:33" x14ac:dyDescent="0.2">
      <c r="A1285" s="2"/>
      <c r="B1285" s="80"/>
      <c r="C1285" s="80"/>
      <c r="D1285" s="80"/>
      <c r="E1285" s="80"/>
      <c r="F1285" s="80"/>
      <c r="G1285" s="80"/>
      <c r="H1285" s="80"/>
      <c r="I1285" s="80"/>
      <c r="J1285" s="80"/>
      <c r="K1285" s="80"/>
      <c r="L1285" s="2"/>
      <c r="M1285" s="2"/>
      <c r="N1285" s="2"/>
      <c r="O1285" s="2"/>
      <c r="P1285" s="2"/>
      <c r="Q1285" s="2"/>
      <c r="R1285" s="80"/>
      <c r="S1285" s="80"/>
      <c r="T1285" s="80"/>
      <c r="U1285" s="80"/>
      <c r="V1285" s="80"/>
      <c r="W1285" s="80"/>
      <c r="X1285" s="80"/>
      <c r="Y1285" s="80"/>
      <c r="Z1285" s="80"/>
      <c r="AA1285" s="80"/>
      <c r="AB1285" s="80"/>
      <c r="AC1285" s="80"/>
      <c r="AD1285" s="80"/>
      <c r="AE1285" s="80"/>
      <c r="AF1285" s="80"/>
      <c r="AG1285" s="80"/>
    </row>
    <row r="1286" spans="1:33" x14ac:dyDescent="0.2">
      <c r="A1286" s="2"/>
      <c r="B1286" s="80"/>
      <c r="C1286" s="80"/>
      <c r="D1286" s="80"/>
      <c r="E1286" s="80"/>
      <c r="F1286" s="80"/>
      <c r="G1286" s="80"/>
      <c r="H1286" s="80"/>
      <c r="I1286" s="80"/>
      <c r="J1286" s="80"/>
      <c r="K1286" s="80"/>
      <c r="L1286" s="2"/>
      <c r="M1286" s="2"/>
      <c r="N1286" s="2"/>
      <c r="O1286" s="2"/>
      <c r="P1286" s="2"/>
      <c r="Q1286" s="2"/>
      <c r="R1286" s="80"/>
      <c r="S1286" s="80"/>
      <c r="T1286" s="80"/>
      <c r="U1286" s="80"/>
      <c r="V1286" s="80"/>
      <c r="W1286" s="80"/>
      <c r="X1286" s="80"/>
      <c r="Y1286" s="80"/>
      <c r="Z1286" s="80"/>
      <c r="AA1286" s="80"/>
      <c r="AB1286" s="80"/>
      <c r="AC1286" s="80"/>
      <c r="AD1286" s="80"/>
      <c r="AE1286" s="80"/>
      <c r="AF1286" s="80"/>
      <c r="AG1286" s="80"/>
    </row>
    <row r="1287" spans="1:33" x14ac:dyDescent="0.2">
      <c r="A1287" s="2"/>
      <c r="B1287" s="80"/>
      <c r="C1287" s="80"/>
      <c r="D1287" s="80"/>
      <c r="E1287" s="80"/>
      <c r="F1287" s="80"/>
      <c r="G1287" s="80"/>
      <c r="H1287" s="80"/>
      <c r="I1287" s="80"/>
      <c r="J1287" s="80"/>
      <c r="K1287" s="80"/>
      <c r="L1287" s="2"/>
      <c r="M1287" s="2"/>
      <c r="N1287" s="2"/>
      <c r="O1287" s="2"/>
      <c r="P1287" s="2"/>
      <c r="Q1287" s="2"/>
      <c r="R1287" s="80"/>
      <c r="S1287" s="80"/>
      <c r="T1287" s="80"/>
      <c r="U1287" s="80"/>
      <c r="V1287" s="80"/>
      <c r="W1287" s="80"/>
      <c r="X1287" s="80"/>
      <c r="Y1287" s="80"/>
      <c r="Z1287" s="80"/>
      <c r="AA1287" s="80"/>
      <c r="AB1287" s="80"/>
      <c r="AC1287" s="80"/>
      <c r="AD1287" s="80"/>
      <c r="AE1287" s="80"/>
      <c r="AF1287" s="80"/>
      <c r="AG1287" s="80"/>
    </row>
    <row r="1288" spans="1:33" x14ac:dyDescent="0.2">
      <c r="A1288" s="2"/>
      <c r="B1288" s="80"/>
      <c r="C1288" s="80"/>
      <c r="D1288" s="80"/>
      <c r="E1288" s="80"/>
      <c r="F1288" s="80"/>
      <c r="G1288" s="80"/>
      <c r="H1288" s="80"/>
      <c r="I1288" s="80"/>
      <c r="J1288" s="80"/>
      <c r="K1288" s="80"/>
      <c r="L1288" s="2"/>
      <c r="M1288" s="2"/>
      <c r="N1288" s="2"/>
      <c r="O1288" s="2"/>
      <c r="P1288" s="2"/>
      <c r="Q1288" s="2"/>
      <c r="R1288" s="80"/>
      <c r="S1288" s="80"/>
      <c r="T1288" s="80"/>
      <c r="U1288" s="80"/>
      <c r="V1288" s="80"/>
      <c r="W1288" s="80"/>
      <c r="X1288" s="80"/>
      <c r="Y1288" s="80"/>
      <c r="Z1288" s="80"/>
      <c r="AA1288" s="80"/>
      <c r="AB1288" s="80"/>
      <c r="AC1288" s="80"/>
      <c r="AD1288" s="80"/>
      <c r="AE1288" s="80"/>
      <c r="AF1288" s="80"/>
      <c r="AG1288" s="80"/>
    </row>
    <row r="1289" spans="1:33" x14ac:dyDescent="0.2">
      <c r="A1289" s="2"/>
      <c r="B1289" s="80"/>
      <c r="C1289" s="80"/>
      <c r="D1289" s="80"/>
      <c r="E1289" s="80"/>
      <c r="F1289" s="80"/>
      <c r="G1289" s="80"/>
      <c r="H1289" s="80"/>
      <c r="I1289" s="80"/>
      <c r="J1289" s="80"/>
      <c r="K1289" s="80"/>
      <c r="L1289" s="2"/>
      <c r="M1289" s="2"/>
      <c r="N1289" s="2"/>
      <c r="O1289" s="2"/>
      <c r="P1289" s="2"/>
      <c r="Q1289" s="2"/>
      <c r="R1289" s="80"/>
      <c r="S1289" s="80"/>
      <c r="T1289" s="80"/>
      <c r="U1289" s="80"/>
      <c r="V1289" s="80"/>
      <c r="W1289" s="80"/>
      <c r="X1289" s="80"/>
      <c r="Y1289" s="80"/>
      <c r="Z1289" s="80"/>
      <c r="AA1289" s="80"/>
      <c r="AB1289" s="80"/>
      <c r="AC1289" s="80"/>
      <c r="AD1289" s="80"/>
      <c r="AE1289" s="80"/>
      <c r="AF1289" s="80"/>
      <c r="AG1289" s="80"/>
    </row>
    <row r="1290" spans="1:33" x14ac:dyDescent="0.2">
      <c r="A1290" s="2"/>
      <c r="B1290" s="80"/>
      <c r="C1290" s="80"/>
      <c r="D1290" s="80"/>
      <c r="E1290" s="80"/>
      <c r="F1290" s="80"/>
      <c r="G1290" s="80"/>
      <c r="H1290" s="80"/>
      <c r="I1290" s="80"/>
      <c r="J1290" s="80"/>
      <c r="K1290" s="80"/>
      <c r="L1290" s="2"/>
      <c r="M1290" s="2"/>
      <c r="N1290" s="2"/>
      <c r="O1290" s="2"/>
      <c r="P1290" s="2"/>
      <c r="Q1290" s="2"/>
      <c r="R1290" s="80"/>
      <c r="S1290" s="80"/>
      <c r="T1290" s="80"/>
      <c r="U1290" s="80"/>
      <c r="V1290" s="80"/>
      <c r="W1290" s="80"/>
      <c r="X1290" s="80"/>
      <c r="Y1290" s="80"/>
      <c r="Z1290" s="80"/>
      <c r="AA1290" s="80"/>
      <c r="AB1290" s="80"/>
      <c r="AC1290" s="80"/>
      <c r="AD1290" s="80"/>
      <c r="AE1290" s="80"/>
      <c r="AF1290" s="80"/>
      <c r="AG1290" s="80"/>
    </row>
    <row r="1291" spans="1:33" x14ac:dyDescent="0.2">
      <c r="A1291" s="2"/>
      <c r="B1291" s="80"/>
      <c r="C1291" s="80"/>
      <c r="D1291" s="80"/>
      <c r="E1291" s="80"/>
      <c r="F1291" s="80"/>
      <c r="G1291" s="80"/>
      <c r="H1291" s="80"/>
      <c r="I1291" s="80"/>
      <c r="J1291" s="80"/>
      <c r="K1291" s="80"/>
      <c r="L1291" s="2"/>
      <c r="M1291" s="2"/>
      <c r="N1291" s="2"/>
      <c r="O1291" s="2"/>
      <c r="P1291" s="2"/>
      <c r="Q1291" s="2"/>
      <c r="R1291" s="80"/>
      <c r="S1291" s="80"/>
      <c r="T1291" s="80"/>
      <c r="U1291" s="80"/>
      <c r="V1291" s="80"/>
      <c r="W1291" s="80"/>
      <c r="X1291" s="80"/>
      <c r="Y1291" s="80"/>
      <c r="Z1291" s="80"/>
      <c r="AA1291" s="80"/>
      <c r="AB1291" s="80"/>
      <c r="AC1291" s="80"/>
      <c r="AD1291" s="80"/>
      <c r="AE1291" s="80"/>
      <c r="AF1291" s="80"/>
      <c r="AG1291" s="80"/>
    </row>
    <row r="1292" spans="1:33" x14ac:dyDescent="0.2">
      <c r="A1292" s="2"/>
      <c r="B1292" s="80"/>
      <c r="C1292" s="80"/>
      <c r="D1292" s="80"/>
      <c r="E1292" s="80"/>
      <c r="F1292" s="80"/>
      <c r="G1292" s="80"/>
      <c r="H1292" s="80"/>
      <c r="I1292" s="80"/>
      <c r="J1292" s="80"/>
      <c r="K1292" s="80"/>
      <c r="L1292" s="2"/>
      <c r="M1292" s="2"/>
      <c r="N1292" s="2"/>
      <c r="O1292" s="2"/>
      <c r="P1292" s="2"/>
      <c r="Q1292" s="2"/>
      <c r="R1292" s="80"/>
      <c r="S1292" s="80"/>
      <c r="T1292" s="80"/>
      <c r="U1292" s="80"/>
      <c r="V1292" s="80"/>
      <c r="W1292" s="80"/>
      <c r="X1292" s="80"/>
      <c r="Y1292" s="80"/>
      <c r="Z1292" s="80"/>
      <c r="AA1292" s="80"/>
      <c r="AB1292" s="80"/>
      <c r="AC1292" s="80"/>
      <c r="AD1292" s="80"/>
      <c r="AE1292" s="80"/>
      <c r="AF1292" s="80"/>
      <c r="AG1292" s="80"/>
    </row>
    <row r="1293" spans="1:33" x14ac:dyDescent="0.2">
      <c r="A1293" s="2"/>
      <c r="B1293" s="80"/>
      <c r="C1293" s="80"/>
      <c r="D1293" s="80"/>
      <c r="E1293" s="80"/>
      <c r="F1293" s="80"/>
      <c r="G1293" s="80"/>
      <c r="H1293" s="80"/>
      <c r="I1293" s="80"/>
      <c r="J1293" s="80"/>
      <c r="K1293" s="80"/>
      <c r="L1293" s="2"/>
      <c r="M1293" s="2"/>
      <c r="N1293" s="2"/>
      <c r="O1293" s="2"/>
      <c r="P1293" s="2"/>
      <c r="Q1293" s="2"/>
      <c r="R1293" s="80"/>
      <c r="S1293" s="80"/>
      <c r="T1293" s="80"/>
      <c r="U1293" s="80"/>
      <c r="V1293" s="80"/>
      <c r="W1293" s="80"/>
      <c r="X1293" s="80"/>
      <c r="Y1293" s="80"/>
      <c r="Z1293" s="80"/>
      <c r="AA1293" s="80"/>
      <c r="AB1293" s="80"/>
      <c r="AC1293" s="80"/>
      <c r="AD1293" s="80"/>
      <c r="AE1293" s="80"/>
      <c r="AF1293" s="80"/>
      <c r="AG1293" s="80"/>
    </row>
    <row r="1294" spans="1:33" x14ac:dyDescent="0.2">
      <c r="A1294" s="2"/>
      <c r="B1294" s="80"/>
      <c r="C1294" s="80"/>
      <c r="D1294" s="80"/>
      <c r="E1294" s="80"/>
      <c r="F1294" s="80"/>
      <c r="G1294" s="80"/>
      <c r="H1294" s="80"/>
      <c r="I1294" s="80"/>
      <c r="J1294" s="80"/>
      <c r="K1294" s="80"/>
      <c r="L1294" s="2"/>
      <c r="M1294" s="2"/>
      <c r="N1294" s="2"/>
      <c r="O1294" s="2"/>
      <c r="P1294" s="2"/>
      <c r="Q1294" s="2"/>
      <c r="R1294" s="80"/>
      <c r="S1294" s="80"/>
      <c r="T1294" s="80"/>
      <c r="U1294" s="80"/>
      <c r="V1294" s="80"/>
      <c r="W1294" s="80"/>
      <c r="X1294" s="80"/>
      <c r="Y1294" s="80"/>
      <c r="Z1294" s="80"/>
      <c r="AA1294" s="80"/>
      <c r="AB1294" s="80"/>
      <c r="AC1294" s="80"/>
      <c r="AD1294" s="80"/>
      <c r="AE1294" s="80"/>
      <c r="AF1294" s="80"/>
      <c r="AG1294" s="80"/>
    </row>
    <row r="1295" spans="1:33" x14ac:dyDescent="0.2">
      <c r="A1295" s="2"/>
      <c r="B1295" s="80"/>
      <c r="C1295" s="80"/>
      <c r="D1295" s="80"/>
      <c r="E1295" s="80"/>
      <c r="F1295" s="80"/>
      <c r="G1295" s="80"/>
      <c r="H1295" s="80"/>
      <c r="I1295" s="80"/>
      <c r="J1295" s="80"/>
      <c r="K1295" s="80"/>
      <c r="L1295" s="2"/>
      <c r="M1295" s="2"/>
      <c r="N1295" s="2"/>
      <c r="O1295" s="2"/>
      <c r="P1295" s="2"/>
      <c r="Q1295" s="2"/>
      <c r="R1295" s="80"/>
      <c r="S1295" s="80"/>
      <c r="T1295" s="80"/>
      <c r="U1295" s="80"/>
      <c r="V1295" s="80"/>
      <c r="W1295" s="80"/>
      <c r="X1295" s="80"/>
      <c r="Y1295" s="80"/>
      <c r="Z1295" s="80"/>
      <c r="AA1295" s="80"/>
      <c r="AB1295" s="80"/>
      <c r="AC1295" s="80"/>
      <c r="AD1295" s="80"/>
      <c r="AE1295" s="80"/>
      <c r="AF1295" s="80"/>
      <c r="AG1295" s="80"/>
    </row>
    <row r="1296" spans="1:33" x14ac:dyDescent="0.2">
      <c r="A1296" s="2"/>
      <c r="B1296" s="80"/>
      <c r="C1296" s="80"/>
      <c r="D1296" s="80"/>
      <c r="E1296" s="80"/>
      <c r="F1296" s="80"/>
      <c r="G1296" s="80"/>
      <c r="H1296" s="80"/>
      <c r="I1296" s="80"/>
      <c r="J1296" s="80"/>
      <c r="K1296" s="80"/>
      <c r="L1296" s="2"/>
      <c r="M1296" s="2"/>
      <c r="N1296" s="2"/>
      <c r="O1296" s="2"/>
      <c r="P1296" s="2"/>
      <c r="Q1296" s="2"/>
      <c r="R1296" s="80"/>
      <c r="S1296" s="80"/>
      <c r="T1296" s="80"/>
      <c r="U1296" s="80"/>
      <c r="V1296" s="80"/>
      <c r="W1296" s="80"/>
      <c r="X1296" s="80"/>
      <c r="Y1296" s="80"/>
      <c r="Z1296" s="80"/>
      <c r="AA1296" s="80"/>
      <c r="AB1296" s="80"/>
      <c r="AC1296" s="80"/>
      <c r="AD1296" s="80"/>
      <c r="AE1296" s="80"/>
      <c r="AF1296" s="80"/>
      <c r="AG1296" s="80"/>
    </row>
    <row r="1297" spans="1:33" x14ac:dyDescent="0.2">
      <c r="A1297" s="2"/>
      <c r="B1297" s="80"/>
      <c r="C1297" s="80"/>
      <c r="D1297" s="80"/>
      <c r="E1297" s="80"/>
      <c r="F1297" s="80"/>
      <c r="G1297" s="80"/>
      <c r="H1297" s="80"/>
      <c r="I1297" s="80"/>
      <c r="J1297" s="80"/>
      <c r="K1297" s="80"/>
      <c r="L1297" s="2"/>
      <c r="M1297" s="2"/>
      <c r="N1297" s="2"/>
      <c r="O1297" s="2"/>
      <c r="P1297" s="2"/>
      <c r="Q1297" s="2"/>
      <c r="R1297" s="80"/>
      <c r="S1297" s="80"/>
      <c r="T1297" s="80"/>
      <c r="U1297" s="80"/>
      <c r="V1297" s="80"/>
      <c r="W1297" s="80"/>
      <c r="X1297" s="80"/>
      <c r="Y1297" s="80"/>
      <c r="Z1297" s="80"/>
      <c r="AA1297" s="80"/>
      <c r="AB1297" s="80"/>
      <c r="AC1297" s="80"/>
      <c r="AD1297" s="80"/>
      <c r="AE1297" s="80"/>
      <c r="AF1297" s="80"/>
      <c r="AG1297" s="80"/>
    </row>
    <row r="1298" spans="1:33" x14ac:dyDescent="0.2">
      <c r="A1298" s="2"/>
      <c r="B1298" s="80"/>
      <c r="C1298" s="80"/>
      <c r="D1298" s="80"/>
      <c r="E1298" s="80"/>
      <c r="F1298" s="80"/>
      <c r="G1298" s="80"/>
      <c r="H1298" s="80"/>
      <c r="I1298" s="80"/>
      <c r="J1298" s="80"/>
      <c r="K1298" s="80"/>
      <c r="L1298" s="2"/>
      <c r="M1298" s="2"/>
      <c r="N1298" s="2"/>
      <c r="O1298" s="2"/>
      <c r="P1298" s="2"/>
      <c r="Q1298" s="2"/>
      <c r="R1298" s="80"/>
      <c r="S1298" s="80"/>
      <c r="T1298" s="80"/>
      <c r="U1298" s="80"/>
      <c r="V1298" s="80"/>
      <c r="W1298" s="80"/>
      <c r="X1298" s="80"/>
      <c r="Y1298" s="80"/>
      <c r="Z1298" s="80"/>
      <c r="AA1298" s="80"/>
      <c r="AB1298" s="80"/>
      <c r="AC1298" s="80"/>
      <c r="AD1298" s="80"/>
      <c r="AE1298" s="80"/>
      <c r="AF1298" s="80"/>
      <c r="AG1298" s="80"/>
    </row>
    <row r="1299" spans="1:33" x14ac:dyDescent="0.2">
      <c r="A1299" s="2"/>
      <c r="B1299" s="80"/>
      <c r="C1299" s="80"/>
      <c r="D1299" s="80"/>
      <c r="E1299" s="80"/>
      <c r="F1299" s="80"/>
      <c r="G1299" s="80"/>
      <c r="H1299" s="80"/>
      <c r="I1299" s="80"/>
      <c r="J1299" s="80"/>
      <c r="K1299" s="80"/>
      <c r="L1299" s="2"/>
      <c r="M1299" s="2"/>
      <c r="N1299" s="2"/>
      <c r="O1299" s="2"/>
      <c r="P1299" s="2"/>
      <c r="Q1299" s="2"/>
      <c r="R1299" s="80"/>
      <c r="S1299" s="80"/>
      <c r="T1299" s="80"/>
      <c r="U1299" s="80"/>
      <c r="V1299" s="80"/>
      <c r="W1299" s="80"/>
      <c r="X1299" s="80"/>
      <c r="Y1299" s="80"/>
      <c r="Z1299" s="80"/>
      <c r="AA1299" s="80"/>
      <c r="AB1299" s="80"/>
      <c r="AC1299" s="80"/>
      <c r="AD1299" s="80"/>
      <c r="AE1299" s="80"/>
      <c r="AF1299" s="80"/>
      <c r="AG1299" s="80"/>
    </row>
    <row r="1300" spans="1:33" x14ac:dyDescent="0.2">
      <c r="A1300" s="2"/>
      <c r="B1300" s="80"/>
      <c r="C1300" s="80"/>
      <c r="D1300" s="80"/>
      <c r="E1300" s="80"/>
      <c r="F1300" s="80"/>
      <c r="G1300" s="80"/>
      <c r="H1300" s="80"/>
      <c r="I1300" s="80"/>
      <c r="J1300" s="80"/>
      <c r="K1300" s="80"/>
      <c r="L1300" s="2"/>
      <c r="M1300" s="2"/>
      <c r="N1300" s="2"/>
      <c r="O1300" s="2"/>
      <c r="P1300" s="2"/>
      <c r="Q1300" s="2"/>
      <c r="R1300" s="80"/>
      <c r="S1300" s="80"/>
      <c r="T1300" s="80"/>
      <c r="U1300" s="80"/>
      <c r="V1300" s="80"/>
      <c r="W1300" s="80"/>
      <c r="X1300" s="80"/>
      <c r="Y1300" s="80"/>
      <c r="Z1300" s="80"/>
      <c r="AA1300" s="80"/>
      <c r="AB1300" s="80"/>
      <c r="AC1300" s="80"/>
      <c r="AD1300" s="80"/>
      <c r="AE1300" s="80"/>
      <c r="AF1300" s="80"/>
      <c r="AG1300" s="80"/>
    </row>
    <row r="1301" spans="1:33" x14ac:dyDescent="0.2">
      <c r="A1301" s="2"/>
      <c r="B1301" s="80"/>
      <c r="C1301" s="80"/>
      <c r="D1301" s="80"/>
      <c r="E1301" s="80"/>
      <c r="F1301" s="80"/>
      <c r="G1301" s="80"/>
      <c r="H1301" s="80"/>
      <c r="I1301" s="80"/>
      <c r="J1301" s="80"/>
      <c r="K1301" s="80"/>
      <c r="L1301" s="2"/>
      <c r="M1301" s="2"/>
      <c r="N1301" s="2"/>
      <c r="O1301" s="2"/>
      <c r="P1301" s="2"/>
      <c r="Q1301" s="2"/>
      <c r="R1301" s="80"/>
      <c r="S1301" s="80"/>
      <c r="T1301" s="80"/>
      <c r="U1301" s="80"/>
      <c r="V1301" s="80"/>
      <c r="W1301" s="80"/>
      <c r="X1301" s="80"/>
      <c r="Y1301" s="80"/>
      <c r="Z1301" s="80"/>
      <c r="AA1301" s="80"/>
      <c r="AB1301" s="80"/>
      <c r="AC1301" s="80"/>
      <c r="AD1301" s="80"/>
      <c r="AE1301" s="80"/>
      <c r="AF1301" s="80"/>
      <c r="AG1301" s="80"/>
    </row>
    <row r="1302" spans="1:33" x14ac:dyDescent="0.2">
      <c r="A1302" s="2"/>
      <c r="B1302" s="80"/>
      <c r="C1302" s="80"/>
      <c r="D1302" s="80"/>
      <c r="E1302" s="80"/>
      <c r="F1302" s="80"/>
      <c r="G1302" s="80"/>
      <c r="H1302" s="80"/>
      <c r="I1302" s="80"/>
      <c r="J1302" s="80"/>
      <c r="K1302" s="80"/>
      <c r="L1302" s="2"/>
      <c r="M1302" s="2"/>
      <c r="N1302" s="2"/>
      <c r="O1302" s="2"/>
      <c r="P1302" s="2"/>
      <c r="Q1302" s="2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E1302" s="80"/>
      <c r="AF1302" s="80"/>
      <c r="AG1302" s="80"/>
    </row>
    <row r="1303" spans="1:33" x14ac:dyDescent="0.2">
      <c r="A1303" s="2"/>
      <c r="B1303" s="80"/>
      <c r="C1303" s="80"/>
      <c r="D1303" s="80"/>
      <c r="E1303" s="80"/>
      <c r="F1303" s="80"/>
      <c r="G1303" s="80"/>
      <c r="H1303" s="80"/>
      <c r="I1303" s="80"/>
      <c r="J1303" s="80"/>
      <c r="K1303" s="80"/>
      <c r="L1303" s="2"/>
      <c r="M1303" s="2"/>
      <c r="N1303" s="2"/>
      <c r="O1303" s="2"/>
      <c r="P1303" s="2"/>
      <c r="Q1303" s="2"/>
      <c r="R1303" s="80"/>
      <c r="S1303" s="80"/>
      <c r="T1303" s="80"/>
      <c r="U1303" s="80"/>
      <c r="V1303" s="80"/>
      <c r="W1303" s="80"/>
      <c r="X1303" s="80"/>
      <c r="Y1303" s="80"/>
      <c r="Z1303" s="80"/>
      <c r="AA1303" s="80"/>
      <c r="AB1303" s="80"/>
      <c r="AC1303" s="80"/>
      <c r="AD1303" s="80"/>
      <c r="AE1303" s="80"/>
      <c r="AF1303" s="80"/>
      <c r="AG1303" s="80"/>
    </row>
    <row r="1304" spans="1:33" x14ac:dyDescent="0.2">
      <c r="A1304" s="2"/>
      <c r="B1304" s="80"/>
      <c r="C1304" s="80"/>
      <c r="D1304" s="80"/>
      <c r="E1304" s="80"/>
      <c r="F1304" s="80"/>
      <c r="G1304" s="80"/>
      <c r="H1304" s="80"/>
      <c r="I1304" s="80"/>
      <c r="J1304" s="80"/>
      <c r="K1304" s="80"/>
      <c r="L1304" s="2"/>
      <c r="M1304" s="2"/>
      <c r="N1304" s="2"/>
      <c r="O1304" s="2"/>
      <c r="P1304" s="2"/>
      <c r="Q1304" s="2"/>
      <c r="R1304" s="80"/>
      <c r="S1304" s="80"/>
      <c r="T1304" s="80"/>
      <c r="U1304" s="80"/>
      <c r="V1304" s="80"/>
      <c r="W1304" s="80"/>
      <c r="X1304" s="80"/>
      <c r="Y1304" s="80"/>
      <c r="Z1304" s="80"/>
      <c r="AA1304" s="80"/>
      <c r="AB1304" s="80"/>
      <c r="AC1304" s="80"/>
      <c r="AD1304" s="80"/>
      <c r="AE1304" s="80"/>
      <c r="AF1304" s="80"/>
      <c r="AG1304" s="80"/>
    </row>
    <row r="1305" spans="1:33" x14ac:dyDescent="0.2">
      <c r="A1305" s="2"/>
      <c r="B1305" s="80"/>
      <c r="C1305" s="80"/>
      <c r="D1305" s="80"/>
      <c r="E1305" s="80"/>
      <c r="F1305" s="80"/>
      <c r="G1305" s="80"/>
      <c r="H1305" s="80"/>
      <c r="I1305" s="80"/>
      <c r="J1305" s="80"/>
      <c r="K1305" s="80"/>
      <c r="L1305" s="2"/>
      <c r="M1305" s="2"/>
      <c r="N1305" s="2"/>
      <c r="O1305" s="2"/>
      <c r="P1305" s="2"/>
      <c r="Q1305" s="2"/>
      <c r="R1305" s="80"/>
      <c r="S1305" s="80"/>
      <c r="T1305" s="80"/>
      <c r="U1305" s="80"/>
      <c r="V1305" s="80"/>
      <c r="W1305" s="80"/>
      <c r="X1305" s="80"/>
      <c r="Y1305" s="80"/>
      <c r="Z1305" s="80"/>
      <c r="AA1305" s="80"/>
      <c r="AB1305" s="80"/>
      <c r="AC1305" s="80"/>
      <c r="AD1305" s="80"/>
      <c r="AE1305" s="80"/>
      <c r="AF1305" s="80"/>
      <c r="AG1305" s="80"/>
    </row>
    <row r="1306" spans="1:33" x14ac:dyDescent="0.2">
      <c r="A1306" s="2"/>
      <c r="B1306" s="80"/>
      <c r="C1306" s="80"/>
      <c r="D1306" s="80"/>
      <c r="E1306" s="80"/>
      <c r="F1306" s="80"/>
      <c r="G1306" s="80"/>
      <c r="H1306" s="80"/>
      <c r="I1306" s="80"/>
      <c r="J1306" s="80"/>
      <c r="K1306" s="80"/>
      <c r="L1306" s="2"/>
      <c r="M1306" s="2"/>
      <c r="N1306" s="2"/>
      <c r="O1306" s="2"/>
      <c r="P1306" s="2"/>
      <c r="Q1306" s="2"/>
      <c r="R1306" s="80"/>
      <c r="S1306" s="80"/>
      <c r="T1306" s="80"/>
      <c r="U1306" s="80"/>
      <c r="V1306" s="80"/>
      <c r="W1306" s="80"/>
      <c r="X1306" s="80"/>
      <c r="Y1306" s="80"/>
      <c r="Z1306" s="80"/>
      <c r="AA1306" s="80"/>
      <c r="AB1306" s="80"/>
      <c r="AC1306" s="80"/>
      <c r="AD1306" s="80"/>
      <c r="AE1306" s="80"/>
      <c r="AF1306" s="80"/>
      <c r="AG1306" s="80"/>
    </row>
    <row r="1307" spans="1:33" x14ac:dyDescent="0.2">
      <c r="A1307" s="2"/>
      <c r="B1307" s="80"/>
      <c r="C1307" s="80"/>
      <c r="D1307" s="80"/>
      <c r="E1307" s="80"/>
      <c r="F1307" s="80"/>
      <c r="G1307" s="80"/>
      <c r="H1307" s="80"/>
      <c r="I1307" s="80"/>
      <c r="J1307" s="80"/>
      <c r="K1307" s="80"/>
      <c r="L1307" s="2"/>
      <c r="M1307" s="2"/>
      <c r="N1307" s="2"/>
      <c r="O1307" s="2"/>
      <c r="P1307" s="2"/>
      <c r="Q1307" s="2"/>
      <c r="R1307" s="80"/>
      <c r="S1307" s="80"/>
      <c r="T1307" s="80"/>
      <c r="U1307" s="80"/>
      <c r="V1307" s="80"/>
      <c r="W1307" s="80"/>
      <c r="X1307" s="80"/>
      <c r="Y1307" s="80"/>
      <c r="Z1307" s="80"/>
      <c r="AA1307" s="80"/>
      <c r="AB1307" s="80"/>
      <c r="AC1307" s="80"/>
      <c r="AD1307" s="80"/>
      <c r="AE1307" s="80"/>
      <c r="AF1307" s="80"/>
      <c r="AG1307" s="80"/>
    </row>
    <row r="1308" spans="1:33" x14ac:dyDescent="0.2">
      <c r="A1308" s="2"/>
      <c r="B1308" s="80"/>
      <c r="C1308" s="80"/>
      <c r="D1308" s="80"/>
      <c r="E1308" s="80"/>
      <c r="F1308" s="80"/>
      <c r="G1308" s="80"/>
      <c r="H1308" s="80"/>
      <c r="I1308" s="80"/>
      <c r="J1308" s="80"/>
      <c r="K1308" s="80"/>
      <c r="L1308" s="2"/>
      <c r="M1308" s="2"/>
      <c r="N1308" s="2"/>
      <c r="O1308" s="2"/>
      <c r="P1308" s="2"/>
      <c r="Q1308" s="2"/>
      <c r="R1308" s="80"/>
      <c r="S1308" s="80"/>
      <c r="T1308" s="80"/>
      <c r="U1308" s="80"/>
      <c r="V1308" s="80"/>
      <c r="W1308" s="80"/>
      <c r="X1308" s="80"/>
      <c r="Y1308" s="80"/>
      <c r="Z1308" s="80"/>
      <c r="AA1308" s="80"/>
      <c r="AB1308" s="80"/>
      <c r="AC1308" s="80"/>
      <c r="AD1308" s="80"/>
      <c r="AE1308" s="80"/>
      <c r="AF1308" s="80"/>
      <c r="AG1308" s="80"/>
    </row>
    <row r="1309" spans="1:33" x14ac:dyDescent="0.2">
      <c r="A1309" s="2"/>
      <c r="B1309" s="80"/>
      <c r="C1309" s="80"/>
      <c r="D1309" s="80"/>
      <c r="E1309" s="80"/>
      <c r="F1309" s="80"/>
      <c r="G1309" s="80"/>
      <c r="H1309" s="80"/>
      <c r="I1309" s="80"/>
      <c r="J1309" s="80"/>
      <c r="K1309" s="80"/>
      <c r="L1309" s="2"/>
      <c r="M1309" s="2"/>
      <c r="N1309" s="2"/>
      <c r="O1309" s="2"/>
      <c r="P1309" s="2"/>
      <c r="Q1309" s="2"/>
      <c r="R1309" s="80"/>
      <c r="S1309" s="80"/>
      <c r="T1309" s="80"/>
      <c r="U1309" s="80"/>
      <c r="V1309" s="80"/>
      <c r="W1309" s="80"/>
      <c r="X1309" s="80"/>
      <c r="Y1309" s="80"/>
      <c r="Z1309" s="80"/>
      <c r="AA1309" s="80"/>
      <c r="AB1309" s="80"/>
      <c r="AC1309" s="80"/>
      <c r="AD1309" s="80"/>
      <c r="AE1309" s="80"/>
      <c r="AF1309" s="80"/>
      <c r="AG1309" s="80"/>
    </row>
    <row r="1310" spans="1:33" x14ac:dyDescent="0.2">
      <c r="A1310" s="2"/>
      <c r="B1310" s="80"/>
      <c r="C1310" s="80"/>
      <c r="D1310" s="80"/>
      <c r="E1310" s="80"/>
      <c r="F1310" s="80"/>
      <c r="G1310" s="80"/>
      <c r="H1310" s="80"/>
      <c r="I1310" s="80"/>
      <c r="J1310" s="80"/>
      <c r="K1310" s="80"/>
      <c r="L1310" s="2"/>
      <c r="M1310" s="2"/>
      <c r="N1310" s="2"/>
      <c r="O1310" s="2"/>
      <c r="P1310" s="2"/>
      <c r="Q1310" s="2"/>
      <c r="R1310" s="80"/>
      <c r="S1310" s="80"/>
      <c r="T1310" s="80"/>
      <c r="U1310" s="80"/>
      <c r="V1310" s="80"/>
      <c r="W1310" s="80"/>
      <c r="X1310" s="80"/>
      <c r="Y1310" s="80"/>
      <c r="Z1310" s="80"/>
      <c r="AA1310" s="80"/>
      <c r="AB1310" s="80"/>
      <c r="AC1310" s="80"/>
      <c r="AD1310" s="80"/>
      <c r="AE1310" s="80"/>
      <c r="AF1310" s="80"/>
      <c r="AG1310" s="80"/>
    </row>
    <row r="1311" spans="1:33" x14ac:dyDescent="0.2">
      <c r="A1311" s="2"/>
      <c r="B1311" s="80"/>
      <c r="C1311" s="80"/>
      <c r="D1311" s="80"/>
      <c r="E1311" s="80"/>
      <c r="F1311" s="80"/>
      <c r="G1311" s="80"/>
      <c r="H1311" s="80"/>
      <c r="I1311" s="80"/>
      <c r="J1311" s="80"/>
      <c r="K1311" s="80"/>
      <c r="L1311" s="2"/>
      <c r="M1311" s="2"/>
      <c r="N1311" s="2"/>
      <c r="O1311" s="2"/>
      <c r="P1311" s="2"/>
      <c r="Q1311" s="2"/>
      <c r="R1311" s="80"/>
      <c r="S1311" s="80"/>
      <c r="T1311" s="80"/>
      <c r="U1311" s="80"/>
      <c r="V1311" s="80"/>
      <c r="W1311" s="80"/>
      <c r="X1311" s="80"/>
      <c r="Y1311" s="80"/>
      <c r="Z1311" s="80"/>
      <c r="AA1311" s="80"/>
      <c r="AB1311" s="80"/>
      <c r="AC1311" s="80"/>
      <c r="AD1311" s="80"/>
      <c r="AE1311" s="80"/>
      <c r="AF1311" s="80"/>
      <c r="AG1311" s="80"/>
    </row>
    <row r="1312" spans="1:33" x14ac:dyDescent="0.2">
      <c r="A1312" s="2"/>
      <c r="B1312" s="80"/>
      <c r="C1312" s="80"/>
      <c r="D1312" s="80"/>
      <c r="E1312" s="80"/>
      <c r="F1312" s="80"/>
      <c r="G1312" s="80"/>
      <c r="H1312" s="80"/>
      <c r="I1312" s="80"/>
      <c r="J1312" s="80"/>
      <c r="K1312" s="80"/>
      <c r="L1312" s="2"/>
      <c r="M1312" s="2"/>
      <c r="N1312" s="2"/>
      <c r="O1312" s="2"/>
      <c r="P1312" s="2"/>
      <c r="Q1312" s="2"/>
      <c r="R1312" s="80"/>
      <c r="S1312" s="80"/>
      <c r="T1312" s="80"/>
      <c r="U1312" s="80"/>
      <c r="V1312" s="80"/>
      <c r="W1312" s="80"/>
      <c r="X1312" s="80"/>
      <c r="Y1312" s="80"/>
      <c r="Z1312" s="80"/>
      <c r="AA1312" s="80"/>
      <c r="AB1312" s="80"/>
      <c r="AC1312" s="80"/>
      <c r="AD1312" s="80"/>
      <c r="AE1312" s="80"/>
      <c r="AF1312" s="80"/>
      <c r="AG1312" s="80"/>
    </row>
    <row r="1313" spans="1:33" x14ac:dyDescent="0.2">
      <c r="A1313" s="2"/>
      <c r="B1313" s="80"/>
      <c r="C1313" s="80"/>
      <c r="D1313" s="80"/>
      <c r="E1313" s="80"/>
      <c r="F1313" s="80"/>
      <c r="G1313" s="80"/>
      <c r="H1313" s="80"/>
      <c r="I1313" s="80"/>
      <c r="J1313" s="80"/>
      <c r="K1313" s="80"/>
      <c r="L1313" s="2"/>
      <c r="M1313" s="2"/>
      <c r="N1313" s="2"/>
      <c r="O1313" s="2"/>
      <c r="P1313" s="2"/>
      <c r="Q1313" s="2"/>
      <c r="R1313" s="80"/>
      <c r="S1313" s="80"/>
      <c r="T1313" s="80"/>
      <c r="U1313" s="80"/>
      <c r="V1313" s="80"/>
      <c r="W1313" s="80"/>
      <c r="X1313" s="80"/>
      <c r="Y1313" s="80"/>
      <c r="Z1313" s="80"/>
      <c r="AA1313" s="80"/>
      <c r="AB1313" s="80"/>
      <c r="AC1313" s="80"/>
      <c r="AD1313" s="80"/>
      <c r="AE1313" s="80"/>
      <c r="AF1313" s="80"/>
      <c r="AG1313" s="80"/>
    </row>
    <row r="1314" spans="1:33" x14ac:dyDescent="0.2">
      <c r="A1314" s="2"/>
      <c r="B1314" s="80"/>
      <c r="C1314" s="80"/>
      <c r="D1314" s="80"/>
      <c r="E1314" s="80"/>
      <c r="F1314" s="80"/>
      <c r="G1314" s="80"/>
      <c r="H1314" s="80"/>
      <c r="I1314" s="80"/>
      <c r="J1314" s="80"/>
      <c r="K1314" s="80"/>
      <c r="L1314" s="2"/>
      <c r="M1314" s="2"/>
      <c r="N1314" s="2"/>
      <c r="O1314" s="2"/>
      <c r="P1314" s="2"/>
      <c r="Q1314" s="2"/>
      <c r="R1314" s="80"/>
      <c r="S1314" s="80"/>
      <c r="T1314" s="80"/>
      <c r="U1314" s="80"/>
      <c r="V1314" s="80"/>
      <c r="W1314" s="80"/>
      <c r="X1314" s="80"/>
      <c r="Y1314" s="80"/>
      <c r="Z1314" s="80"/>
      <c r="AA1314" s="80"/>
      <c r="AB1314" s="80"/>
      <c r="AC1314" s="80"/>
      <c r="AD1314" s="80"/>
      <c r="AE1314" s="80"/>
      <c r="AF1314" s="80"/>
      <c r="AG1314" s="80"/>
    </row>
    <row r="1315" spans="1:33" x14ac:dyDescent="0.2">
      <c r="A1315" s="2"/>
      <c r="B1315" s="80"/>
      <c r="C1315" s="80"/>
      <c r="D1315" s="80"/>
      <c r="E1315" s="80"/>
      <c r="F1315" s="80"/>
      <c r="G1315" s="80"/>
      <c r="H1315" s="80"/>
      <c r="I1315" s="80"/>
      <c r="J1315" s="80"/>
      <c r="K1315" s="80"/>
      <c r="L1315" s="2"/>
      <c r="M1315" s="2"/>
      <c r="N1315" s="2"/>
      <c r="O1315" s="2"/>
      <c r="P1315" s="2"/>
      <c r="Q1315" s="2"/>
      <c r="R1315" s="80"/>
      <c r="S1315" s="80"/>
      <c r="T1315" s="80"/>
      <c r="U1315" s="80"/>
      <c r="V1315" s="80"/>
      <c r="W1315" s="80"/>
      <c r="X1315" s="80"/>
      <c r="Y1315" s="80"/>
      <c r="Z1315" s="80"/>
      <c r="AA1315" s="80"/>
      <c r="AB1315" s="80"/>
      <c r="AC1315" s="80"/>
      <c r="AD1315" s="80"/>
      <c r="AE1315" s="80"/>
      <c r="AF1315" s="80"/>
      <c r="AG1315" s="80"/>
    </row>
    <row r="1316" spans="1:33" x14ac:dyDescent="0.2">
      <c r="A1316" s="2"/>
      <c r="B1316" s="80"/>
      <c r="C1316" s="80"/>
      <c r="D1316" s="80"/>
      <c r="E1316" s="80"/>
      <c r="F1316" s="80"/>
      <c r="G1316" s="80"/>
      <c r="H1316" s="80"/>
      <c r="I1316" s="80"/>
      <c r="J1316" s="80"/>
      <c r="K1316" s="80"/>
      <c r="L1316" s="2"/>
      <c r="M1316" s="2"/>
      <c r="N1316" s="2"/>
      <c r="O1316" s="2"/>
      <c r="P1316" s="2"/>
      <c r="Q1316" s="2"/>
      <c r="R1316" s="80"/>
      <c r="S1316" s="80"/>
      <c r="T1316" s="80"/>
      <c r="U1316" s="80"/>
      <c r="V1316" s="80"/>
      <c r="W1316" s="80"/>
      <c r="X1316" s="80"/>
      <c r="Y1316" s="80"/>
      <c r="Z1316" s="80"/>
      <c r="AA1316" s="80"/>
      <c r="AB1316" s="80"/>
      <c r="AC1316" s="80"/>
      <c r="AD1316" s="80"/>
      <c r="AE1316" s="80"/>
      <c r="AF1316" s="80"/>
      <c r="AG1316" s="80"/>
    </row>
    <row r="1317" spans="1:33" x14ac:dyDescent="0.2">
      <c r="A1317" s="2"/>
      <c r="B1317" s="80"/>
      <c r="C1317" s="80"/>
      <c r="D1317" s="80"/>
      <c r="E1317" s="80"/>
      <c r="F1317" s="80"/>
      <c r="G1317" s="80"/>
      <c r="H1317" s="80"/>
      <c r="I1317" s="80"/>
      <c r="J1317" s="80"/>
      <c r="K1317" s="80"/>
      <c r="L1317" s="2"/>
      <c r="M1317" s="2"/>
      <c r="N1317" s="2"/>
      <c r="O1317" s="2"/>
      <c r="P1317" s="2"/>
      <c r="Q1317" s="2"/>
      <c r="R1317" s="80"/>
      <c r="S1317" s="80"/>
      <c r="T1317" s="80"/>
      <c r="U1317" s="80"/>
      <c r="V1317" s="80"/>
      <c r="W1317" s="80"/>
      <c r="X1317" s="80"/>
      <c r="Y1317" s="80"/>
      <c r="Z1317" s="80"/>
      <c r="AA1317" s="80"/>
      <c r="AB1317" s="80"/>
      <c r="AC1317" s="80"/>
      <c r="AD1317" s="80"/>
      <c r="AE1317" s="80"/>
      <c r="AF1317" s="80"/>
      <c r="AG1317" s="80"/>
    </row>
    <row r="1318" spans="1:33" x14ac:dyDescent="0.2">
      <c r="A1318" s="2"/>
      <c r="B1318" s="80"/>
      <c r="C1318" s="80"/>
      <c r="D1318" s="80"/>
      <c r="E1318" s="80"/>
      <c r="F1318" s="80"/>
      <c r="G1318" s="80"/>
      <c r="H1318" s="80"/>
      <c r="I1318" s="80"/>
      <c r="J1318" s="80"/>
      <c r="K1318" s="80"/>
      <c r="L1318" s="2"/>
      <c r="M1318" s="2"/>
      <c r="N1318" s="2"/>
      <c r="O1318" s="2"/>
      <c r="P1318" s="2"/>
      <c r="Q1318" s="2"/>
      <c r="R1318" s="80"/>
      <c r="S1318" s="80"/>
      <c r="T1318" s="80"/>
      <c r="U1318" s="80"/>
      <c r="V1318" s="80"/>
      <c r="W1318" s="80"/>
      <c r="X1318" s="80"/>
      <c r="Y1318" s="80"/>
      <c r="Z1318" s="80"/>
      <c r="AA1318" s="80"/>
      <c r="AB1318" s="80"/>
      <c r="AC1318" s="80"/>
      <c r="AD1318" s="80"/>
      <c r="AE1318" s="80"/>
      <c r="AF1318" s="80"/>
      <c r="AG1318" s="80"/>
    </row>
    <row r="1319" spans="1:33" x14ac:dyDescent="0.2">
      <c r="A1319" s="2"/>
      <c r="B1319" s="80"/>
      <c r="C1319" s="80"/>
      <c r="D1319" s="80"/>
      <c r="E1319" s="80"/>
      <c r="F1319" s="80"/>
      <c r="G1319" s="80"/>
      <c r="H1319" s="80"/>
      <c r="I1319" s="80"/>
      <c r="J1319" s="80"/>
      <c r="K1319" s="80"/>
      <c r="L1319" s="2"/>
      <c r="M1319" s="2"/>
      <c r="N1319" s="2"/>
      <c r="O1319" s="2"/>
      <c r="P1319" s="2"/>
      <c r="Q1319" s="2"/>
      <c r="R1319" s="80"/>
      <c r="S1319" s="80"/>
      <c r="T1319" s="80"/>
      <c r="U1319" s="80"/>
      <c r="V1319" s="80"/>
      <c r="W1319" s="80"/>
      <c r="X1319" s="80"/>
      <c r="Y1319" s="80"/>
      <c r="Z1319" s="80"/>
      <c r="AA1319" s="80"/>
      <c r="AB1319" s="80"/>
      <c r="AC1319" s="80"/>
      <c r="AD1319" s="80"/>
      <c r="AE1319" s="80"/>
      <c r="AF1319" s="80"/>
      <c r="AG1319" s="80"/>
    </row>
    <row r="1320" spans="1:33" x14ac:dyDescent="0.2">
      <c r="A1320" s="2"/>
      <c r="B1320" s="80"/>
      <c r="C1320" s="80"/>
      <c r="D1320" s="80"/>
      <c r="E1320" s="80"/>
      <c r="F1320" s="80"/>
      <c r="G1320" s="80"/>
      <c r="H1320" s="80"/>
      <c r="I1320" s="80"/>
      <c r="J1320" s="80"/>
      <c r="K1320" s="80"/>
      <c r="L1320" s="2"/>
      <c r="M1320" s="2"/>
      <c r="N1320" s="2"/>
      <c r="O1320" s="2"/>
      <c r="P1320" s="2"/>
      <c r="Q1320" s="2"/>
      <c r="R1320" s="80"/>
      <c r="S1320" s="80"/>
      <c r="T1320" s="80"/>
      <c r="U1320" s="80"/>
      <c r="V1320" s="80"/>
      <c r="W1320" s="80"/>
      <c r="X1320" s="80"/>
      <c r="Y1320" s="80"/>
      <c r="Z1320" s="80"/>
      <c r="AA1320" s="80"/>
      <c r="AB1320" s="80"/>
      <c r="AC1320" s="80"/>
      <c r="AD1320" s="80"/>
      <c r="AE1320" s="80"/>
      <c r="AF1320" s="80"/>
      <c r="AG1320" s="80"/>
    </row>
    <row r="1321" spans="1:33" x14ac:dyDescent="0.2">
      <c r="A1321" s="2"/>
      <c r="B1321" s="80"/>
      <c r="C1321" s="80"/>
      <c r="D1321" s="80"/>
      <c r="E1321" s="80"/>
      <c r="F1321" s="80"/>
      <c r="G1321" s="80"/>
      <c r="H1321" s="80"/>
      <c r="I1321" s="80"/>
      <c r="J1321" s="80"/>
      <c r="K1321" s="80"/>
      <c r="L1321" s="2"/>
      <c r="M1321" s="2"/>
      <c r="N1321" s="2"/>
      <c r="O1321" s="2"/>
      <c r="P1321" s="2"/>
      <c r="Q1321" s="2"/>
      <c r="R1321" s="80"/>
      <c r="S1321" s="80"/>
      <c r="T1321" s="80"/>
      <c r="U1321" s="80"/>
      <c r="V1321" s="80"/>
      <c r="W1321" s="80"/>
      <c r="X1321" s="80"/>
      <c r="Y1321" s="80"/>
      <c r="Z1321" s="80"/>
      <c r="AA1321" s="80"/>
      <c r="AB1321" s="80"/>
      <c r="AC1321" s="80"/>
      <c r="AD1321" s="80"/>
      <c r="AE1321" s="80"/>
      <c r="AF1321" s="80"/>
      <c r="AG1321" s="80"/>
    </row>
    <row r="1322" spans="1:33" x14ac:dyDescent="0.2">
      <c r="A1322" s="2"/>
      <c r="B1322" s="80"/>
      <c r="C1322" s="80"/>
      <c r="D1322" s="80"/>
      <c r="E1322" s="80"/>
      <c r="F1322" s="80"/>
      <c r="G1322" s="80"/>
      <c r="H1322" s="80"/>
      <c r="I1322" s="80"/>
      <c r="J1322" s="80"/>
      <c r="K1322" s="80"/>
      <c r="L1322" s="2"/>
      <c r="M1322" s="2"/>
      <c r="N1322" s="2"/>
      <c r="O1322" s="2"/>
      <c r="P1322" s="2"/>
      <c r="Q1322" s="2"/>
      <c r="R1322" s="80"/>
      <c r="S1322" s="80"/>
      <c r="T1322" s="80"/>
      <c r="U1322" s="80"/>
      <c r="V1322" s="80"/>
      <c r="W1322" s="80"/>
      <c r="X1322" s="80"/>
      <c r="Y1322" s="80"/>
      <c r="Z1322" s="80"/>
      <c r="AA1322" s="80"/>
      <c r="AB1322" s="80"/>
      <c r="AC1322" s="80"/>
      <c r="AD1322" s="80"/>
      <c r="AE1322" s="80"/>
      <c r="AF1322" s="80"/>
      <c r="AG1322" s="80"/>
    </row>
    <row r="1323" spans="1:33" x14ac:dyDescent="0.2">
      <c r="A1323" s="2"/>
      <c r="B1323" s="80"/>
      <c r="C1323" s="80"/>
      <c r="D1323" s="80"/>
      <c r="E1323" s="80"/>
      <c r="F1323" s="80"/>
      <c r="G1323" s="80"/>
      <c r="H1323" s="80"/>
      <c r="I1323" s="80"/>
      <c r="J1323" s="80"/>
      <c r="K1323" s="80"/>
      <c r="L1323" s="2"/>
      <c r="M1323" s="2"/>
      <c r="N1323" s="2"/>
      <c r="O1323" s="2"/>
      <c r="P1323" s="2"/>
      <c r="Q1323" s="2"/>
      <c r="R1323" s="80"/>
      <c r="S1323" s="80"/>
      <c r="T1323" s="80"/>
      <c r="U1323" s="80"/>
      <c r="V1323" s="80"/>
      <c r="W1323" s="80"/>
      <c r="X1323" s="80"/>
      <c r="Y1323" s="80"/>
      <c r="Z1323" s="80"/>
      <c r="AA1323" s="80"/>
      <c r="AB1323" s="80"/>
      <c r="AC1323" s="80"/>
      <c r="AD1323" s="80"/>
      <c r="AE1323" s="80"/>
      <c r="AF1323" s="80"/>
      <c r="AG1323" s="80"/>
    </row>
    <row r="1324" spans="1:33" x14ac:dyDescent="0.2">
      <c r="A1324" s="2"/>
      <c r="B1324" s="80"/>
      <c r="C1324" s="80"/>
      <c r="D1324" s="80"/>
      <c r="E1324" s="80"/>
      <c r="F1324" s="80"/>
      <c r="G1324" s="80"/>
      <c r="H1324" s="80"/>
      <c r="I1324" s="80"/>
      <c r="J1324" s="80"/>
      <c r="K1324" s="80"/>
      <c r="L1324" s="2"/>
      <c r="M1324" s="2"/>
      <c r="N1324" s="2"/>
      <c r="O1324" s="2"/>
      <c r="P1324" s="2"/>
      <c r="Q1324" s="2"/>
      <c r="R1324" s="80"/>
      <c r="S1324" s="80"/>
      <c r="T1324" s="80"/>
      <c r="U1324" s="80"/>
      <c r="V1324" s="80"/>
      <c r="W1324" s="80"/>
      <c r="X1324" s="80"/>
      <c r="Y1324" s="80"/>
      <c r="Z1324" s="80"/>
      <c r="AA1324" s="80"/>
      <c r="AB1324" s="80"/>
      <c r="AC1324" s="80"/>
      <c r="AD1324" s="80"/>
      <c r="AE1324" s="80"/>
      <c r="AF1324" s="80"/>
      <c r="AG1324" s="80"/>
    </row>
    <row r="1325" spans="1:33" x14ac:dyDescent="0.2">
      <c r="A1325" s="2"/>
      <c r="B1325" s="80"/>
      <c r="C1325" s="80"/>
      <c r="D1325" s="80"/>
      <c r="E1325" s="80"/>
      <c r="F1325" s="80"/>
      <c r="G1325" s="80"/>
      <c r="H1325" s="80"/>
      <c r="I1325" s="80"/>
      <c r="J1325" s="80"/>
      <c r="K1325" s="80"/>
      <c r="L1325" s="2"/>
      <c r="M1325" s="2"/>
      <c r="N1325" s="2"/>
      <c r="O1325" s="2"/>
      <c r="P1325" s="2"/>
      <c r="Q1325" s="2"/>
      <c r="R1325" s="80"/>
      <c r="S1325" s="80"/>
      <c r="T1325" s="80"/>
      <c r="U1325" s="80"/>
      <c r="V1325" s="80"/>
      <c r="W1325" s="80"/>
      <c r="X1325" s="80"/>
      <c r="Y1325" s="80"/>
      <c r="Z1325" s="80"/>
      <c r="AA1325" s="80"/>
      <c r="AB1325" s="80"/>
      <c r="AC1325" s="80"/>
      <c r="AD1325" s="80"/>
      <c r="AE1325" s="80"/>
      <c r="AF1325" s="80"/>
      <c r="AG1325" s="80"/>
    </row>
    <row r="1326" spans="1:33" x14ac:dyDescent="0.2">
      <c r="A1326" s="2"/>
      <c r="B1326" s="80"/>
      <c r="C1326" s="80"/>
      <c r="D1326" s="80"/>
      <c r="E1326" s="80"/>
      <c r="F1326" s="80"/>
      <c r="G1326" s="80"/>
      <c r="H1326" s="80"/>
      <c r="I1326" s="80"/>
      <c r="J1326" s="80"/>
      <c r="K1326" s="80"/>
      <c r="L1326" s="2"/>
      <c r="M1326" s="2"/>
      <c r="N1326" s="2"/>
      <c r="O1326" s="2"/>
      <c r="P1326" s="2"/>
      <c r="Q1326" s="2"/>
      <c r="R1326" s="80"/>
      <c r="S1326" s="80"/>
      <c r="T1326" s="80"/>
      <c r="U1326" s="80"/>
      <c r="V1326" s="80"/>
      <c r="W1326" s="80"/>
      <c r="X1326" s="80"/>
      <c r="Y1326" s="80"/>
      <c r="Z1326" s="80"/>
      <c r="AA1326" s="80"/>
      <c r="AB1326" s="80"/>
      <c r="AC1326" s="80"/>
      <c r="AD1326" s="80"/>
      <c r="AE1326" s="80"/>
      <c r="AF1326" s="80"/>
      <c r="AG1326" s="80"/>
    </row>
    <row r="1327" spans="1:33" x14ac:dyDescent="0.2">
      <c r="A1327" s="2"/>
      <c r="B1327" s="80"/>
      <c r="C1327" s="80"/>
      <c r="D1327" s="80"/>
      <c r="E1327" s="80"/>
      <c r="F1327" s="80"/>
      <c r="G1327" s="80"/>
      <c r="H1327" s="80"/>
      <c r="I1327" s="80"/>
      <c r="J1327" s="80"/>
      <c r="K1327" s="80"/>
      <c r="L1327" s="2"/>
      <c r="M1327" s="2"/>
      <c r="N1327" s="2"/>
      <c r="O1327" s="2"/>
      <c r="P1327" s="2"/>
      <c r="Q1327" s="2"/>
      <c r="R1327" s="80"/>
      <c r="S1327" s="80"/>
      <c r="T1327" s="80"/>
      <c r="U1327" s="80"/>
      <c r="V1327" s="80"/>
      <c r="W1327" s="80"/>
      <c r="X1327" s="80"/>
      <c r="Y1327" s="80"/>
      <c r="Z1327" s="80"/>
      <c r="AA1327" s="80"/>
      <c r="AB1327" s="80"/>
      <c r="AC1327" s="80"/>
      <c r="AD1327" s="80"/>
      <c r="AE1327" s="80"/>
      <c r="AF1327" s="80"/>
      <c r="AG1327" s="80"/>
    </row>
    <row r="1328" spans="1:33" x14ac:dyDescent="0.2">
      <c r="A1328" s="2"/>
      <c r="B1328" s="80"/>
      <c r="C1328" s="80"/>
      <c r="D1328" s="80"/>
      <c r="E1328" s="80"/>
      <c r="F1328" s="80"/>
      <c r="G1328" s="80"/>
      <c r="H1328" s="80"/>
      <c r="I1328" s="80"/>
      <c r="J1328" s="80"/>
      <c r="K1328" s="80"/>
      <c r="L1328" s="2"/>
      <c r="M1328" s="2"/>
      <c r="N1328" s="2"/>
      <c r="O1328" s="2"/>
      <c r="P1328" s="2"/>
      <c r="Q1328" s="2"/>
      <c r="R1328" s="80"/>
      <c r="S1328" s="80"/>
      <c r="T1328" s="80"/>
      <c r="U1328" s="80"/>
      <c r="V1328" s="80"/>
      <c r="W1328" s="80"/>
      <c r="X1328" s="80"/>
      <c r="Y1328" s="80"/>
      <c r="Z1328" s="80"/>
      <c r="AA1328" s="80"/>
      <c r="AB1328" s="80"/>
      <c r="AC1328" s="80"/>
      <c r="AD1328" s="80"/>
      <c r="AE1328" s="80"/>
      <c r="AF1328" s="80"/>
      <c r="AG1328" s="80"/>
    </row>
    <row r="1329" spans="1:33" x14ac:dyDescent="0.2">
      <c r="A1329" s="2"/>
      <c r="B1329" s="80"/>
      <c r="C1329" s="80"/>
      <c r="D1329" s="80"/>
      <c r="E1329" s="80"/>
      <c r="F1329" s="80"/>
      <c r="G1329" s="80"/>
      <c r="H1329" s="80"/>
      <c r="I1329" s="80"/>
      <c r="J1329" s="80"/>
      <c r="K1329" s="80"/>
      <c r="L1329" s="2"/>
      <c r="M1329" s="2"/>
      <c r="N1329" s="2"/>
      <c r="O1329" s="2"/>
      <c r="P1329" s="2"/>
      <c r="Q1329" s="2"/>
      <c r="R1329" s="80"/>
      <c r="S1329" s="80"/>
      <c r="T1329" s="80"/>
      <c r="U1329" s="80"/>
      <c r="V1329" s="80"/>
      <c r="W1329" s="80"/>
      <c r="X1329" s="80"/>
      <c r="Y1329" s="80"/>
      <c r="Z1329" s="80"/>
      <c r="AA1329" s="80"/>
      <c r="AB1329" s="80"/>
      <c r="AC1329" s="80"/>
      <c r="AD1329" s="80"/>
      <c r="AE1329" s="80"/>
      <c r="AF1329" s="80"/>
      <c r="AG1329" s="80"/>
    </row>
    <row r="1330" spans="1:33" x14ac:dyDescent="0.2">
      <c r="A1330" s="2"/>
      <c r="B1330" s="80"/>
      <c r="C1330" s="80"/>
      <c r="D1330" s="80"/>
      <c r="E1330" s="80"/>
      <c r="F1330" s="80"/>
      <c r="G1330" s="80"/>
      <c r="H1330" s="80"/>
      <c r="I1330" s="80"/>
      <c r="J1330" s="80"/>
      <c r="K1330" s="80"/>
      <c r="L1330" s="2"/>
      <c r="M1330" s="2"/>
      <c r="N1330" s="2"/>
      <c r="O1330" s="2"/>
      <c r="P1330" s="2"/>
      <c r="Q1330" s="2"/>
      <c r="R1330" s="80"/>
      <c r="S1330" s="80"/>
      <c r="T1330" s="80"/>
      <c r="U1330" s="80"/>
      <c r="V1330" s="80"/>
      <c r="W1330" s="80"/>
      <c r="X1330" s="80"/>
      <c r="Y1330" s="80"/>
      <c r="Z1330" s="80"/>
      <c r="AA1330" s="80"/>
      <c r="AB1330" s="80"/>
      <c r="AC1330" s="80"/>
      <c r="AD1330" s="80"/>
      <c r="AE1330" s="80"/>
      <c r="AF1330" s="80"/>
      <c r="AG1330" s="80"/>
    </row>
    <row r="1331" spans="1:33" x14ac:dyDescent="0.2">
      <c r="A1331" s="2"/>
      <c r="B1331" s="80"/>
      <c r="C1331" s="80"/>
      <c r="D1331" s="80"/>
      <c r="E1331" s="80"/>
      <c r="F1331" s="80"/>
      <c r="G1331" s="80"/>
      <c r="H1331" s="80"/>
      <c r="I1331" s="80"/>
      <c r="J1331" s="80"/>
      <c r="K1331" s="80"/>
      <c r="L1331" s="2"/>
      <c r="M1331" s="2"/>
      <c r="N1331" s="2"/>
      <c r="O1331" s="2"/>
      <c r="P1331" s="2"/>
      <c r="Q1331" s="2"/>
      <c r="R1331" s="80"/>
      <c r="S1331" s="80"/>
      <c r="T1331" s="80"/>
      <c r="U1331" s="80"/>
      <c r="V1331" s="80"/>
      <c r="W1331" s="80"/>
      <c r="X1331" s="80"/>
      <c r="Y1331" s="80"/>
      <c r="Z1331" s="80"/>
      <c r="AA1331" s="80"/>
      <c r="AB1331" s="80"/>
      <c r="AC1331" s="80"/>
      <c r="AD1331" s="80"/>
      <c r="AE1331" s="80"/>
      <c r="AF1331" s="80"/>
      <c r="AG1331" s="80"/>
    </row>
    <row r="1332" spans="1:33" x14ac:dyDescent="0.2">
      <c r="A1332" s="2"/>
      <c r="B1332" s="80"/>
      <c r="C1332" s="80"/>
      <c r="D1332" s="80"/>
      <c r="E1332" s="80"/>
      <c r="F1332" s="80"/>
      <c r="G1332" s="80"/>
      <c r="H1332" s="80"/>
      <c r="I1332" s="80"/>
      <c r="J1332" s="80"/>
      <c r="K1332" s="80"/>
      <c r="L1332" s="2"/>
      <c r="M1332" s="2"/>
      <c r="N1332" s="2"/>
      <c r="O1332" s="2"/>
      <c r="P1332" s="2"/>
      <c r="Q1332" s="2"/>
      <c r="R1332" s="80"/>
      <c r="S1332" s="80"/>
      <c r="T1332" s="80"/>
      <c r="U1332" s="80"/>
      <c r="V1332" s="80"/>
      <c r="W1332" s="80"/>
      <c r="X1332" s="80"/>
      <c r="Y1332" s="80"/>
      <c r="Z1332" s="80"/>
      <c r="AA1332" s="80"/>
      <c r="AB1332" s="80"/>
      <c r="AC1332" s="80"/>
      <c r="AD1332" s="80"/>
      <c r="AE1332" s="80"/>
      <c r="AF1332" s="80"/>
      <c r="AG1332" s="80"/>
    </row>
    <row r="1333" spans="1:33" x14ac:dyDescent="0.2">
      <c r="A1333" s="2"/>
      <c r="B1333" s="80"/>
      <c r="C1333" s="80"/>
      <c r="D1333" s="80"/>
      <c r="E1333" s="80"/>
      <c r="F1333" s="80"/>
      <c r="G1333" s="80"/>
      <c r="H1333" s="80"/>
      <c r="I1333" s="80"/>
      <c r="J1333" s="80"/>
      <c r="K1333" s="80"/>
      <c r="L1333" s="2"/>
      <c r="M1333" s="2"/>
      <c r="N1333" s="2"/>
      <c r="O1333" s="2"/>
      <c r="P1333" s="2"/>
      <c r="Q1333" s="2"/>
      <c r="R1333" s="80"/>
      <c r="S1333" s="80"/>
      <c r="T1333" s="80"/>
      <c r="U1333" s="80"/>
      <c r="V1333" s="80"/>
      <c r="W1333" s="80"/>
      <c r="X1333" s="80"/>
      <c r="Y1333" s="80"/>
      <c r="Z1333" s="80"/>
      <c r="AA1333" s="80"/>
      <c r="AB1333" s="80"/>
      <c r="AC1333" s="80"/>
      <c r="AD1333" s="80"/>
      <c r="AE1333" s="80"/>
      <c r="AF1333" s="80"/>
      <c r="AG1333" s="80"/>
    </row>
    <row r="1334" spans="1:33" x14ac:dyDescent="0.2">
      <c r="A1334" s="2"/>
      <c r="B1334" s="80"/>
      <c r="C1334" s="80"/>
      <c r="D1334" s="80"/>
      <c r="E1334" s="80"/>
      <c r="F1334" s="80"/>
      <c r="G1334" s="80"/>
      <c r="H1334" s="80"/>
      <c r="I1334" s="80"/>
      <c r="J1334" s="80"/>
      <c r="K1334" s="80"/>
      <c r="L1334" s="2"/>
      <c r="M1334" s="2"/>
      <c r="N1334" s="2"/>
      <c r="O1334" s="2"/>
      <c r="P1334" s="2"/>
      <c r="Q1334" s="2"/>
      <c r="R1334" s="80"/>
      <c r="S1334" s="80"/>
      <c r="T1334" s="80"/>
      <c r="U1334" s="80"/>
      <c r="V1334" s="80"/>
      <c r="W1334" s="80"/>
      <c r="X1334" s="80"/>
      <c r="Y1334" s="80"/>
      <c r="Z1334" s="80"/>
      <c r="AA1334" s="80"/>
      <c r="AB1334" s="80"/>
      <c r="AC1334" s="80"/>
      <c r="AD1334" s="80"/>
      <c r="AE1334" s="80"/>
      <c r="AF1334" s="80"/>
      <c r="AG1334" s="80"/>
    </row>
    <row r="1335" spans="1:33" x14ac:dyDescent="0.2">
      <c r="A1335" s="2"/>
      <c r="B1335" s="80"/>
      <c r="C1335" s="80"/>
      <c r="D1335" s="80"/>
      <c r="E1335" s="80"/>
      <c r="F1335" s="80"/>
      <c r="G1335" s="80"/>
      <c r="H1335" s="80"/>
      <c r="I1335" s="80"/>
      <c r="J1335" s="80"/>
      <c r="K1335" s="80"/>
      <c r="L1335" s="2"/>
      <c r="M1335" s="2"/>
      <c r="N1335" s="2"/>
      <c r="O1335" s="2"/>
      <c r="P1335" s="2"/>
      <c r="Q1335" s="2"/>
      <c r="R1335" s="80"/>
      <c r="S1335" s="80"/>
      <c r="T1335" s="80"/>
      <c r="U1335" s="80"/>
      <c r="V1335" s="80"/>
      <c r="W1335" s="80"/>
      <c r="X1335" s="80"/>
      <c r="Y1335" s="80"/>
      <c r="Z1335" s="80"/>
      <c r="AA1335" s="80"/>
      <c r="AB1335" s="80"/>
      <c r="AC1335" s="80"/>
      <c r="AD1335" s="80"/>
      <c r="AE1335" s="80"/>
      <c r="AF1335" s="80"/>
      <c r="AG1335" s="80"/>
    </row>
    <row r="1336" spans="1:33" x14ac:dyDescent="0.2">
      <c r="A1336" s="2"/>
      <c r="B1336" s="80"/>
      <c r="C1336" s="80"/>
      <c r="D1336" s="80"/>
      <c r="E1336" s="80"/>
      <c r="F1336" s="80"/>
      <c r="G1336" s="80"/>
      <c r="H1336" s="80"/>
      <c r="I1336" s="80"/>
      <c r="J1336" s="80"/>
      <c r="K1336" s="80"/>
      <c r="L1336" s="2"/>
      <c r="M1336" s="2"/>
      <c r="N1336" s="2"/>
      <c r="O1336" s="2"/>
      <c r="P1336" s="2"/>
      <c r="Q1336" s="2"/>
      <c r="R1336" s="80"/>
      <c r="S1336" s="80"/>
      <c r="T1336" s="80"/>
      <c r="U1336" s="80"/>
      <c r="V1336" s="80"/>
      <c r="W1336" s="80"/>
      <c r="X1336" s="80"/>
      <c r="Y1336" s="80"/>
      <c r="Z1336" s="80"/>
      <c r="AA1336" s="80"/>
      <c r="AB1336" s="80"/>
      <c r="AC1336" s="80"/>
      <c r="AD1336" s="80"/>
      <c r="AE1336" s="80"/>
      <c r="AF1336" s="80"/>
      <c r="AG1336" s="80"/>
    </row>
    <row r="1337" spans="1:33" x14ac:dyDescent="0.2">
      <c r="A1337" s="2"/>
      <c r="B1337" s="80"/>
      <c r="C1337" s="80"/>
      <c r="D1337" s="80"/>
      <c r="E1337" s="80"/>
      <c r="F1337" s="80"/>
      <c r="G1337" s="80"/>
      <c r="H1337" s="80"/>
      <c r="I1337" s="80"/>
      <c r="J1337" s="80"/>
      <c r="K1337" s="80"/>
      <c r="L1337" s="2"/>
      <c r="M1337" s="2"/>
      <c r="N1337" s="2"/>
      <c r="O1337" s="2"/>
      <c r="P1337" s="2"/>
      <c r="Q1337" s="2"/>
      <c r="R1337" s="80"/>
      <c r="S1337" s="80"/>
      <c r="T1337" s="80"/>
      <c r="U1337" s="80"/>
      <c r="V1337" s="80"/>
      <c r="W1337" s="80"/>
      <c r="X1337" s="80"/>
      <c r="Y1337" s="80"/>
      <c r="Z1337" s="80"/>
      <c r="AA1337" s="80"/>
      <c r="AB1337" s="80"/>
      <c r="AC1337" s="80"/>
      <c r="AD1337" s="80"/>
      <c r="AE1337" s="80"/>
      <c r="AF1337" s="80"/>
      <c r="AG1337" s="80"/>
    </row>
    <row r="1338" spans="1:33" x14ac:dyDescent="0.2">
      <c r="A1338" s="2"/>
      <c r="B1338" s="80"/>
      <c r="C1338" s="80"/>
      <c r="D1338" s="80"/>
      <c r="E1338" s="80"/>
      <c r="F1338" s="80"/>
      <c r="G1338" s="80"/>
      <c r="H1338" s="80"/>
      <c r="I1338" s="80"/>
      <c r="J1338" s="80"/>
      <c r="K1338" s="80"/>
      <c r="L1338" s="2"/>
      <c r="M1338" s="2"/>
      <c r="N1338" s="2"/>
      <c r="O1338" s="2"/>
      <c r="P1338" s="2"/>
      <c r="Q1338" s="2"/>
      <c r="R1338" s="80"/>
      <c r="S1338" s="80"/>
      <c r="T1338" s="80"/>
      <c r="U1338" s="80"/>
      <c r="V1338" s="80"/>
      <c r="W1338" s="80"/>
      <c r="X1338" s="80"/>
      <c r="Y1338" s="80"/>
      <c r="Z1338" s="80"/>
      <c r="AA1338" s="80"/>
      <c r="AB1338" s="80"/>
      <c r="AC1338" s="80"/>
      <c r="AD1338" s="80"/>
      <c r="AE1338" s="80"/>
      <c r="AF1338" s="80"/>
      <c r="AG1338" s="80"/>
    </row>
    <row r="1339" spans="1:33" x14ac:dyDescent="0.2">
      <c r="A1339" s="2"/>
      <c r="B1339" s="80"/>
      <c r="C1339" s="80"/>
      <c r="D1339" s="80"/>
      <c r="E1339" s="80"/>
      <c r="F1339" s="80"/>
      <c r="G1339" s="80"/>
      <c r="H1339" s="80"/>
      <c r="I1339" s="80"/>
      <c r="J1339" s="80"/>
      <c r="K1339" s="80"/>
      <c r="L1339" s="2"/>
      <c r="M1339" s="2"/>
      <c r="N1339" s="2"/>
      <c r="O1339" s="2"/>
      <c r="P1339" s="2"/>
      <c r="Q1339" s="2"/>
      <c r="R1339" s="80"/>
      <c r="S1339" s="80"/>
      <c r="T1339" s="80"/>
      <c r="U1339" s="80"/>
      <c r="V1339" s="80"/>
      <c r="W1339" s="80"/>
      <c r="X1339" s="80"/>
      <c r="Y1339" s="80"/>
      <c r="Z1339" s="80"/>
      <c r="AA1339" s="80"/>
      <c r="AB1339" s="80"/>
      <c r="AC1339" s="80"/>
      <c r="AD1339" s="80"/>
      <c r="AE1339" s="80"/>
      <c r="AF1339" s="80"/>
      <c r="AG1339" s="80"/>
    </row>
    <row r="1340" spans="1:33" x14ac:dyDescent="0.2">
      <c r="A1340" s="2"/>
      <c r="B1340" s="80"/>
      <c r="C1340" s="80"/>
      <c r="D1340" s="80"/>
      <c r="E1340" s="80"/>
      <c r="F1340" s="80"/>
      <c r="G1340" s="80"/>
      <c r="H1340" s="80"/>
      <c r="I1340" s="80"/>
      <c r="J1340" s="80"/>
      <c r="K1340" s="80"/>
      <c r="L1340" s="2"/>
      <c r="M1340" s="2"/>
      <c r="N1340" s="2"/>
      <c r="O1340" s="2"/>
      <c r="P1340" s="2"/>
      <c r="Q1340" s="2"/>
      <c r="R1340" s="80"/>
      <c r="S1340" s="80"/>
      <c r="T1340" s="80"/>
      <c r="U1340" s="80"/>
      <c r="V1340" s="80"/>
      <c r="W1340" s="80"/>
      <c r="X1340" s="80"/>
      <c r="Y1340" s="80"/>
      <c r="Z1340" s="80"/>
      <c r="AA1340" s="80"/>
      <c r="AB1340" s="80"/>
      <c r="AC1340" s="80"/>
      <c r="AD1340" s="80"/>
      <c r="AE1340" s="80"/>
      <c r="AF1340" s="80"/>
      <c r="AG1340" s="80"/>
    </row>
    <row r="1341" spans="1:33" x14ac:dyDescent="0.2">
      <c r="A1341" s="2"/>
      <c r="B1341" s="80"/>
      <c r="C1341" s="80"/>
      <c r="D1341" s="80"/>
      <c r="E1341" s="80"/>
      <c r="F1341" s="80"/>
      <c r="G1341" s="80"/>
      <c r="H1341" s="80"/>
      <c r="I1341" s="80"/>
      <c r="J1341" s="80"/>
      <c r="K1341" s="80"/>
      <c r="L1341" s="2"/>
      <c r="M1341" s="2"/>
      <c r="N1341" s="2"/>
      <c r="O1341" s="2"/>
      <c r="P1341" s="2"/>
      <c r="Q1341" s="2"/>
      <c r="R1341" s="80"/>
      <c r="S1341" s="80"/>
      <c r="T1341" s="80"/>
      <c r="U1341" s="80"/>
      <c r="V1341" s="80"/>
      <c r="W1341" s="80"/>
      <c r="X1341" s="80"/>
      <c r="Y1341" s="80"/>
      <c r="Z1341" s="80"/>
      <c r="AA1341" s="80"/>
      <c r="AB1341" s="80"/>
      <c r="AC1341" s="80"/>
      <c r="AD1341" s="80"/>
      <c r="AE1341" s="80"/>
      <c r="AF1341" s="80"/>
      <c r="AG1341" s="80"/>
    </row>
    <row r="1342" spans="1:33" x14ac:dyDescent="0.2">
      <c r="A1342" s="2"/>
      <c r="B1342" s="80"/>
      <c r="C1342" s="80"/>
      <c r="D1342" s="80"/>
      <c r="E1342" s="80"/>
      <c r="F1342" s="80"/>
      <c r="G1342" s="80"/>
      <c r="H1342" s="80"/>
      <c r="I1342" s="80"/>
      <c r="J1342" s="80"/>
      <c r="K1342" s="80"/>
      <c r="L1342" s="2"/>
      <c r="M1342" s="2"/>
      <c r="N1342" s="2"/>
      <c r="O1342" s="2"/>
      <c r="P1342" s="2"/>
      <c r="Q1342" s="2"/>
      <c r="R1342" s="80"/>
      <c r="S1342" s="80"/>
      <c r="T1342" s="80"/>
      <c r="U1342" s="80"/>
      <c r="V1342" s="80"/>
      <c r="W1342" s="80"/>
      <c r="X1342" s="80"/>
      <c r="Y1342" s="80"/>
      <c r="Z1342" s="80"/>
      <c r="AA1342" s="80"/>
      <c r="AB1342" s="80"/>
      <c r="AC1342" s="80"/>
      <c r="AD1342" s="80"/>
      <c r="AE1342" s="80"/>
      <c r="AF1342" s="80"/>
      <c r="AG1342" s="80"/>
    </row>
    <row r="1343" spans="1:33" x14ac:dyDescent="0.2">
      <c r="A1343" s="2"/>
      <c r="B1343" s="80"/>
      <c r="C1343" s="80"/>
      <c r="D1343" s="80"/>
      <c r="E1343" s="80"/>
      <c r="F1343" s="80"/>
      <c r="G1343" s="80"/>
      <c r="H1343" s="80"/>
      <c r="I1343" s="80"/>
      <c r="J1343" s="80"/>
      <c r="K1343" s="80"/>
      <c r="L1343" s="2"/>
      <c r="M1343" s="2"/>
      <c r="N1343" s="2"/>
      <c r="O1343" s="2"/>
      <c r="P1343" s="2"/>
      <c r="Q1343" s="2"/>
      <c r="R1343" s="80"/>
      <c r="S1343" s="80"/>
      <c r="T1343" s="80"/>
      <c r="U1343" s="80"/>
      <c r="V1343" s="80"/>
      <c r="W1343" s="80"/>
      <c r="X1343" s="80"/>
      <c r="Y1343" s="80"/>
      <c r="Z1343" s="80"/>
      <c r="AA1343" s="80"/>
      <c r="AB1343" s="80"/>
      <c r="AC1343" s="80"/>
      <c r="AD1343" s="80"/>
      <c r="AE1343" s="80"/>
      <c r="AF1343" s="80"/>
      <c r="AG1343" s="80"/>
    </row>
    <row r="1344" spans="1:33" x14ac:dyDescent="0.2">
      <c r="A1344" s="2"/>
      <c r="B1344" s="80"/>
      <c r="C1344" s="80"/>
      <c r="D1344" s="80"/>
      <c r="E1344" s="80"/>
      <c r="F1344" s="80"/>
      <c r="G1344" s="80"/>
      <c r="H1344" s="80"/>
      <c r="I1344" s="80"/>
      <c r="J1344" s="80"/>
      <c r="K1344" s="80"/>
      <c r="L1344" s="2"/>
      <c r="M1344" s="2"/>
      <c r="N1344" s="2"/>
      <c r="O1344" s="2"/>
      <c r="P1344" s="2"/>
      <c r="Q1344" s="2"/>
      <c r="R1344" s="80"/>
      <c r="S1344" s="80"/>
      <c r="T1344" s="80"/>
      <c r="U1344" s="80"/>
      <c r="V1344" s="80"/>
      <c r="W1344" s="80"/>
      <c r="X1344" s="80"/>
      <c r="Y1344" s="80"/>
      <c r="Z1344" s="80"/>
      <c r="AA1344" s="80"/>
      <c r="AB1344" s="80"/>
      <c r="AC1344" s="80"/>
      <c r="AD1344" s="80"/>
      <c r="AE1344" s="80"/>
      <c r="AF1344" s="80"/>
      <c r="AG1344" s="80"/>
    </row>
    <row r="1345" spans="1:33" x14ac:dyDescent="0.2">
      <c r="A1345" s="2"/>
      <c r="B1345" s="80"/>
      <c r="C1345" s="80"/>
      <c r="D1345" s="80"/>
      <c r="E1345" s="80"/>
      <c r="F1345" s="80"/>
      <c r="G1345" s="80"/>
      <c r="H1345" s="80"/>
      <c r="I1345" s="80"/>
      <c r="J1345" s="80"/>
      <c r="K1345" s="80"/>
      <c r="L1345" s="2"/>
      <c r="M1345" s="2"/>
      <c r="N1345" s="2"/>
      <c r="O1345" s="2"/>
      <c r="P1345" s="2"/>
      <c r="Q1345" s="2"/>
      <c r="R1345" s="80"/>
      <c r="S1345" s="80"/>
      <c r="T1345" s="80"/>
      <c r="U1345" s="80"/>
      <c r="V1345" s="80"/>
      <c r="W1345" s="80"/>
      <c r="X1345" s="80"/>
      <c r="Y1345" s="80"/>
      <c r="Z1345" s="80"/>
      <c r="AA1345" s="80"/>
      <c r="AB1345" s="80"/>
      <c r="AC1345" s="80"/>
      <c r="AD1345" s="80"/>
      <c r="AE1345" s="80"/>
      <c r="AF1345" s="80"/>
      <c r="AG1345" s="80"/>
    </row>
    <row r="1346" spans="1:33" x14ac:dyDescent="0.2">
      <c r="A1346" s="2"/>
      <c r="B1346" s="80"/>
      <c r="C1346" s="80"/>
      <c r="D1346" s="80"/>
      <c r="E1346" s="80"/>
      <c r="F1346" s="80"/>
      <c r="G1346" s="80"/>
      <c r="H1346" s="80"/>
      <c r="I1346" s="80"/>
      <c r="J1346" s="80"/>
      <c r="K1346" s="80"/>
      <c r="L1346" s="2"/>
      <c r="M1346" s="2"/>
      <c r="N1346" s="2"/>
      <c r="O1346" s="2"/>
      <c r="P1346" s="2"/>
      <c r="Q1346" s="2"/>
      <c r="R1346" s="80"/>
      <c r="S1346" s="80"/>
      <c r="T1346" s="80"/>
      <c r="U1346" s="80"/>
      <c r="V1346" s="80"/>
      <c r="W1346" s="80"/>
      <c r="X1346" s="80"/>
      <c r="Y1346" s="80"/>
      <c r="Z1346" s="80"/>
      <c r="AA1346" s="80"/>
      <c r="AB1346" s="80"/>
      <c r="AC1346" s="80"/>
      <c r="AD1346" s="80"/>
      <c r="AE1346" s="80"/>
      <c r="AF1346" s="80"/>
      <c r="AG1346" s="80"/>
    </row>
    <row r="1347" spans="1:33" x14ac:dyDescent="0.2">
      <c r="A1347" s="2"/>
      <c r="B1347" s="80"/>
      <c r="C1347" s="80"/>
      <c r="D1347" s="80"/>
      <c r="E1347" s="80"/>
      <c r="F1347" s="80"/>
      <c r="G1347" s="80"/>
      <c r="H1347" s="80"/>
      <c r="I1347" s="80"/>
      <c r="J1347" s="80"/>
      <c r="K1347" s="80"/>
      <c r="L1347" s="2"/>
      <c r="M1347" s="2"/>
      <c r="N1347" s="2"/>
      <c r="O1347" s="2"/>
      <c r="P1347" s="2"/>
      <c r="Q1347" s="2"/>
      <c r="R1347" s="80"/>
      <c r="S1347" s="80"/>
      <c r="T1347" s="80"/>
      <c r="U1347" s="80"/>
      <c r="V1347" s="80"/>
      <c r="W1347" s="80"/>
      <c r="X1347" s="80"/>
      <c r="Y1347" s="80"/>
      <c r="Z1347" s="80"/>
      <c r="AA1347" s="80"/>
      <c r="AB1347" s="80"/>
      <c r="AC1347" s="80"/>
      <c r="AD1347" s="80"/>
      <c r="AE1347" s="80"/>
      <c r="AF1347" s="80"/>
      <c r="AG1347" s="80"/>
    </row>
    <row r="1348" spans="1:33" x14ac:dyDescent="0.2">
      <c r="A1348" s="2"/>
      <c r="B1348" s="80"/>
      <c r="C1348" s="80"/>
      <c r="D1348" s="80"/>
      <c r="E1348" s="80"/>
      <c r="F1348" s="80"/>
      <c r="G1348" s="80"/>
      <c r="H1348" s="80"/>
      <c r="I1348" s="80"/>
      <c r="J1348" s="80"/>
      <c r="K1348" s="80"/>
      <c r="L1348" s="2"/>
      <c r="M1348" s="2"/>
      <c r="N1348" s="2"/>
      <c r="O1348" s="2"/>
      <c r="P1348" s="2"/>
      <c r="Q1348" s="2"/>
      <c r="R1348" s="80"/>
      <c r="S1348" s="80"/>
      <c r="T1348" s="80"/>
      <c r="U1348" s="80"/>
      <c r="V1348" s="80"/>
      <c r="W1348" s="80"/>
      <c r="X1348" s="80"/>
      <c r="Y1348" s="80"/>
      <c r="Z1348" s="80"/>
      <c r="AA1348" s="80"/>
      <c r="AB1348" s="80"/>
      <c r="AC1348" s="80"/>
      <c r="AD1348" s="80"/>
      <c r="AE1348" s="80"/>
      <c r="AF1348" s="80"/>
      <c r="AG1348" s="80"/>
    </row>
    <row r="1349" spans="1:33" x14ac:dyDescent="0.2">
      <c r="A1349" s="2"/>
      <c r="B1349" s="80"/>
      <c r="C1349" s="80"/>
      <c r="D1349" s="80"/>
      <c r="E1349" s="80"/>
      <c r="F1349" s="80"/>
      <c r="G1349" s="80"/>
      <c r="H1349" s="80"/>
      <c r="I1349" s="80"/>
      <c r="J1349" s="80"/>
      <c r="K1349" s="80"/>
      <c r="L1349" s="2"/>
      <c r="M1349" s="2"/>
      <c r="N1349" s="2"/>
      <c r="O1349" s="2"/>
      <c r="P1349" s="2"/>
      <c r="Q1349" s="2"/>
      <c r="R1349" s="80"/>
      <c r="S1349" s="80"/>
      <c r="T1349" s="80"/>
      <c r="U1349" s="80"/>
      <c r="V1349" s="80"/>
      <c r="W1349" s="80"/>
      <c r="X1349" s="80"/>
      <c r="Y1349" s="80"/>
      <c r="Z1349" s="80"/>
      <c r="AA1349" s="80"/>
      <c r="AB1349" s="80"/>
      <c r="AC1349" s="80"/>
      <c r="AD1349" s="80"/>
      <c r="AE1349" s="80"/>
      <c r="AF1349" s="80"/>
      <c r="AG1349" s="80"/>
    </row>
    <row r="1350" spans="1:33" x14ac:dyDescent="0.2">
      <c r="A1350" s="2"/>
      <c r="B1350" s="80"/>
      <c r="C1350" s="80"/>
      <c r="D1350" s="80"/>
      <c r="E1350" s="80"/>
      <c r="F1350" s="80"/>
      <c r="G1350" s="80"/>
      <c r="H1350" s="80"/>
      <c r="I1350" s="80"/>
      <c r="J1350" s="80"/>
      <c r="K1350" s="80"/>
      <c r="L1350" s="2"/>
      <c r="M1350" s="2"/>
      <c r="N1350" s="2"/>
      <c r="O1350" s="2"/>
      <c r="P1350" s="2"/>
      <c r="Q1350" s="2"/>
      <c r="R1350" s="80"/>
      <c r="S1350" s="80"/>
      <c r="T1350" s="80"/>
      <c r="U1350" s="80"/>
      <c r="V1350" s="80"/>
      <c r="W1350" s="80"/>
      <c r="X1350" s="80"/>
      <c r="Y1350" s="80"/>
      <c r="Z1350" s="80"/>
      <c r="AA1350" s="80"/>
      <c r="AB1350" s="80"/>
      <c r="AC1350" s="80"/>
      <c r="AD1350" s="80"/>
      <c r="AE1350" s="80"/>
      <c r="AF1350" s="80"/>
      <c r="AG1350" s="80"/>
    </row>
    <row r="1351" spans="1:33" x14ac:dyDescent="0.2">
      <c r="A1351" s="2"/>
      <c r="B1351" s="80"/>
      <c r="C1351" s="80"/>
      <c r="D1351" s="80"/>
      <c r="E1351" s="80"/>
      <c r="F1351" s="80"/>
      <c r="G1351" s="80"/>
      <c r="H1351" s="80"/>
      <c r="I1351" s="80"/>
      <c r="J1351" s="80"/>
      <c r="K1351" s="80"/>
      <c r="L1351" s="2"/>
      <c r="M1351" s="2"/>
      <c r="N1351" s="2"/>
      <c r="O1351" s="2"/>
      <c r="P1351" s="2"/>
      <c r="Q1351" s="2"/>
      <c r="R1351" s="80"/>
      <c r="S1351" s="80"/>
      <c r="T1351" s="80"/>
      <c r="U1351" s="80"/>
      <c r="V1351" s="80"/>
      <c r="W1351" s="80"/>
      <c r="X1351" s="80"/>
      <c r="Y1351" s="80"/>
      <c r="Z1351" s="80"/>
      <c r="AA1351" s="80"/>
      <c r="AB1351" s="80"/>
      <c r="AC1351" s="80"/>
      <c r="AD1351" s="80"/>
      <c r="AE1351" s="80"/>
      <c r="AF1351" s="80"/>
      <c r="AG1351" s="80"/>
    </row>
    <row r="1352" spans="1:33" x14ac:dyDescent="0.2">
      <c r="A1352" s="2"/>
      <c r="B1352" s="80"/>
      <c r="C1352" s="80"/>
      <c r="D1352" s="80"/>
      <c r="E1352" s="80"/>
      <c r="F1352" s="80"/>
      <c r="G1352" s="80"/>
      <c r="H1352" s="80"/>
      <c r="I1352" s="80"/>
      <c r="J1352" s="80"/>
      <c r="K1352" s="80"/>
      <c r="L1352" s="2"/>
      <c r="M1352" s="2"/>
      <c r="N1352" s="2"/>
      <c r="O1352" s="2"/>
      <c r="P1352" s="2"/>
      <c r="Q1352" s="2"/>
      <c r="R1352" s="80"/>
      <c r="S1352" s="80"/>
      <c r="T1352" s="80"/>
      <c r="U1352" s="80"/>
      <c r="V1352" s="80"/>
      <c r="W1352" s="80"/>
      <c r="X1352" s="80"/>
      <c r="Y1352" s="80"/>
      <c r="Z1352" s="80"/>
      <c r="AA1352" s="80"/>
      <c r="AB1352" s="80"/>
      <c r="AC1352" s="80"/>
      <c r="AD1352" s="80"/>
      <c r="AE1352" s="80"/>
      <c r="AF1352" s="80"/>
      <c r="AG1352" s="80"/>
    </row>
    <row r="1353" spans="1:33" x14ac:dyDescent="0.2">
      <c r="A1353" s="2"/>
      <c r="B1353" s="80"/>
      <c r="C1353" s="80"/>
      <c r="D1353" s="80"/>
      <c r="E1353" s="80"/>
      <c r="F1353" s="80"/>
      <c r="G1353" s="80"/>
      <c r="H1353" s="80"/>
      <c r="I1353" s="80"/>
      <c r="J1353" s="80"/>
      <c r="K1353" s="80"/>
      <c r="L1353" s="2"/>
      <c r="M1353" s="2"/>
      <c r="N1353" s="2"/>
      <c r="O1353" s="2"/>
      <c r="P1353" s="2"/>
      <c r="Q1353" s="2"/>
      <c r="R1353" s="80"/>
      <c r="S1353" s="80"/>
      <c r="T1353" s="80"/>
      <c r="U1353" s="80"/>
      <c r="V1353" s="80"/>
      <c r="W1353" s="80"/>
      <c r="X1353" s="80"/>
      <c r="Y1353" s="80"/>
      <c r="Z1353" s="80"/>
      <c r="AA1353" s="80"/>
      <c r="AB1353" s="80"/>
      <c r="AC1353" s="80"/>
      <c r="AD1353" s="80"/>
      <c r="AE1353" s="80"/>
      <c r="AF1353" s="80"/>
      <c r="AG1353" s="80"/>
    </row>
    <row r="1354" spans="1:33" x14ac:dyDescent="0.2">
      <c r="A1354" s="2"/>
      <c r="B1354" s="80"/>
      <c r="C1354" s="80"/>
      <c r="D1354" s="80"/>
      <c r="E1354" s="80"/>
      <c r="F1354" s="80"/>
      <c r="G1354" s="80"/>
      <c r="H1354" s="80"/>
      <c r="I1354" s="80"/>
      <c r="J1354" s="80"/>
      <c r="K1354" s="80"/>
      <c r="L1354" s="2"/>
      <c r="M1354" s="2"/>
      <c r="N1354" s="2"/>
      <c r="O1354" s="2"/>
      <c r="P1354" s="2"/>
      <c r="Q1354" s="2"/>
      <c r="R1354" s="80"/>
      <c r="S1354" s="80"/>
      <c r="T1354" s="80"/>
      <c r="U1354" s="80"/>
      <c r="V1354" s="80"/>
      <c r="W1354" s="80"/>
      <c r="X1354" s="80"/>
      <c r="Y1354" s="80"/>
      <c r="Z1354" s="80"/>
      <c r="AA1354" s="80"/>
      <c r="AB1354" s="80"/>
      <c r="AC1354" s="80"/>
      <c r="AD1354" s="80"/>
      <c r="AE1354" s="80"/>
      <c r="AF1354" s="80"/>
      <c r="AG1354" s="80"/>
    </row>
    <row r="1355" spans="1:33" x14ac:dyDescent="0.2">
      <c r="A1355" s="2"/>
      <c r="B1355" s="80"/>
      <c r="C1355" s="80"/>
      <c r="D1355" s="80"/>
      <c r="E1355" s="80"/>
      <c r="F1355" s="80"/>
      <c r="G1355" s="80"/>
      <c r="H1355" s="80"/>
      <c r="I1355" s="80"/>
      <c r="J1355" s="80"/>
      <c r="K1355" s="80"/>
      <c r="L1355" s="2"/>
      <c r="M1355" s="2"/>
      <c r="N1355" s="2"/>
      <c r="O1355" s="2"/>
      <c r="P1355" s="2"/>
      <c r="Q1355" s="2"/>
      <c r="R1355" s="80"/>
      <c r="S1355" s="80"/>
      <c r="T1355" s="80"/>
      <c r="U1355" s="80"/>
      <c r="V1355" s="80"/>
      <c r="W1355" s="80"/>
      <c r="X1355" s="80"/>
      <c r="Y1355" s="80"/>
      <c r="Z1355" s="80"/>
      <c r="AA1355" s="80"/>
      <c r="AB1355" s="80"/>
      <c r="AC1355" s="80"/>
      <c r="AD1355" s="80"/>
      <c r="AE1355" s="80"/>
      <c r="AF1355" s="80"/>
      <c r="AG1355" s="80"/>
    </row>
    <row r="1356" spans="1:33" x14ac:dyDescent="0.2">
      <c r="A1356" s="2"/>
      <c r="B1356" s="80"/>
      <c r="C1356" s="80"/>
      <c r="D1356" s="80"/>
      <c r="E1356" s="80"/>
      <c r="F1356" s="80"/>
      <c r="G1356" s="80"/>
      <c r="H1356" s="80"/>
      <c r="I1356" s="80"/>
      <c r="J1356" s="80"/>
      <c r="K1356" s="80"/>
      <c r="L1356" s="2"/>
      <c r="M1356" s="2"/>
      <c r="N1356" s="2"/>
      <c r="O1356" s="2"/>
      <c r="P1356" s="2"/>
      <c r="Q1356" s="2"/>
      <c r="R1356" s="80"/>
      <c r="S1356" s="80"/>
      <c r="T1356" s="80"/>
      <c r="U1356" s="80"/>
      <c r="V1356" s="80"/>
      <c r="W1356" s="80"/>
      <c r="X1356" s="80"/>
      <c r="Y1356" s="80"/>
      <c r="Z1356" s="80"/>
      <c r="AA1356" s="80"/>
      <c r="AB1356" s="80"/>
      <c r="AC1356" s="80"/>
      <c r="AD1356" s="80"/>
      <c r="AE1356" s="80"/>
      <c r="AF1356" s="80"/>
      <c r="AG1356" s="80"/>
    </row>
    <row r="1357" spans="1:33" x14ac:dyDescent="0.2">
      <c r="A1357" s="2"/>
      <c r="B1357" s="80"/>
      <c r="C1357" s="80"/>
      <c r="D1357" s="80"/>
      <c r="E1357" s="80"/>
      <c r="F1357" s="80"/>
      <c r="G1357" s="80"/>
      <c r="H1357" s="80"/>
      <c r="I1357" s="80"/>
      <c r="J1357" s="80"/>
      <c r="K1357" s="80"/>
      <c r="L1357" s="2"/>
      <c r="M1357" s="2"/>
      <c r="N1357" s="2"/>
      <c r="O1357" s="2"/>
      <c r="P1357" s="2"/>
      <c r="Q1357" s="2"/>
      <c r="R1357" s="80"/>
      <c r="S1357" s="80"/>
      <c r="T1357" s="80"/>
      <c r="U1357" s="80"/>
      <c r="V1357" s="80"/>
      <c r="W1357" s="80"/>
      <c r="X1357" s="80"/>
      <c r="Y1357" s="80"/>
      <c r="Z1357" s="80"/>
      <c r="AA1357" s="80"/>
      <c r="AB1357" s="80"/>
      <c r="AC1357" s="80"/>
      <c r="AD1357" s="80"/>
      <c r="AE1357" s="80"/>
      <c r="AF1357" s="80"/>
      <c r="AG1357" s="80"/>
    </row>
    <row r="1358" spans="1:33" x14ac:dyDescent="0.2">
      <c r="A1358" s="2"/>
      <c r="B1358" s="80"/>
      <c r="C1358" s="80"/>
      <c r="D1358" s="80"/>
      <c r="E1358" s="80"/>
      <c r="F1358" s="80"/>
      <c r="G1358" s="80"/>
      <c r="H1358" s="80"/>
      <c r="I1358" s="80"/>
      <c r="J1358" s="80"/>
      <c r="K1358" s="80"/>
      <c r="L1358" s="2"/>
      <c r="M1358" s="2"/>
      <c r="N1358" s="2"/>
      <c r="O1358" s="2"/>
      <c r="P1358" s="2"/>
      <c r="Q1358" s="2"/>
      <c r="R1358" s="80"/>
      <c r="S1358" s="80"/>
      <c r="T1358" s="80"/>
      <c r="U1358" s="80"/>
      <c r="V1358" s="80"/>
      <c r="W1358" s="80"/>
      <c r="X1358" s="80"/>
      <c r="Y1358" s="80"/>
      <c r="Z1358" s="80"/>
      <c r="AA1358" s="80"/>
      <c r="AB1358" s="80"/>
      <c r="AC1358" s="80"/>
      <c r="AD1358" s="80"/>
      <c r="AE1358" s="80"/>
      <c r="AF1358" s="80"/>
      <c r="AG1358" s="80"/>
    </row>
    <row r="1359" spans="1:33" x14ac:dyDescent="0.2">
      <c r="A1359" s="2"/>
      <c r="B1359" s="80"/>
      <c r="C1359" s="80"/>
      <c r="D1359" s="80"/>
      <c r="E1359" s="80"/>
      <c r="F1359" s="80"/>
      <c r="G1359" s="80"/>
      <c r="H1359" s="80"/>
      <c r="I1359" s="80"/>
      <c r="J1359" s="80"/>
      <c r="K1359" s="80"/>
      <c r="L1359" s="2"/>
      <c r="M1359" s="2"/>
      <c r="N1359" s="2"/>
      <c r="O1359" s="2"/>
      <c r="P1359" s="2"/>
      <c r="Q1359" s="2"/>
      <c r="R1359" s="80"/>
      <c r="S1359" s="80"/>
      <c r="T1359" s="80"/>
      <c r="U1359" s="80"/>
      <c r="V1359" s="80"/>
      <c r="W1359" s="80"/>
      <c r="X1359" s="80"/>
      <c r="Y1359" s="80"/>
      <c r="Z1359" s="80"/>
      <c r="AA1359" s="80"/>
      <c r="AB1359" s="80"/>
      <c r="AC1359" s="80"/>
      <c r="AD1359" s="80"/>
      <c r="AE1359" s="80"/>
      <c r="AF1359" s="80"/>
      <c r="AG1359" s="80"/>
    </row>
    <row r="1360" spans="1:33" x14ac:dyDescent="0.2">
      <c r="A1360" s="2"/>
      <c r="B1360" s="80"/>
      <c r="C1360" s="80"/>
      <c r="D1360" s="80"/>
      <c r="E1360" s="80"/>
      <c r="F1360" s="80"/>
      <c r="G1360" s="80"/>
      <c r="H1360" s="80"/>
      <c r="I1360" s="80"/>
      <c r="J1360" s="80"/>
      <c r="K1360" s="80"/>
      <c r="L1360" s="2"/>
      <c r="M1360" s="2"/>
      <c r="N1360" s="2"/>
      <c r="O1360" s="2"/>
      <c r="P1360" s="2"/>
      <c r="Q1360" s="2"/>
      <c r="R1360" s="80"/>
      <c r="S1360" s="80"/>
      <c r="T1360" s="80"/>
      <c r="U1360" s="80"/>
      <c r="V1360" s="80"/>
      <c r="W1360" s="80"/>
      <c r="X1360" s="80"/>
      <c r="Y1360" s="80"/>
      <c r="Z1360" s="80"/>
      <c r="AA1360" s="80"/>
      <c r="AB1360" s="80"/>
      <c r="AC1360" s="80"/>
      <c r="AD1360" s="80"/>
      <c r="AE1360" s="80"/>
      <c r="AF1360" s="80"/>
      <c r="AG1360" s="80"/>
    </row>
    <row r="1361" spans="1:33" x14ac:dyDescent="0.2">
      <c r="A1361" s="2"/>
      <c r="B1361" s="80"/>
      <c r="C1361" s="80"/>
      <c r="D1361" s="80"/>
      <c r="E1361" s="80"/>
      <c r="F1361" s="80"/>
      <c r="G1361" s="80"/>
      <c r="H1361" s="80"/>
      <c r="I1361" s="80"/>
      <c r="J1361" s="80"/>
      <c r="K1361" s="80"/>
      <c r="L1361" s="2"/>
      <c r="M1361" s="2"/>
      <c r="N1361" s="2"/>
      <c r="O1361" s="2"/>
      <c r="P1361" s="2"/>
      <c r="Q1361" s="2"/>
      <c r="R1361" s="80"/>
      <c r="S1361" s="80"/>
      <c r="T1361" s="80"/>
      <c r="U1361" s="80"/>
      <c r="V1361" s="80"/>
      <c r="W1361" s="80"/>
      <c r="X1361" s="80"/>
      <c r="Y1361" s="80"/>
      <c r="Z1361" s="80"/>
      <c r="AA1361" s="80"/>
      <c r="AB1361" s="80"/>
      <c r="AC1361" s="80"/>
      <c r="AD1361" s="80"/>
      <c r="AE1361" s="80"/>
      <c r="AF1361" s="80"/>
      <c r="AG1361" s="80"/>
    </row>
    <row r="1362" spans="1:33" x14ac:dyDescent="0.2">
      <c r="A1362" s="2"/>
      <c r="B1362" s="80"/>
      <c r="C1362" s="80"/>
      <c r="D1362" s="80"/>
      <c r="E1362" s="80"/>
      <c r="F1362" s="80"/>
      <c r="G1362" s="80"/>
      <c r="H1362" s="80"/>
      <c r="I1362" s="80"/>
      <c r="J1362" s="80"/>
      <c r="K1362" s="80"/>
      <c r="L1362" s="2"/>
      <c r="M1362" s="2"/>
      <c r="N1362" s="2"/>
      <c r="O1362" s="2"/>
      <c r="P1362" s="2"/>
      <c r="Q1362" s="2"/>
      <c r="R1362" s="80"/>
      <c r="S1362" s="80"/>
      <c r="T1362" s="80"/>
      <c r="U1362" s="80"/>
      <c r="V1362" s="80"/>
      <c r="W1362" s="80"/>
      <c r="X1362" s="80"/>
      <c r="Y1362" s="80"/>
      <c r="Z1362" s="80"/>
      <c r="AA1362" s="80"/>
      <c r="AB1362" s="80"/>
      <c r="AC1362" s="80"/>
      <c r="AD1362" s="80"/>
      <c r="AE1362" s="80"/>
      <c r="AF1362" s="80"/>
      <c r="AG1362" s="80"/>
    </row>
    <row r="1363" spans="1:33" x14ac:dyDescent="0.2">
      <c r="A1363" s="2"/>
      <c r="B1363" s="80"/>
      <c r="C1363" s="80"/>
      <c r="D1363" s="80"/>
      <c r="E1363" s="80"/>
      <c r="F1363" s="80"/>
      <c r="G1363" s="80"/>
      <c r="H1363" s="80"/>
      <c r="I1363" s="80"/>
      <c r="J1363" s="80"/>
      <c r="K1363" s="80"/>
      <c r="L1363" s="2"/>
      <c r="M1363" s="2"/>
      <c r="N1363" s="2"/>
      <c r="O1363" s="2"/>
      <c r="P1363" s="2"/>
      <c r="Q1363" s="2"/>
      <c r="R1363" s="80"/>
      <c r="S1363" s="80"/>
      <c r="T1363" s="80"/>
      <c r="U1363" s="80"/>
      <c r="V1363" s="80"/>
      <c r="W1363" s="80"/>
      <c r="X1363" s="80"/>
      <c r="Y1363" s="80"/>
      <c r="Z1363" s="80"/>
      <c r="AA1363" s="80"/>
      <c r="AB1363" s="80"/>
      <c r="AC1363" s="80"/>
      <c r="AD1363" s="80"/>
      <c r="AE1363" s="80"/>
      <c r="AF1363" s="80"/>
      <c r="AG1363" s="80"/>
    </row>
    <row r="1364" spans="1:33" x14ac:dyDescent="0.2">
      <c r="A1364" s="2"/>
      <c r="B1364" s="80"/>
      <c r="C1364" s="80"/>
      <c r="D1364" s="80"/>
      <c r="E1364" s="80"/>
      <c r="F1364" s="80"/>
      <c r="G1364" s="80"/>
      <c r="H1364" s="80"/>
      <c r="I1364" s="80"/>
      <c r="J1364" s="80"/>
      <c r="K1364" s="80"/>
      <c r="L1364" s="2"/>
      <c r="M1364" s="2"/>
      <c r="N1364" s="2"/>
      <c r="O1364" s="2"/>
      <c r="P1364" s="2"/>
      <c r="Q1364" s="2"/>
      <c r="R1364" s="80"/>
      <c r="S1364" s="80"/>
      <c r="T1364" s="80"/>
      <c r="U1364" s="80"/>
      <c r="V1364" s="80"/>
      <c r="W1364" s="80"/>
      <c r="X1364" s="80"/>
      <c r="Y1364" s="80"/>
      <c r="Z1364" s="80"/>
      <c r="AA1364" s="80"/>
      <c r="AB1364" s="80"/>
      <c r="AC1364" s="80"/>
      <c r="AD1364" s="80"/>
      <c r="AE1364" s="80"/>
      <c r="AF1364" s="80"/>
      <c r="AG1364" s="80"/>
    </row>
    <row r="1365" spans="1:33" x14ac:dyDescent="0.2">
      <c r="A1365" s="2"/>
      <c r="B1365" s="80"/>
      <c r="C1365" s="80"/>
      <c r="D1365" s="80"/>
      <c r="E1365" s="80"/>
      <c r="F1365" s="80"/>
      <c r="G1365" s="80"/>
      <c r="H1365" s="80"/>
      <c r="I1365" s="80"/>
      <c r="J1365" s="80"/>
      <c r="K1365" s="80"/>
      <c r="L1365" s="2"/>
      <c r="M1365" s="2"/>
      <c r="N1365" s="2"/>
      <c r="O1365" s="2"/>
      <c r="P1365" s="2"/>
      <c r="Q1365" s="2"/>
      <c r="R1365" s="80"/>
      <c r="S1365" s="80"/>
      <c r="T1365" s="80"/>
      <c r="U1365" s="80"/>
      <c r="V1365" s="80"/>
      <c r="W1365" s="80"/>
      <c r="X1365" s="80"/>
      <c r="Y1365" s="80"/>
      <c r="Z1365" s="80"/>
      <c r="AA1365" s="80"/>
      <c r="AB1365" s="80"/>
      <c r="AC1365" s="80"/>
      <c r="AD1365" s="80"/>
      <c r="AE1365" s="80"/>
      <c r="AF1365" s="80"/>
      <c r="AG1365" s="80"/>
    </row>
    <row r="1366" spans="1:33" x14ac:dyDescent="0.2">
      <c r="A1366" s="2"/>
      <c r="B1366" s="80"/>
      <c r="C1366" s="80"/>
      <c r="D1366" s="80"/>
      <c r="E1366" s="80"/>
      <c r="F1366" s="80"/>
      <c r="G1366" s="80"/>
      <c r="H1366" s="80"/>
      <c r="I1366" s="80"/>
      <c r="J1366" s="80"/>
      <c r="K1366" s="80"/>
      <c r="L1366" s="2"/>
      <c r="M1366" s="2"/>
      <c r="N1366" s="2"/>
      <c r="O1366" s="2"/>
      <c r="P1366" s="2"/>
      <c r="Q1366" s="2"/>
      <c r="R1366" s="80"/>
      <c r="S1366" s="80"/>
      <c r="T1366" s="80"/>
      <c r="U1366" s="80"/>
      <c r="V1366" s="80"/>
      <c r="W1366" s="80"/>
      <c r="X1366" s="80"/>
      <c r="Y1366" s="80"/>
      <c r="Z1366" s="80"/>
      <c r="AA1366" s="80"/>
      <c r="AB1366" s="80"/>
      <c r="AC1366" s="80"/>
      <c r="AD1366" s="80"/>
      <c r="AE1366" s="80"/>
      <c r="AF1366" s="80"/>
      <c r="AG1366" s="80"/>
    </row>
    <row r="1367" spans="1:33" x14ac:dyDescent="0.2">
      <c r="A1367" s="2"/>
      <c r="B1367" s="80"/>
      <c r="C1367" s="80"/>
      <c r="D1367" s="80"/>
      <c r="E1367" s="80"/>
      <c r="F1367" s="80"/>
      <c r="G1367" s="80"/>
      <c r="H1367" s="80"/>
      <c r="I1367" s="80"/>
      <c r="J1367" s="80"/>
      <c r="K1367" s="80"/>
      <c r="L1367" s="2"/>
      <c r="M1367" s="2"/>
      <c r="N1367" s="2"/>
      <c r="O1367" s="2"/>
      <c r="P1367" s="2"/>
      <c r="Q1367" s="2"/>
      <c r="R1367" s="80"/>
      <c r="S1367" s="80"/>
      <c r="T1367" s="80"/>
      <c r="U1367" s="80"/>
      <c r="V1367" s="80"/>
      <c r="W1367" s="80"/>
      <c r="X1367" s="80"/>
      <c r="Y1367" s="80"/>
      <c r="Z1367" s="80"/>
      <c r="AA1367" s="80"/>
      <c r="AB1367" s="80"/>
      <c r="AC1367" s="80"/>
      <c r="AD1367" s="80"/>
      <c r="AE1367" s="80"/>
      <c r="AF1367" s="80"/>
      <c r="AG1367" s="80"/>
    </row>
    <row r="1368" spans="1:33" x14ac:dyDescent="0.2">
      <c r="A1368" s="2"/>
      <c r="B1368" s="80"/>
      <c r="C1368" s="80"/>
      <c r="D1368" s="80"/>
      <c r="E1368" s="80"/>
      <c r="F1368" s="80"/>
      <c r="G1368" s="80"/>
      <c r="H1368" s="80"/>
      <c r="I1368" s="80"/>
      <c r="J1368" s="80"/>
      <c r="K1368" s="80"/>
      <c r="L1368" s="2"/>
      <c r="M1368" s="2"/>
      <c r="N1368" s="2"/>
      <c r="O1368" s="2"/>
      <c r="P1368" s="2"/>
      <c r="Q1368" s="2"/>
      <c r="R1368" s="80"/>
      <c r="S1368" s="80"/>
      <c r="T1368" s="80"/>
      <c r="U1368" s="80"/>
      <c r="V1368" s="80"/>
      <c r="W1368" s="80"/>
      <c r="X1368" s="80"/>
      <c r="Y1368" s="80"/>
      <c r="Z1368" s="80"/>
      <c r="AA1368" s="80"/>
      <c r="AB1368" s="80"/>
      <c r="AC1368" s="80"/>
      <c r="AD1368" s="80"/>
      <c r="AE1368" s="80"/>
      <c r="AF1368" s="80"/>
      <c r="AG1368" s="80"/>
    </row>
    <row r="1369" spans="1:33" x14ac:dyDescent="0.2">
      <c r="A1369" s="2"/>
      <c r="B1369" s="80"/>
      <c r="C1369" s="80"/>
      <c r="D1369" s="80"/>
      <c r="E1369" s="80"/>
      <c r="F1369" s="80"/>
      <c r="G1369" s="80"/>
      <c r="H1369" s="80"/>
      <c r="I1369" s="80"/>
      <c r="J1369" s="80"/>
      <c r="K1369" s="80"/>
      <c r="L1369" s="2"/>
      <c r="M1369" s="2"/>
      <c r="N1369" s="2"/>
      <c r="O1369" s="2"/>
      <c r="P1369" s="2"/>
      <c r="Q1369" s="2"/>
      <c r="R1369" s="80"/>
      <c r="S1369" s="80"/>
      <c r="T1369" s="80"/>
      <c r="U1369" s="80"/>
      <c r="V1369" s="80"/>
      <c r="W1369" s="80"/>
      <c r="X1369" s="80"/>
      <c r="Y1369" s="80"/>
      <c r="Z1369" s="80"/>
      <c r="AA1369" s="80"/>
      <c r="AB1369" s="80"/>
      <c r="AC1369" s="80"/>
      <c r="AD1369" s="80"/>
      <c r="AE1369" s="80"/>
      <c r="AF1369" s="80"/>
      <c r="AG1369" s="80"/>
    </row>
    <row r="1370" spans="1:33" x14ac:dyDescent="0.2">
      <c r="A1370" s="2"/>
      <c r="B1370" s="80"/>
      <c r="C1370" s="80"/>
      <c r="D1370" s="80"/>
      <c r="E1370" s="80"/>
      <c r="F1370" s="80"/>
      <c r="G1370" s="80"/>
      <c r="H1370" s="80"/>
      <c r="I1370" s="80"/>
      <c r="J1370" s="80"/>
      <c r="K1370" s="80"/>
      <c r="L1370" s="2"/>
      <c r="M1370" s="2"/>
      <c r="N1370" s="2"/>
      <c r="O1370" s="2"/>
      <c r="P1370" s="2"/>
      <c r="Q1370" s="2"/>
      <c r="R1370" s="80"/>
      <c r="S1370" s="80"/>
      <c r="T1370" s="80"/>
      <c r="U1370" s="80"/>
      <c r="V1370" s="80"/>
      <c r="W1370" s="80"/>
      <c r="X1370" s="80"/>
      <c r="Y1370" s="80"/>
      <c r="Z1370" s="80"/>
      <c r="AA1370" s="80"/>
      <c r="AB1370" s="80"/>
      <c r="AC1370" s="80"/>
      <c r="AD1370" s="80"/>
      <c r="AE1370" s="80"/>
      <c r="AF1370" s="80"/>
      <c r="AG1370" s="80"/>
    </row>
    <row r="1371" spans="1:33" x14ac:dyDescent="0.2">
      <c r="A1371" s="2"/>
      <c r="B1371" s="80"/>
      <c r="C1371" s="80"/>
      <c r="D1371" s="80"/>
      <c r="E1371" s="80"/>
      <c r="F1371" s="80"/>
      <c r="G1371" s="80"/>
      <c r="H1371" s="80"/>
      <c r="I1371" s="80"/>
      <c r="J1371" s="80"/>
      <c r="K1371" s="80"/>
      <c r="L1371" s="2"/>
      <c r="M1371" s="2"/>
      <c r="N1371" s="2"/>
      <c r="O1371" s="2"/>
      <c r="P1371" s="2"/>
      <c r="Q1371" s="2"/>
      <c r="R1371" s="80"/>
      <c r="S1371" s="80"/>
      <c r="T1371" s="80"/>
      <c r="U1371" s="80"/>
      <c r="V1371" s="80"/>
      <c r="W1371" s="80"/>
      <c r="X1371" s="80"/>
      <c r="Y1371" s="80"/>
      <c r="Z1371" s="80"/>
      <c r="AA1371" s="80"/>
      <c r="AB1371" s="80"/>
      <c r="AC1371" s="80"/>
      <c r="AD1371" s="80"/>
      <c r="AE1371" s="80"/>
      <c r="AF1371" s="80"/>
      <c r="AG1371" s="80"/>
    </row>
    <row r="1372" spans="1:33" x14ac:dyDescent="0.2">
      <c r="A1372" s="2"/>
      <c r="B1372" s="80"/>
      <c r="C1372" s="80"/>
      <c r="D1372" s="80"/>
      <c r="E1372" s="80"/>
      <c r="F1372" s="80"/>
      <c r="G1372" s="80"/>
      <c r="H1372" s="80"/>
      <c r="I1372" s="80"/>
      <c r="J1372" s="80"/>
      <c r="K1372" s="80"/>
      <c r="L1372" s="2"/>
      <c r="M1372" s="2"/>
      <c r="N1372" s="2"/>
      <c r="O1372" s="2"/>
      <c r="P1372" s="2"/>
      <c r="Q1372" s="2"/>
      <c r="R1372" s="80"/>
      <c r="S1372" s="80"/>
      <c r="T1372" s="80"/>
      <c r="U1372" s="80"/>
      <c r="V1372" s="80"/>
      <c r="W1372" s="80"/>
      <c r="X1372" s="80"/>
      <c r="Y1372" s="80"/>
      <c r="Z1372" s="80"/>
      <c r="AA1372" s="80"/>
      <c r="AB1372" s="80"/>
      <c r="AC1372" s="80"/>
      <c r="AD1372" s="80"/>
      <c r="AE1372" s="80"/>
      <c r="AF1372" s="80"/>
      <c r="AG1372" s="80"/>
    </row>
    <row r="1373" spans="1:33" x14ac:dyDescent="0.2">
      <c r="A1373" s="2"/>
      <c r="B1373" s="80"/>
      <c r="C1373" s="80"/>
      <c r="D1373" s="80"/>
      <c r="E1373" s="80"/>
      <c r="F1373" s="80"/>
      <c r="G1373" s="80"/>
      <c r="H1373" s="80"/>
      <c r="I1373" s="80"/>
      <c r="J1373" s="80"/>
      <c r="K1373" s="80"/>
      <c r="L1373" s="2"/>
      <c r="M1373" s="2"/>
      <c r="N1373" s="2"/>
      <c r="O1373" s="2"/>
      <c r="P1373" s="2"/>
      <c r="Q1373" s="2"/>
      <c r="R1373" s="80"/>
      <c r="S1373" s="80"/>
      <c r="T1373" s="80"/>
      <c r="U1373" s="80"/>
      <c r="V1373" s="80"/>
      <c r="W1373" s="80"/>
      <c r="X1373" s="80"/>
      <c r="Y1373" s="80"/>
      <c r="Z1373" s="80"/>
      <c r="AA1373" s="80"/>
      <c r="AB1373" s="80"/>
      <c r="AC1373" s="80"/>
      <c r="AD1373" s="80"/>
      <c r="AE1373" s="80"/>
      <c r="AF1373" s="80"/>
      <c r="AG1373" s="80"/>
    </row>
    <row r="1374" spans="1:33" x14ac:dyDescent="0.2">
      <c r="A1374" s="2"/>
      <c r="B1374" s="80"/>
      <c r="C1374" s="80"/>
      <c r="D1374" s="80"/>
      <c r="E1374" s="80"/>
      <c r="F1374" s="80"/>
      <c r="G1374" s="80"/>
      <c r="H1374" s="80"/>
      <c r="I1374" s="80"/>
      <c r="J1374" s="80"/>
      <c r="K1374" s="80"/>
      <c r="L1374" s="2"/>
      <c r="M1374" s="2"/>
      <c r="N1374" s="2"/>
      <c r="O1374" s="2"/>
      <c r="P1374" s="2"/>
      <c r="Q1374" s="2"/>
      <c r="R1374" s="80"/>
      <c r="S1374" s="80"/>
      <c r="T1374" s="80"/>
      <c r="U1374" s="80"/>
      <c r="V1374" s="80"/>
      <c r="W1374" s="80"/>
      <c r="X1374" s="80"/>
      <c r="Y1374" s="80"/>
      <c r="Z1374" s="80"/>
      <c r="AA1374" s="80"/>
      <c r="AB1374" s="80"/>
      <c r="AC1374" s="80"/>
      <c r="AD1374" s="80"/>
      <c r="AE1374" s="80"/>
      <c r="AF1374" s="80"/>
      <c r="AG1374" s="80"/>
    </row>
    <row r="1375" spans="1:33" x14ac:dyDescent="0.2">
      <c r="A1375" s="2"/>
      <c r="B1375" s="80"/>
      <c r="C1375" s="80"/>
      <c r="D1375" s="80"/>
      <c r="E1375" s="80"/>
      <c r="F1375" s="80"/>
      <c r="G1375" s="80"/>
      <c r="H1375" s="80"/>
      <c r="I1375" s="80"/>
      <c r="J1375" s="80"/>
      <c r="K1375" s="80"/>
      <c r="L1375" s="2"/>
      <c r="M1375" s="2"/>
      <c r="N1375" s="2"/>
      <c r="O1375" s="2"/>
      <c r="P1375" s="2"/>
      <c r="Q1375" s="2"/>
      <c r="R1375" s="80"/>
      <c r="S1375" s="80"/>
      <c r="T1375" s="80"/>
      <c r="U1375" s="80"/>
      <c r="V1375" s="80"/>
      <c r="W1375" s="80"/>
      <c r="X1375" s="80"/>
      <c r="Y1375" s="80"/>
      <c r="Z1375" s="80"/>
      <c r="AA1375" s="80"/>
      <c r="AB1375" s="80"/>
      <c r="AC1375" s="80"/>
      <c r="AD1375" s="80"/>
      <c r="AE1375" s="80"/>
      <c r="AF1375" s="80"/>
      <c r="AG1375" s="80"/>
    </row>
    <row r="1376" spans="1:33" x14ac:dyDescent="0.2">
      <c r="A1376" s="2"/>
      <c r="B1376" s="80"/>
      <c r="C1376" s="80"/>
      <c r="D1376" s="80"/>
      <c r="E1376" s="80"/>
      <c r="F1376" s="80"/>
      <c r="G1376" s="80"/>
      <c r="H1376" s="80"/>
      <c r="I1376" s="80"/>
      <c r="J1376" s="80"/>
      <c r="K1376" s="80"/>
      <c r="L1376" s="2"/>
      <c r="M1376" s="2"/>
      <c r="N1376" s="2"/>
      <c r="O1376" s="2"/>
      <c r="P1376" s="2"/>
      <c r="Q1376" s="2"/>
      <c r="R1376" s="80"/>
      <c r="S1376" s="80"/>
      <c r="T1376" s="80"/>
      <c r="U1376" s="80"/>
      <c r="V1376" s="80"/>
      <c r="W1376" s="80"/>
      <c r="X1376" s="80"/>
      <c r="Y1376" s="80"/>
      <c r="Z1376" s="80"/>
      <c r="AA1376" s="80"/>
      <c r="AB1376" s="80"/>
      <c r="AC1376" s="80"/>
      <c r="AD1376" s="80"/>
      <c r="AE1376" s="80"/>
      <c r="AF1376" s="80"/>
      <c r="AG1376" s="80"/>
    </row>
    <row r="1377" spans="1:33" x14ac:dyDescent="0.2">
      <c r="A1377" s="2"/>
      <c r="B1377" s="80"/>
      <c r="C1377" s="80"/>
      <c r="D1377" s="80"/>
      <c r="E1377" s="80"/>
      <c r="F1377" s="80"/>
      <c r="G1377" s="80"/>
      <c r="H1377" s="80"/>
      <c r="I1377" s="80"/>
      <c r="J1377" s="80"/>
      <c r="K1377" s="80"/>
      <c r="L1377" s="2"/>
      <c r="M1377" s="2"/>
      <c r="N1377" s="2"/>
      <c r="O1377" s="2"/>
      <c r="P1377" s="2"/>
      <c r="Q1377" s="2"/>
      <c r="R1377" s="80"/>
      <c r="S1377" s="80"/>
      <c r="T1377" s="80"/>
      <c r="U1377" s="80"/>
      <c r="V1377" s="80"/>
      <c r="W1377" s="80"/>
      <c r="X1377" s="80"/>
      <c r="Y1377" s="80"/>
      <c r="Z1377" s="80"/>
      <c r="AA1377" s="80"/>
      <c r="AB1377" s="80"/>
      <c r="AC1377" s="80"/>
      <c r="AD1377" s="80"/>
      <c r="AE1377" s="80"/>
      <c r="AF1377" s="80"/>
      <c r="AG1377" s="80"/>
    </row>
    <row r="1378" spans="1:33" x14ac:dyDescent="0.2">
      <c r="A1378" s="2"/>
      <c r="B1378" s="80"/>
      <c r="C1378" s="80"/>
      <c r="D1378" s="80"/>
      <c r="E1378" s="80"/>
      <c r="F1378" s="80"/>
      <c r="G1378" s="80"/>
      <c r="H1378" s="80"/>
      <c r="I1378" s="80"/>
      <c r="J1378" s="80"/>
      <c r="K1378" s="80"/>
      <c r="L1378" s="2"/>
      <c r="M1378" s="2"/>
      <c r="N1378" s="2"/>
      <c r="O1378" s="2"/>
      <c r="P1378" s="2"/>
      <c r="Q1378" s="2"/>
      <c r="R1378" s="80"/>
      <c r="S1378" s="80"/>
      <c r="T1378" s="80"/>
      <c r="U1378" s="80"/>
      <c r="V1378" s="80"/>
      <c r="W1378" s="80"/>
      <c r="X1378" s="80"/>
      <c r="Y1378" s="80"/>
      <c r="Z1378" s="80"/>
      <c r="AA1378" s="80"/>
      <c r="AB1378" s="80"/>
      <c r="AC1378" s="80"/>
      <c r="AD1378" s="80"/>
      <c r="AE1378" s="80"/>
      <c r="AF1378" s="80"/>
      <c r="AG1378" s="80"/>
    </row>
    <row r="1379" spans="1:33" x14ac:dyDescent="0.2">
      <c r="A1379" s="2"/>
      <c r="B1379" s="80"/>
      <c r="C1379" s="80"/>
      <c r="D1379" s="80"/>
      <c r="E1379" s="80"/>
      <c r="F1379" s="80"/>
      <c r="G1379" s="80"/>
      <c r="H1379" s="80"/>
      <c r="I1379" s="80"/>
      <c r="J1379" s="80"/>
      <c r="K1379" s="80"/>
      <c r="L1379" s="2"/>
      <c r="M1379" s="2"/>
      <c r="N1379" s="2"/>
      <c r="O1379" s="2"/>
      <c r="P1379" s="2"/>
      <c r="Q1379" s="2"/>
      <c r="R1379" s="80"/>
      <c r="S1379" s="80"/>
      <c r="T1379" s="80"/>
      <c r="U1379" s="80"/>
      <c r="V1379" s="80"/>
      <c r="W1379" s="80"/>
      <c r="X1379" s="80"/>
      <c r="Y1379" s="80"/>
      <c r="Z1379" s="80"/>
      <c r="AA1379" s="80"/>
      <c r="AB1379" s="80"/>
      <c r="AC1379" s="80"/>
      <c r="AD1379" s="80"/>
      <c r="AE1379" s="80"/>
      <c r="AF1379" s="80"/>
      <c r="AG1379" s="80"/>
    </row>
    <row r="1380" spans="1:33" x14ac:dyDescent="0.2">
      <c r="A1380" s="2"/>
      <c r="B1380" s="80"/>
      <c r="C1380" s="80"/>
      <c r="D1380" s="80"/>
      <c r="E1380" s="80"/>
      <c r="F1380" s="80"/>
      <c r="G1380" s="80"/>
      <c r="H1380" s="80"/>
      <c r="I1380" s="80"/>
      <c r="J1380" s="80"/>
      <c r="K1380" s="80"/>
      <c r="L1380" s="2"/>
      <c r="M1380" s="2"/>
      <c r="N1380" s="2"/>
      <c r="O1380" s="2"/>
      <c r="P1380" s="2"/>
      <c r="Q1380" s="2"/>
      <c r="R1380" s="80"/>
      <c r="S1380" s="80"/>
      <c r="T1380" s="80"/>
      <c r="U1380" s="80"/>
      <c r="V1380" s="80"/>
      <c r="W1380" s="80"/>
      <c r="X1380" s="80"/>
      <c r="Y1380" s="80"/>
      <c r="Z1380" s="80"/>
      <c r="AA1380" s="80"/>
      <c r="AB1380" s="80"/>
      <c r="AC1380" s="80"/>
      <c r="AD1380" s="80"/>
      <c r="AE1380" s="80"/>
      <c r="AF1380" s="80"/>
      <c r="AG1380" s="80"/>
    </row>
    <row r="1381" spans="1:33" x14ac:dyDescent="0.2">
      <c r="A1381" s="2"/>
      <c r="B1381" s="80"/>
      <c r="C1381" s="80"/>
      <c r="D1381" s="80"/>
      <c r="E1381" s="80"/>
      <c r="F1381" s="80"/>
      <c r="G1381" s="80"/>
      <c r="H1381" s="80"/>
      <c r="I1381" s="80"/>
      <c r="J1381" s="80"/>
      <c r="K1381" s="80"/>
      <c r="L1381" s="2"/>
      <c r="M1381" s="2"/>
      <c r="N1381" s="2"/>
      <c r="O1381" s="2"/>
      <c r="P1381" s="2"/>
      <c r="Q1381" s="2"/>
      <c r="R1381" s="80"/>
      <c r="S1381" s="80"/>
      <c r="T1381" s="80"/>
      <c r="U1381" s="80"/>
      <c r="V1381" s="80"/>
      <c r="W1381" s="80"/>
      <c r="X1381" s="80"/>
      <c r="Y1381" s="80"/>
      <c r="Z1381" s="80"/>
      <c r="AA1381" s="80"/>
      <c r="AB1381" s="80"/>
      <c r="AC1381" s="80"/>
      <c r="AD1381" s="80"/>
      <c r="AE1381" s="80"/>
      <c r="AF1381" s="80"/>
      <c r="AG1381" s="80"/>
    </row>
    <row r="1382" spans="1:33" x14ac:dyDescent="0.2">
      <c r="A1382" s="2"/>
      <c r="B1382" s="80"/>
      <c r="C1382" s="80"/>
      <c r="D1382" s="80"/>
      <c r="E1382" s="80"/>
      <c r="F1382" s="80"/>
      <c r="G1382" s="80"/>
      <c r="H1382" s="80"/>
      <c r="I1382" s="80"/>
      <c r="J1382" s="80"/>
      <c r="K1382" s="80"/>
      <c r="L1382" s="2"/>
      <c r="M1382" s="2"/>
      <c r="N1382" s="2"/>
      <c r="O1382" s="2"/>
      <c r="P1382" s="2"/>
      <c r="Q1382" s="2"/>
      <c r="R1382" s="80"/>
      <c r="S1382" s="80"/>
      <c r="T1382" s="80"/>
      <c r="U1382" s="80"/>
      <c r="V1382" s="80"/>
      <c r="W1382" s="80"/>
      <c r="X1382" s="80"/>
      <c r="Y1382" s="80"/>
      <c r="Z1382" s="80"/>
      <c r="AA1382" s="80"/>
      <c r="AB1382" s="80"/>
      <c r="AC1382" s="80"/>
      <c r="AD1382" s="80"/>
      <c r="AE1382" s="80"/>
      <c r="AF1382" s="80"/>
      <c r="AG1382" s="80"/>
    </row>
    <row r="1383" spans="1:33" x14ac:dyDescent="0.2">
      <c r="A1383" s="2"/>
      <c r="B1383" s="80"/>
      <c r="C1383" s="80"/>
      <c r="D1383" s="80"/>
      <c r="E1383" s="80"/>
      <c r="F1383" s="80"/>
      <c r="G1383" s="80"/>
      <c r="H1383" s="80"/>
      <c r="I1383" s="80"/>
      <c r="J1383" s="80"/>
      <c r="K1383" s="80"/>
      <c r="L1383" s="2"/>
      <c r="M1383" s="2"/>
      <c r="N1383" s="2"/>
      <c r="O1383" s="2"/>
      <c r="P1383" s="2"/>
      <c r="Q1383" s="2"/>
      <c r="R1383" s="80"/>
      <c r="S1383" s="80"/>
      <c r="T1383" s="80"/>
      <c r="U1383" s="80"/>
      <c r="V1383" s="80"/>
      <c r="W1383" s="80"/>
      <c r="X1383" s="80"/>
      <c r="Y1383" s="80"/>
      <c r="Z1383" s="80"/>
      <c r="AA1383" s="80"/>
      <c r="AB1383" s="80"/>
      <c r="AC1383" s="80"/>
      <c r="AD1383" s="80"/>
      <c r="AE1383" s="80"/>
      <c r="AF1383" s="80"/>
      <c r="AG1383" s="80"/>
    </row>
    <row r="1384" spans="1:33" x14ac:dyDescent="0.2">
      <c r="A1384" s="2"/>
      <c r="B1384" s="80"/>
      <c r="C1384" s="80"/>
      <c r="D1384" s="80"/>
      <c r="E1384" s="80"/>
      <c r="F1384" s="80"/>
      <c r="G1384" s="80"/>
      <c r="H1384" s="80"/>
      <c r="I1384" s="80"/>
      <c r="J1384" s="80"/>
      <c r="K1384" s="80"/>
      <c r="L1384" s="2"/>
      <c r="M1384" s="2"/>
      <c r="N1384" s="2"/>
      <c r="O1384" s="2"/>
      <c r="P1384" s="2"/>
      <c r="Q1384" s="2"/>
      <c r="R1384" s="80"/>
      <c r="S1384" s="80"/>
      <c r="T1384" s="80"/>
      <c r="U1384" s="80"/>
      <c r="V1384" s="80"/>
      <c r="W1384" s="80"/>
      <c r="X1384" s="80"/>
      <c r="Y1384" s="80"/>
      <c r="Z1384" s="80"/>
      <c r="AA1384" s="80"/>
      <c r="AB1384" s="80"/>
      <c r="AC1384" s="80"/>
      <c r="AD1384" s="80"/>
      <c r="AE1384" s="80"/>
      <c r="AF1384" s="80"/>
      <c r="AG1384" s="80"/>
    </row>
    <row r="1385" spans="1:33" x14ac:dyDescent="0.2">
      <c r="A1385" s="2"/>
      <c r="B1385" s="80"/>
      <c r="C1385" s="80"/>
      <c r="D1385" s="80"/>
      <c r="E1385" s="80"/>
      <c r="F1385" s="80"/>
      <c r="G1385" s="80"/>
      <c r="H1385" s="80"/>
      <c r="I1385" s="80"/>
      <c r="J1385" s="80"/>
      <c r="K1385" s="80"/>
      <c r="L1385" s="2"/>
      <c r="M1385" s="2"/>
      <c r="N1385" s="2"/>
      <c r="O1385" s="2"/>
      <c r="P1385" s="2"/>
      <c r="Q1385" s="2"/>
      <c r="R1385" s="80"/>
      <c r="S1385" s="80"/>
      <c r="T1385" s="80"/>
      <c r="U1385" s="80"/>
      <c r="V1385" s="80"/>
      <c r="W1385" s="80"/>
      <c r="X1385" s="80"/>
      <c r="Y1385" s="80"/>
      <c r="Z1385" s="80"/>
      <c r="AA1385" s="80"/>
      <c r="AB1385" s="80"/>
      <c r="AC1385" s="80"/>
      <c r="AD1385" s="80"/>
      <c r="AE1385" s="80"/>
      <c r="AF1385" s="80"/>
      <c r="AG1385" s="80"/>
    </row>
    <row r="1386" spans="1:33" x14ac:dyDescent="0.2">
      <c r="A1386" s="2"/>
      <c r="B1386" s="80"/>
      <c r="C1386" s="80"/>
      <c r="D1386" s="80"/>
      <c r="E1386" s="80"/>
      <c r="F1386" s="80"/>
      <c r="G1386" s="80"/>
      <c r="H1386" s="80"/>
      <c r="I1386" s="80"/>
      <c r="J1386" s="80"/>
      <c r="K1386" s="80"/>
      <c r="L1386" s="2"/>
      <c r="M1386" s="2"/>
      <c r="N1386" s="2"/>
      <c r="O1386" s="2"/>
      <c r="P1386" s="2"/>
      <c r="Q1386" s="2"/>
      <c r="R1386" s="80"/>
      <c r="S1386" s="80"/>
      <c r="T1386" s="80"/>
      <c r="U1386" s="80"/>
      <c r="V1386" s="80"/>
      <c r="W1386" s="80"/>
      <c r="X1386" s="80"/>
      <c r="Y1386" s="80"/>
      <c r="Z1386" s="80"/>
      <c r="AA1386" s="80"/>
      <c r="AB1386" s="80"/>
      <c r="AC1386" s="80"/>
      <c r="AD1386" s="80"/>
      <c r="AE1386" s="80"/>
      <c r="AF1386" s="80"/>
      <c r="AG1386" s="80"/>
    </row>
    <row r="1387" spans="1:33" x14ac:dyDescent="0.2">
      <c r="A1387" s="2"/>
      <c r="B1387" s="80"/>
      <c r="C1387" s="80"/>
      <c r="D1387" s="80"/>
      <c r="E1387" s="80"/>
      <c r="F1387" s="80"/>
      <c r="G1387" s="80"/>
      <c r="H1387" s="80"/>
      <c r="I1387" s="80"/>
      <c r="J1387" s="80"/>
      <c r="K1387" s="80"/>
      <c r="L1387" s="2"/>
      <c r="M1387" s="2"/>
      <c r="N1387" s="2"/>
      <c r="O1387" s="2"/>
      <c r="P1387" s="2"/>
      <c r="Q1387" s="2"/>
      <c r="R1387" s="80"/>
      <c r="S1387" s="80"/>
      <c r="T1387" s="80"/>
      <c r="U1387" s="80"/>
      <c r="V1387" s="80"/>
      <c r="W1387" s="80"/>
      <c r="X1387" s="80"/>
      <c r="Y1387" s="80"/>
      <c r="Z1387" s="80"/>
      <c r="AA1387" s="80"/>
      <c r="AB1387" s="80"/>
      <c r="AC1387" s="80"/>
      <c r="AD1387" s="80"/>
      <c r="AE1387" s="80"/>
      <c r="AF1387" s="80"/>
      <c r="AG1387" s="80"/>
    </row>
    <row r="1388" spans="1:33" x14ac:dyDescent="0.2">
      <c r="A1388" s="2"/>
      <c r="B1388" s="80"/>
      <c r="C1388" s="80"/>
      <c r="D1388" s="80"/>
      <c r="E1388" s="80"/>
      <c r="F1388" s="80"/>
      <c r="G1388" s="80"/>
      <c r="H1388" s="80"/>
      <c r="I1388" s="80"/>
      <c r="J1388" s="80"/>
      <c r="K1388" s="80"/>
      <c r="L1388" s="2"/>
      <c r="M1388" s="2"/>
      <c r="N1388" s="2"/>
      <c r="O1388" s="2"/>
      <c r="P1388" s="2"/>
      <c r="Q1388" s="2"/>
      <c r="R1388" s="80"/>
      <c r="S1388" s="80"/>
      <c r="T1388" s="80"/>
      <c r="U1388" s="80"/>
      <c r="V1388" s="80"/>
      <c r="W1388" s="80"/>
      <c r="X1388" s="80"/>
      <c r="Y1388" s="80"/>
      <c r="Z1388" s="80"/>
      <c r="AA1388" s="80"/>
      <c r="AB1388" s="80"/>
      <c r="AC1388" s="80"/>
      <c r="AD1388" s="80"/>
      <c r="AE1388" s="80"/>
      <c r="AF1388" s="80"/>
      <c r="AG1388" s="80"/>
    </row>
    <row r="1389" spans="1:33" x14ac:dyDescent="0.2">
      <c r="A1389" s="2"/>
      <c r="B1389" s="80"/>
      <c r="C1389" s="80"/>
      <c r="D1389" s="80"/>
      <c r="E1389" s="80"/>
      <c r="F1389" s="80"/>
      <c r="G1389" s="80"/>
      <c r="H1389" s="80"/>
      <c r="I1389" s="80"/>
      <c r="J1389" s="80"/>
      <c r="K1389" s="80"/>
      <c r="L1389" s="2"/>
      <c r="M1389" s="2"/>
      <c r="N1389" s="2"/>
      <c r="O1389" s="2"/>
      <c r="P1389" s="2"/>
      <c r="Q1389" s="2"/>
      <c r="R1389" s="80"/>
      <c r="S1389" s="80"/>
      <c r="T1389" s="80"/>
      <c r="U1389" s="80"/>
      <c r="V1389" s="80"/>
      <c r="W1389" s="80"/>
      <c r="X1389" s="80"/>
      <c r="Y1389" s="80"/>
      <c r="Z1389" s="80"/>
      <c r="AA1389" s="80"/>
      <c r="AB1389" s="80"/>
      <c r="AC1389" s="80"/>
      <c r="AD1389" s="80"/>
      <c r="AE1389" s="80"/>
      <c r="AF1389" s="80"/>
      <c r="AG1389" s="80"/>
    </row>
    <row r="1390" spans="1:33" x14ac:dyDescent="0.2">
      <c r="A1390" s="2"/>
      <c r="B1390" s="80"/>
      <c r="C1390" s="80"/>
      <c r="D1390" s="80"/>
      <c r="E1390" s="80"/>
      <c r="F1390" s="80"/>
      <c r="G1390" s="80"/>
      <c r="H1390" s="80"/>
      <c r="I1390" s="80"/>
      <c r="J1390" s="80"/>
      <c r="K1390" s="80"/>
      <c r="L1390" s="2"/>
      <c r="M1390" s="2"/>
      <c r="N1390" s="2"/>
      <c r="O1390" s="2"/>
      <c r="P1390" s="2"/>
      <c r="Q1390" s="2"/>
      <c r="R1390" s="80"/>
      <c r="S1390" s="80"/>
      <c r="T1390" s="80"/>
      <c r="U1390" s="80"/>
      <c r="V1390" s="80"/>
      <c r="W1390" s="80"/>
      <c r="X1390" s="80"/>
      <c r="Y1390" s="80"/>
      <c r="Z1390" s="80"/>
      <c r="AA1390" s="80"/>
      <c r="AB1390" s="80"/>
      <c r="AC1390" s="80"/>
      <c r="AD1390" s="80"/>
      <c r="AE1390" s="80"/>
      <c r="AF1390" s="80"/>
      <c r="AG1390" s="80"/>
    </row>
    <row r="1391" spans="1:33" x14ac:dyDescent="0.2">
      <c r="A1391" s="2"/>
      <c r="B1391" s="80"/>
      <c r="C1391" s="80"/>
      <c r="D1391" s="80"/>
      <c r="E1391" s="80"/>
      <c r="F1391" s="80"/>
      <c r="G1391" s="80"/>
      <c r="H1391" s="80"/>
      <c r="I1391" s="80"/>
      <c r="J1391" s="80"/>
      <c r="K1391" s="80"/>
      <c r="L1391" s="2"/>
      <c r="M1391" s="2"/>
      <c r="N1391" s="2"/>
      <c r="O1391" s="2"/>
      <c r="P1391" s="2"/>
      <c r="Q1391" s="2"/>
      <c r="R1391" s="80"/>
      <c r="S1391" s="80"/>
      <c r="T1391" s="80"/>
      <c r="U1391" s="80"/>
      <c r="V1391" s="80"/>
      <c r="W1391" s="80"/>
      <c r="X1391" s="80"/>
      <c r="Y1391" s="80"/>
      <c r="Z1391" s="80"/>
      <c r="AA1391" s="80"/>
      <c r="AB1391" s="80"/>
      <c r="AC1391" s="80"/>
      <c r="AD1391" s="80"/>
      <c r="AE1391" s="80"/>
      <c r="AF1391" s="80"/>
      <c r="AG1391" s="80"/>
    </row>
    <row r="1392" spans="1:33" x14ac:dyDescent="0.2">
      <c r="A1392" s="2"/>
      <c r="B1392" s="80"/>
      <c r="C1392" s="80"/>
      <c r="D1392" s="80"/>
      <c r="E1392" s="80"/>
      <c r="F1392" s="80"/>
      <c r="G1392" s="80"/>
      <c r="H1392" s="80"/>
      <c r="I1392" s="80"/>
      <c r="J1392" s="80"/>
      <c r="K1392" s="80"/>
      <c r="L1392" s="2"/>
      <c r="M1392" s="2"/>
      <c r="N1392" s="2"/>
      <c r="O1392" s="2"/>
      <c r="P1392" s="2"/>
      <c r="Q1392" s="2"/>
      <c r="R1392" s="80"/>
      <c r="S1392" s="80"/>
      <c r="T1392" s="80"/>
      <c r="U1392" s="80"/>
      <c r="V1392" s="80"/>
      <c r="W1392" s="80"/>
      <c r="X1392" s="80"/>
      <c r="Y1392" s="80"/>
      <c r="Z1392" s="80"/>
      <c r="AA1392" s="80"/>
      <c r="AB1392" s="80"/>
      <c r="AC1392" s="80"/>
      <c r="AD1392" s="80"/>
      <c r="AE1392" s="80"/>
      <c r="AF1392" s="80"/>
      <c r="AG1392" s="80"/>
    </row>
    <row r="1393" spans="1:33" x14ac:dyDescent="0.2">
      <c r="A1393" s="2"/>
      <c r="B1393" s="80"/>
      <c r="C1393" s="80"/>
      <c r="D1393" s="80"/>
      <c r="E1393" s="80"/>
      <c r="F1393" s="80"/>
      <c r="G1393" s="80"/>
      <c r="H1393" s="80"/>
      <c r="I1393" s="80"/>
      <c r="J1393" s="80"/>
      <c r="K1393" s="80"/>
      <c r="L1393" s="2"/>
      <c r="M1393" s="2"/>
      <c r="N1393" s="2"/>
      <c r="O1393" s="2"/>
      <c r="P1393" s="2"/>
      <c r="Q1393" s="2"/>
      <c r="R1393" s="80"/>
      <c r="S1393" s="80"/>
      <c r="T1393" s="80"/>
      <c r="U1393" s="80"/>
      <c r="V1393" s="80"/>
      <c r="W1393" s="80"/>
      <c r="X1393" s="80"/>
      <c r="Y1393" s="80"/>
      <c r="Z1393" s="80"/>
      <c r="AA1393" s="80"/>
      <c r="AB1393" s="80"/>
      <c r="AC1393" s="80"/>
      <c r="AD1393" s="80"/>
      <c r="AE1393" s="80"/>
      <c r="AF1393" s="80"/>
      <c r="AG1393" s="80"/>
    </row>
    <row r="1394" spans="1:33" x14ac:dyDescent="0.2">
      <c r="A1394" s="2"/>
      <c r="B1394" s="80"/>
      <c r="C1394" s="80"/>
      <c r="D1394" s="80"/>
      <c r="E1394" s="80"/>
      <c r="F1394" s="80"/>
      <c r="G1394" s="80"/>
      <c r="H1394" s="80"/>
      <c r="I1394" s="80"/>
      <c r="J1394" s="80"/>
      <c r="K1394" s="80"/>
      <c r="L1394" s="2"/>
      <c r="M1394" s="2"/>
      <c r="N1394" s="2"/>
      <c r="O1394" s="2"/>
      <c r="P1394" s="2"/>
      <c r="Q1394" s="2"/>
      <c r="R1394" s="80"/>
      <c r="S1394" s="80"/>
      <c r="T1394" s="80"/>
      <c r="U1394" s="80"/>
      <c r="V1394" s="80"/>
      <c r="W1394" s="80"/>
      <c r="X1394" s="80"/>
      <c r="Y1394" s="80"/>
      <c r="Z1394" s="80"/>
      <c r="AA1394" s="80"/>
      <c r="AB1394" s="80"/>
      <c r="AC1394" s="80"/>
      <c r="AD1394" s="80"/>
      <c r="AE1394" s="80"/>
      <c r="AF1394" s="80"/>
      <c r="AG1394" s="80"/>
    </row>
    <row r="1395" spans="1:33" x14ac:dyDescent="0.2">
      <c r="A1395" s="2"/>
      <c r="B1395" s="80"/>
      <c r="C1395" s="80"/>
      <c r="D1395" s="80"/>
      <c r="E1395" s="80"/>
      <c r="F1395" s="80"/>
      <c r="G1395" s="80"/>
      <c r="H1395" s="80"/>
      <c r="I1395" s="80"/>
      <c r="J1395" s="80"/>
      <c r="K1395" s="80"/>
      <c r="L1395" s="2"/>
      <c r="M1395" s="2"/>
      <c r="N1395" s="2"/>
      <c r="O1395" s="2"/>
      <c r="P1395" s="2"/>
      <c r="Q1395" s="2"/>
      <c r="R1395" s="80"/>
      <c r="S1395" s="80"/>
      <c r="T1395" s="80"/>
      <c r="U1395" s="80"/>
      <c r="V1395" s="80"/>
      <c r="W1395" s="80"/>
      <c r="X1395" s="80"/>
      <c r="Y1395" s="80"/>
      <c r="Z1395" s="80"/>
      <c r="AA1395" s="80"/>
      <c r="AB1395" s="80"/>
      <c r="AC1395" s="80"/>
      <c r="AD1395" s="80"/>
      <c r="AE1395" s="80"/>
      <c r="AF1395" s="80"/>
      <c r="AG1395" s="80"/>
    </row>
    <row r="1396" spans="1:33" x14ac:dyDescent="0.2">
      <c r="A1396" s="2"/>
      <c r="B1396" s="80"/>
      <c r="C1396" s="80"/>
      <c r="D1396" s="80"/>
      <c r="E1396" s="80"/>
      <c r="F1396" s="80"/>
      <c r="G1396" s="80"/>
      <c r="H1396" s="80"/>
      <c r="I1396" s="80"/>
      <c r="J1396" s="80"/>
      <c r="K1396" s="80"/>
      <c r="L1396" s="2"/>
      <c r="M1396" s="2"/>
      <c r="N1396" s="2"/>
      <c r="O1396" s="2"/>
      <c r="P1396" s="2"/>
      <c r="Q1396" s="2"/>
      <c r="R1396" s="80"/>
      <c r="S1396" s="80"/>
      <c r="T1396" s="80"/>
      <c r="U1396" s="80"/>
      <c r="V1396" s="80"/>
      <c r="W1396" s="80"/>
      <c r="X1396" s="80"/>
      <c r="Y1396" s="80"/>
      <c r="Z1396" s="80"/>
      <c r="AA1396" s="80"/>
      <c r="AB1396" s="80"/>
      <c r="AC1396" s="80"/>
      <c r="AD1396" s="80"/>
      <c r="AE1396" s="80"/>
      <c r="AF1396" s="80"/>
      <c r="AG1396" s="80"/>
    </row>
    <row r="1397" spans="1:33" x14ac:dyDescent="0.2">
      <c r="A1397" s="2"/>
      <c r="B1397" s="80"/>
      <c r="C1397" s="80"/>
      <c r="D1397" s="80"/>
      <c r="E1397" s="80"/>
      <c r="F1397" s="80"/>
      <c r="G1397" s="80"/>
      <c r="H1397" s="80"/>
      <c r="I1397" s="80"/>
      <c r="J1397" s="80"/>
      <c r="K1397" s="80"/>
      <c r="L1397" s="2"/>
      <c r="M1397" s="2"/>
      <c r="N1397" s="2"/>
      <c r="O1397" s="2"/>
      <c r="P1397" s="2"/>
      <c r="Q1397" s="2"/>
      <c r="R1397" s="80"/>
      <c r="S1397" s="80"/>
      <c r="T1397" s="80"/>
      <c r="U1397" s="80"/>
      <c r="V1397" s="80"/>
      <c r="W1397" s="80"/>
      <c r="X1397" s="80"/>
      <c r="Y1397" s="80"/>
      <c r="Z1397" s="80"/>
      <c r="AA1397" s="80"/>
      <c r="AB1397" s="80"/>
      <c r="AC1397" s="80"/>
      <c r="AD1397" s="80"/>
      <c r="AE1397" s="80"/>
      <c r="AF1397" s="80"/>
      <c r="AG1397" s="80"/>
    </row>
    <row r="1398" spans="1:33" x14ac:dyDescent="0.2">
      <c r="A1398" s="2"/>
      <c r="B1398" s="80"/>
      <c r="C1398" s="80"/>
      <c r="D1398" s="80"/>
      <c r="E1398" s="80"/>
      <c r="F1398" s="80"/>
      <c r="G1398" s="80"/>
      <c r="H1398" s="80"/>
      <c r="I1398" s="80"/>
      <c r="J1398" s="80"/>
      <c r="K1398" s="80"/>
      <c r="L1398" s="2"/>
      <c r="M1398" s="2"/>
      <c r="N1398" s="2"/>
      <c r="O1398" s="2"/>
      <c r="P1398" s="2"/>
      <c r="Q1398" s="2"/>
      <c r="R1398" s="80"/>
      <c r="S1398" s="80"/>
      <c r="T1398" s="80"/>
      <c r="U1398" s="80"/>
      <c r="V1398" s="80"/>
      <c r="W1398" s="80"/>
      <c r="X1398" s="80"/>
      <c r="Y1398" s="80"/>
      <c r="Z1398" s="80"/>
      <c r="AA1398" s="80"/>
      <c r="AB1398" s="80"/>
      <c r="AC1398" s="80"/>
      <c r="AD1398" s="80"/>
      <c r="AE1398" s="80"/>
      <c r="AF1398" s="80"/>
      <c r="AG1398" s="80"/>
    </row>
    <row r="1399" spans="1:33" x14ac:dyDescent="0.2">
      <c r="A1399" s="2"/>
      <c r="B1399" s="80"/>
      <c r="C1399" s="80"/>
      <c r="D1399" s="80"/>
      <c r="E1399" s="80"/>
      <c r="F1399" s="80"/>
      <c r="G1399" s="80"/>
      <c r="H1399" s="80"/>
      <c r="I1399" s="80"/>
      <c r="J1399" s="80"/>
      <c r="K1399" s="80"/>
      <c r="L1399" s="2"/>
      <c r="M1399" s="2"/>
      <c r="N1399" s="2"/>
      <c r="O1399" s="2"/>
      <c r="P1399" s="2"/>
      <c r="Q1399" s="2"/>
      <c r="R1399" s="80"/>
      <c r="S1399" s="80"/>
      <c r="T1399" s="80"/>
      <c r="U1399" s="80"/>
      <c r="V1399" s="80"/>
      <c r="W1399" s="80"/>
      <c r="X1399" s="80"/>
      <c r="Y1399" s="80"/>
      <c r="Z1399" s="80"/>
      <c r="AA1399" s="80"/>
      <c r="AB1399" s="80"/>
      <c r="AC1399" s="80"/>
      <c r="AD1399" s="80"/>
      <c r="AE1399" s="80"/>
      <c r="AF1399" s="80"/>
      <c r="AG1399" s="80"/>
    </row>
    <row r="1400" spans="1:33" x14ac:dyDescent="0.2">
      <c r="A1400" s="2"/>
      <c r="B1400" s="80"/>
      <c r="C1400" s="80"/>
      <c r="D1400" s="80"/>
      <c r="E1400" s="80"/>
      <c r="F1400" s="80"/>
      <c r="G1400" s="80"/>
      <c r="H1400" s="80"/>
      <c r="I1400" s="80"/>
      <c r="J1400" s="80"/>
      <c r="K1400" s="80"/>
      <c r="L1400" s="2"/>
      <c r="M1400" s="2"/>
      <c r="N1400" s="2"/>
      <c r="O1400" s="2"/>
      <c r="P1400" s="2"/>
      <c r="Q1400" s="2"/>
      <c r="R1400" s="80"/>
      <c r="S1400" s="80"/>
      <c r="T1400" s="80"/>
      <c r="U1400" s="80"/>
      <c r="V1400" s="80"/>
      <c r="W1400" s="80"/>
      <c r="X1400" s="80"/>
      <c r="Y1400" s="80"/>
      <c r="Z1400" s="80"/>
      <c r="AA1400" s="80"/>
      <c r="AB1400" s="80"/>
      <c r="AC1400" s="80"/>
      <c r="AD1400" s="80"/>
      <c r="AE1400" s="80"/>
      <c r="AF1400" s="80"/>
      <c r="AG1400" s="80"/>
    </row>
    <row r="1401" spans="1:33" x14ac:dyDescent="0.2">
      <c r="A1401" s="2"/>
      <c r="B1401" s="80"/>
      <c r="C1401" s="80"/>
      <c r="D1401" s="80"/>
      <c r="E1401" s="80"/>
      <c r="F1401" s="80"/>
      <c r="G1401" s="80"/>
      <c r="H1401" s="80"/>
      <c r="I1401" s="80"/>
      <c r="J1401" s="80"/>
      <c r="K1401" s="80"/>
      <c r="L1401" s="2"/>
      <c r="M1401" s="2"/>
      <c r="N1401" s="2"/>
      <c r="O1401" s="2"/>
      <c r="P1401" s="2"/>
      <c r="Q1401" s="2"/>
      <c r="R1401" s="80"/>
      <c r="S1401" s="80"/>
      <c r="T1401" s="80"/>
      <c r="U1401" s="80"/>
      <c r="V1401" s="80"/>
      <c r="W1401" s="80"/>
      <c r="X1401" s="80"/>
      <c r="Y1401" s="80"/>
      <c r="Z1401" s="80"/>
      <c r="AA1401" s="80"/>
      <c r="AB1401" s="80"/>
      <c r="AC1401" s="80"/>
      <c r="AD1401" s="80"/>
      <c r="AE1401" s="80"/>
      <c r="AF1401" s="80"/>
      <c r="AG1401" s="80"/>
    </row>
    <row r="1402" spans="1:33" x14ac:dyDescent="0.2">
      <c r="A1402" s="2"/>
      <c r="B1402" s="80"/>
      <c r="C1402" s="80"/>
      <c r="D1402" s="80"/>
      <c r="E1402" s="80"/>
      <c r="F1402" s="80"/>
      <c r="G1402" s="80"/>
      <c r="H1402" s="80"/>
      <c r="I1402" s="80"/>
      <c r="J1402" s="80"/>
      <c r="K1402" s="80"/>
      <c r="L1402" s="2"/>
      <c r="M1402" s="2"/>
      <c r="N1402" s="2"/>
      <c r="O1402" s="2"/>
      <c r="P1402" s="2"/>
      <c r="Q1402" s="2"/>
      <c r="R1402" s="80"/>
      <c r="S1402" s="80"/>
      <c r="T1402" s="80"/>
      <c r="U1402" s="80"/>
      <c r="V1402" s="80"/>
      <c r="W1402" s="80"/>
      <c r="X1402" s="80"/>
      <c r="Y1402" s="80"/>
      <c r="Z1402" s="80"/>
      <c r="AA1402" s="80"/>
      <c r="AB1402" s="80"/>
      <c r="AC1402" s="80"/>
      <c r="AD1402" s="80"/>
      <c r="AE1402" s="80"/>
      <c r="AF1402" s="80"/>
      <c r="AG1402" s="80"/>
    </row>
    <row r="1403" spans="1:33" x14ac:dyDescent="0.2">
      <c r="A1403" s="2"/>
      <c r="B1403" s="80"/>
      <c r="C1403" s="80"/>
      <c r="D1403" s="80"/>
      <c r="E1403" s="80"/>
      <c r="F1403" s="80"/>
      <c r="G1403" s="80"/>
      <c r="H1403" s="80"/>
      <c r="I1403" s="80"/>
      <c r="J1403" s="80"/>
      <c r="K1403" s="80"/>
      <c r="L1403" s="2"/>
      <c r="M1403" s="2"/>
      <c r="N1403" s="2"/>
      <c r="O1403" s="2"/>
      <c r="P1403" s="2"/>
      <c r="Q1403" s="2"/>
      <c r="R1403" s="80"/>
      <c r="S1403" s="80"/>
      <c r="T1403" s="80"/>
      <c r="U1403" s="80"/>
      <c r="V1403" s="80"/>
      <c r="W1403" s="80"/>
      <c r="X1403" s="80"/>
      <c r="Y1403" s="80"/>
      <c r="Z1403" s="80"/>
      <c r="AA1403" s="80"/>
      <c r="AB1403" s="80"/>
      <c r="AC1403" s="80"/>
      <c r="AD1403" s="80"/>
      <c r="AE1403" s="80"/>
      <c r="AF1403" s="80"/>
      <c r="AG1403" s="80"/>
    </row>
    <row r="1404" spans="1:33" x14ac:dyDescent="0.2">
      <c r="A1404" s="2"/>
      <c r="B1404" s="80"/>
      <c r="C1404" s="80"/>
      <c r="D1404" s="80"/>
      <c r="E1404" s="80"/>
      <c r="F1404" s="80"/>
      <c r="G1404" s="80"/>
      <c r="H1404" s="80"/>
      <c r="I1404" s="80"/>
      <c r="J1404" s="80"/>
      <c r="K1404" s="80"/>
      <c r="L1404" s="2"/>
      <c r="M1404" s="2"/>
      <c r="N1404" s="2"/>
      <c r="O1404" s="2"/>
      <c r="P1404" s="2"/>
      <c r="Q1404" s="2"/>
      <c r="R1404" s="80"/>
      <c r="S1404" s="80"/>
      <c r="T1404" s="80"/>
      <c r="U1404" s="80"/>
      <c r="V1404" s="80"/>
      <c r="W1404" s="80"/>
      <c r="X1404" s="80"/>
      <c r="Y1404" s="80"/>
      <c r="Z1404" s="80"/>
      <c r="AA1404" s="80"/>
      <c r="AB1404" s="80"/>
      <c r="AC1404" s="80"/>
      <c r="AD1404" s="80"/>
      <c r="AE1404" s="80"/>
      <c r="AF1404" s="80"/>
      <c r="AG1404" s="80"/>
    </row>
    <row r="1405" spans="1:33" x14ac:dyDescent="0.2">
      <c r="A1405" s="2"/>
      <c r="B1405" s="80"/>
      <c r="C1405" s="80"/>
      <c r="D1405" s="80"/>
      <c r="E1405" s="80"/>
      <c r="F1405" s="80"/>
      <c r="G1405" s="80"/>
      <c r="H1405" s="80"/>
      <c r="I1405" s="80"/>
      <c r="J1405" s="80"/>
      <c r="K1405" s="80"/>
      <c r="L1405" s="2"/>
      <c r="M1405" s="2"/>
      <c r="N1405" s="2"/>
      <c r="O1405" s="2"/>
      <c r="P1405" s="2"/>
      <c r="Q1405" s="2"/>
      <c r="R1405" s="80"/>
      <c r="S1405" s="80"/>
      <c r="T1405" s="80"/>
      <c r="U1405" s="80"/>
      <c r="V1405" s="80"/>
      <c r="W1405" s="80"/>
      <c r="X1405" s="80"/>
      <c r="Y1405" s="80"/>
      <c r="Z1405" s="80"/>
      <c r="AA1405" s="80"/>
      <c r="AB1405" s="80"/>
      <c r="AC1405" s="80"/>
      <c r="AD1405" s="80"/>
      <c r="AE1405" s="80"/>
      <c r="AF1405" s="80"/>
      <c r="AG1405" s="80"/>
    </row>
    <row r="1406" spans="1:33" x14ac:dyDescent="0.2">
      <c r="A1406" s="2"/>
      <c r="B1406" s="80"/>
      <c r="C1406" s="80"/>
      <c r="D1406" s="80"/>
      <c r="E1406" s="80"/>
      <c r="F1406" s="80"/>
      <c r="G1406" s="80"/>
      <c r="H1406" s="80"/>
      <c r="I1406" s="80"/>
      <c r="J1406" s="80"/>
      <c r="K1406" s="80"/>
      <c r="L1406" s="2"/>
      <c r="M1406" s="2"/>
      <c r="N1406" s="2"/>
      <c r="O1406" s="2"/>
      <c r="P1406" s="2"/>
      <c r="Q1406" s="2"/>
      <c r="R1406" s="80"/>
      <c r="S1406" s="80"/>
      <c r="T1406" s="80"/>
      <c r="U1406" s="80"/>
      <c r="V1406" s="80"/>
      <c r="W1406" s="80"/>
      <c r="X1406" s="80"/>
      <c r="Y1406" s="80"/>
      <c r="Z1406" s="80"/>
      <c r="AA1406" s="80"/>
      <c r="AB1406" s="80"/>
      <c r="AC1406" s="80"/>
      <c r="AD1406" s="80"/>
      <c r="AE1406" s="80"/>
      <c r="AF1406" s="80"/>
      <c r="AG1406" s="80"/>
    </row>
    <row r="1407" spans="1:33" x14ac:dyDescent="0.2">
      <c r="A1407" s="2"/>
      <c r="B1407" s="80"/>
      <c r="C1407" s="80"/>
      <c r="D1407" s="80"/>
      <c r="E1407" s="80"/>
      <c r="F1407" s="80"/>
      <c r="G1407" s="80"/>
      <c r="H1407" s="80"/>
      <c r="I1407" s="80"/>
      <c r="J1407" s="80"/>
      <c r="K1407" s="80"/>
      <c r="L1407" s="2"/>
      <c r="M1407" s="2"/>
      <c r="N1407" s="2"/>
      <c r="O1407" s="2"/>
      <c r="P1407" s="2"/>
      <c r="Q1407" s="2"/>
      <c r="R1407" s="80"/>
      <c r="S1407" s="80"/>
      <c r="T1407" s="80"/>
      <c r="U1407" s="80"/>
      <c r="V1407" s="80"/>
      <c r="W1407" s="80"/>
      <c r="X1407" s="80"/>
      <c r="Y1407" s="80"/>
      <c r="Z1407" s="80"/>
      <c r="AA1407" s="80"/>
      <c r="AB1407" s="80"/>
      <c r="AC1407" s="80"/>
      <c r="AD1407" s="80"/>
      <c r="AE1407" s="80"/>
      <c r="AF1407" s="80"/>
      <c r="AG1407" s="80"/>
    </row>
    <row r="1408" spans="1:33" x14ac:dyDescent="0.2">
      <c r="A1408" s="2"/>
      <c r="B1408" s="80"/>
      <c r="C1408" s="80"/>
      <c r="D1408" s="80"/>
      <c r="E1408" s="80"/>
      <c r="F1408" s="80"/>
      <c r="G1408" s="80"/>
      <c r="H1408" s="80"/>
      <c r="I1408" s="80"/>
      <c r="J1408" s="80"/>
      <c r="K1408" s="80"/>
      <c r="L1408" s="2"/>
      <c r="M1408" s="2"/>
      <c r="N1408" s="2"/>
      <c r="O1408" s="2"/>
      <c r="P1408" s="2"/>
      <c r="Q1408" s="2"/>
      <c r="R1408" s="80"/>
      <c r="S1408" s="80"/>
      <c r="T1408" s="80"/>
      <c r="U1408" s="80"/>
      <c r="V1408" s="80"/>
      <c r="W1408" s="80"/>
      <c r="X1408" s="80"/>
      <c r="Y1408" s="80"/>
      <c r="Z1408" s="80"/>
      <c r="AA1408" s="80"/>
      <c r="AB1408" s="80"/>
      <c r="AC1408" s="80"/>
      <c r="AD1408" s="80"/>
      <c r="AE1408" s="80"/>
      <c r="AF1408" s="80"/>
      <c r="AG1408" s="80"/>
    </row>
    <row r="1409" spans="1:33" x14ac:dyDescent="0.2">
      <c r="A1409" s="2"/>
      <c r="B1409" s="80"/>
      <c r="C1409" s="80"/>
      <c r="D1409" s="80"/>
      <c r="E1409" s="80"/>
      <c r="F1409" s="80"/>
      <c r="G1409" s="80"/>
      <c r="H1409" s="80"/>
      <c r="I1409" s="80"/>
      <c r="J1409" s="80"/>
      <c r="K1409" s="80"/>
      <c r="L1409" s="2"/>
      <c r="M1409" s="2"/>
      <c r="N1409" s="2"/>
      <c r="O1409" s="2"/>
      <c r="P1409" s="2"/>
      <c r="Q1409" s="2"/>
      <c r="R1409" s="80"/>
      <c r="S1409" s="80"/>
      <c r="T1409" s="80"/>
      <c r="U1409" s="80"/>
      <c r="V1409" s="80"/>
      <c r="W1409" s="80"/>
      <c r="X1409" s="80"/>
      <c r="Y1409" s="80"/>
      <c r="Z1409" s="80"/>
      <c r="AA1409" s="80"/>
      <c r="AB1409" s="80"/>
      <c r="AC1409" s="80"/>
      <c r="AD1409" s="80"/>
      <c r="AE1409" s="80"/>
      <c r="AF1409" s="80"/>
      <c r="AG1409" s="80"/>
    </row>
    <row r="1410" spans="1:33" x14ac:dyDescent="0.2">
      <c r="A1410" s="2"/>
      <c r="B1410" s="80"/>
      <c r="C1410" s="80"/>
      <c r="D1410" s="80"/>
      <c r="E1410" s="80"/>
      <c r="F1410" s="80"/>
      <c r="G1410" s="80"/>
      <c r="H1410" s="80"/>
      <c r="I1410" s="80"/>
      <c r="J1410" s="80"/>
      <c r="K1410" s="80"/>
      <c r="L1410" s="2"/>
      <c r="M1410" s="2"/>
      <c r="N1410" s="2"/>
      <c r="O1410" s="2"/>
      <c r="P1410" s="2"/>
      <c r="Q1410" s="2"/>
      <c r="R1410" s="80"/>
      <c r="S1410" s="80"/>
      <c r="T1410" s="80"/>
      <c r="U1410" s="80"/>
      <c r="V1410" s="80"/>
      <c r="W1410" s="80"/>
      <c r="X1410" s="80"/>
      <c r="Y1410" s="80"/>
      <c r="Z1410" s="80"/>
      <c r="AA1410" s="80"/>
      <c r="AB1410" s="80"/>
      <c r="AC1410" s="80"/>
      <c r="AD1410" s="80"/>
      <c r="AE1410" s="80"/>
      <c r="AF1410" s="80"/>
      <c r="AG1410" s="80"/>
    </row>
    <row r="1411" spans="1:33" x14ac:dyDescent="0.2">
      <c r="A1411" s="2"/>
      <c r="B1411" s="80"/>
      <c r="C1411" s="80"/>
      <c r="D1411" s="80"/>
      <c r="E1411" s="80"/>
      <c r="F1411" s="80"/>
      <c r="G1411" s="80"/>
      <c r="H1411" s="80"/>
      <c r="I1411" s="80"/>
      <c r="J1411" s="80"/>
      <c r="K1411" s="80"/>
      <c r="L1411" s="2"/>
      <c r="M1411" s="2"/>
      <c r="N1411" s="2"/>
      <c r="O1411" s="2"/>
      <c r="P1411" s="2"/>
      <c r="Q1411" s="2"/>
      <c r="R1411" s="80"/>
      <c r="S1411" s="80"/>
      <c r="T1411" s="80"/>
      <c r="U1411" s="80"/>
      <c r="V1411" s="80"/>
      <c r="W1411" s="80"/>
      <c r="X1411" s="80"/>
      <c r="Y1411" s="80"/>
      <c r="Z1411" s="80"/>
      <c r="AA1411" s="80"/>
      <c r="AB1411" s="80"/>
      <c r="AC1411" s="80"/>
      <c r="AD1411" s="80"/>
      <c r="AE1411" s="80"/>
      <c r="AF1411" s="80"/>
      <c r="AG1411" s="80"/>
    </row>
    <row r="1412" spans="1:33" x14ac:dyDescent="0.2">
      <c r="A1412" s="2"/>
      <c r="B1412" s="80"/>
      <c r="C1412" s="80"/>
      <c r="D1412" s="80"/>
      <c r="E1412" s="80"/>
      <c r="F1412" s="80"/>
      <c r="G1412" s="80"/>
      <c r="H1412" s="80"/>
      <c r="I1412" s="80"/>
      <c r="J1412" s="80"/>
      <c r="K1412" s="80"/>
      <c r="L1412" s="2"/>
      <c r="M1412" s="2"/>
      <c r="N1412" s="2"/>
      <c r="O1412" s="2"/>
      <c r="P1412" s="2"/>
      <c r="Q1412" s="2"/>
      <c r="R1412" s="80"/>
      <c r="S1412" s="80"/>
      <c r="T1412" s="80"/>
      <c r="U1412" s="80"/>
      <c r="V1412" s="80"/>
      <c r="W1412" s="80"/>
      <c r="X1412" s="80"/>
      <c r="Y1412" s="80"/>
      <c r="Z1412" s="80"/>
      <c r="AA1412" s="80"/>
      <c r="AB1412" s="80"/>
      <c r="AC1412" s="80"/>
      <c r="AD1412" s="80"/>
      <c r="AE1412" s="80"/>
      <c r="AF1412" s="80"/>
      <c r="AG1412" s="80"/>
    </row>
    <row r="1413" spans="1:33" x14ac:dyDescent="0.2">
      <c r="A1413" s="2"/>
      <c r="B1413" s="80"/>
      <c r="C1413" s="80"/>
      <c r="D1413" s="80"/>
      <c r="E1413" s="80"/>
      <c r="F1413" s="80"/>
      <c r="G1413" s="80"/>
      <c r="H1413" s="80"/>
      <c r="I1413" s="80"/>
      <c r="J1413" s="80"/>
      <c r="K1413" s="80"/>
      <c r="L1413" s="2"/>
      <c r="M1413" s="2"/>
      <c r="N1413" s="2"/>
      <c r="O1413" s="2"/>
      <c r="P1413" s="2"/>
      <c r="Q1413" s="2"/>
      <c r="R1413" s="80"/>
      <c r="S1413" s="80"/>
      <c r="T1413" s="80"/>
      <c r="U1413" s="80"/>
      <c r="V1413" s="80"/>
      <c r="W1413" s="80"/>
      <c r="X1413" s="80"/>
      <c r="Y1413" s="80"/>
      <c r="Z1413" s="80"/>
      <c r="AA1413" s="80"/>
      <c r="AB1413" s="80"/>
      <c r="AC1413" s="80"/>
      <c r="AD1413" s="80"/>
      <c r="AE1413" s="80"/>
      <c r="AF1413" s="80"/>
      <c r="AG1413" s="80"/>
    </row>
    <row r="1414" spans="1:33" x14ac:dyDescent="0.2">
      <c r="A1414" s="2"/>
      <c r="B1414" s="80"/>
      <c r="C1414" s="80"/>
      <c r="D1414" s="80"/>
      <c r="E1414" s="80"/>
      <c r="F1414" s="80"/>
      <c r="G1414" s="80"/>
      <c r="H1414" s="80"/>
      <c r="I1414" s="80"/>
      <c r="J1414" s="80"/>
      <c r="K1414" s="80"/>
      <c r="L1414" s="2"/>
      <c r="M1414" s="2"/>
      <c r="N1414" s="2"/>
      <c r="O1414" s="2"/>
      <c r="P1414" s="2"/>
      <c r="Q1414" s="2"/>
      <c r="R1414" s="80"/>
      <c r="S1414" s="80"/>
      <c r="T1414" s="80"/>
      <c r="U1414" s="80"/>
      <c r="V1414" s="80"/>
      <c r="W1414" s="80"/>
      <c r="X1414" s="80"/>
      <c r="Y1414" s="80"/>
      <c r="Z1414" s="80"/>
      <c r="AA1414" s="80"/>
      <c r="AB1414" s="80"/>
      <c r="AC1414" s="80"/>
      <c r="AD1414" s="80"/>
      <c r="AE1414" s="80"/>
      <c r="AF1414" s="80"/>
      <c r="AG1414" s="80"/>
    </row>
    <row r="1415" spans="1:33" x14ac:dyDescent="0.2">
      <c r="A1415" s="2"/>
      <c r="B1415" s="80"/>
      <c r="C1415" s="80"/>
      <c r="D1415" s="80"/>
      <c r="E1415" s="80"/>
      <c r="F1415" s="80"/>
      <c r="G1415" s="80"/>
      <c r="H1415" s="80"/>
      <c r="I1415" s="80"/>
      <c r="J1415" s="80"/>
      <c r="K1415" s="80"/>
      <c r="L1415" s="2"/>
      <c r="M1415" s="2"/>
      <c r="N1415" s="2"/>
      <c r="O1415" s="2"/>
      <c r="P1415" s="2"/>
      <c r="Q1415" s="2"/>
      <c r="R1415" s="80"/>
      <c r="S1415" s="80"/>
      <c r="T1415" s="80"/>
      <c r="U1415" s="80"/>
      <c r="V1415" s="80"/>
      <c r="W1415" s="80"/>
      <c r="X1415" s="80"/>
      <c r="Y1415" s="80"/>
      <c r="Z1415" s="80"/>
      <c r="AA1415" s="80"/>
      <c r="AB1415" s="80"/>
      <c r="AC1415" s="80"/>
      <c r="AD1415" s="80"/>
      <c r="AE1415" s="80"/>
      <c r="AF1415" s="80"/>
      <c r="AG1415" s="80"/>
    </row>
    <row r="1416" spans="1:33" x14ac:dyDescent="0.2">
      <c r="A1416" s="2"/>
      <c r="B1416" s="80"/>
      <c r="C1416" s="80"/>
      <c r="D1416" s="80"/>
      <c r="E1416" s="80"/>
      <c r="F1416" s="80"/>
      <c r="G1416" s="80"/>
      <c r="H1416" s="80"/>
      <c r="I1416" s="80"/>
      <c r="J1416" s="80"/>
      <c r="K1416" s="80"/>
      <c r="L1416" s="2"/>
      <c r="M1416" s="2"/>
      <c r="N1416" s="2"/>
      <c r="O1416" s="2"/>
      <c r="P1416" s="2"/>
      <c r="Q1416" s="2"/>
      <c r="R1416" s="80"/>
      <c r="S1416" s="80"/>
      <c r="T1416" s="80"/>
      <c r="U1416" s="80"/>
      <c r="V1416" s="80"/>
      <c r="W1416" s="80"/>
      <c r="X1416" s="80"/>
      <c r="Y1416" s="80"/>
      <c r="Z1416" s="80"/>
      <c r="AA1416" s="80"/>
      <c r="AB1416" s="80"/>
      <c r="AC1416" s="80"/>
      <c r="AD1416" s="80"/>
      <c r="AE1416" s="80"/>
      <c r="AF1416" s="80"/>
      <c r="AG1416" s="80"/>
    </row>
    <row r="1417" spans="1:33" x14ac:dyDescent="0.2">
      <c r="A1417" s="2"/>
      <c r="B1417" s="80"/>
      <c r="C1417" s="80"/>
      <c r="D1417" s="80"/>
      <c r="E1417" s="80"/>
      <c r="F1417" s="80"/>
      <c r="G1417" s="80"/>
      <c r="H1417" s="80"/>
      <c r="I1417" s="80"/>
      <c r="J1417" s="80"/>
      <c r="K1417" s="80"/>
      <c r="L1417" s="2"/>
      <c r="M1417" s="2"/>
      <c r="N1417" s="2"/>
      <c r="O1417" s="2"/>
      <c r="P1417" s="2"/>
      <c r="Q1417" s="2"/>
      <c r="R1417" s="80"/>
      <c r="S1417" s="80"/>
      <c r="T1417" s="80"/>
      <c r="U1417" s="80"/>
      <c r="V1417" s="80"/>
      <c r="W1417" s="80"/>
      <c r="X1417" s="80"/>
      <c r="Y1417" s="80"/>
      <c r="Z1417" s="80"/>
      <c r="AA1417" s="80"/>
      <c r="AB1417" s="80"/>
      <c r="AC1417" s="80"/>
      <c r="AD1417" s="80"/>
      <c r="AE1417" s="80"/>
      <c r="AF1417" s="80"/>
      <c r="AG1417" s="80"/>
    </row>
    <row r="1418" spans="1:33" x14ac:dyDescent="0.2">
      <c r="A1418" s="2"/>
      <c r="B1418" s="80"/>
      <c r="C1418" s="80"/>
      <c r="D1418" s="80"/>
      <c r="E1418" s="80"/>
      <c r="F1418" s="80"/>
      <c r="G1418" s="80"/>
      <c r="H1418" s="80"/>
      <c r="I1418" s="80"/>
      <c r="J1418" s="80"/>
      <c r="K1418" s="80"/>
      <c r="L1418" s="2"/>
      <c r="M1418" s="2"/>
      <c r="N1418" s="2"/>
      <c r="O1418" s="2"/>
      <c r="P1418" s="2"/>
      <c r="Q1418" s="2"/>
      <c r="R1418" s="80"/>
      <c r="S1418" s="80"/>
      <c r="T1418" s="80"/>
      <c r="U1418" s="80"/>
      <c r="V1418" s="80"/>
      <c r="W1418" s="80"/>
      <c r="X1418" s="80"/>
      <c r="Y1418" s="80"/>
      <c r="Z1418" s="80"/>
      <c r="AA1418" s="80"/>
      <c r="AB1418" s="80"/>
      <c r="AC1418" s="80"/>
      <c r="AD1418" s="80"/>
      <c r="AE1418" s="80"/>
      <c r="AF1418" s="80"/>
      <c r="AG1418" s="80"/>
    </row>
    <row r="1419" spans="1:33" x14ac:dyDescent="0.2">
      <c r="A1419" s="2"/>
      <c r="B1419" s="80"/>
      <c r="C1419" s="80"/>
      <c r="D1419" s="80"/>
      <c r="E1419" s="80"/>
      <c r="F1419" s="80"/>
      <c r="G1419" s="80"/>
      <c r="H1419" s="80"/>
      <c r="I1419" s="80"/>
      <c r="J1419" s="80"/>
      <c r="K1419" s="80"/>
      <c r="L1419" s="2"/>
      <c r="M1419" s="2"/>
      <c r="N1419" s="2"/>
      <c r="O1419" s="2"/>
      <c r="P1419" s="2"/>
      <c r="Q1419" s="2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E1419" s="80"/>
      <c r="AF1419" s="80"/>
      <c r="AG1419" s="80"/>
    </row>
    <row r="1420" spans="1:33" x14ac:dyDescent="0.2">
      <c r="A1420" s="2"/>
      <c r="B1420" s="80"/>
      <c r="C1420" s="80"/>
      <c r="D1420" s="80"/>
      <c r="E1420" s="80"/>
      <c r="F1420" s="80"/>
      <c r="G1420" s="80"/>
      <c r="H1420" s="80"/>
      <c r="I1420" s="80"/>
      <c r="J1420" s="80"/>
      <c r="K1420" s="80"/>
      <c r="L1420" s="2"/>
      <c r="M1420" s="2"/>
      <c r="N1420" s="2"/>
      <c r="O1420" s="2"/>
      <c r="P1420" s="2"/>
      <c r="Q1420" s="2"/>
      <c r="R1420" s="80"/>
      <c r="S1420" s="80"/>
      <c r="T1420" s="80"/>
      <c r="U1420" s="80"/>
      <c r="V1420" s="80"/>
      <c r="W1420" s="80"/>
      <c r="X1420" s="80"/>
      <c r="Y1420" s="80"/>
      <c r="Z1420" s="80"/>
      <c r="AA1420" s="80"/>
      <c r="AB1420" s="80"/>
      <c r="AC1420" s="80"/>
      <c r="AD1420" s="80"/>
      <c r="AE1420" s="80"/>
      <c r="AF1420" s="80"/>
      <c r="AG1420" s="80"/>
    </row>
    <row r="1421" spans="1:33" x14ac:dyDescent="0.2">
      <c r="A1421" s="2"/>
      <c r="B1421" s="80"/>
      <c r="C1421" s="80"/>
      <c r="D1421" s="80"/>
      <c r="E1421" s="80"/>
      <c r="F1421" s="80"/>
      <c r="G1421" s="80"/>
      <c r="H1421" s="80"/>
      <c r="I1421" s="80"/>
      <c r="J1421" s="80"/>
      <c r="K1421" s="80"/>
      <c r="L1421" s="2"/>
      <c r="M1421" s="2"/>
      <c r="N1421" s="2"/>
      <c r="O1421" s="2"/>
      <c r="P1421" s="2"/>
      <c r="Q1421" s="2"/>
      <c r="R1421" s="80"/>
      <c r="S1421" s="80"/>
      <c r="T1421" s="80"/>
      <c r="U1421" s="80"/>
      <c r="V1421" s="80"/>
      <c r="W1421" s="80"/>
      <c r="X1421" s="80"/>
      <c r="Y1421" s="80"/>
      <c r="Z1421" s="80"/>
      <c r="AA1421" s="80"/>
      <c r="AB1421" s="80"/>
      <c r="AC1421" s="80"/>
      <c r="AD1421" s="80"/>
      <c r="AE1421" s="80"/>
      <c r="AF1421" s="80"/>
      <c r="AG1421" s="80"/>
    </row>
    <row r="1422" spans="1:33" x14ac:dyDescent="0.2">
      <c r="A1422" s="2"/>
      <c r="B1422" s="80"/>
      <c r="C1422" s="80"/>
      <c r="D1422" s="80"/>
      <c r="E1422" s="80"/>
      <c r="F1422" s="80"/>
      <c r="G1422" s="80"/>
      <c r="H1422" s="80"/>
      <c r="I1422" s="80"/>
      <c r="J1422" s="80"/>
      <c r="K1422" s="80"/>
      <c r="L1422" s="2"/>
      <c r="M1422" s="2"/>
      <c r="N1422" s="2"/>
      <c r="O1422" s="2"/>
      <c r="P1422" s="2"/>
      <c r="Q1422" s="2"/>
      <c r="R1422" s="80"/>
      <c r="S1422" s="80"/>
      <c r="T1422" s="80"/>
      <c r="U1422" s="80"/>
      <c r="V1422" s="80"/>
      <c r="W1422" s="80"/>
      <c r="X1422" s="80"/>
      <c r="Y1422" s="80"/>
      <c r="Z1422" s="80"/>
      <c r="AA1422" s="80"/>
      <c r="AB1422" s="80"/>
      <c r="AC1422" s="80"/>
      <c r="AD1422" s="80"/>
      <c r="AE1422" s="80"/>
      <c r="AF1422" s="80"/>
      <c r="AG1422" s="80"/>
    </row>
    <row r="1423" spans="1:33" x14ac:dyDescent="0.2">
      <c r="A1423" s="2"/>
      <c r="B1423" s="80"/>
      <c r="C1423" s="80"/>
      <c r="D1423" s="80"/>
      <c r="E1423" s="80"/>
      <c r="F1423" s="80"/>
      <c r="G1423" s="80"/>
      <c r="H1423" s="80"/>
      <c r="I1423" s="80"/>
      <c r="J1423" s="80"/>
      <c r="K1423" s="80"/>
      <c r="L1423" s="2"/>
      <c r="M1423" s="2"/>
      <c r="N1423" s="2"/>
      <c r="O1423" s="2"/>
      <c r="P1423" s="2"/>
      <c r="Q1423" s="2"/>
      <c r="R1423" s="80"/>
      <c r="S1423" s="80"/>
      <c r="T1423" s="80"/>
      <c r="U1423" s="80"/>
      <c r="V1423" s="80"/>
      <c r="W1423" s="80"/>
      <c r="X1423" s="80"/>
      <c r="Y1423" s="80"/>
      <c r="Z1423" s="80"/>
      <c r="AA1423" s="80"/>
      <c r="AB1423" s="80"/>
      <c r="AC1423" s="80"/>
      <c r="AD1423" s="80"/>
      <c r="AE1423" s="80"/>
      <c r="AF1423" s="80"/>
      <c r="AG1423" s="80"/>
    </row>
    <row r="1424" spans="1:33" x14ac:dyDescent="0.2">
      <c r="A1424" s="2"/>
      <c r="B1424" s="80"/>
      <c r="C1424" s="80"/>
      <c r="D1424" s="80"/>
      <c r="E1424" s="80"/>
      <c r="F1424" s="80"/>
      <c r="G1424" s="80"/>
      <c r="H1424" s="80"/>
      <c r="I1424" s="80"/>
      <c r="J1424" s="80"/>
      <c r="K1424" s="80"/>
      <c r="L1424" s="2"/>
      <c r="M1424" s="2"/>
      <c r="N1424" s="2"/>
      <c r="O1424" s="2"/>
      <c r="P1424" s="2"/>
      <c r="Q1424" s="2"/>
      <c r="R1424" s="80"/>
      <c r="S1424" s="80"/>
      <c r="T1424" s="80"/>
      <c r="U1424" s="80"/>
      <c r="V1424" s="80"/>
      <c r="W1424" s="80"/>
      <c r="X1424" s="80"/>
      <c r="Y1424" s="80"/>
      <c r="Z1424" s="80"/>
      <c r="AA1424" s="80"/>
      <c r="AB1424" s="80"/>
      <c r="AC1424" s="80"/>
      <c r="AD1424" s="80"/>
      <c r="AE1424" s="80"/>
      <c r="AF1424" s="80"/>
      <c r="AG1424" s="80"/>
    </row>
    <row r="1425" spans="1:33" x14ac:dyDescent="0.2">
      <c r="A1425" s="2"/>
      <c r="B1425" s="80"/>
      <c r="C1425" s="80"/>
      <c r="D1425" s="80"/>
      <c r="E1425" s="80"/>
      <c r="F1425" s="80"/>
      <c r="G1425" s="80"/>
      <c r="H1425" s="80"/>
      <c r="I1425" s="80"/>
      <c r="J1425" s="80"/>
      <c r="K1425" s="80"/>
      <c r="L1425" s="2"/>
      <c r="M1425" s="2"/>
      <c r="N1425" s="2"/>
      <c r="O1425" s="2"/>
      <c r="P1425" s="2"/>
      <c r="Q1425" s="2"/>
      <c r="R1425" s="80"/>
      <c r="S1425" s="80"/>
      <c r="T1425" s="80"/>
      <c r="U1425" s="80"/>
      <c r="V1425" s="80"/>
      <c r="W1425" s="80"/>
      <c r="X1425" s="80"/>
      <c r="Y1425" s="80"/>
      <c r="Z1425" s="80"/>
      <c r="AA1425" s="80"/>
      <c r="AB1425" s="80"/>
      <c r="AC1425" s="80"/>
      <c r="AD1425" s="80"/>
      <c r="AE1425" s="80"/>
      <c r="AF1425" s="80"/>
      <c r="AG1425" s="80"/>
    </row>
    <row r="1426" spans="1:33" x14ac:dyDescent="0.2">
      <c r="A1426" s="2"/>
      <c r="B1426" s="80"/>
      <c r="C1426" s="80"/>
      <c r="D1426" s="80"/>
      <c r="E1426" s="80"/>
      <c r="F1426" s="80"/>
      <c r="G1426" s="80"/>
      <c r="H1426" s="80"/>
      <c r="I1426" s="80"/>
      <c r="J1426" s="80"/>
      <c r="K1426" s="80"/>
      <c r="L1426" s="2"/>
      <c r="M1426" s="2"/>
      <c r="N1426" s="2"/>
      <c r="O1426" s="2"/>
      <c r="P1426" s="2"/>
      <c r="Q1426" s="2"/>
      <c r="R1426" s="80"/>
      <c r="S1426" s="80"/>
      <c r="T1426" s="80"/>
      <c r="U1426" s="80"/>
      <c r="V1426" s="80"/>
      <c r="W1426" s="80"/>
      <c r="X1426" s="80"/>
      <c r="Y1426" s="80"/>
      <c r="Z1426" s="80"/>
      <c r="AA1426" s="80"/>
      <c r="AB1426" s="80"/>
      <c r="AC1426" s="80"/>
      <c r="AD1426" s="80"/>
      <c r="AE1426" s="80"/>
      <c r="AF1426" s="80"/>
      <c r="AG1426" s="80"/>
    </row>
    <row r="1427" spans="1:33" x14ac:dyDescent="0.2">
      <c r="A1427" s="2"/>
      <c r="B1427" s="80"/>
      <c r="C1427" s="80"/>
      <c r="D1427" s="80"/>
      <c r="E1427" s="80"/>
      <c r="F1427" s="80"/>
      <c r="G1427" s="80"/>
      <c r="H1427" s="80"/>
      <c r="I1427" s="80"/>
      <c r="J1427" s="80"/>
      <c r="K1427" s="80"/>
      <c r="L1427" s="2"/>
      <c r="M1427" s="2"/>
      <c r="N1427" s="2"/>
      <c r="O1427" s="2"/>
      <c r="P1427" s="2"/>
      <c r="Q1427" s="2"/>
      <c r="R1427" s="80"/>
      <c r="S1427" s="80"/>
      <c r="T1427" s="80"/>
      <c r="U1427" s="80"/>
      <c r="V1427" s="80"/>
      <c r="W1427" s="80"/>
      <c r="X1427" s="80"/>
      <c r="Y1427" s="80"/>
      <c r="Z1427" s="80"/>
      <c r="AA1427" s="80"/>
      <c r="AB1427" s="80"/>
      <c r="AC1427" s="80"/>
      <c r="AD1427" s="80"/>
      <c r="AE1427" s="80"/>
      <c r="AF1427" s="80"/>
      <c r="AG1427" s="80"/>
    </row>
    <row r="1428" spans="1:33" x14ac:dyDescent="0.2">
      <c r="A1428" s="2"/>
      <c r="B1428" s="80"/>
      <c r="C1428" s="80"/>
      <c r="D1428" s="80"/>
      <c r="E1428" s="80"/>
      <c r="F1428" s="80"/>
      <c r="G1428" s="80"/>
      <c r="H1428" s="80"/>
      <c r="I1428" s="80"/>
      <c r="J1428" s="80"/>
      <c r="K1428" s="80"/>
      <c r="L1428" s="2"/>
      <c r="M1428" s="2"/>
      <c r="N1428" s="2"/>
      <c r="O1428" s="2"/>
      <c r="P1428" s="2"/>
      <c r="Q1428" s="2"/>
      <c r="R1428" s="80"/>
      <c r="S1428" s="80"/>
      <c r="T1428" s="80"/>
      <c r="U1428" s="80"/>
      <c r="V1428" s="80"/>
      <c r="W1428" s="80"/>
      <c r="X1428" s="80"/>
      <c r="Y1428" s="80"/>
      <c r="Z1428" s="80"/>
      <c r="AA1428" s="80"/>
      <c r="AB1428" s="80"/>
      <c r="AC1428" s="80"/>
      <c r="AD1428" s="80"/>
      <c r="AE1428" s="80"/>
      <c r="AF1428" s="80"/>
      <c r="AG1428" s="80"/>
    </row>
    <row r="1429" spans="1:33" x14ac:dyDescent="0.2">
      <c r="A1429" s="2"/>
      <c r="B1429" s="80"/>
      <c r="C1429" s="80"/>
      <c r="D1429" s="80"/>
      <c r="E1429" s="80"/>
      <c r="F1429" s="80"/>
      <c r="G1429" s="80"/>
      <c r="H1429" s="80"/>
      <c r="I1429" s="80"/>
      <c r="J1429" s="80"/>
      <c r="K1429" s="80"/>
      <c r="L1429" s="2"/>
      <c r="M1429" s="2"/>
      <c r="N1429" s="2"/>
      <c r="O1429" s="2"/>
      <c r="P1429" s="2"/>
      <c r="Q1429" s="2"/>
      <c r="R1429" s="80"/>
      <c r="S1429" s="80"/>
      <c r="T1429" s="80"/>
      <c r="U1429" s="80"/>
      <c r="V1429" s="80"/>
      <c r="W1429" s="80"/>
      <c r="X1429" s="80"/>
      <c r="Y1429" s="80"/>
      <c r="Z1429" s="80"/>
      <c r="AA1429" s="80"/>
      <c r="AB1429" s="80"/>
      <c r="AC1429" s="80"/>
      <c r="AD1429" s="80"/>
      <c r="AE1429" s="80"/>
      <c r="AF1429" s="80"/>
      <c r="AG1429" s="80"/>
    </row>
    <row r="1430" spans="1:33" x14ac:dyDescent="0.2">
      <c r="A1430" s="2"/>
      <c r="B1430" s="80"/>
      <c r="C1430" s="80"/>
      <c r="D1430" s="80"/>
      <c r="E1430" s="80"/>
      <c r="F1430" s="80"/>
      <c r="G1430" s="80"/>
      <c r="H1430" s="80"/>
      <c r="I1430" s="80"/>
      <c r="J1430" s="80"/>
      <c r="K1430" s="80"/>
      <c r="L1430" s="2"/>
      <c r="M1430" s="2"/>
      <c r="N1430" s="2"/>
      <c r="O1430" s="2"/>
      <c r="P1430" s="2"/>
      <c r="Q1430" s="2"/>
      <c r="R1430" s="80"/>
      <c r="S1430" s="80"/>
      <c r="T1430" s="80"/>
      <c r="U1430" s="80"/>
      <c r="V1430" s="80"/>
      <c r="W1430" s="80"/>
      <c r="X1430" s="80"/>
      <c r="Y1430" s="80"/>
      <c r="Z1430" s="80"/>
      <c r="AA1430" s="80"/>
      <c r="AB1430" s="80"/>
      <c r="AC1430" s="80"/>
      <c r="AD1430" s="80"/>
      <c r="AE1430" s="80"/>
      <c r="AF1430" s="80"/>
      <c r="AG1430" s="80"/>
    </row>
    <row r="1431" spans="1:33" x14ac:dyDescent="0.2">
      <c r="A1431" s="2"/>
      <c r="B1431" s="80"/>
      <c r="C1431" s="80"/>
      <c r="D1431" s="80"/>
      <c r="E1431" s="80"/>
      <c r="F1431" s="80"/>
      <c r="G1431" s="80"/>
      <c r="H1431" s="80"/>
      <c r="I1431" s="80"/>
      <c r="J1431" s="80"/>
      <c r="K1431" s="80"/>
      <c r="L1431" s="2"/>
      <c r="M1431" s="2"/>
      <c r="N1431" s="2"/>
      <c r="O1431" s="2"/>
      <c r="P1431" s="2"/>
      <c r="Q1431" s="2"/>
      <c r="R1431" s="80"/>
      <c r="S1431" s="80"/>
      <c r="T1431" s="80"/>
      <c r="U1431" s="80"/>
      <c r="V1431" s="80"/>
      <c r="W1431" s="80"/>
      <c r="X1431" s="80"/>
      <c r="Y1431" s="80"/>
      <c r="Z1431" s="80"/>
      <c r="AA1431" s="80"/>
      <c r="AB1431" s="80"/>
      <c r="AC1431" s="80"/>
      <c r="AD1431" s="80"/>
      <c r="AE1431" s="80"/>
      <c r="AF1431" s="80"/>
      <c r="AG1431" s="80"/>
    </row>
    <row r="1432" spans="1:33" x14ac:dyDescent="0.2">
      <c r="A1432" s="2"/>
      <c r="B1432" s="80"/>
      <c r="C1432" s="80"/>
      <c r="D1432" s="80"/>
      <c r="E1432" s="80"/>
      <c r="F1432" s="80"/>
      <c r="G1432" s="80"/>
      <c r="H1432" s="80"/>
      <c r="I1432" s="80"/>
      <c r="J1432" s="80"/>
      <c r="K1432" s="80"/>
      <c r="L1432" s="2"/>
      <c r="M1432" s="2"/>
      <c r="N1432" s="2"/>
      <c r="O1432" s="2"/>
      <c r="P1432" s="2"/>
      <c r="Q1432" s="2"/>
      <c r="R1432" s="80"/>
      <c r="S1432" s="80"/>
      <c r="T1432" s="80"/>
      <c r="U1432" s="80"/>
      <c r="V1432" s="80"/>
      <c r="W1432" s="80"/>
      <c r="X1432" s="80"/>
      <c r="Y1432" s="80"/>
      <c r="Z1432" s="80"/>
      <c r="AA1432" s="80"/>
      <c r="AB1432" s="80"/>
      <c r="AC1432" s="80"/>
      <c r="AD1432" s="80"/>
      <c r="AE1432" s="80"/>
      <c r="AF1432" s="80"/>
      <c r="AG1432" s="80"/>
    </row>
    <row r="1433" spans="1:33" x14ac:dyDescent="0.2">
      <c r="A1433" s="2"/>
      <c r="B1433" s="80"/>
      <c r="C1433" s="80"/>
      <c r="D1433" s="80"/>
      <c r="E1433" s="80"/>
      <c r="F1433" s="80"/>
      <c r="G1433" s="80"/>
      <c r="H1433" s="80"/>
      <c r="I1433" s="80"/>
      <c r="J1433" s="80"/>
      <c r="K1433" s="80"/>
      <c r="L1433" s="2"/>
      <c r="M1433" s="2"/>
      <c r="N1433" s="2"/>
      <c r="O1433" s="2"/>
      <c r="P1433" s="2"/>
      <c r="Q1433" s="2"/>
      <c r="R1433" s="80"/>
      <c r="S1433" s="80"/>
      <c r="T1433" s="80"/>
      <c r="U1433" s="80"/>
      <c r="V1433" s="80"/>
      <c r="W1433" s="80"/>
      <c r="X1433" s="80"/>
      <c r="Y1433" s="80"/>
      <c r="Z1433" s="80"/>
      <c r="AA1433" s="80"/>
      <c r="AB1433" s="80"/>
      <c r="AC1433" s="80"/>
      <c r="AD1433" s="80"/>
      <c r="AE1433" s="80"/>
      <c r="AF1433" s="80"/>
      <c r="AG1433" s="80"/>
    </row>
    <row r="1434" spans="1:33" x14ac:dyDescent="0.2">
      <c r="A1434" s="2"/>
      <c r="B1434" s="80"/>
      <c r="C1434" s="80"/>
      <c r="D1434" s="80"/>
      <c r="E1434" s="80"/>
      <c r="F1434" s="80"/>
      <c r="G1434" s="80"/>
      <c r="H1434" s="80"/>
      <c r="I1434" s="80"/>
      <c r="J1434" s="80"/>
      <c r="K1434" s="80"/>
      <c r="L1434" s="2"/>
      <c r="M1434" s="2"/>
      <c r="N1434" s="2"/>
      <c r="O1434" s="2"/>
      <c r="P1434" s="2"/>
      <c r="Q1434" s="2"/>
      <c r="R1434" s="80"/>
      <c r="S1434" s="80"/>
      <c r="T1434" s="80"/>
      <c r="U1434" s="80"/>
      <c r="V1434" s="80"/>
      <c r="W1434" s="80"/>
      <c r="X1434" s="80"/>
      <c r="Y1434" s="80"/>
      <c r="Z1434" s="80"/>
      <c r="AA1434" s="80"/>
      <c r="AB1434" s="80"/>
      <c r="AC1434" s="80"/>
      <c r="AD1434" s="80"/>
      <c r="AE1434" s="80"/>
      <c r="AF1434" s="80"/>
      <c r="AG1434" s="80"/>
    </row>
    <row r="1435" spans="1:33" x14ac:dyDescent="0.2">
      <c r="A1435" s="2"/>
      <c r="B1435" s="80"/>
      <c r="C1435" s="80"/>
      <c r="D1435" s="80"/>
      <c r="E1435" s="80"/>
      <c r="F1435" s="80"/>
      <c r="G1435" s="80"/>
      <c r="H1435" s="80"/>
      <c r="I1435" s="80"/>
      <c r="J1435" s="80"/>
      <c r="K1435" s="80"/>
      <c r="L1435" s="2"/>
      <c r="M1435" s="2"/>
      <c r="N1435" s="2"/>
      <c r="O1435" s="2"/>
      <c r="P1435" s="2"/>
      <c r="Q1435" s="2"/>
      <c r="R1435" s="80"/>
      <c r="S1435" s="80"/>
      <c r="T1435" s="80"/>
      <c r="U1435" s="80"/>
      <c r="V1435" s="80"/>
      <c r="W1435" s="80"/>
      <c r="X1435" s="80"/>
      <c r="Y1435" s="80"/>
      <c r="Z1435" s="80"/>
      <c r="AA1435" s="80"/>
      <c r="AB1435" s="80"/>
      <c r="AC1435" s="80"/>
      <c r="AD1435" s="80"/>
      <c r="AE1435" s="80"/>
      <c r="AF1435" s="80"/>
      <c r="AG1435" s="80"/>
    </row>
    <row r="1436" spans="1:33" x14ac:dyDescent="0.2">
      <c r="A1436" s="2"/>
      <c r="B1436" s="80"/>
      <c r="C1436" s="80"/>
      <c r="D1436" s="80"/>
      <c r="E1436" s="80"/>
      <c r="F1436" s="80"/>
      <c r="G1436" s="80"/>
      <c r="H1436" s="80"/>
      <c r="I1436" s="80"/>
      <c r="J1436" s="80"/>
      <c r="K1436" s="80"/>
      <c r="L1436" s="2"/>
      <c r="M1436" s="2"/>
      <c r="N1436" s="2"/>
      <c r="O1436" s="2"/>
      <c r="P1436" s="2"/>
      <c r="Q1436" s="2"/>
      <c r="R1436" s="80"/>
      <c r="S1436" s="80"/>
      <c r="T1436" s="80"/>
      <c r="U1436" s="80"/>
      <c r="V1436" s="80"/>
      <c r="W1436" s="80"/>
      <c r="X1436" s="80"/>
      <c r="Y1436" s="80"/>
      <c r="Z1436" s="80"/>
      <c r="AA1436" s="80"/>
      <c r="AB1436" s="80"/>
      <c r="AC1436" s="80"/>
      <c r="AD1436" s="80"/>
      <c r="AE1436" s="80"/>
      <c r="AF1436" s="80"/>
      <c r="AG1436" s="80"/>
    </row>
    <row r="1437" spans="1:33" x14ac:dyDescent="0.2">
      <c r="A1437" s="2"/>
      <c r="B1437" s="80"/>
      <c r="C1437" s="80"/>
      <c r="D1437" s="80"/>
      <c r="E1437" s="80"/>
      <c r="F1437" s="80"/>
      <c r="G1437" s="80"/>
      <c r="H1437" s="80"/>
      <c r="I1437" s="80"/>
      <c r="J1437" s="80"/>
      <c r="K1437" s="80"/>
      <c r="L1437" s="2"/>
      <c r="M1437" s="2"/>
      <c r="N1437" s="2"/>
      <c r="O1437" s="2"/>
      <c r="P1437" s="2"/>
      <c r="Q1437" s="2"/>
      <c r="R1437" s="80"/>
      <c r="S1437" s="80"/>
      <c r="T1437" s="80"/>
      <c r="U1437" s="80"/>
      <c r="V1437" s="80"/>
      <c r="W1437" s="80"/>
      <c r="X1437" s="80"/>
      <c r="Y1437" s="80"/>
      <c r="Z1437" s="80"/>
      <c r="AA1437" s="80"/>
      <c r="AB1437" s="80"/>
      <c r="AC1437" s="80"/>
      <c r="AD1437" s="80"/>
      <c r="AE1437" s="80"/>
      <c r="AF1437" s="80"/>
      <c r="AG1437" s="80"/>
    </row>
    <row r="1438" spans="1:33" x14ac:dyDescent="0.2">
      <c r="A1438" s="2"/>
      <c r="B1438" s="80"/>
      <c r="C1438" s="80"/>
      <c r="D1438" s="80"/>
      <c r="E1438" s="80"/>
      <c r="F1438" s="80"/>
      <c r="G1438" s="80"/>
      <c r="H1438" s="80"/>
      <c r="I1438" s="80"/>
      <c r="J1438" s="80"/>
      <c r="K1438" s="80"/>
      <c r="L1438" s="2"/>
      <c r="M1438" s="2"/>
      <c r="N1438" s="2"/>
      <c r="O1438" s="2"/>
      <c r="P1438" s="2"/>
      <c r="Q1438" s="2"/>
      <c r="R1438" s="80"/>
      <c r="S1438" s="80"/>
      <c r="T1438" s="80"/>
      <c r="U1438" s="80"/>
      <c r="V1438" s="80"/>
      <c r="W1438" s="80"/>
      <c r="X1438" s="80"/>
      <c r="Y1438" s="80"/>
      <c r="Z1438" s="80"/>
      <c r="AA1438" s="80"/>
      <c r="AB1438" s="80"/>
      <c r="AC1438" s="80"/>
      <c r="AD1438" s="80"/>
      <c r="AE1438" s="80"/>
      <c r="AF1438" s="80"/>
      <c r="AG1438" s="80"/>
    </row>
    <row r="1439" spans="1:33" x14ac:dyDescent="0.2">
      <c r="A1439" s="2"/>
      <c r="B1439" s="80"/>
      <c r="C1439" s="80"/>
      <c r="D1439" s="80"/>
      <c r="E1439" s="80"/>
      <c r="F1439" s="80"/>
      <c r="G1439" s="80"/>
      <c r="H1439" s="80"/>
      <c r="I1439" s="80"/>
      <c r="J1439" s="80"/>
      <c r="K1439" s="80"/>
      <c r="L1439" s="2"/>
      <c r="M1439" s="2"/>
      <c r="N1439" s="2"/>
      <c r="O1439" s="2"/>
      <c r="P1439" s="2"/>
      <c r="Q1439" s="2"/>
      <c r="R1439" s="80"/>
      <c r="S1439" s="80"/>
      <c r="T1439" s="80"/>
      <c r="U1439" s="80"/>
      <c r="V1439" s="80"/>
      <c r="W1439" s="80"/>
      <c r="X1439" s="80"/>
      <c r="Y1439" s="80"/>
      <c r="Z1439" s="80"/>
      <c r="AA1439" s="80"/>
      <c r="AB1439" s="80"/>
      <c r="AC1439" s="80"/>
      <c r="AD1439" s="80"/>
      <c r="AE1439" s="80"/>
      <c r="AF1439" s="80"/>
      <c r="AG1439" s="80"/>
    </row>
    <row r="1440" spans="1:33" x14ac:dyDescent="0.2">
      <c r="A1440" s="2"/>
      <c r="B1440" s="80"/>
      <c r="C1440" s="80"/>
      <c r="D1440" s="80"/>
      <c r="E1440" s="80"/>
      <c r="F1440" s="80"/>
      <c r="G1440" s="80"/>
      <c r="H1440" s="80"/>
      <c r="I1440" s="80"/>
      <c r="J1440" s="80"/>
      <c r="K1440" s="80"/>
      <c r="L1440" s="2"/>
      <c r="M1440" s="2"/>
      <c r="N1440" s="2"/>
      <c r="O1440" s="2"/>
      <c r="P1440" s="2"/>
      <c r="Q1440" s="2"/>
      <c r="R1440" s="80"/>
      <c r="S1440" s="80"/>
      <c r="T1440" s="80"/>
      <c r="U1440" s="80"/>
      <c r="V1440" s="80"/>
      <c r="W1440" s="80"/>
      <c r="X1440" s="80"/>
      <c r="Y1440" s="80"/>
      <c r="Z1440" s="80"/>
      <c r="AA1440" s="80"/>
      <c r="AB1440" s="80"/>
      <c r="AC1440" s="80"/>
      <c r="AD1440" s="80"/>
      <c r="AE1440" s="80"/>
      <c r="AF1440" s="80"/>
      <c r="AG1440" s="80"/>
    </row>
    <row r="1441" spans="1:33" x14ac:dyDescent="0.2">
      <c r="A1441" s="2"/>
      <c r="B1441" s="80"/>
      <c r="C1441" s="80"/>
      <c r="D1441" s="80"/>
      <c r="E1441" s="80"/>
      <c r="F1441" s="80"/>
      <c r="G1441" s="80"/>
      <c r="H1441" s="80"/>
      <c r="I1441" s="80"/>
      <c r="J1441" s="80"/>
      <c r="K1441" s="80"/>
      <c r="L1441" s="2"/>
      <c r="M1441" s="2"/>
      <c r="N1441" s="2"/>
      <c r="O1441" s="2"/>
      <c r="P1441" s="2"/>
      <c r="Q1441" s="2"/>
      <c r="R1441" s="80"/>
      <c r="S1441" s="80"/>
      <c r="T1441" s="80"/>
      <c r="U1441" s="80"/>
      <c r="V1441" s="80"/>
      <c r="W1441" s="80"/>
      <c r="X1441" s="80"/>
      <c r="Y1441" s="80"/>
      <c r="Z1441" s="80"/>
      <c r="AA1441" s="80"/>
      <c r="AB1441" s="80"/>
      <c r="AC1441" s="80"/>
      <c r="AD1441" s="80"/>
      <c r="AE1441" s="80"/>
      <c r="AF1441" s="80"/>
      <c r="AG1441" s="80"/>
    </row>
    <row r="1442" spans="1:33" x14ac:dyDescent="0.2">
      <c r="A1442" s="2"/>
      <c r="B1442" s="80"/>
      <c r="C1442" s="80"/>
      <c r="D1442" s="80"/>
      <c r="E1442" s="80"/>
      <c r="F1442" s="80"/>
      <c r="G1442" s="80"/>
      <c r="H1442" s="80"/>
      <c r="I1442" s="80"/>
      <c r="J1442" s="80"/>
      <c r="K1442" s="80"/>
      <c r="L1442" s="2"/>
      <c r="M1442" s="2"/>
      <c r="N1442" s="2"/>
      <c r="O1442" s="2"/>
      <c r="P1442" s="2"/>
      <c r="Q1442" s="2"/>
      <c r="R1442" s="80"/>
      <c r="S1442" s="80"/>
      <c r="T1442" s="80"/>
      <c r="U1442" s="80"/>
      <c r="V1442" s="80"/>
      <c r="W1442" s="80"/>
      <c r="X1442" s="80"/>
      <c r="Y1442" s="80"/>
      <c r="Z1442" s="80"/>
      <c r="AA1442" s="80"/>
      <c r="AB1442" s="80"/>
      <c r="AC1442" s="80"/>
      <c r="AD1442" s="80"/>
      <c r="AE1442" s="80"/>
      <c r="AF1442" s="80"/>
      <c r="AG1442" s="80"/>
    </row>
    <row r="1443" spans="1:33" x14ac:dyDescent="0.2">
      <c r="A1443" s="2"/>
      <c r="B1443" s="80"/>
      <c r="C1443" s="80"/>
      <c r="D1443" s="80"/>
      <c r="E1443" s="80"/>
      <c r="F1443" s="80"/>
      <c r="G1443" s="80"/>
      <c r="H1443" s="80"/>
      <c r="I1443" s="80"/>
      <c r="J1443" s="80"/>
      <c r="K1443" s="80"/>
      <c r="L1443" s="2"/>
      <c r="M1443" s="2"/>
      <c r="N1443" s="2"/>
      <c r="O1443" s="2"/>
      <c r="P1443" s="2"/>
      <c r="Q1443" s="2"/>
      <c r="R1443" s="80"/>
      <c r="S1443" s="80"/>
      <c r="T1443" s="80"/>
      <c r="U1443" s="80"/>
      <c r="V1443" s="80"/>
      <c r="W1443" s="80"/>
      <c r="X1443" s="80"/>
      <c r="Y1443" s="80"/>
      <c r="Z1443" s="80"/>
      <c r="AA1443" s="80"/>
      <c r="AB1443" s="80"/>
      <c r="AC1443" s="80"/>
      <c r="AD1443" s="80"/>
      <c r="AE1443" s="80"/>
      <c r="AF1443" s="80"/>
      <c r="AG1443" s="80"/>
    </row>
    <row r="1444" spans="1:33" x14ac:dyDescent="0.2">
      <c r="A1444" s="2"/>
      <c r="B1444" s="80"/>
      <c r="C1444" s="80"/>
      <c r="D1444" s="80"/>
      <c r="E1444" s="80"/>
      <c r="F1444" s="80"/>
      <c r="G1444" s="80"/>
      <c r="H1444" s="80"/>
      <c r="I1444" s="80"/>
      <c r="J1444" s="80"/>
      <c r="K1444" s="80"/>
      <c r="L1444" s="2"/>
      <c r="M1444" s="2"/>
      <c r="N1444" s="2"/>
      <c r="O1444" s="2"/>
      <c r="P1444" s="2"/>
      <c r="Q1444" s="2"/>
      <c r="R1444" s="80"/>
      <c r="S1444" s="80"/>
      <c r="T1444" s="80"/>
      <c r="U1444" s="80"/>
      <c r="V1444" s="80"/>
      <c r="W1444" s="80"/>
      <c r="X1444" s="80"/>
      <c r="Y1444" s="80"/>
      <c r="Z1444" s="80"/>
      <c r="AA1444" s="80"/>
      <c r="AB1444" s="80"/>
      <c r="AC1444" s="80"/>
      <c r="AD1444" s="80"/>
      <c r="AE1444" s="80"/>
      <c r="AF1444" s="80"/>
      <c r="AG1444" s="80"/>
    </row>
    <row r="1445" spans="1:33" x14ac:dyDescent="0.2">
      <c r="A1445" s="2"/>
      <c r="B1445" s="80"/>
      <c r="C1445" s="80"/>
      <c r="D1445" s="80"/>
      <c r="E1445" s="80"/>
      <c r="F1445" s="80"/>
      <c r="G1445" s="80"/>
      <c r="H1445" s="80"/>
      <c r="I1445" s="80"/>
      <c r="J1445" s="80"/>
      <c r="K1445" s="80"/>
      <c r="L1445" s="2"/>
      <c r="M1445" s="2"/>
      <c r="N1445" s="2"/>
      <c r="O1445" s="2"/>
      <c r="P1445" s="2"/>
      <c r="Q1445" s="2"/>
      <c r="R1445" s="80"/>
      <c r="S1445" s="80"/>
      <c r="T1445" s="80"/>
      <c r="U1445" s="80"/>
      <c r="V1445" s="80"/>
      <c r="W1445" s="80"/>
      <c r="X1445" s="80"/>
      <c r="Y1445" s="80"/>
      <c r="Z1445" s="80"/>
      <c r="AA1445" s="80"/>
      <c r="AB1445" s="80"/>
      <c r="AC1445" s="80"/>
      <c r="AD1445" s="80"/>
      <c r="AE1445" s="80"/>
      <c r="AF1445" s="80"/>
      <c r="AG1445" s="80"/>
    </row>
    <row r="1446" spans="1:33" x14ac:dyDescent="0.2">
      <c r="A1446" s="2"/>
      <c r="B1446" s="80"/>
      <c r="C1446" s="80"/>
      <c r="D1446" s="80"/>
      <c r="E1446" s="80"/>
      <c r="F1446" s="80"/>
      <c r="G1446" s="80"/>
      <c r="H1446" s="80"/>
      <c r="I1446" s="80"/>
      <c r="J1446" s="80"/>
      <c r="K1446" s="80"/>
      <c r="L1446" s="2"/>
      <c r="M1446" s="2"/>
      <c r="N1446" s="2"/>
      <c r="O1446" s="2"/>
      <c r="P1446" s="2"/>
      <c r="Q1446" s="2"/>
      <c r="R1446" s="80"/>
      <c r="S1446" s="80"/>
      <c r="T1446" s="80"/>
      <c r="U1446" s="80"/>
      <c r="V1446" s="80"/>
      <c r="W1446" s="80"/>
      <c r="X1446" s="80"/>
      <c r="Y1446" s="80"/>
      <c r="Z1446" s="80"/>
      <c r="AA1446" s="80"/>
      <c r="AB1446" s="80"/>
      <c r="AC1446" s="80"/>
      <c r="AD1446" s="80"/>
      <c r="AE1446" s="80"/>
      <c r="AF1446" s="80"/>
      <c r="AG1446" s="80"/>
    </row>
    <row r="1447" spans="1:33" x14ac:dyDescent="0.2">
      <c r="A1447" s="2"/>
      <c r="B1447" s="80"/>
      <c r="C1447" s="80"/>
      <c r="D1447" s="80"/>
      <c r="E1447" s="80"/>
      <c r="F1447" s="80"/>
      <c r="G1447" s="80"/>
      <c r="H1447" s="80"/>
      <c r="I1447" s="80"/>
      <c r="J1447" s="80"/>
      <c r="K1447" s="80"/>
      <c r="L1447" s="2"/>
      <c r="M1447" s="2"/>
      <c r="N1447" s="2"/>
      <c r="O1447" s="2"/>
      <c r="P1447" s="2"/>
      <c r="Q1447" s="2"/>
      <c r="R1447" s="80"/>
      <c r="S1447" s="80"/>
      <c r="T1447" s="80"/>
      <c r="U1447" s="80"/>
      <c r="V1447" s="80"/>
      <c r="W1447" s="80"/>
      <c r="X1447" s="80"/>
      <c r="Y1447" s="80"/>
      <c r="Z1447" s="80"/>
      <c r="AA1447" s="80"/>
      <c r="AB1447" s="80"/>
      <c r="AC1447" s="80"/>
      <c r="AD1447" s="80"/>
      <c r="AE1447" s="80"/>
      <c r="AF1447" s="80"/>
      <c r="AG1447" s="80"/>
    </row>
    <row r="1448" spans="1:33" x14ac:dyDescent="0.2">
      <c r="A1448" s="2"/>
      <c r="B1448" s="80"/>
      <c r="C1448" s="80"/>
      <c r="D1448" s="80"/>
      <c r="E1448" s="80"/>
      <c r="F1448" s="80"/>
      <c r="G1448" s="80"/>
      <c r="H1448" s="80"/>
      <c r="I1448" s="80"/>
      <c r="J1448" s="80"/>
      <c r="K1448" s="80"/>
      <c r="L1448" s="2"/>
      <c r="M1448" s="2"/>
      <c r="N1448" s="2"/>
      <c r="O1448" s="2"/>
      <c r="P1448" s="2"/>
      <c r="Q1448" s="2"/>
      <c r="R1448" s="80"/>
      <c r="S1448" s="80"/>
      <c r="T1448" s="80"/>
      <c r="U1448" s="80"/>
      <c r="V1448" s="80"/>
      <c r="W1448" s="80"/>
      <c r="X1448" s="80"/>
      <c r="Y1448" s="80"/>
      <c r="Z1448" s="80"/>
      <c r="AA1448" s="80"/>
      <c r="AB1448" s="80"/>
      <c r="AC1448" s="80"/>
      <c r="AD1448" s="80"/>
      <c r="AE1448" s="80"/>
      <c r="AF1448" s="80"/>
      <c r="AG1448" s="80"/>
    </row>
    <row r="1449" spans="1:33" x14ac:dyDescent="0.2">
      <c r="A1449" s="2"/>
      <c r="B1449" s="80"/>
      <c r="C1449" s="80"/>
      <c r="D1449" s="80"/>
      <c r="E1449" s="80"/>
      <c r="F1449" s="80"/>
      <c r="G1449" s="80"/>
      <c r="H1449" s="80"/>
      <c r="I1449" s="80"/>
      <c r="J1449" s="80"/>
      <c r="K1449" s="80"/>
      <c r="L1449" s="2"/>
      <c r="M1449" s="2"/>
      <c r="N1449" s="2"/>
      <c r="O1449" s="2"/>
      <c r="P1449" s="2"/>
      <c r="Q1449" s="2"/>
      <c r="R1449" s="80"/>
      <c r="S1449" s="80"/>
      <c r="T1449" s="80"/>
      <c r="U1449" s="80"/>
      <c r="V1449" s="80"/>
      <c r="W1449" s="80"/>
      <c r="X1449" s="80"/>
      <c r="Y1449" s="80"/>
      <c r="Z1449" s="80"/>
      <c r="AA1449" s="80"/>
      <c r="AB1449" s="80"/>
      <c r="AC1449" s="80"/>
      <c r="AD1449" s="80"/>
      <c r="AE1449" s="80"/>
      <c r="AF1449" s="80"/>
      <c r="AG1449" s="80"/>
    </row>
    <row r="1450" spans="1:33" x14ac:dyDescent="0.2">
      <c r="A1450" s="2"/>
      <c r="B1450" s="80"/>
      <c r="C1450" s="80"/>
      <c r="D1450" s="80"/>
      <c r="E1450" s="80"/>
      <c r="F1450" s="80"/>
      <c r="G1450" s="80"/>
      <c r="H1450" s="80"/>
      <c r="I1450" s="80"/>
      <c r="J1450" s="80"/>
      <c r="K1450" s="80"/>
      <c r="L1450" s="2"/>
      <c r="M1450" s="2"/>
      <c r="N1450" s="2"/>
      <c r="O1450" s="2"/>
      <c r="P1450" s="2"/>
      <c r="Q1450" s="2"/>
      <c r="R1450" s="80"/>
      <c r="S1450" s="80"/>
      <c r="T1450" s="80"/>
      <c r="U1450" s="80"/>
      <c r="V1450" s="80"/>
      <c r="W1450" s="80"/>
      <c r="X1450" s="80"/>
      <c r="Y1450" s="80"/>
      <c r="Z1450" s="80"/>
      <c r="AA1450" s="80"/>
      <c r="AB1450" s="80"/>
      <c r="AC1450" s="80"/>
      <c r="AD1450" s="80"/>
      <c r="AE1450" s="80"/>
      <c r="AF1450" s="80"/>
      <c r="AG1450" s="80"/>
    </row>
    <row r="1451" spans="1:33" x14ac:dyDescent="0.2">
      <c r="A1451" s="2"/>
      <c r="B1451" s="80"/>
      <c r="C1451" s="80"/>
      <c r="D1451" s="80"/>
      <c r="E1451" s="80"/>
      <c r="F1451" s="80"/>
      <c r="G1451" s="80"/>
      <c r="H1451" s="80"/>
      <c r="I1451" s="80"/>
      <c r="J1451" s="80"/>
      <c r="K1451" s="80"/>
      <c r="L1451" s="2"/>
      <c r="M1451" s="2"/>
      <c r="N1451" s="2"/>
      <c r="O1451" s="2"/>
      <c r="P1451" s="2"/>
      <c r="Q1451" s="2"/>
      <c r="R1451" s="80"/>
      <c r="S1451" s="80"/>
      <c r="T1451" s="80"/>
      <c r="U1451" s="80"/>
      <c r="V1451" s="80"/>
      <c r="W1451" s="80"/>
      <c r="X1451" s="80"/>
      <c r="Y1451" s="80"/>
      <c r="Z1451" s="80"/>
      <c r="AA1451" s="80"/>
      <c r="AB1451" s="80"/>
      <c r="AC1451" s="80"/>
      <c r="AD1451" s="80"/>
      <c r="AE1451" s="80"/>
      <c r="AF1451" s="80"/>
      <c r="AG1451" s="80"/>
    </row>
    <row r="1452" spans="1:33" x14ac:dyDescent="0.2">
      <c r="A1452" s="2"/>
      <c r="B1452" s="80"/>
      <c r="C1452" s="80"/>
      <c r="D1452" s="80"/>
      <c r="E1452" s="80"/>
      <c r="F1452" s="80"/>
      <c r="G1452" s="80"/>
      <c r="H1452" s="80"/>
      <c r="I1452" s="80"/>
      <c r="J1452" s="80"/>
      <c r="K1452" s="80"/>
      <c r="L1452" s="2"/>
      <c r="M1452" s="2"/>
      <c r="N1452" s="2"/>
      <c r="O1452" s="2"/>
      <c r="P1452" s="2"/>
      <c r="Q1452" s="2"/>
      <c r="R1452" s="80"/>
      <c r="S1452" s="80"/>
      <c r="T1452" s="80"/>
      <c r="U1452" s="80"/>
      <c r="V1452" s="80"/>
      <c r="W1452" s="80"/>
      <c r="X1452" s="80"/>
      <c r="Y1452" s="80"/>
      <c r="Z1452" s="80"/>
      <c r="AA1452" s="80"/>
      <c r="AB1452" s="80"/>
      <c r="AC1452" s="80"/>
      <c r="AD1452" s="80"/>
      <c r="AE1452" s="80"/>
      <c r="AF1452" s="80"/>
      <c r="AG1452" s="80"/>
    </row>
    <row r="1453" spans="1:33" x14ac:dyDescent="0.2">
      <c r="A1453" s="2"/>
      <c r="B1453" s="80"/>
      <c r="C1453" s="80"/>
      <c r="D1453" s="80"/>
      <c r="E1453" s="80"/>
      <c r="F1453" s="80"/>
      <c r="G1453" s="80"/>
      <c r="H1453" s="80"/>
      <c r="I1453" s="80"/>
      <c r="J1453" s="80"/>
      <c r="K1453" s="80"/>
      <c r="L1453" s="2"/>
      <c r="M1453" s="2"/>
      <c r="N1453" s="2"/>
      <c r="O1453" s="2"/>
      <c r="P1453" s="2"/>
      <c r="Q1453" s="2"/>
      <c r="R1453" s="80"/>
      <c r="S1453" s="80"/>
      <c r="T1453" s="80"/>
      <c r="U1453" s="80"/>
      <c r="V1453" s="80"/>
      <c r="W1453" s="80"/>
      <c r="X1453" s="80"/>
      <c r="Y1453" s="80"/>
      <c r="Z1453" s="80"/>
      <c r="AA1453" s="80"/>
      <c r="AB1453" s="80"/>
      <c r="AC1453" s="80"/>
      <c r="AD1453" s="80"/>
      <c r="AE1453" s="80"/>
      <c r="AF1453" s="80"/>
      <c r="AG1453" s="80"/>
    </row>
    <row r="1454" spans="1:33" x14ac:dyDescent="0.2">
      <c r="A1454" s="2"/>
      <c r="B1454" s="80"/>
      <c r="C1454" s="80"/>
      <c r="D1454" s="80"/>
      <c r="E1454" s="80"/>
      <c r="F1454" s="80"/>
      <c r="G1454" s="80"/>
      <c r="H1454" s="80"/>
      <c r="I1454" s="80"/>
      <c r="J1454" s="80"/>
      <c r="K1454" s="80"/>
      <c r="L1454" s="2"/>
      <c r="M1454" s="2"/>
      <c r="N1454" s="2"/>
      <c r="O1454" s="2"/>
      <c r="P1454" s="2"/>
      <c r="Q1454" s="2"/>
      <c r="R1454" s="80"/>
      <c r="S1454" s="80"/>
      <c r="T1454" s="80"/>
      <c r="U1454" s="80"/>
      <c r="V1454" s="80"/>
      <c r="W1454" s="80"/>
      <c r="X1454" s="80"/>
      <c r="Y1454" s="80"/>
      <c r="Z1454" s="80"/>
      <c r="AA1454" s="80"/>
      <c r="AB1454" s="80"/>
      <c r="AC1454" s="80"/>
      <c r="AD1454" s="80"/>
      <c r="AE1454" s="80"/>
      <c r="AF1454" s="80"/>
      <c r="AG1454" s="80"/>
    </row>
    <row r="1455" spans="1:33" x14ac:dyDescent="0.2">
      <c r="A1455" s="2"/>
      <c r="B1455" s="80"/>
      <c r="C1455" s="80"/>
      <c r="D1455" s="80"/>
      <c r="E1455" s="80"/>
      <c r="F1455" s="80"/>
      <c r="G1455" s="80"/>
      <c r="H1455" s="80"/>
      <c r="I1455" s="80"/>
      <c r="J1455" s="80"/>
      <c r="K1455" s="80"/>
      <c r="L1455" s="2"/>
      <c r="M1455" s="2"/>
      <c r="N1455" s="2"/>
      <c r="O1455" s="2"/>
      <c r="P1455" s="2"/>
      <c r="Q1455" s="2"/>
      <c r="R1455" s="80"/>
      <c r="S1455" s="80"/>
      <c r="T1455" s="80"/>
      <c r="U1455" s="80"/>
      <c r="V1455" s="80"/>
      <c r="W1455" s="80"/>
      <c r="X1455" s="80"/>
      <c r="Y1455" s="80"/>
      <c r="Z1455" s="80"/>
      <c r="AA1455" s="80"/>
      <c r="AB1455" s="80"/>
      <c r="AC1455" s="80"/>
      <c r="AD1455" s="80"/>
      <c r="AE1455" s="80"/>
      <c r="AF1455" s="80"/>
      <c r="AG1455" s="80"/>
    </row>
    <row r="1456" spans="1:33" x14ac:dyDescent="0.2">
      <c r="A1456" s="2"/>
      <c r="B1456" s="80"/>
      <c r="C1456" s="80"/>
      <c r="D1456" s="80"/>
      <c r="E1456" s="80"/>
      <c r="F1456" s="80"/>
      <c r="G1456" s="80"/>
      <c r="H1456" s="80"/>
      <c r="I1456" s="80"/>
      <c r="J1456" s="80"/>
      <c r="K1456" s="80"/>
      <c r="L1456" s="2"/>
      <c r="M1456" s="2"/>
      <c r="N1456" s="2"/>
      <c r="O1456" s="2"/>
      <c r="P1456" s="2"/>
      <c r="Q1456" s="2"/>
      <c r="R1456" s="80"/>
      <c r="S1456" s="80"/>
      <c r="T1456" s="80"/>
      <c r="U1456" s="80"/>
      <c r="V1456" s="80"/>
      <c r="W1456" s="80"/>
      <c r="X1456" s="80"/>
      <c r="Y1456" s="80"/>
      <c r="Z1456" s="80"/>
      <c r="AA1456" s="80"/>
      <c r="AB1456" s="80"/>
      <c r="AC1456" s="80"/>
      <c r="AD1456" s="80"/>
      <c r="AE1456" s="80"/>
      <c r="AF1456" s="80"/>
      <c r="AG1456" s="80"/>
    </row>
    <row r="1457" spans="1:33" x14ac:dyDescent="0.2">
      <c r="A1457" s="2"/>
      <c r="B1457" s="80"/>
      <c r="C1457" s="80"/>
      <c r="D1457" s="80"/>
      <c r="E1457" s="80"/>
      <c r="F1457" s="80"/>
      <c r="G1457" s="80"/>
      <c r="H1457" s="80"/>
      <c r="I1457" s="80"/>
      <c r="J1457" s="80"/>
      <c r="K1457" s="80"/>
      <c r="L1457" s="2"/>
      <c r="M1457" s="2"/>
      <c r="N1457" s="2"/>
      <c r="O1457" s="2"/>
      <c r="P1457" s="2"/>
      <c r="Q1457" s="2"/>
      <c r="R1457" s="80"/>
      <c r="S1457" s="80"/>
      <c r="T1457" s="80"/>
      <c r="U1457" s="80"/>
      <c r="V1457" s="80"/>
      <c r="W1457" s="80"/>
      <c r="X1457" s="80"/>
      <c r="Y1457" s="80"/>
      <c r="Z1457" s="80"/>
      <c r="AA1457" s="80"/>
      <c r="AB1457" s="80"/>
      <c r="AC1457" s="80"/>
      <c r="AD1457" s="80"/>
      <c r="AE1457" s="80"/>
      <c r="AF1457" s="80"/>
      <c r="AG1457" s="80"/>
    </row>
    <row r="1458" spans="1:33" x14ac:dyDescent="0.2">
      <c r="A1458" s="2"/>
      <c r="B1458" s="80"/>
      <c r="C1458" s="80"/>
      <c r="D1458" s="80"/>
      <c r="E1458" s="80"/>
      <c r="F1458" s="80"/>
      <c r="G1458" s="80"/>
      <c r="H1458" s="80"/>
      <c r="I1458" s="80"/>
      <c r="J1458" s="80"/>
      <c r="K1458" s="80"/>
      <c r="L1458" s="2"/>
      <c r="M1458" s="2"/>
      <c r="N1458" s="2"/>
      <c r="O1458" s="2"/>
      <c r="P1458" s="2"/>
      <c r="Q1458" s="2"/>
      <c r="R1458" s="80"/>
      <c r="S1458" s="80"/>
      <c r="T1458" s="80"/>
      <c r="U1458" s="80"/>
      <c r="V1458" s="80"/>
      <c r="W1458" s="80"/>
      <c r="X1458" s="80"/>
      <c r="Y1458" s="80"/>
      <c r="Z1458" s="80"/>
      <c r="AA1458" s="80"/>
      <c r="AB1458" s="80"/>
      <c r="AC1458" s="80"/>
      <c r="AD1458" s="80"/>
      <c r="AE1458" s="80"/>
      <c r="AF1458" s="80"/>
      <c r="AG1458" s="80"/>
    </row>
    <row r="1459" spans="1:33" x14ac:dyDescent="0.2">
      <c r="A1459" s="2"/>
      <c r="B1459" s="80"/>
      <c r="C1459" s="80"/>
      <c r="D1459" s="80"/>
      <c r="E1459" s="80"/>
      <c r="F1459" s="80"/>
      <c r="G1459" s="80"/>
      <c r="H1459" s="80"/>
      <c r="I1459" s="80"/>
      <c r="J1459" s="80"/>
      <c r="K1459" s="80"/>
      <c r="L1459" s="2"/>
      <c r="M1459" s="2"/>
      <c r="N1459" s="2"/>
      <c r="O1459" s="2"/>
      <c r="P1459" s="2"/>
      <c r="Q1459" s="2"/>
      <c r="R1459" s="80"/>
      <c r="S1459" s="80"/>
      <c r="T1459" s="80"/>
      <c r="U1459" s="80"/>
      <c r="V1459" s="80"/>
      <c r="W1459" s="80"/>
      <c r="X1459" s="80"/>
      <c r="Y1459" s="80"/>
      <c r="Z1459" s="80"/>
      <c r="AA1459" s="80"/>
      <c r="AB1459" s="80"/>
      <c r="AC1459" s="80"/>
      <c r="AD1459" s="80"/>
      <c r="AE1459" s="80"/>
      <c r="AF1459" s="80"/>
      <c r="AG1459" s="80"/>
    </row>
    <row r="1460" spans="1:33" x14ac:dyDescent="0.2">
      <c r="A1460" s="2"/>
      <c r="B1460" s="80"/>
      <c r="C1460" s="80"/>
      <c r="D1460" s="80"/>
      <c r="E1460" s="80"/>
      <c r="F1460" s="80"/>
      <c r="G1460" s="80"/>
      <c r="H1460" s="80"/>
      <c r="I1460" s="80"/>
      <c r="J1460" s="80"/>
      <c r="K1460" s="80"/>
      <c r="L1460" s="2"/>
      <c r="M1460" s="2"/>
      <c r="N1460" s="2"/>
      <c r="O1460" s="2"/>
      <c r="P1460" s="2"/>
      <c r="Q1460" s="2"/>
      <c r="R1460" s="80"/>
      <c r="S1460" s="80"/>
      <c r="T1460" s="80"/>
      <c r="U1460" s="80"/>
      <c r="V1460" s="80"/>
      <c r="W1460" s="80"/>
      <c r="X1460" s="80"/>
      <c r="Y1460" s="80"/>
      <c r="Z1460" s="80"/>
      <c r="AA1460" s="80"/>
      <c r="AB1460" s="80"/>
      <c r="AC1460" s="80"/>
      <c r="AD1460" s="80"/>
      <c r="AE1460" s="80"/>
      <c r="AF1460" s="80"/>
      <c r="AG1460" s="80"/>
    </row>
    <row r="1461" spans="1:33" x14ac:dyDescent="0.2">
      <c r="A1461" s="2"/>
      <c r="B1461" s="80"/>
      <c r="C1461" s="80"/>
      <c r="D1461" s="80"/>
      <c r="E1461" s="80"/>
      <c r="F1461" s="80"/>
      <c r="G1461" s="80"/>
      <c r="H1461" s="80"/>
      <c r="I1461" s="80"/>
      <c r="J1461" s="80"/>
      <c r="K1461" s="80"/>
      <c r="L1461" s="2"/>
      <c r="M1461" s="2"/>
      <c r="N1461" s="2"/>
      <c r="O1461" s="2"/>
      <c r="P1461" s="2"/>
      <c r="Q1461" s="2"/>
      <c r="R1461" s="80"/>
      <c r="S1461" s="80"/>
      <c r="T1461" s="80"/>
      <c r="U1461" s="80"/>
      <c r="V1461" s="80"/>
      <c r="W1461" s="80"/>
      <c r="X1461" s="80"/>
      <c r="Y1461" s="80"/>
      <c r="Z1461" s="80"/>
      <c r="AA1461" s="80"/>
      <c r="AB1461" s="80"/>
      <c r="AC1461" s="80"/>
      <c r="AD1461" s="80"/>
      <c r="AE1461" s="80"/>
      <c r="AF1461" s="80"/>
      <c r="AG1461" s="80"/>
    </row>
    <row r="1462" spans="1:33" x14ac:dyDescent="0.2">
      <c r="A1462" s="2"/>
      <c r="B1462" s="80"/>
      <c r="C1462" s="80"/>
      <c r="D1462" s="80"/>
      <c r="E1462" s="80"/>
      <c r="F1462" s="80"/>
      <c r="G1462" s="80"/>
      <c r="H1462" s="80"/>
      <c r="I1462" s="80"/>
      <c r="J1462" s="80"/>
      <c r="K1462" s="80"/>
      <c r="L1462" s="2"/>
      <c r="M1462" s="2"/>
      <c r="N1462" s="2"/>
      <c r="O1462" s="2"/>
      <c r="P1462" s="2"/>
      <c r="Q1462" s="2"/>
      <c r="R1462" s="80"/>
      <c r="S1462" s="80"/>
      <c r="T1462" s="80"/>
      <c r="U1462" s="80"/>
      <c r="V1462" s="80"/>
      <c r="W1462" s="80"/>
      <c r="X1462" s="80"/>
      <c r="Y1462" s="80"/>
      <c r="Z1462" s="80"/>
      <c r="AA1462" s="80"/>
      <c r="AB1462" s="80"/>
      <c r="AC1462" s="80"/>
      <c r="AD1462" s="80"/>
      <c r="AE1462" s="80"/>
      <c r="AF1462" s="80"/>
      <c r="AG1462" s="80"/>
    </row>
    <row r="1463" spans="1:33" x14ac:dyDescent="0.2">
      <c r="A1463" s="2"/>
      <c r="B1463" s="80"/>
      <c r="C1463" s="80"/>
      <c r="D1463" s="80"/>
      <c r="E1463" s="80"/>
      <c r="F1463" s="80"/>
      <c r="G1463" s="80"/>
      <c r="H1463" s="80"/>
      <c r="I1463" s="80"/>
      <c r="J1463" s="80"/>
      <c r="K1463" s="80"/>
      <c r="L1463" s="2"/>
      <c r="M1463" s="2"/>
      <c r="N1463" s="2"/>
      <c r="O1463" s="2"/>
      <c r="P1463" s="2"/>
      <c r="Q1463" s="2"/>
      <c r="R1463" s="80"/>
      <c r="S1463" s="80"/>
      <c r="T1463" s="80"/>
      <c r="U1463" s="80"/>
      <c r="V1463" s="80"/>
      <c r="W1463" s="80"/>
      <c r="X1463" s="80"/>
      <c r="Y1463" s="80"/>
      <c r="Z1463" s="80"/>
      <c r="AA1463" s="80"/>
      <c r="AB1463" s="80"/>
      <c r="AC1463" s="80"/>
      <c r="AD1463" s="80"/>
      <c r="AE1463" s="80"/>
      <c r="AF1463" s="80"/>
      <c r="AG1463" s="80"/>
    </row>
    <row r="1464" spans="1:33" x14ac:dyDescent="0.2">
      <c r="A1464" s="2"/>
      <c r="B1464" s="80"/>
      <c r="C1464" s="80"/>
      <c r="D1464" s="80"/>
      <c r="E1464" s="80"/>
      <c r="F1464" s="80"/>
      <c r="G1464" s="80"/>
      <c r="H1464" s="80"/>
      <c r="I1464" s="80"/>
      <c r="J1464" s="80"/>
      <c r="K1464" s="80"/>
      <c r="L1464" s="2"/>
      <c r="M1464" s="2"/>
      <c r="N1464" s="2"/>
      <c r="O1464" s="2"/>
      <c r="P1464" s="2"/>
      <c r="Q1464" s="2"/>
      <c r="R1464" s="80"/>
      <c r="S1464" s="80"/>
      <c r="T1464" s="80"/>
      <c r="U1464" s="80"/>
      <c r="V1464" s="80"/>
      <c r="W1464" s="80"/>
      <c r="X1464" s="80"/>
      <c r="Y1464" s="80"/>
      <c r="Z1464" s="80"/>
      <c r="AA1464" s="80"/>
      <c r="AB1464" s="80"/>
      <c r="AC1464" s="80"/>
      <c r="AD1464" s="80"/>
      <c r="AE1464" s="80"/>
      <c r="AF1464" s="80"/>
      <c r="AG1464" s="80"/>
    </row>
    <row r="1465" spans="1:33" x14ac:dyDescent="0.2">
      <c r="A1465" s="2"/>
      <c r="B1465" s="80"/>
      <c r="C1465" s="80"/>
      <c r="D1465" s="80"/>
      <c r="E1465" s="80"/>
      <c r="F1465" s="80"/>
      <c r="G1465" s="80"/>
      <c r="H1465" s="80"/>
      <c r="I1465" s="80"/>
      <c r="J1465" s="80"/>
      <c r="K1465" s="80"/>
      <c r="L1465" s="2"/>
      <c r="M1465" s="2"/>
      <c r="N1465" s="2"/>
      <c r="O1465" s="2"/>
      <c r="P1465" s="2"/>
      <c r="Q1465" s="2"/>
      <c r="R1465" s="80"/>
      <c r="S1465" s="80"/>
      <c r="T1465" s="80"/>
      <c r="U1465" s="80"/>
      <c r="V1465" s="80"/>
      <c r="W1465" s="80"/>
      <c r="X1465" s="80"/>
      <c r="Y1465" s="80"/>
      <c r="Z1465" s="80"/>
      <c r="AA1465" s="80"/>
      <c r="AB1465" s="80"/>
      <c r="AC1465" s="80"/>
      <c r="AD1465" s="80"/>
      <c r="AE1465" s="80"/>
      <c r="AF1465" s="80"/>
      <c r="AG1465" s="80"/>
    </row>
    <row r="1466" spans="1:33" x14ac:dyDescent="0.2">
      <c r="A1466" s="2"/>
      <c r="B1466" s="80"/>
      <c r="C1466" s="80"/>
      <c r="D1466" s="80"/>
      <c r="E1466" s="80"/>
      <c r="F1466" s="80"/>
      <c r="G1466" s="80"/>
      <c r="H1466" s="80"/>
      <c r="I1466" s="80"/>
      <c r="J1466" s="80"/>
      <c r="K1466" s="80"/>
      <c r="L1466" s="2"/>
      <c r="M1466" s="2"/>
      <c r="N1466" s="2"/>
      <c r="O1466" s="2"/>
      <c r="P1466" s="2"/>
      <c r="Q1466" s="2"/>
      <c r="R1466" s="80"/>
      <c r="S1466" s="80"/>
      <c r="T1466" s="80"/>
      <c r="U1466" s="80"/>
      <c r="V1466" s="80"/>
      <c r="W1466" s="80"/>
      <c r="X1466" s="80"/>
      <c r="Y1466" s="80"/>
      <c r="Z1466" s="80"/>
      <c r="AA1466" s="80"/>
      <c r="AB1466" s="80"/>
      <c r="AC1466" s="80"/>
      <c r="AD1466" s="80"/>
      <c r="AE1466" s="80"/>
      <c r="AF1466" s="80"/>
      <c r="AG1466" s="80"/>
    </row>
    <row r="1467" spans="1:33" x14ac:dyDescent="0.2">
      <c r="A1467" s="2"/>
      <c r="B1467" s="80"/>
      <c r="C1467" s="80"/>
      <c r="D1467" s="80"/>
      <c r="E1467" s="80"/>
      <c r="F1467" s="80"/>
      <c r="G1467" s="80"/>
      <c r="H1467" s="80"/>
      <c r="I1467" s="80"/>
      <c r="J1467" s="80"/>
      <c r="K1467" s="80"/>
      <c r="L1467" s="2"/>
      <c r="M1467" s="2"/>
      <c r="N1467" s="2"/>
      <c r="O1467" s="2"/>
      <c r="P1467" s="2"/>
      <c r="Q1467" s="2"/>
      <c r="R1467" s="80"/>
      <c r="S1467" s="80"/>
      <c r="T1467" s="80"/>
      <c r="U1467" s="80"/>
      <c r="V1467" s="80"/>
      <c r="W1467" s="80"/>
      <c r="X1467" s="80"/>
      <c r="Y1467" s="80"/>
      <c r="Z1467" s="80"/>
      <c r="AA1467" s="80"/>
      <c r="AB1467" s="80"/>
      <c r="AC1467" s="80"/>
      <c r="AD1467" s="80"/>
      <c r="AE1467" s="80"/>
      <c r="AF1467" s="80"/>
      <c r="AG1467" s="80"/>
    </row>
    <row r="1468" spans="1:33" x14ac:dyDescent="0.2">
      <c r="A1468" s="2"/>
      <c r="B1468" s="80"/>
      <c r="C1468" s="80"/>
      <c r="D1468" s="80"/>
      <c r="E1468" s="80"/>
      <c r="F1468" s="80"/>
      <c r="G1468" s="80"/>
      <c r="H1468" s="80"/>
      <c r="I1468" s="80"/>
      <c r="J1468" s="80"/>
      <c r="K1468" s="80"/>
      <c r="L1468" s="2"/>
      <c r="M1468" s="2"/>
      <c r="N1468" s="2"/>
      <c r="O1468" s="2"/>
      <c r="P1468" s="2"/>
      <c r="Q1468" s="2"/>
      <c r="R1468" s="80"/>
      <c r="S1468" s="80"/>
      <c r="T1468" s="80"/>
      <c r="U1468" s="80"/>
      <c r="V1468" s="80"/>
      <c r="W1468" s="80"/>
      <c r="X1468" s="80"/>
      <c r="Y1468" s="80"/>
      <c r="Z1468" s="80"/>
      <c r="AA1468" s="80"/>
      <c r="AB1468" s="80"/>
      <c r="AC1468" s="80"/>
      <c r="AD1468" s="80"/>
      <c r="AE1468" s="80"/>
      <c r="AF1468" s="80"/>
      <c r="AG1468" s="80"/>
    </row>
    <row r="1469" spans="1:33" x14ac:dyDescent="0.2">
      <c r="A1469" s="2"/>
      <c r="B1469" s="80"/>
      <c r="C1469" s="80"/>
      <c r="D1469" s="80"/>
      <c r="E1469" s="80"/>
      <c r="F1469" s="80"/>
      <c r="G1469" s="80"/>
      <c r="H1469" s="80"/>
      <c r="I1469" s="80"/>
      <c r="J1469" s="80"/>
      <c r="K1469" s="80"/>
      <c r="L1469" s="2"/>
      <c r="M1469" s="2"/>
      <c r="N1469" s="2"/>
      <c r="O1469" s="2"/>
      <c r="P1469" s="2"/>
      <c r="Q1469" s="2"/>
      <c r="R1469" s="80"/>
      <c r="S1469" s="80"/>
      <c r="T1469" s="80"/>
      <c r="U1469" s="80"/>
      <c r="V1469" s="80"/>
      <c r="W1469" s="80"/>
      <c r="X1469" s="80"/>
      <c r="Y1469" s="80"/>
      <c r="Z1469" s="80"/>
      <c r="AA1469" s="80"/>
      <c r="AB1469" s="80"/>
      <c r="AC1469" s="80"/>
      <c r="AD1469" s="80"/>
      <c r="AE1469" s="80"/>
      <c r="AF1469" s="80"/>
      <c r="AG1469" s="80"/>
    </row>
    <row r="1470" spans="1:33" x14ac:dyDescent="0.2">
      <c r="A1470" s="2"/>
      <c r="B1470" s="80"/>
      <c r="C1470" s="80"/>
      <c r="D1470" s="80"/>
      <c r="E1470" s="80"/>
      <c r="F1470" s="80"/>
      <c r="G1470" s="80"/>
      <c r="H1470" s="80"/>
      <c r="I1470" s="80"/>
      <c r="J1470" s="80"/>
      <c r="K1470" s="80"/>
      <c r="L1470" s="2"/>
      <c r="M1470" s="2"/>
      <c r="N1470" s="2"/>
      <c r="O1470" s="2"/>
      <c r="P1470" s="2"/>
      <c r="Q1470" s="2"/>
      <c r="R1470" s="80"/>
      <c r="S1470" s="80"/>
      <c r="T1470" s="80"/>
      <c r="U1470" s="80"/>
      <c r="V1470" s="80"/>
      <c r="W1470" s="80"/>
      <c r="X1470" s="80"/>
      <c r="Y1470" s="80"/>
      <c r="Z1470" s="80"/>
      <c r="AA1470" s="80"/>
      <c r="AB1470" s="80"/>
      <c r="AC1470" s="80"/>
      <c r="AD1470" s="80"/>
      <c r="AE1470" s="80"/>
      <c r="AF1470" s="80"/>
      <c r="AG1470" s="80"/>
    </row>
    <row r="1471" spans="1:33" x14ac:dyDescent="0.2">
      <c r="A1471" s="2"/>
      <c r="B1471" s="80"/>
      <c r="C1471" s="80"/>
      <c r="D1471" s="80"/>
      <c r="E1471" s="80"/>
      <c r="F1471" s="80"/>
      <c r="G1471" s="80"/>
      <c r="H1471" s="80"/>
      <c r="I1471" s="80"/>
      <c r="J1471" s="80"/>
      <c r="K1471" s="80"/>
      <c r="L1471" s="2"/>
      <c r="M1471" s="2"/>
      <c r="N1471" s="2"/>
      <c r="O1471" s="2"/>
      <c r="P1471" s="2"/>
      <c r="Q1471" s="2"/>
      <c r="R1471" s="80"/>
      <c r="S1471" s="80"/>
      <c r="T1471" s="80"/>
      <c r="U1471" s="80"/>
      <c r="V1471" s="80"/>
      <c r="W1471" s="80"/>
      <c r="X1471" s="80"/>
      <c r="Y1471" s="80"/>
      <c r="Z1471" s="80"/>
      <c r="AA1471" s="80"/>
      <c r="AB1471" s="80"/>
      <c r="AC1471" s="80"/>
      <c r="AD1471" s="80"/>
      <c r="AE1471" s="80"/>
      <c r="AF1471" s="80"/>
      <c r="AG1471" s="80"/>
    </row>
    <row r="1472" spans="1:33" x14ac:dyDescent="0.2">
      <c r="A1472" s="2"/>
      <c r="B1472" s="80"/>
      <c r="C1472" s="80"/>
      <c r="D1472" s="80"/>
      <c r="E1472" s="80"/>
      <c r="F1472" s="80"/>
      <c r="G1472" s="80"/>
      <c r="H1472" s="80"/>
      <c r="I1472" s="80"/>
      <c r="J1472" s="80"/>
      <c r="K1472" s="80"/>
      <c r="L1472" s="2"/>
      <c r="M1472" s="2"/>
      <c r="N1472" s="2"/>
      <c r="O1472" s="2"/>
      <c r="P1472" s="2"/>
      <c r="Q1472" s="2"/>
      <c r="R1472" s="80"/>
      <c r="S1472" s="80"/>
      <c r="T1472" s="80"/>
      <c r="U1472" s="80"/>
      <c r="V1472" s="80"/>
      <c r="W1472" s="80"/>
      <c r="X1472" s="80"/>
      <c r="Y1472" s="80"/>
      <c r="Z1472" s="80"/>
      <c r="AA1472" s="80"/>
      <c r="AB1472" s="80"/>
      <c r="AC1472" s="80"/>
      <c r="AD1472" s="80"/>
      <c r="AE1472" s="80"/>
      <c r="AF1472" s="80"/>
      <c r="AG1472" s="80"/>
    </row>
    <row r="1473" spans="1:33" x14ac:dyDescent="0.2">
      <c r="A1473" s="2"/>
      <c r="B1473" s="80"/>
      <c r="C1473" s="80"/>
      <c r="D1473" s="80"/>
      <c r="E1473" s="80"/>
      <c r="F1473" s="80"/>
      <c r="G1473" s="80"/>
      <c r="H1473" s="80"/>
      <c r="I1473" s="80"/>
      <c r="J1473" s="80"/>
      <c r="K1473" s="80"/>
      <c r="L1473" s="2"/>
      <c r="M1473" s="2"/>
      <c r="N1473" s="2"/>
      <c r="O1473" s="2"/>
      <c r="P1473" s="2"/>
      <c r="Q1473" s="2"/>
      <c r="R1473" s="80"/>
      <c r="S1473" s="80"/>
      <c r="T1473" s="80"/>
      <c r="U1473" s="80"/>
      <c r="V1473" s="80"/>
      <c r="W1473" s="80"/>
      <c r="X1473" s="80"/>
      <c r="Y1473" s="80"/>
      <c r="Z1473" s="80"/>
      <c r="AA1473" s="80"/>
      <c r="AB1473" s="80"/>
      <c r="AC1473" s="80"/>
      <c r="AD1473" s="80"/>
      <c r="AE1473" s="80"/>
      <c r="AF1473" s="80"/>
      <c r="AG1473" s="80"/>
    </row>
    <row r="1474" spans="1:33" x14ac:dyDescent="0.2">
      <c r="A1474" s="2"/>
      <c r="B1474" s="80"/>
      <c r="C1474" s="80"/>
      <c r="D1474" s="80"/>
      <c r="E1474" s="80"/>
      <c r="F1474" s="80"/>
      <c r="G1474" s="80"/>
      <c r="H1474" s="80"/>
      <c r="I1474" s="80"/>
      <c r="J1474" s="80"/>
      <c r="K1474" s="80"/>
      <c r="L1474" s="2"/>
      <c r="M1474" s="2"/>
      <c r="N1474" s="2"/>
      <c r="O1474" s="2"/>
      <c r="P1474" s="2"/>
      <c r="Q1474" s="2"/>
      <c r="R1474" s="80"/>
      <c r="S1474" s="80"/>
      <c r="T1474" s="80"/>
      <c r="U1474" s="80"/>
      <c r="V1474" s="80"/>
      <c r="W1474" s="80"/>
      <c r="X1474" s="80"/>
      <c r="Y1474" s="80"/>
      <c r="Z1474" s="80"/>
      <c r="AA1474" s="80"/>
      <c r="AB1474" s="80"/>
      <c r="AC1474" s="80"/>
      <c r="AD1474" s="80"/>
      <c r="AE1474" s="80"/>
      <c r="AF1474" s="80"/>
      <c r="AG1474" s="80"/>
    </row>
    <row r="1475" spans="1:33" x14ac:dyDescent="0.2">
      <c r="A1475" s="2"/>
      <c r="B1475" s="80"/>
      <c r="C1475" s="80"/>
      <c r="D1475" s="80"/>
      <c r="E1475" s="80"/>
      <c r="F1475" s="80"/>
      <c r="G1475" s="80"/>
      <c r="H1475" s="80"/>
      <c r="I1475" s="80"/>
      <c r="J1475" s="80"/>
      <c r="K1475" s="80"/>
      <c r="L1475" s="2"/>
      <c r="M1475" s="2"/>
      <c r="N1475" s="2"/>
      <c r="O1475" s="2"/>
      <c r="P1475" s="2"/>
      <c r="Q1475" s="2"/>
      <c r="R1475" s="80"/>
      <c r="S1475" s="80"/>
      <c r="T1475" s="80"/>
      <c r="U1475" s="80"/>
      <c r="V1475" s="80"/>
      <c r="W1475" s="80"/>
      <c r="X1475" s="80"/>
      <c r="Y1475" s="80"/>
      <c r="Z1475" s="80"/>
      <c r="AA1475" s="80"/>
      <c r="AB1475" s="80"/>
      <c r="AC1475" s="80"/>
      <c r="AD1475" s="80"/>
      <c r="AE1475" s="80"/>
      <c r="AF1475" s="80"/>
      <c r="AG1475" s="80"/>
    </row>
    <row r="1476" spans="1:33" x14ac:dyDescent="0.2">
      <c r="A1476" s="2"/>
      <c r="B1476" s="80"/>
      <c r="C1476" s="80"/>
      <c r="D1476" s="80"/>
      <c r="E1476" s="80"/>
      <c r="F1476" s="80"/>
      <c r="G1476" s="80"/>
      <c r="H1476" s="80"/>
      <c r="I1476" s="80"/>
      <c r="J1476" s="80"/>
      <c r="K1476" s="80"/>
      <c r="L1476" s="2"/>
      <c r="M1476" s="2"/>
      <c r="N1476" s="2"/>
      <c r="O1476" s="2"/>
      <c r="P1476" s="2"/>
      <c r="Q1476" s="2"/>
      <c r="R1476" s="80"/>
      <c r="S1476" s="80"/>
      <c r="T1476" s="80"/>
      <c r="U1476" s="80"/>
      <c r="V1476" s="80"/>
      <c r="W1476" s="80"/>
      <c r="X1476" s="80"/>
      <c r="Y1476" s="80"/>
      <c r="Z1476" s="80"/>
      <c r="AA1476" s="80"/>
      <c r="AB1476" s="80"/>
      <c r="AC1476" s="80"/>
      <c r="AD1476" s="80"/>
      <c r="AE1476" s="80"/>
      <c r="AF1476" s="80"/>
      <c r="AG1476" s="80"/>
    </row>
    <row r="1477" spans="1:33" x14ac:dyDescent="0.2">
      <c r="A1477" s="2"/>
      <c r="B1477" s="80"/>
      <c r="C1477" s="80"/>
      <c r="D1477" s="80"/>
      <c r="E1477" s="80"/>
      <c r="F1477" s="80"/>
      <c r="G1477" s="80"/>
      <c r="H1477" s="80"/>
      <c r="I1477" s="80"/>
      <c r="J1477" s="80"/>
      <c r="K1477" s="80"/>
      <c r="L1477" s="2"/>
      <c r="M1477" s="2"/>
      <c r="N1477" s="2"/>
      <c r="O1477" s="2"/>
      <c r="P1477" s="2"/>
      <c r="Q1477" s="2"/>
      <c r="R1477" s="80"/>
      <c r="S1477" s="80"/>
      <c r="T1477" s="80"/>
      <c r="U1477" s="80"/>
      <c r="V1477" s="80"/>
      <c r="W1477" s="80"/>
      <c r="X1477" s="80"/>
      <c r="Y1477" s="80"/>
      <c r="Z1477" s="80"/>
      <c r="AA1477" s="80"/>
      <c r="AB1477" s="80"/>
      <c r="AC1477" s="80"/>
      <c r="AD1477" s="80"/>
      <c r="AE1477" s="80"/>
      <c r="AF1477" s="80"/>
      <c r="AG1477" s="80"/>
    </row>
    <row r="1478" spans="1:33" x14ac:dyDescent="0.2">
      <c r="A1478" s="2"/>
      <c r="B1478" s="80"/>
      <c r="C1478" s="80"/>
      <c r="D1478" s="80"/>
      <c r="E1478" s="80"/>
      <c r="F1478" s="80"/>
      <c r="G1478" s="80"/>
      <c r="H1478" s="80"/>
      <c r="I1478" s="80"/>
      <c r="J1478" s="80"/>
      <c r="K1478" s="80"/>
      <c r="L1478" s="2"/>
      <c r="M1478" s="2"/>
      <c r="N1478" s="2"/>
      <c r="O1478" s="2"/>
      <c r="P1478" s="2"/>
      <c r="Q1478" s="2"/>
      <c r="R1478" s="80"/>
      <c r="S1478" s="80"/>
      <c r="T1478" s="80"/>
      <c r="U1478" s="80"/>
      <c r="V1478" s="80"/>
      <c r="W1478" s="80"/>
      <c r="X1478" s="80"/>
      <c r="Y1478" s="80"/>
      <c r="Z1478" s="80"/>
      <c r="AA1478" s="80"/>
      <c r="AB1478" s="80"/>
      <c r="AC1478" s="80"/>
      <c r="AD1478" s="80"/>
      <c r="AE1478" s="80"/>
      <c r="AF1478" s="80"/>
      <c r="AG1478" s="80"/>
    </row>
    <row r="1479" spans="1:33" x14ac:dyDescent="0.2">
      <c r="A1479" s="2"/>
      <c r="B1479" s="80"/>
      <c r="C1479" s="80"/>
      <c r="D1479" s="80"/>
      <c r="E1479" s="80"/>
      <c r="F1479" s="80"/>
      <c r="G1479" s="80"/>
      <c r="H1479" s="80"/>
      <c r="I1479" s="80"/>
      <c r="J1479" s="80"/>
      <c r="K1479" s="80"/>
      <c r="L1479" s="2"/>
      <c r="M1479" s="2"/>
      <c r="N1479" s="2"/>
      <c r="O1479" s="2"/>
      <c r="P1479" s="2"/>
      <c r="Q1479" s="2"/>
      <c r="R1479" s="80"/>
      <c r="S1479" s="80"/>
      <c r="T1479" s="80"/>
      <c r="U1479" s="80"/>
      <c r="V1479" s="80"/>
      <c r="W1479" s="80"/>
      <c r="X1479" s="80"/>
      <c r="Y1479" s="80"/>
      <c r="Z1479" s="80"/>
      <c r="AA1479" s="80"/>
      <c r="AB1479" s="80"/>
      <c r="AC1479" s="80"/>
      <c r="AD1479" s="80"/>
      <c r="AE1479" s="80"/>
      <c r="AF1479" s="80"/>
      <c r="AG1479" s="80"/>
    </row>
    <row r="1480" spans="1:33" x14ac:dyDescent="0.2">
      <c r="A1480" s="2"/>
      <c r="B1480" s="80"/>
      <c r="C1480" s="80"/>
      <c r="D1480" s="80"/>
      <c r="E1480" s="80"/>
      <c r="F1480" s="80"/>
      <c r="G1480" s="80"/>
      <c r="H1480" s="80"/>
      <c r="I1480" s="80"/>
      <c r="J1480" s="80"/>
      <c r="K1480" s="80"/>
      <c r="L1480" s="2"/>
      <c r="M1480" s="2"/>
      <c r="N1480" s="2"/>
      <c r="O1480" s="2"/>
      <c r="P1480" s="2"/>
      <c r="Q1480" s="2"/>
      <c r="R1480" s="80"/>
      <c r="S1480" s="80"/>
      <c r="T1480" s="80"/>
      <c r="U1480" s="80"/>
      <c r="V1480" s="80"/>
      <c r="W1480" s="80"/>
      <c r="X1480" s="80"/>
      <c r="Y1480" s="80"/>
      <c r="Z1480" s="80"/>
      <c r="AA1480" s="80"/>
      <c r="AB1480" s="80"/>
      <c r="AC1480" s="80"/>
      <c r="AD1480" s="80"/>
      <c r="AE1480" s="80"/>
      <c r="AF1480" s="80"/>
      <c r="AG1480" s="80"/>
    </row>
    <row r="1481" spans="1:33" x14ac:dyDescent="0.2">
      <c r="A1481" s="2"/>
      <c r="B1481" s="80"/>
      <c r="C1481" s="80"/>
      <c r="D1481" s="80"/>
      <c r="E1481" s="80"/>
      <c r="F1481" s="80"/>
      <c r="G1481" s="80"/>
      <c r="H1481" s="80"/>
      <c r="I1481" s="80"/>
      <c r="J1481" s="80"/>
      <c r="K1481" s="80"/>
      <c r="L1481" s="2"/>
      <c r="M1481" s="2"/>
      <c r="N1481" s="2"/>
      <c r="O1481" s="2"/>
      <c r="P1481" s="2"/>
      <c r="Q1481" s="2"/>
      <c r="R1481" s="80"/>
      <c r="S1481" s="80"/>
      <c r="T1481" s="80"/>
      <c r="U1481" s="80"/>
      <c r="V1481" s="80"/>
      <c r="W1481" s="80"/>
      <c r="X1481" s="80"/>
      <c r="Y1481" s="80"/>
      <c r="Z1481" s="80"/>
      <c r="AA1481" s="80"/>
      <c r="AB1481" s="80"/>
      <c r="AC1481" s="80"/>
      <c r="AD1481" s="80"/>
      <c r="AE1481" s="80"/>
      <c r="AF1481" s="80"/>
      <c r="AG1481" s="80"/>
    </row>
    <row r="1482" spans="1:33" x14ac:dyDescent="0.2">
      <c r="A1482" s="2"/>
      <c r="B1482" s="80"/>
      <c r="C1482" s="80"/>
      <c r="D1482" s="80"/>
      <c r="E1482" s="80"/>
      <c r="F1482" s="80"/>
      <c r="G1482" s="80"/>
      <c r="H1482" s="80"/>
      <c r="I1482" s="80"/>
      <c r="J1482" s="80"/>
      <c r="K1482" s="80"/>
      <c r="L1482" s="2"/>
      <c r="M1482" s="2"/>
      <c r="N1482" s="2"/>
      <c r="O1482" s="2"/>
      <c r="P1482" s="2"/>
      <c r="Q1482" s="2"/>
      <c r="R1482" s="80"/>
      <c r="S1482" s="80"/>
      <c r="T1482" s="80"/>
      <c r="U1482" s="80"/>
      <c r="V1482" s="80"/>
      <c r="W1482" s="80"/>
      <c r="X1482" s="80"/>
      <c r="Y1482" s="80"/>
      <c r="Z1482" s="80"/>
      <c r="AA1482" s="80"/>
      <c r="AB1482" s="80"/>
      <c r="AC1482" s="80"/>
      <c r="AD1482" s="80"/>
      <c r="AE1482" s="80"/>
      <c r="AF1482" s="80"/>
      <c r="AG1482" s="80"/>
    </row>
    <row r="1483" spans="1:33" x14ac:dyDescent="0.2">
      <c r="A1483" s="2"/>
      <c r="B1483" s="80"/>
      <c r="C1483" s="80"/>
      <c r="D1483" s="80"/>
      <c r="E1483" s="80"/>
      <c r="F1483" s="80"/>
      <c r="G1483" s="80"/>
      <c r="H1483" s="80"/>
      <c r="I1483" s="80"/>
      <c r="J1483" s="80"/>
      <c r="K1483" s="80"/>
      <c r="L1483" s="2"/>
      <c r="M1483" s="2"/>
      <c r="N1483" s="2"/>
      <c r="O1483" s="2"/>
      <c r="P1483" s="2"/>
      <c r="Q1483" s="2"/>
      <c r="R1483" s="80"/>
      <c r="S1483" s="80"/>
      <c r="T1483" s="80"/>
      <c r="U1483" s="80"/>
      <c r="V1483" s="80"/>
      <c r="W1483" s="80"/>
      <c r="X1483" s="80"/>
      <c r="Y1483" s="80"/>
      <c r="Z1483" s="80"/>
      <c r="AA1483" s="80"/>
      <c r="AB1483" s="80"/>
      <c r="AC1483" s="80"/>
      <c r="AD1483" s="80"/>
      <c r="AE1483" s="80"/>
      <c r="AF1483" s="80"/>
      <c r="AG1483" s="80"/>
    </row>
    <row r="1484" spans="1:33" x14ac:dyDescent="0.2">
      <c r="A1484" s="2"/>
      <c r="B1484" s="80"/>
      <c r="C1484" s="80"/>
      <c r="D1484" s="80"/>
      <c r="E1484" s="80"/>
      <c r="F1484" s="80"/>
      <c r="G1484" s="80"/>
      <c r="H1484" s="80"/>
      <c r="I1484" s="80"/>
      <c r="J1484" s="80"/>
      <c r="K1484" s="80"/>
      <c r="L1484" s="2"/>
      <c r="M1484" s="2"/>
      <c r="N1484" s="2"/>
      <c r="O1484" s="2"/>
      <c r="P1484" s="2"/>
      <c r="Q1484" s="2"/>
      <c r="R1484" s="80"/>
      <c r="S1484" s="80"/>
      <c r="T1484" s="80"/>
      <c r="U1484" s="80"/>
      <c r="V1484" s="80"/>
      <c r="W1484" s="80"/>
      <c r="X1484" s="80"/>
      <c r="Y1484" s="80"/>
      <c r="Z1484" s="80"/>
      <c r="AA1484" s="80"/>
      <c r="AB1484" s="80"/>
      <c r="AC1484" s="80"/>
      <c r="AD1484" s="80"/>
      <c r="AE1484" s="80"/>
      <c r="AF1484" s="80"/>
      <c r="AG1484" s="80"/>
    </row>
    <row r="1485" spans="1:33" x14ac:dyDescent="0.2">
      <c r="A1485" s="2"/>
      <c r="B1485" s="80"/>
      <c r="C1485" s="80"/>
      <c r="D1485" s="80"/>
      <c r="E1485" s="80"/>
      <c r="F1485" s="80"/>
      <c r="G1485" s="80"/>
      <c r="H1485" s="80"/>
      <c r="I1485" s="80"/>
      <c r="J1485" s="80"/>
      <c r="K1485" s="80"/>
      <c r="L1485" s="2"/>
      <c r="M1485" s="2"/>
      <c r="N1485" s="2"/>
      <c r="O1485" s="2"/>
      <c r="P1485" s="2"/>
      <c r="Q1485" s="2"/>
      <c r="R1485" s="80"/>
      <c r="S1485" s="80"/>
      <c r="T1485" s="80"/>
      <c r="U1485" s="80"/>
      <c r="V1485" s="80"/>
      <c r="W1485" s="80"/>
      <c r="X1485" s="80"/>
      <c r="Y1485" s="80"/>
      <c r="Z1485" s="80"/>
      <c r="AA1485" s="80"/>
      <c r="AB1485" s="80"/>
      <c r="AC1485" s="80"/>
      <c r="AD1485" s="80"/>
      <c r="AE1485" s="80"/>
      <c r="AF1485" s="80"/>
      <c r="AG1485" s="80"/>
    </row>
    <row r="1486" spans="1:33" x14ac:dyDescent="0.2">
      <c r="A1486" s="2"/>
      <c r="B1486" s="80"/>
      <c r="C1486" s="80"/>
      <c r="D1486" s="80"/>
      <c r="E1486" s="80"/>
      <c r="F1486" s="80"/>
      <c r="G1486" s="80"/>
      <c r="H1486" s="80"/>
      <c r="I1486" s="80"/>
      <c r="J1486" s="80"/>
      <c r="K1486" s="80"/>
      <c r="L1486" s="2"/>
      <c r="M1486" s="2"/>
      <c r="N1486" s="2"/>
      <c r="O1486" s="2"/>
      <c r="P1486" s="2"/>
      <c r="Q1486" s="2"/>
      <c r="R1486" s="80"/>
      <c r="S1486" s="80"/>
      <c r="T1486" s="80"/>
      <c r="U1486" s="80"/>
      <c r="V1486" s="80"/>
      <c r="W1486" s="80"/>
      <c r="X1486" s="80"/>
      <c r="Y1486" s="80"/>
      <c r="Z1486" s="80"/>
      <c r="AA1486" s="80"/>
      <c r="AB1486" s="80"/>
      <c r="AC1486" s="80"/>
      <c r="AD1486" s="80"/>
      <c r="AE1486" s="80"/>
      <c r="AF1486" s="80"/>
      <c r="AG1486" s="80"/>
    </row>
    <row r="1487" spans="1:33" x14ac:dyDescent="0.2">
      <c r="A1487" s="2"/>
      <c r="B1487" s="80"/>
      <c r="C1487" s="80"/>
      <c r="D1487" s="80"/>
      <c r="E1487" s="80"/>
      <c r="F1487" s="80"/>
      <c r="G1487" s="80"/>
      <c r="H1487" s="80"/>
      <c r="I1487" s="80"/>
      <c r="J1487" s="80"/>
      <c r="K1487" s="80"/>
      <c r="L1487" s="2"/>
      <c r="M1487" s="2"/>
      <c r="N1487" s="2"/>
      <c r="O1487" s="2"/>
      <c r="P1487" s="2"/>
      <c r="Q1487" s="2"/>
      <c r="R1487" s="80"/>
      <c r="S1487" s="80"/>
      <c r="T1487" s="80"/>
      <c r="U1487" s="80"/>
      <c r="V1487" s="80"/>
      <c r="W1487" s="80"/>
      <c r="X1487" s="80"/>
      <c r="Y1487" s="80"/>
      <c r="Z1487" s="80"/>
      <c r="AA1487" s="80"/>
      <c r="AB1487" s="80"/>
      <c r="AC1487" s="80"/>
      <c r="AD1487" s="80"/>
      <c r="AE1487" s="80"/>
      <c r="AF1487" s="80"/>
      <c r="AG1487" s="80"/>
    </row>
    <row r="1488" spans="1:33" x14ac:dyDescent="0.2">
      <c r="A1488" s="2"/>
      <c r="B1488" s="80"/>
      <c r="C1488" s="80"/>
      <c r="D1488" s="80"/>
      <c r="E1488" s="80"/>
      <c r="F1488" s="80"/>
      <c r="G1488" s="80"/>
      <c r="H1488" s="80"/>
      <c r="I1488" s="80"/>
      <c r="J1488" s="80"/>
      <c r="K1488" s="80"/>
      <c r="L1488" s="2"/>
      <c r="M1488" s="2"/>
      <c r="N1488" s="2"/>
      <c r="O1488" s="2"/>
      <c r="P1488" s="2"/>
      <c r="Q1488" s="2"/>
      <c r="R1488" s="80"/>
      <c r="S1488" s="80"/>
      <c r="T1488" s="80"/>
      <c r="U1488" s="80"/>
      <c r="V1488" s="80"/>
      <c r="W1488" s="80"/>
      <c r="X1488" s="80"/>
      <c r="Y1488" s="80"/>
      <c r="Z1488" s="80"/>
      <c r="AA1488" s="80"/>
      <c r="AB1488" s="80"/>
      <c r="AC1488" s="80"/>
      <c r="AD1488" s="80"/>
      <c r="AE1488" s="80"/>
      <c r="AF1488" s="80"/>
      <c r="AG1488" s="80"/>
    </row>
    <row r="1489" spans="1:33" x14ac:dyDescent="0.2">
      <c r="A1489" s="2"/>
      <c r="B1489" s="80"/>
      <c r="C1489" s="80"/>
      <c r="D1489" s="80"/>
      <c r="E1489" s="80"/>
      <c r="F1489" s="80"/>
      <c r="G1489" s="80"/>
      <c r="H1489" s="80"/>
      <c r="I1489" s="80"/>
      <c r="J1489" s="80"/>
      <c r="K1489" s="80"/>
      <c r="L1489" s="2"/>
      <c r="M1489" s="2"/>
      <c r="N1489" s="2"/>
      <c r="O1489" s="2"/>
      <c r="P1489" s="2"/>
      <c r="Q1489" s="2"/>
      <c r="R1489" s="80"/>
      <c r="S1489" s="80"/>
      <c r="T1489" s="80"/>
      <c r="U1489" s="80"/>
      <c r="V1489" s="80"/>
      <c r="W1489" s="80"/>
      <c r="X1489" s="80"/>
      <c r="Y1489" s="80"/>
      <c r="Z1489" s="80"/>
      <c r="AA1489" s="80"/>
      <c r="AB1489" s="80"/>
      <c r="AC1489" s="80"/>
      <c r="AD1489" s="80"/>
      <c r="AE1489" s="80"/>
      <c r="AF1489" s="80"/>
      <c r="AG1489" s="80"/>
    </row>
    <row r="1490" spans="1:33" x14ac:dyDescent="0.2">
      <c r="A1490" s="2"/>
      <c r="B1490" s="80"/>
      <c r="C1490" s="80"/>
      <c r="D1490" s="80"/>
      <c r="E1490" s="80"/>
      <c r="F1490" s="80"/>
      <c r="G1490" s="80"/>
      <c r="H1490" s="80"/>
      <c r="I1490" s="80"/>
      <c r="J1490" s="80"/>
      <c r="K1490" s="80"/>
      <c r="L1490" s="2"/>
      <c r="M1490" s="2"/>
      <c r="N1490" s="2"/>
      <c r="O1490" s="2"/>
      <c r="P1490" s="2"/>
      <c r="Q1490" s="2"/>
      <c r="R1490" s="80"/>
      <c r="S1490" s="80"/>
      <c r="T1490" s="80"/>
      <c r="U1490" s="80"/>
      <c r="V1490" s="80"/>
      <c r="W1490" s="80"/>
      <c r="X1490" s="80"/>
      <c r="Y1490" s="80"/>
      <c r="Z1490" s="80"/>
      <c r="AA1490" s="80"/>
      <c r="AB1490" s="80"/>
      <c r="AC1490" s="80"/>
      <c r="AD1490" s="80"/>
      <c r="AE1490" s="80"/>
      <c r="AF1490" s="80"/>
      <c r="AG1490" s="80"/>
    </row>
    <row r="1491" spans="1:33" x14ac:dyDescent="0.2">
      <c r="A1491" s="2"/>
      <c r="B1491" s="80"/>
      <c r="C1491" s="80"/>
      <c r="D1491" s="80"/>
      <c r="E1491" s="80"/>
      <c r="F1491" s="80"/>
      <c r="G1491" s="80"/>
      <c r="H1491" s="80"/>
      <c r="I1491" s="80"/>
      <c r="J1491" s="80"/>
      <c r="K1491" s="80"/>
      <c r="L1491" s="2"/>
      <c r="M1491" s="2"/>
      <c r="N1491" s="2"/>
      <c r="O1491" s="2"/>
      <c r="P1491" s="2"/>
      <c r="Q1491" s="2"/>
      <c r="R1491" s="80"/>
      <c r="S1491" s="80"/>
      <c r="T1491" s="80"/>
      <c r="U1491" s="80"/>
      <c r="V1491" s="80"/>
      <c r="W1491" s="80"/>
      <c r="X1491" s="80"/>
      <c r="Y1491" s="80"/>
      <c r="Z1491" s="80"/>
      <c r="AA1491" s="80"/>
      <c r="AB1491" s="80"/>
      <c r="AC1491" s="80"/>
      <c r="AD1491" s="80"/>
      <c r="AE1491" s="80"/>
      <c r="AF1491" s="80"/>
      <c r="AG1491" s="80"/>
    </row>
    <row r="1492" spans="1:33" x14ac:dyDescent="0.2">
      <c r="A1492" s="2"/>
      <c r="B1492" s="80"/>
      <c r="C1492" s="80"/>
      <c r="D1492" s="80"/>
      <c r="E1492" s="80"/>
      <c r="F1492" s="80"/>
      <c r="G1492" s="80"/>
      <c r="H1492" s="80"/>
      <c r="I1492" s="80"/>
      <c r="J1492" s="80"/>
      <c r="K1492" s="80"/>
      <c r="L1492" s="2"/>
      <c r="M1492" s="2"/>
      <c r="N1492" s="2"/>
      <c r="O1492" s="2"/>
      <c r="P1492" s="2"/>
      <c r="Q1492" s="2"/>
      <c r="R1492" s="80"/>
      <c r="S1492" s="80"/>
      <c r="T1492" s="80"/>
      <c r="U1492" s="80"/>
      <c r="V1492" s="80"/>
      <c r="W1492" s="80"/>
      <c r="X1492" s="80"/>
      <c r="Y1492" s="80"/>
      <c r="Z1492" s="80"/>
      <c r="AA1492" s="80"/>
      <c r="AB1492" s="80"/>
      <c r="AC1492" s="80"/>
      <c r="AD1492" s="80"/>
      <c r="AE1492" s="80"/>
      <c r="AF1492" s="80"/>
      <c r="AG1492" s="80"/>
    </row>
    <row r="1493" spans="1:33" x14ac:dyDescent="0.2">
      <c r="A1493" s="2"/>
      <c r="B1493" s="80"/>
      <c r="C1493" s="80"/>
      <c r="D1493" s="80"/>
      <c r="E1493" s="80"/>
      <c r="F1493" s="80"/>
      <c r="G1493" s="80"/>
      <c r="H1493" s="80"/>
      <c r="I1493" s="80"/>
      <c r="J1493" s="80"/>
      <c r="K1493" s="80"/>
      <c r="L1493" s="2"/>
      <c r="M1493" s="2"/>
      <c r="N1493" s="2"/>
      <c r="O1493" s="2"/>
      <c r="P1493" s="2"/>
      <c r="Q1493" s="2"/>
      <c r="R1493" s="80"/>
      <c r="S1493" s="80"/>
      <c r="T1493" s="80"/>
      <c r="U1493" s="80"/>
      <c r="V1493" s="80"/>
      <c r="W1493" s="80"/>
      <c r="X1493" s="80"/>
      <c r="Y1493" s="80"/>
      <c r="Z1493" s="80"/>
      <c r="AA1493" s="80"/>
      <c r="AB1493" s="80"/>
      <c r="AC1493" s="80"/>
      <c r="AD1493" s="80"/>
      <c r="AE1493" s="80"/>
      <c r="AF1493" s="80"/>
      <c r="AG1493" s="80"/>
    </row>
    <row r="1494" spans="1:33" x14ac:dyDescent="0.2">
      <c r="A1494" s="2"/>
      <c r="B1494" s="80"/>
      <c r="C1494" s="80"/>
      <c r="D1494" s="80"/>
      <c r="E1494" s="80"/>
      <c r="F1494" s="80"/>
      <c r="G1494" s="80"/>
      <c r="H1494" s="80"/>
      <c r="I1494" s="80"/>
      <c r="J1494" s="80"/>
      <c r="K1494" s="80"/>
      <c r="L1494" s="2"/>
      <c r="M1494" s="2"/>
      <c r="N1494" s="2"/>
      <c r="O1494" s="2"/>
      <c r="P1494" s="2"/>
      <c r="Q1494" s="2"/>
      <c r="R1494" s="80"/>
      <c r="S1494" s="80"/>
      <c r="T1494" s="80"/>
      <c r="U1494" s="80"/>
      <c r="V1494" s="80"/>
      <c r="W1494" s="80"/>
      <c r="X1494" s="80"/>
      <c r="Y1494" s="80"/>
      <c r="Z1494" s="80"/>
      <c r="AA1494" s="80"/>
      <c r="AB1494" s="80"/>
      <c r="AC1494" s="80"/>
      <c r="AD1494" s="80"/>
      <c r="AE1494" s="80"/>
      <c r="AF1494" s="80"/>
      <c r="AG1494" s="80"/>
    </row>
    <row r="1495" spans="1:33" x14ac:dyDescent="0.2">
      <c r="A1495" s="2"/>
      <c r="B1495" s="80"/>
      <c r="C1495" s="80"/>
      <c r="D1495" s="80"/>
      <c r="E1495" s="80"/>
      <c r="F1495" s="80"/>
      <c r="G1495" s="80"/>
      <c r="H1495" s="80"/>
      <c r="I1495" s="80"/>
      <c r="J1495" s="80"/>
      <c r="K1495" s="80"/>
      <c r="L1495" s="2"/>
      <c r="M1495" s="2"/>
      <c r="N1495" s="2"/>
      <c r="O1495" s="2"/>
      <c r="P1495" s="2"/>
      <c r="Q1495" s="2"/>
      <c r="R1495" s="80"/>
      <c r="S1495" s="80"/>
      <c r="T1495" s="80"/>
      <c r="U1495" s="80"/>
      <c r="V1495" s="80"/>
      <c r="W1495" s="80"/>
      <c r="X1495" s="80"/>
      <c r="Y1495" s="80"/>
      <c r="Z1495" s="80"/>
      <c r="AA1495" s="80"/>
      <c r="AB1495" s="80"/>
      <c r="AC1495" s="80"/>
      <c r="AD1495" s="80"/>
      <c r="AE1495" s="80"/>
      <c r="AF1495" s="80"/>
      <c r="AG1495" s="80"/>
    </row>
    <row r="1496" spans="1:33" x14ac:dyDescent="0.2">
      <c r="A1496" s="2"/>
      <c r="B1496" s="80"/>
      <c r="C1496" s="80"/>
      <c r="D1496" s="80"/>
      <c r="E1496" s="80"/>
      <c r="F1496" s="80"/>
      <c r="G1496" s="80"/>
      <c r="H1496" s="80"/>
      <c r="I1496" s="80"/>
      <c r="J1496" s="80"/>
      <c r="K1496" s="80"/>
      <c r="L1496" s="2"/>
      <c r="M1496" s="2"/>
      <c r="N1496" s="2"/>
      <c r="O1496" s="2"/>
      <c r="P1496" s="2"/>
      <c r="Q1496" s="2"/>
      <c r="R1496" s="80"/>
      <c r="S1496" s="80"/>
      <c r="T1496" s="80"/>
      <c r="U1496" s="80"/>
      <c r="V1496" s="80"/>
      <c r="W1496" s="80"/>
      <c r="X1496" s="80"/>
      <c r="Y1496" s="80"/>
      <c r="Z1496" s="80"/>
      <c r="AA1496" s="80"/>
      <c r="AB1496" s="80"/>
      <c r="AC1496" s="80"/>
      <c r="AD1496" s="80"/>
      <c r="AE1496" s="80"/>
      <c r="AF1496" s="80"/>
      <c r="AG1496" s="80"/>
    </row>
    <row r="1497" spans="1:33" x14ac:dyDescent="0.2">
      <c r="A1497" s="2"/>
      <c r="B1497" s="80"/>
      <c r="C1497" s="80"/>
      <c r="D1497" s="80"/>
      <c r="E1497" s="80"/>
      <c r="F1497" s="80"/>
      <c r="G1497" s="80"/>
      <c r="H1497" s="80"/>
      <c r="I1497" s="80"/>
      <c r="J1497" s="80"/>
      <c r="K1497" s="80"/>
      <c r="L1497" s="2"/>
      <c r="M1497" s="2"/>
      <c r="N1497" s="2"/>
      <c r="O1497" s="2"/>
      <c r="P1497" s="2"/>
      <c r="Q1497" s="2"/>
      <c r="R1497" s="80"/>
      <c r="S1497" s="80"/>
      <c r="T1497" s="80"/>
      <c r="U1497" s="80"/>
      <c r="V1497" s="80"/>
      <c r="W1497" s="80"/>
      <c r="X1497" s="80"/>
      <c r="Y1497" s="80"/>
      <c r="Z1497" s="80"/>
      <c r="AA1497" s="80"/>
      <c r="AB1497" s="80"/>
      <c r="AC1497" s="80"/>
      <c r="AD1497" s="80"/>
      <c r="AE1497" s="80"/>
      <c r="AF1497" s="80"/>
      <c r="AG1497" s="80"/>
    </row>
    <row r="1498" spans="1:33" x14ac:dyDescent="0.2">
      <c r="A1498" s="2"/>
      <c r="B1498" s="80"/>
      <c r="C1498" s="80"/>
      <c r="D1498" s="80"/>
      <c r="E1498" s="80"/>
      <c r="F1498" s="80"/>
      <c r="G1498" s="80"/>
      <c r="H1498" s="80"/>
      <c r="I1498" s="80"/>
      <c r="J1498" s="80"/>
      <c r="K1498" s="80"/>
      <c r="L1498" s="2"/>
      <c r="M1498" s="2"/>
      <c r="N1498" s="2"/>
      <c r="O1498" s="2"/>
      <c r="P1498" s="2"/>
      <c r="Q1498" s="2"/>
      <c r="R1498" s="80"/>
      <c r="S1498" s="80"/>
      <c r="T1498" s="80"/>
      <c r="U1498" s="80"/>
      <c r="V1498" s="80"/>
      <c r="W1498" s="80"/>
      <c r="X1498" s="80"/>
      <c r="Y1498" s="80"/>
      <c r="Z1498" s="80"/>
      <c r="AA1498" s="80"/>
      <c r="AB1498" s="80"/>
      <c r="AC1498" s="80"/>
      <c r="AD1498" s="80"/>
      <c r="AE1498" s="80"/>
      <c r="AF1498" s="80"/>
      <c r="AG1498" s="80"/>
    </row>
    <row r="1499" spans="1:33" x14ac:dyDescent="0.2">
      <c r="A1499" s="2"/>
      <c r="B1499" s="80"/>
      <c r="C1499" s="80"/>
      <c r="D1499" s="80"/>
      <c r="E1499" s="80"/>
      <c r="F1499" s="80"/>
      <c r="G1499" s="80"/>
      <c r="H1499" s="80"/>
      <c r="I1499" s="80"/>
      <c r="J1499" s="80"/>
      <c r="K1499" s="80"/>
      <c r="L1499" s="2"/>
      <c r="M1499" s="2"/>
      <c r="N1499" s="2"/>
      <c r="O1499" s="2"/>
      <c r="P1499" s="2"/>
      <c r="Q1499" s="2"/>
      <c r="R1499" s="80"/>
      <c r="S1499" s="80"/>
      <c r="T1499" s="80"/>
      <c r="U1499" s="80"/>
      <c r="V1499" s="80"/>
      <c r="W1499" s="80"/>
      <c r="X1499" s="80"/>
      <c r="Y1499" s="80"/>
      <c r="Z1499" s="80"/>
      <c r="AA1499" s="80"/>
      <c r="AB1499" s="80"/>
      <c r="AC1499" s="80"/>
      <c r="AD1499" s="80"/>
      <c r="AE1499" s="80"/>
      <c r="AF1499" s="80"/>
      <c r="AG1499" s="80"/>
    </row>
    <row r="1500" spans="1:33" x14ac:dyDescent="0.2">
      <c r="A1500" s="2"/>
      <c r="B1500" s="80"/>
      <c r="C1500" s="80"/>
      <c r="D1500" s="80"/>
      <c r="E1500" s="80"/>
      <c r="F1500" s="80"/>
      <c r="G1500" s="80"/>
      <c r="H1500" s="80"/>
      <c r="I1500" s="80"/>
      <c r="J1500" s="80"/>
      <c r="K1500" s="80"/>
      <c r="L1500" s="2"/>
      <c r="M1500" s="2"/>
      <c r="N1500" s="2"/>
      <c r="O1500" s="2"/>
      <c r="P1500" s="2"/>
      <c r="Q1500" s="2"/>
      <c r="R1500" s="80"/>
      <c r="S1500" s="80"/>
      <c r="T1500" s="80"/>
      <c r="U1500" s="80"/>
      <c r="V1500" s="80"/>
      <c r="W1500" s="80"/>
      <c r="X1500" s="80"/>
      <c r="Y1500" s="80"/>
      <c r="Z1500" s="80"/>
      <c r="AA1500" s="80"/>
      <c r="AB1500" s="80"/>
      <c r="AC1500" s="80"/>
      <c r="AD1500" s="80"/>
      <c r="AE1500" s="80"/>
      <c r="AF1500" s="80"/>
      <c r="AG1500" s="80"/>
    </row>
    <row r="1501" spans="1:33" x14ac:dyDescent="0.2">
      <c r="A1501" s="2"/>
      <c r="B1501" s="80"/>
      <c r="C1501" s="80"/>
      <c r="D1501" s="80"/>
      <c r="E1501" s="80"/>
      <c r="F1501" s="80"/>
      <c r="G1501" s="80"/>
      <c r="H1501" s="80"/>
      <c r="I1501" s="80"/>
      <c r="J1501" s="80"/>
      <c r="K1501" s="80"/>
      <c r="L1501" s="2"/>
      <c r="M1501" s="2"/>
      <c r="N1501" s="2"/>
      <c r="O1501" s="2"/>
      <c r="P1501" s="2"/>
      <c r="Q1501" s="2"/>
      <c r="R1501" s="80"/>
      <c r="S1501" s="80"/>
      <c r="T1501" s="80"/>
      <c r="U1501" s="80"/>
      <c r="V1501" s="80"/>
      <c r="W1501" s="80"/>
      <c r="X1501" s="80"/>
      <c r="Y1501" s="80"/>
      <c r="Z1501" s="80"/>
      <c r="AA1501" s="80"/>
      <c r="AB1501" s="80"/>
      <c r="AC1501" s="80"/>
      <c r="AD1501" s="80"/>
      <c r="AE1501" s="80"/>
      <c r="AF1501" s="80"/>
      <c r="AG1501" s="80"/>
    </row>
    <row r="1502" spans="1:33" x14ac:dyDescent="0.2">
      <c r="A1502" s="2"/>
      <c r="B1502" s="80"/>
      <c r="C1502" s="80"/>
      <c r="D1502" s="80"/>
      <c r="E1502" s="80"/>
      <c r="F1502" s="80"/>
      <c r="G1502" s="80"/>
      <c r="H1502" s="80"/>
      <c r="I1502" s="80"/>
      <c r="J1502" s="80"/>
      <c r="K1502" s="80"/>
      <c r="L1502" s="2"/>
      <c r="M1502" s="2"/>
      <c r="N1502" s="2"/>
      <c r="O1502" s="2"/>
      <c r="P1502" s="2"/>
      <c r="Q1502" s="2"/>
      <c r="R1502" s="80"/>
      <c r="S1502" s="80"/>
      <c r="T1502" s="80"/>
      <c r="U1502" s="80"/>
      <c r="V1502" s="80"/>
      <c r="W1502" s="80"/>
      <c r="X1502" s="80"/>
      <c r="Y1502" s="80"/>
      <c r="Z1502" s="80"/>
      <c r="AA1502" s="80"/>
      <c r="AB1502" s="80"/>
      <c r="AC1502" s="80"/>
      <c r="AD1502" s="80"/>
      <c r="AE1502" s="80"/>
      <c r="AF1502" s="80"/>
      <c r="AG1502" s="80"/>
    </row>
    <row r="1503" spans="1:33" x14ac:dyDescent="0.2">
      <c r="A1503" s="2"/>
      <c r="B1503" s="80"/>
      <c r="C1503" s="80"/>
      <c r="D1503" s="80"/>
      <c r="E1503" s="80"/>
      <c r="F1503" s="80"/>
      <c r="G1503" s="80"/>
      <c r="H1503" s="80"/>
      <c r="I1503" s="80"/>
      <c r="J1503" s="80"/>
      <c r="K1503" s="80"/>
      <c r="L1503" s="2"/>
      <c r="M1503" s="2"/>
      <c r="N1503" s="2"/>
      <c r="O1503" s="2"/>
      <c r="P1503" s="2"/>
      <c r="Q1503" s="2"/>
      <c r="R1503" s="80"/>
      <c r="S1503" s="80"/>
      <c r="T1503" s="80"/>
      <c r="U1503" s="80"/>
      <c r="V1503" s="80"/>
      <c r="W1503" s="80"/>
      <c r="X1503" s="80"/>
      <c r="Y1503" s="80"/>
      <c r="Z1503" s="80"/>
      <c r="AA1503" s="80"/>
      <c r="AB1503" s="80"/>
      <c r="AC1503" s="80"/>
      <c r="AD1503" s="80"/>
      <c r="AE1503" s="80"/>
      <c r="AF1503" s="80"/>
      <c r="AG1503" s="80"/>
    </row>
    <row r="1504" spans="1:33" x14ac:dyDescent="0.2">
      <c r="A1504" s="2"/>
      <c r="B1504" s="80"/>
      <c r="C1504" s="80"/>
      <c r="D1504" s="80"/>
      <c r="E1504" s="80"/>
      <c r="F1504" s="80"/>
      <c r="G1504" s="80"/>
      <c r="H1504" s="80"/>
      <c r="I1504" s="80"/>
      <c r="J1504" s="80"/>
      <c r="K1504" s="80"/>
      <c r="L1504" s="2"/>
      <c r="M1504" s="2"/>
      <c r="N1504" s="2"/>
      <c r="O1504" s="2"/>
      <c r="P1504" s="2"/>
      <c r="Q1504" s="2"/>
      <c r="R1504" s="80"/>
      <c r="S1504" s="80"/>
      <c r="T1504" s="80"/>
      <c r="U1504" s="80"/>
      <c r="V1504" s="80"/>
      <c r="W1504" s="80"/>
      <c r="X1504" s="80"/>
      <c r="Y1504" s="80"/>
      <c r="Z1504" s="80"/>
      <c r="AA1504" s="80"/>
      <c r="AB1504" s="80"/>
      <c r="AC1504" s="80"/>
      <c r="AD1504" s="80"/>
      <c r="AE1504" s="80"/>
      <c r="AF1504" s="80"/>
      <c r="AG1504" s="80"/>
    </row>
    <row r="1505" spans="1:33" x14ac:dyDescent="0.2">
      <c r="A1505" s="2"/>
      <c r="B1505" s="80"/>
      <c r="C1505" s="80"/>
      <c r="D1505" s="80"/>
      <c r="E1505" s="80"/>
      <c r="F1505" s="80"/>
      <c r="G1505" s="80"/>
      <c r="H1505" s="80"/>
      <c r="I1505" s="80"/>
      <c r="J1505" s="80"/>
      <c r="K1505" s="80"/>
      <c r="L1505" s="2"/>
      <c r="M1505" s="2"/>
      <c r="N1505" s="2"/>
      <c r="O1505" s="2"/>
      <c r="P1505" s="2"/>
      <c r="Q1505" s="2"/>
      <c r="R1505" s="80"/>
      <c r="S1505" s="80"/>
      <c r="T1505" s="80"/>
      <c r="U1505" s="80"/>
      <c r="V1505" s="80"/>
      <c r="W1505" s="80"/>
      <c r="X1505" s="80"/>
      <c r="Y1505" s="80"/>
      <c r="Z1505" s="80"/>
      <c r="AA1505" s="80"/>
      <c r="AB1505" s="80"/>
      <c r="AC1505" s="80"/>
      <c r="AD1505" s="80"/>
      <c r="AE1505" s="80"/>
      <c r="AF1505" s="80"/>
      <c r="AG1505" s="80"/>
    </row>
    <row r="1506" spans="1:33" x14ac:dyDescent="0.2">
      <c r="A1506" s="2"/>
      <c r="B1506" s="80"/>
      <c r="C1506" s="80"/>
      <c r="D1506" s="80"/>
      <c r="E1506" s="80"/>
      <c r="F1506" s="80"/>
      <c r="G1506" s="80"/>
      <c r="H1506" s="80"/>
      <c r="I1506" s="80"/>
      <c r="J1506" s="80"/>
      <c r="K1506" s="80"/>
      <c r="L1506" s="2"/>
      <c r="M1506" s="2"/>
      <c r="N1506" s="2"/>
      <c r="O1506" s="2"/>
      <c r="P1506" s="2"/>
      <c r="Q1506" s="2"/>
      <c r="R1506" s="80"/>
      <c r="S1506" s="80"/>
      <c r="T1506" s="80"/>
      <c r="U1506" s="80"/>
      <c r="V1506" s="80"/>
      <c r="W1506" s="80"/>
      <c r="X1506" s="80"/>
      <c r="Y1506" s="80"/>
      <c r="Z1506" s="80"/>
      <c r="AA1506" s="80"/>
      <c r="AB1506" s="80"/>
      <c r="AC1506" s="80"/>
      <c r="AD1506" s="80"/>
      <c r="AE1506" s="80"/>
      <c r="AF1506" s="80"/>
      <c r="AG1506" s="80"/>
    </row>
    <row r="1507" spans="1:33" x14ac:dyDescent="0.2">
      <c r="A1507" s="2"/>
      <c r="B1507" s="80"/>
      <c r="C1507" s="80"/>
      <c r="D1507" s="80"/>
      <c r="E1507" s="80"/>
      <c r="F1507" s="80"/>
      <c r="G1507" s="80"/>
      <c r="H1507" s="80"/>
      <c r="I1507" s="80"/>
      <c r="J1507" s="80"/>
      <c r="K1507" s="80"/>
      <c r="L1507" s="2"/>
      <c r="M1507" s="2"/>
      <c r="N1507" s="2"/>
      <c r="O1507" s="2"/>
      <c r="P1507" s="2"/>
      <c r="Q1507" s="2"/>
      <c r="R1507" s="80"/>
      <c r="S1507" s="80"/>
      <c r="T1507" s="80"/>
      <c r="U1507" s="80"/>
      <c r="V1507" s="80"/>
      <c r="W1507" s="80"/>
      <c r="X1507" s="80"/>
      <c r="Y1507" s="80"/>
      <c r="Z1507" s="80"/>
      <c r="AA1507" s="80"/>
      <c r="AB1507" s="80"/>
      <c r="AC1507" s="80"/>
      <c r="AD1507" s="80"/>
      <c r="AE1507" s="80"/>
      <c r="AF1507" s="80"/>
      <c r="AG1507" s="80"/>
    </row>
    <row r="1508" spans="1:33" x14ac:dyDescent="0.2">
      <c r="A1508" s="2"/>
      <c r="B1508" s="80"/>
      <c r="C1508" s="80"/>
      <c r="D1508" s="80"/>
      <c r="E1508" s="80"/>
      <c r="F1508" s="80"/>
      <c r="G1508" s="80"/>
      <c r="H1508" s="80"/>
      <c r="I1508" s="80"/>
      <c r="J1508" s="80"/>
      <c r="K1508" s="80"/>
      <c r="L1508" s="2"/>
      <c r="M1508" s="2"/>
      <c r="N1508" s="2"/>
      <c r="O1508" s="2"/>
      <c r="P1508" s="2"/>
      <c r="Q1508" s="2"/>
      <c r="R1508" s="80"/>
      <c r="S1508" s="80"/>
      <c r="T1508" s="80"/>
      <c r="U1508" s="80"/>
      <c r="V1508" s="80"/>
      <c r="W1508" s="80"/>
      <c r="X1508" s="80"/>
      <c r="Y1508" s="80"/>
      <c r="Z1508" s="80"/>
      <c r="AA1508" s="80"/>
      <c r="AB1508" s="80"/>
      <c r="AC1508" s="80"/>
      <c r="AD1508" s="80"/>
      <c r="AE1508" s="80"/>
      <c r="AF1508" s="80"/>
      <c r="AG1508" s="80"/>
    </row>
    <row r="1509" spans="1:33" x14ac:dyDescent="0.2">
      <c r="A1509" s="2"/>
      <c r="B1509" s="80"/>
      <c r="C1509" s="80"/>
      <c r="D1509" s="80"/>
      <c r="E1509" s="80"/>
      <c r="F1509" s="80"/>
      <c r="G1509" s="80"/>
      <c r="H1509" s="80"/>
      <c r="I1509" s="80"/>
      <c r="J1509" s="80"/>
      <c r="K1509" s="80"/>
      <c r="L1509" s="2"/>
      <c r="M1509" s="2"/>
      <c r="N1509" s="2"/>
      <c r="O1509" s="2"/>
      <c r="P1509" s="2"/>
      <c r="Q1509" s="2"/>
      <c r="R1509" s="80"/>
      <c r="S1509" s="80"/>
      <c r="T1509" s="80"/>
      <c r="U1509" s="80"/>
      <c r="V1509" s="80"/>
      <c r="W1509" s="80"/>
      <c r="X1509" s="80"/>
      <c r="Y1509" s="80"/>
      <c r="Z1509" s="80"/>
      <c r="AA1509" s="80"/>
      <c r="AB1509" s="80"/>
      <c r="AC1509" s="80"/>
      <c r="AD1509" s="80"/>
      <c r="AE1509" s="80"/>
      <c r="AF1509" s="80"/>
      <c r="AG1509" s="80"/>
    </row>
    <row r="1510" spans="1:33" x14ac:dyDescent="0.2">
      <c r="A1510" s="2"/>
      <c r="B1510" s="80"/>
      <c r="C1510" s="80"/>
      <c r="D1510" s="80"/>
      <c r="E1510" s="80"/>
      <c r="F1510" s="80"/>
      <c r="G1510" s="80"/>
      <c r="H1510" s="80"/>
      <c r="I1510" s="80"/>
      <c r="J1510" s="80"/>
      <c r="K1510" s="80"/>
      <c r="L1510" s="2"/>
      <c r="M1510" s="2"/>
      <c r="N1510" s="2"/>
      <c r="O1510" s="2"/>
      <c r="P1510" s="2"/>
      <c r="Q1510" s="2"/>
      <c r="R1510" s="80"/>
      <c r="S1510" s="80"/>
      <c r="T1510" s="80"/>
      <c r="U1510" s="80"/>
      <c r="V1510" s="80"/>
      <c r="W1510" s="80"/>
      <c r="X1510" s="80"/>
      <c r="Y1510" s="80"/>
      <c r="Z1510" s="80"/>
      <c r="AA1510" s="80"/>
      <c r="AB1510" s="80"/>
      <c r="AC1510" s="80"/>
      <c r="AD1510" s="80"/>
      <c r="AE1510" s="80"/>
      <c r="AF1510" s="80"/>
      <c r="AG1510" s="80"/>
    </row>
    <row r="1511" spans="1:33" x14ac:dyDescent="0.2">
      <c r="A1511" s="2"/>
      <c r="B1511" s="80"/>
      <c r="C1511" s="80"/>
      <c r="D1511" s="80"/>
      <c r="E1511" s="80"/>
      <c r="F1511" s="80"/>
      <c r="G1511" s="80"/>
      <c r="H1511" s="80"/>
      <c r="I1511" s="80"/>
      <c r="J1511" s="80"/>
      <c r="K1511" s="80"/>
      <c r="L1511" s="2"/>
      <c r="M1511" s="2"/>
      <c r="N1511" s="2"/>
      <c r="O1511" s="2"/>
      <c r="P1511" s="2"/>
      <c r="Q1511" s="2"/>
      <c r="R1511" s="80"/>
      <c r="S1511" s="80"/>
      <c r="T1511" s="80"/>
      <c r="U1511" s="80"/>
      <c r="V1511" s="80"/>
      <c r="W1511" s="80"/>
      <c r="X1511" s="80"/>
      <c r="Y1511" s="80"/>
      <c r="Z1511" s="80"/>
      <c r="AA1511" s="80"/>
      <c r="AB1511" s="80"/>
      <c r="AC1511" s="80"/>
      <c r="AD1511" s="80"/>
      <c r="AE1511" s="80"/>
      <c r="AF1511" s="80"/>
      <c r="AG1511" s="80"/>
    </row>
    <row r="1512" spans="1:33" x14ac:dyDescent="0.2">
      <c r="A1512" s="2"/>
      <c r="B1512" s="80"/>
      <c r="C1512" s="80"/>
      <c r="D1512" s="80"/>
      <c r="E1512" s="80"/>
      <c r="F1512" s="80"/>
      <c r="G1512" s="80"/>
      <c r="H1512" s="80"/>
      <c r="I1512" s="80"/>
      <c r="J1512" s="80"/>
      <c r="K1512" s="80"/>
      <c r="L1512" s="2"/>
      <c r="M1512" s="2"/>
      <c r="N1512" s="2"/>
      <c r="O1512" s="2"/>
      <c r="P1512" s="2"/>
      <c r="Q1512" s="2"/>
      <c r="R1512" s="80"/>
      <c r="S1512" s="80"/>
      <c r="T1512" s="80"/>
      <c r="U1512" s="80"/>
      <c r="V1512" s="80"/>
      <c r="W1512" s="80"/>
      <c r="X1512" s="80"/>
      <c r="Y1512" s="80"/>
      <c r="Z1512" s="80"/>
      <c r="AA1512" s="80"/>
      <c r="AB1512" s="80"/>
      <c r="AC1512" s="80"/>
      <c r="AD1512" s="80"/>
      <c r="AE1512" s="80"/>
      <c r="AF1512" s="80"/>
      <c r="AG1512" s="80"/>
    </row>
    <row r="1513" spans="1:33" x14ac:dyDescent="0.2">
      <c r="A1513" s="2"/>
      <c r="B1513" s="80"/>
      <c r="C1513" s="80"/>
      <c r="D1513" s="80"/>
      <c r="E1513" s="80"/>
      <c r="F1513" s="80"/>
      <c r="G1513" s="80"/>
      <c r="H1513" s="80"/>
      <c r="I1513" s="80"/>
      <c r="J1513" s="80"/>
      <c r="K1513" s="80"/>
      <c r="L1513" s="2"/>
      <c r="M1513" s="2"/>
      <c r="N1513" s="2"/>
      <c r="O1513" s="2"/>
      <c r="P1513" s="2"/>
      <c r="Q1513" s="2"/>
      <c r="R1513" s="80"/>
      <c r="S1513" s="80"/>
      <c r="T1513" s="80"/>
      <c r="U1513" s="80"/>
      <c r="V1513" s="80"/>
      <c r="W1513" s="80"/>
      <c r="X1513" s="80"/>
      <c r="Y1513" s="80"/>
      <c r="Z1513" s="80"/>
      <c r="AA1513" s="80"/>
      <c r="AB1513" s="80"/>
      <c r="AC1513" s="80"/>
      <c r="AD1513" s="80"/>
      <c r="AE1513" s="80"/>
      <c r="AF1513" s="80"/>
      <c r="AG1513" s="80"/>
    </row>
    <row r="1514" spans="1:33" x14ac:dyDescent="0.2">
      <c r="A1514" s="2"/>
      <c r="B1514" s="80"/>
      <c r="C1514" s="80"/>
      <c r="D1514" s="80"/>
      <c r="E1514" s="80"/>
      <c r="F1514" s="80"/>
      <c r="G1514" s="80"/>
      <c r="H1514" s="80"/>
      <c r="I1514" s="80"/>
      <c r="J1514" s="80"/>
      <c r="K1514" s="80"/>
      <c r="L1514" s="2"/>
      <c r="M1514" s="2"/>
      <c r="N1514" s="2"/>
      <c r="O1514" s="2"/>
      <c r="P1514" s="2"/>
      <c r="Q1514" s="2"/>
      <c r="R1514" s="80"/>
      <c r="S1514" s="80"/>
      <c r="T1514" s="80"/>
      <c r="U1514" s="80"/>
      <c r="V1514" s="80"/>
      <c r="W1514" s="80"/>
      <c r="X1514" s="80"/>
      <c r="Y1514" s="80"/>
      <c r="Z1514" s="80"/>
      <c r="AA1514" s="80"/>
      <c r="AB1514" s="80"/>
      <c r="AC1514" s="80"/>
      <c r="AD1514" s="80"/>
      <c r="AE1514" s="80"/>
      <c r="AF1514" s="80"/>
      <c r="AG1514" s="80"/>
    </row>
    <row r="1515" spans="1:33" x14ac:dyDescent="0.2">
      <c r="A1515" s="2"/>
      <c r="B1515" s="80"/>
      <c r="C1515" s="80"/>
      <c r="D1515" s="80"/>
      <c r="E1515" s="80"/>
      <c r="F1515" s="80"/>
      <c r="G1515" s="80"/>
      <c r="H1515" s="80"/>
      <c r="I1515" s="80"/>
      <c r="J1515" s="80"/>
      <c r="K1515" s="80"/>
      <c r="L1515" s="2"/>
      <c r="M1515" s="2"/>
      <c r="N1515" s="2"/>
      <c r="O1515" s="2"/>
      <c r="P1515" s="2"/>
      <c r="Q1515" s="2"/>
      <c r="R1515" s="80"/>
      <c r="S1515" s="80"/>
      <c r="T1515" s="80"/>
      <c r="U1515" s="80"/>
      <c r="V1515" s="80"/>
      <c r="W1515" s="80"/>
      <c r="X1515" s="80"/>
      <c r="Y1515" s="80"/>
      <c r="Z1515" s="80"/>
      <c r="AA1515" s="80"/>
      <c r="AB1515" s="80"/>
      <c r="AC1515" s="80"/>
      <c r="AD1515" s="80"/>
      <c r="AE1515" s="80"/>
      <c r="AF1515" s="80"/>
      <c r="AG1515" s="80"/>
    </row>
    <row r="1516" spans="1:33" x14ac:dyDescent="0.2">
      <c r="A1516" s="2"/>
      <c r="B1516" s="80"/>
      <c r="C1516" s="80"/>
      <c r="D1516" s="80"/>
      <c r="E1516" s="80"/>
      <c r="F1516" s="80"/>
      <c r="G1516" s="80"/>
      <c r="H1516" s="80"/>
      <c r="I1516" s="80"/>
      <c r="J1516" s="80"/>
      <c r="K1516" s="80"/>
      <c r="L1516" s="2"/>
      <c r="M1516" s="2"/>
      <c r="N1516" s="2"/>
      <c r="O1516" s="2"/>
      <c r="P1516" s="2"/>
      <c r="Q1516" s="2"/>
      <c r="R1516" s="80"/>
      <c r="S1516" s="80"/>
      <c r="T1516" s="80"/>
      <c r="U1516" s="80"/>
      <c r="V1516" s="80"/>
      <c r="W1516" s="80"/>
      <c r="X1516" s="80"/>
      <c r="Y1516" s="80"/>
      <c r="Z1516" s="80"/>
      <c r="AA1516" s="80"/>
      <c r="AB1516" s="80"/>
      <c r="AC1516" s="80"/>
      <c r="AD1516" s="80"/>
      <c r="AE1516" s="80"/>
      <c r="AF1516" s="80"/>
      <c r="AG1516" s="80"/>
    </row>
    <row r="1517" spans="1:33" x14ac:dyDescent="0.2">
      <c r="A1517" s="2"/>
      <c r="B1517" s="80"/>
      <c r="C1517" s="80"/>
      <c r="D1517" s="80"/>
      <c r="E1517" s="80"/>
      <c r="F1517" s="80"/>
      <c r="G1517" s="80"/>
      <c r="H1517" s="80"/>
      <c r="I1517" s="80"/>
      <c r="J1517" s="80"/>
      <c r="K1517" s="80"/>
      <c r="L1517" s="2"/>
      <c r="M1517" s="2"/>
      <c r="N1517" s="2"/>
      <c r="O1517" s="2"/>
      <c r="P1517" s="2"/>
      <c r="Q1517" s="2"/>
      <c r="R1517" s="80"/>
      <c r="S1517" s="80"/>
      <c r="T1517" s="80"/>
      <c r="U1517" s="80"/>
      <c r="V1517" s="80"/>
      <c r="W1517" s="80"/>
      <c r="X1517" s="80"/>
      <c r="Y1517" s="80"/>
      <c r="Z1517" s="80"/>
      <c r="AA1517" s="80"/>
      <c r="AB1517" s="80"/>
      <c r="AC1517" s="80"/>
      <c r="AD1517" s="80"/>
      <c r="AE1517" s="80"/>
      <c r="AF1517" s="80"/>
      <c r="AG1517" s="80"/>
    </row>
    <row r="1518" spans="1:33" x14ac:dyDescent="0.2">
      <c r="A1518" s="2"/>
      <c r="B1518" s="80"/>
      <c r="C1518" s="80"/>
      <c r="D1518" s="80"/>
      <c r="E1518" s="80"/>
      <c r="F1518" s="80"/>
      <c r="G1518" s="80"/>
      <c r="H1518" s="80"/>
      <c r="I1518" s="80"/>
      <c r="J1518" s="80"/>
      <c r="K1518" s="80"/>
      <c r="L1518" s="2"/>
      <c r="M1518" s="2"/>
      <c r="N1518" s="2"/>
      <c r="O1518" s="2"/>
      <c r="P1518" s="2"/>
      <c r="Q1518" s="2"/>
      <c r="R1518" s="80"/>
      <c r="S1518" s="80"/>
      <c r="T1518" s="80"/>
      <c r="U1518" s="80"/>
      <c r="V1518" s="80"/>
      <c r="W1518" s="80"/>
      <c r="X1518" s="80"/>
      <c r="Y1518" s="80"/>
      <c r="Z1518" s="80"/>
      <c r="AA1518" s="80"/>
      <c r="AB1518" s="80"/>
      <c r="AC1518" s="80"/>
      <c r="AD1518" s="80"/>
      <c r="AE1518" s="80"/>
      <c r="AF1518" s="80"/>
      <c r="AG1518" s="80"/>
    </row>
    <row r="1519" spans="1:33" x14ac:dyDescent="0.2">
      <c r="A1519" s="2"/>
      <c r="B1519" s="80"/>
      <c r="C1519" s="80"/>
      <c r="D1519" s="80"/>
      <c r="E1519" s="80"/>
      <c r="F1519" s="80"/>
      <c r="G1519" s="80"/>
      <c r="H1519" s="80"/>
      <c r="I1519" s="80"/>
      <c r="J1519" s="80"/>
      <c r="K1519" s="80"/>
      <c r="L1519" s="2"/>
      <c r="M1519" s="2"/>
      <c r="N1519" s="2"/>
      <c r="O1519" s="2"/>
      <c r="P1519" s="2"/>
      <c r="Q1519" s="2"/>
      <c r="R1519" s="80"/>
      <c r="S1519" s="80"/>
      <c r="T1519" s="80"/>
      <c r="U1519" s="80"/>
      <c r="V1519" s="80"/>
      <c r="W1519" s="80"/>
      <c r="X1519" s="80"/>
      <c r="Y1519" s="80"/>
      <c r="Z1519" s="80"/>
      <c r="AA1519" s="80"/>
      <c r="AB1519" s="80"/>
      <c r="AC1519" s="80"/>
      <c r="AD1519" s="80"/>
      <c r="AE1519" s="80"/>
      <c r="AF1519" s="80"/>
      <c r="AG1519" s="80"/>
    </row>
    <row r="1520" spans="1:33" x14ac:dyDescent="0.2">
      <c r="A1520" s="2"/>
      <c r="B1520" s="80"/>
      <c r="C1520" s="80"/>
      <c r="D1520" s="80"/>
      <c r="E1520" s="80"/>
      <c r="F1520" s="80"/>
      <c r="G1520" s="80"/>
      <c r="H1520" s="80"/>
      <c r="I1520" s="80"/>
      <c r="J1520" s="80"/>
      <c r="K1520" s="80"/>
      <c r="L1520" s="2"/>
      <c r="M1520" s="2"/>
      <c r="N1520" s="2"/>
      <c r="O1520" s="2"/>
      <c r="P1520" s="2"/>
      <c r="Q1520" s="2"/>
      <c r="R1520" s="80"/>
      <c r="S1520" s="80"/>
      <c r="T1520" s="80"/>
      <c r="U1520" s="80"/>
      <c r="V1520" s="80"/>
      <c r="W1520" s="80"/>
      <c r="X1520" s="80"/>
      <c r="Y1520" s="80"/>
      <c r="Z1520" s="80"/>
      <c r="AA1520" s="80"/>
      <c r="AB1520" s="80"/>
      <c r="AC1520" s="80"/>
      <c r="AD1520" s="80"/>
      <c r="AE1520" s="80"/>
      <c r="AF1520" s="80"/>
      <c r="AG1520" s="80"/>
    </row>
    <row r="1521" spans="1:33" x14ac:dyDescent="0.2">
      <c r="A1521" s="2"/>
      <c r="B1521" s="80"/>
      <c r="C1521" s="80"/>
      <c r="D1521" s="80"/>
      <c r="E1521" s="80"/>
      <c r="F1521" s="80"/>
      <c r="G1521" s="80"/>
      <c r="H1521" s="80"/>
      <c r="I1521" s="80"/>
      <c r="J1521" s="80"/>
      <c r="K1521" s="80"/>
      <c r="L1521" s="2"/>
      <c r="M1521" s="2"/>
      <c r="N1521" s="2"/>
      <c r="O1521" s="2"/>
      <c r="P1521" s="2"/>
      <c r="Q1521" s="2"/>
      <c r="R1521" s="80"/>
      <c r="S1521" s="80"/>
      <c r="T1521" s="80"/>
      <c r="U1521" s="80"/>
      <c r="V1521" s="80"/>
      <c r="W1521" s="80"/>
      <c r="X1521" s="80"/>
      <c r="Y1521" s="80"/>
      <c r="Z1521" s="80"/>
      <c r="AA1521" s="80"/>
      <c r="AB1521" s="80"/>
      <c r="AC1521" s="80"/>
      <c r="AD1521" s="80"/>
      <c r="AE1521" s="80"/>
      <c r="AF1521" s="80"/>
      <c r="AG1521" s="80"/>
    </row>
    <row r="1522" spans="1:33" x14ac:dyDescent="0.2">
      <c r="A1522" s="2"/>
      <c r="B1522" s="80"/>
      <c r="C1522" s="80"/>
      <c r="D1522" s="80"/>
      <c r="E1522" s="80"/>
      <c r="F1522" s="80"/>
      <c r="G1522" s="80"/>
      <c r="H1522" s="80"/>
      <c r="I1522" s="80"/>
      <c r="J1522" s="80"/>
      <c r="K1522" s="80"/>
      <c r="L1522" s="2"/>
      <c r="M1522" s="2"/>
      <c r="N1522" s="2"/>
      <c r="O1522" s="2"/>
      <c r="P1522" s="2"/>
      <c r="Q1522" s="2"/>
      <c r="R1522" s="80"/>
      <c r="S1522" s="80"/>
      <c r="T1522" s="80"/>
      <c r="U1522" s="80"/>
      <c r="V1522" s="80"/>
      <c r="W1522" s="80"/>
      <c r="X1522" s="80"/>
      <c r="Y1522" s="80"/>
      <c r="Z1522" s="80"/>
      <c r="AA1522" s="80"/>
      <c r="AB1522" s="80"/>
      <c r="AC1522" s="80"/>
      <c r="AD1522" s="80"/>
      <c r="AE1522" s="80"/>
      <c r="AF1522" s="80"/>
      <c r="AG1522" s="80"/>
    </row>
    <row r="1523" spans="1:33" x14ac:dyDescent="0.2">
      <c r="A1523" s="2"/>
      <c r="B1523" s="80"/>
      <c r="C1523" s="80"/>
      <c r="D1523" s="80"/>
      <c r="E1523" s="80"/>
      <c r="F1523" s="80"/>
      <c r="G1523" s="80"/>
      <c r="H1523" s="80"/>
      <c r="I1523" s="80"/>
      <c r="J1523" s="80"/>
      <c r="K1523" s="80"/>
      <c r="L1523" s="2"/>
      <c r="M1523" s="2"/>
      <c r="N1523" s="2"/>
      <c r="O1523" s="2"/>
      <c r="P1523" s="2"/>
      <c r="Q1523" s="2"/>
      <c r="R1523" s="80"/>
      <c r="S1523" s="80"/>
      <c r="T1523" s="80"/>
      <c r="U1523" s="80"/>
      <c r="V1523" s="80"/>
      <c r="W1523" s="80"/>
      <c r="X1523" s="80"/>
      <c r="Y1523" s="80"/>
      <c r="Z1523" s="80"/>
      <c r="AA1523" s="80"/>
      <c r="AB1523" s="80"/>
      <c r="AC1523" s="80"/>
      <c r="AD1523" s="80"/>
      <c r="AE1523" s="80"/>
      <c r="AF1523" s="80"/>
      <c r="AG1523" s="80"/>
    </row>
    <row r="1524" spans="1:33" x14ac:dyDescent="0.2">
      <c r="A1524" s="2"/>
      <c r="B1524" s="80"/>
      <c r="C1524" s="80"/>
      <c r="D1524" s="80"/>
      <c r="E1524" s="80"/>
      <c r="F1524" s="80"/>
      <c r="G1524" s="80"/>
      <c r="H1524" s="80"/>
      <c r="I1524" s="80"/>
      <c r="J1524" s="80"/>
      <c r="K1524" s="80"/>
      <c r="L1524" s="2"/>
      <c r="M1524" s="2"/>
      <c r="N1524" s="2"/>
      <c r="O1524" s="2"/>
      <c r="P1524" s="2"/>
      <c r="Q1524" s="2"/>
      <c r="R1524" s="80"/>
      <c r="S1524" s="80"/>
      <c r="T1524" s="80"/>
      <c r="U1524" s="80"/>
      <c r="V1524" s="80"/>
      <c r="W1524" s="80"/>
      <c r="X1524" s="80"/>
      <c r="Y1524" s="80"/>
      <c r="Z1524" s="80"/>
      <c r="AA1524" s="80"/>
      <c r="AB1524" s="80"/>
      <c r="AC1524" s="80"/>
      <c r="AD1524" s="80"/>
      <c r="AE1524" s="80"/>
      <c r="AF1524" s="80"/>
      <c r="AG1524" s="80"/>
    </row>
    <row r="1525" spans="1:33" x14ac:dyDescent="0.2">
      <c r="A1525" s="2"/>
      <c r="B1525" s="80"/>
      <c r="C1525" s="80"/>
      <c r="D1525" s="80"/>
      <c r="E1525" s="80"/>
      <c r="F1525" s="80"/>
      <c r="G1525" s="80"/>
      <c r="H1525" s="80"/>
      <c r="I1525" s="80"/>
      <c r="J1525" s="80"/>
      <c r="K1525" s="80"/>
      <c r="L1525" s="2"/>
      <c r="M1525" s="2"/>
      <c r="N1525" s="2"/>
      <c r="O1525" s="2"/>
      <c r="P1525" s="2"/>
      <c r="Q1525" s="2"/>
      <c r="R1525" s="80"/>
      <c r="S1525" s="80"/>
      <c r="T1525" s="80"/>
      <c r="U1525" s="80"/>
      <c r="V1525" s="80"/>
      <c r="W1525" s="80"/>
      <c r="X1525" s="80"/>
      <c r="Y1525" s="80"/>
      <c r="Z1525" s="80"/>
      <c r="AA1525" s="80"/>
      <c r="AB1525" s="80"/>
      <c r="AC1525" s="80"/>
      <c r="AD1525" s="80"/>
      <c r="AE1525" s="80"/>
      <c r="AF1525" s="80"/>
      <c r="AG1525" s="80"/>
    </row>
    <row r="1526" spans="1:33" x14ac:dyDescent="0.2">
      <c r="A1526" s="2"/>
      <c r="B1526" s="80"/>
      <c r="C1526" s="80"/>
      <c r="D1526" s="80"/>
      <c r="E1526" s="80"/>
      <c r="F1526" s="80"/>
      <c r="G1526" s="80"/>
      <c r="H1526" s="80"/>
      <c r="I1526" s="80"/>
      <c r="J1526" s="80"/>
      <c r="K1526" s="80"/>
      <c r="L1526" s="2"/>
      <c r="M1526" s="2"/>
      <c r="N1526" s="2"/>
      <c r="O1526" s="2"/>
      <c r="P1526" s="2"/>
      <c r="Q1526" s="2"/>
      <c r="R1526" s="80"/>
      <c r="S1526" s="80"/>
      <c r="T1526" s="80"/>
      <c r="U1526" s="80"/>
      <c r="V1526" s="80"/>
      <c r="W1526" s="80"/>
      <c r="X1526" s="80"/>
      <c r="Y1526" s="80"/>
      <c r="Z1526" s="80"/>
      <c r="AA1526" s="80"/>
      <c r="AB1526" s="80"/>
      <c r="AC1526" s="80"/>
      <c r="AD1526" s="80"/>
      <c r="AE1526" s="80"/>
      <c r="AF1526" s="80"/>
      <c r="AG1526" s="80"/>
    </row>
    <row r="1527" spans="1:33" x14ac:dyDescent="0.2">
      <c r="A1527" s="2"/>
      <c r="B1527" s="80"/>
      <c r="C1527" s="80"/>
      <c r="D1527" s="80"/>
      <c r="E1527" s="80"/>
      <c r="F1527" s="80"/>
      <c r="G1527" s="80"/>
      <c r="H1527" s="80"/>
      <c r="I1527" s="80"/>
      <c r="J1527" s="80"/>
      <c r="K1527" s="80"/>
      <c r="L1527" s="2"/>
      <c r="M1527" s="2"/>
      <c r="N1527" s="2"/>
      <c r="O1527" s="2"/>
      <c r="P1527" s="2"/>
      <c r="Q1527" s="2"/>
      <c r="R1527" s="80"/>
      <c r="S1527" s="80"/>
      <c r="T1527" s="80"/>
      <c r="U1527" s="80"/>
      <c r="V1527" s="80"/>
      <c r="W1527" s="80"/>
      <c r="X1527" s="80"/>
      <c r="Y1527" s="80"/>
      <c r="Z1527" s="80"/>
      <c r="AA1527" s="80"/>
      <c r="AB1527" s="80"/>
      <c r="AC1527" s="80"/>
      <c r="AD1527" s="80"/>
      <c r="AE1527" s="80"/>
      <c r="AF1527" s="80"/>
      <c r="AG1527" s="80"/>
    </row>
    <row r="1528" spans="1:33" x14ac:dyDescent="0.2">
      <c r="A1528" s="2"/>
      <c r="B1528" s="80"/>
      <c r="C1528" s="80"/>
      <c r="D1528" s="80"/>
      <c r="E1528" s="80"/>
      <c r="F1528" s="80"/>
      <c r="G1528" s="80"/>
      <c r="H1528" s="80"/>
      <c r="I1528" s="80"/>
      <c r="J1528" s="80"/>
      <c r="K1528" s="80"/>
      <c r="L1528" s="2"/>
      <c r="M1528" s="2"/>
      <c r="N1528" s="2"/>
      <c r="O1528" s="2"/>
      <c r="P1528" s="2"/>
      <c r="Q1528" s="2"/>
      <c r="R1528" s="80"/>
      <c r="S1528" s="80"/>
      <c r="T1528" s="80"/>
      <c r="U1528" s="80"/>
      <c r="V1528" s="80"/>
      <c r="W1528" s="80"/>
      <c r="X1528" s="80"/>
      <c r="Y1528" s="80"/>
      <c r="Z1528" s="80"/>
      <c r="AA1528" s="80"/>
      <c r="AB1528" s="80"/>
      <c r="AC1528" s="80"/>
      <c r="AD1528" s="80"/>
      <c r="AE1528" s="80"/>
      <c r="AF1528" s="80"/>
      <c r="AG1528" s="80"/>
    </row>
    <row r="1529" spans="1:33" x14ac:dyDescent="0.2">
      <c r="A1529" s="2"/>
      <c r="B1529" s="80"/>
      <c r="C1529" s="80"/>
      <c r="D1529" s="80"/>
      <c r="E1529" s="80"/>
      <c r="F1529" s="80"/>
      <c r="G1529" s="80"/>
      <c r="H1529" s="80"/>
      <c r="I1529" s="80"/>
      <c r="J1529" s="80"/>
      <c r="K1529" s="80"/>
      <c r="L1529" s="2"/>
      <c r="M1529" s="2"/>
      <c r="N1529" s="2"/>
      <c r="O1529" s="2"/>
      <c r="P1529" s="2"/>
      <c r="Q1529" s="2"/>
      <c r="R1529" s="80"/>
      <c r="S1529" s="80"/>
      <c r="T1529" s="80"/>
      <c r="U1529" s="80"/>
      <c r="V1529" s="80"/>
      <c r="W1529" s="80"/>
      <c r="X1529" s="80"/>
      <c r="Y1529" s="80"/>
      <c r="Z1529" s="80"/>
      <c r="AA1529" s="80"/>
      <c r="AB1529" s="80"/>
      <c r="AC1529" s="80"/>
      <c r="AD1529" s="80"/>
      <c r="AE1529" s="80"/>
      <c r="AF1529" s="80"/>
      <c r="AG1529" s="80"/>
    </row>
    <row r="1530" spans="1:33" x14ac:dyDescent="0.2">
      <c r="A1530" s="2"/>
      <c r="B1530" s="80"/>
      <c r="C1530" s="80"/>
      <c r="D1530" s="80"/>
      <c r="E1530" s="80"/>
      <c r="F1530" s="80"/>
      <c r="G1530" s="80"/>
      <c r="H1530" s="80"/>
      <c r="I1530" s="80"/>
      <c r="J1530" s="80"/>
      <c r="K1530" s="80"/>
      <c r="L1530" s="2"/>
      <c r="M1530" s="2"/>
      <c r="N1530" s="2"/>
      <c r="O1530" s="2"/>
      <c r="P1530" s="2"/>
      <c r="Q1530" s="2"/>
      <c r="R1530" s="80"/>
      <c r="S1530" s="80"/>
      <c r="T1530" s="80"/>
      <c r="U1530" s="80"/>
      <c r="V1530" s="80"/>
      <c r="W1530" s="80"/>
      <c r="X1530" s="80"/>
      <c r="Y1530" s="80"/>
      <c r="Z1530" s="80"/>
      <c r="AA1530" s="80"/>
      <c r="AB1530" s="80"/>
      <c r="AC1530" s="80"/>
      <c r="AD1530" s="80"/>
      <c r="AE1530" s="80"/>
      <c r="AF1530" s="80"/>
      <c r="AG1530" s="80"/>
    </row>
    <row r="1531" spans="1:33" x14ac:dyDescent="0.2">
      <c r="A1531" s="2"/>
      <c r="B1531" s="80"/>
      <c r="C1531" s="80"/>
      <c r="D1531" s="80"/>
      <c r="E1531" s="80"/>
      <c r="F1531" s="80"/>
      <c r="G1531" s="80"/>
      <c r="H1531" s="80"/>
      <c r="I1531" s="80"/>
      <c r="J1531" s="80"/>
      <c r="K1531" s="80"/>
      <c r="L1531" s="2"/>
      <c r="M1531" s="2"/>
      <c r="N1531" s="2"/>
      <c r="O1531" s="2"/>
      <c r="P1531" s="2"/>
      <c r="Q1531" s="2"/>
      <c r="R1531" s="80"/>
      <c r="S1531" s="80"/>
      <c r="T1531" s="80"/>
      <c r="U1531" s="80"/>
      <c r="V1531" s="80"/>
      <c r="W1531" s="80"/>
      <c r="X1531" s="80"/>
      <c r="Y1531" s="80"/>
      <c r="Z1531" s="80"/>
      <c r="AA1531" s="80"/>
      <c r="AB1531" s="80"/>
      <c r="AC1531" s="80"/>
      <c r="AD1531" s="80"/>
      <c r="AE1531" s="80"/>
      <c r="AF1531" s="80"/>
      <c r="AG1531" s="80"/>
    </row>
    <row r="1532" spans="1:33" x14ac:dyDescent="0.2">
      <c r="A1532" s="2"/>
      <c r="B1532" s="80"/>
      <c r="C1532" s="80"/>
      <c r="D1532" s="80"/>
      <c r="E1532" s="80"/>
      <c r="F1532" s="80"/>
      <c r="G1532" s="80"/>
      <c r="H1532" s="80"/>
      <c r="I1532" s="80"/>
      <c r="J1532" s="80"/>
      <c r="K1532" s="80"/>
      <c r="L1532" s="2"/>
      <c r="M1532" s="2"/>
      <c r="N1532" s="2"/>
      <c r="O1532" s="2"/>
      <c r="P1532" s="2"/>
      <c r="Q1532" s="2"/>
      <c r="R1532" s="80"/>
      <c r="S1532" s="80"/>
      <c r="T1532" s="80"/>
      <c r="U1532" s="80"/>
      <c r="V1532" s="80"/>
      <c r="W1532" s="80"/>
      <c r="X1532" s="80"/>
      <c r="Y1532" s="80"/>
      <c r="Z1532" s="80"/>
      <c r="AA1532" s="80"/>
      <c r="AB1532" s="80"/>
      <c r="AC1532" s="80"/>
      <c r="AD1532" s="80"/>
      <c r="AE1532" s="80"/>
      <c r="AF1532" s="80"/>
      <c r="AG1532" s="80"/>
    </row>
    <row r="1533" spans="1:33" x14ac:dyDescent="0.2">
      <c r="A1533" s="2"/>
      <c r="B1533" s="80"/>
      <c r="C1533" s="80"/>
      <c r="D1533" s="80"/>
      <c r="E1533" s="80"/>
      <c r="F1533" s="80"/>
      <c r="G1533" s="80"/>
      <c r="H1533" s="80"/>
      <c r="I1533" s="80"/>
      <c r="J1533" s="80"/>
      <c r="K1533" s="80"/>
      <c r="L1533" s="2"/>
      <c r="M1533" s="2"/>
      <c r="N1533" s="2"/>
      <c r="O1533" s="2"/>
      <c r="P1533" s="2"/>
      <c r="Q1533" s="2"/>
      <c r="R1533" s="80"/>
      <c r="S1533" s="80"/>
      <c r="T1533" s="80"/>
      <c r="U1533" s="80"/>
      <c r="V1533" s="80"/>
      <c r="W1533" s="80"/>
      <c r="X1533" s="80"/>
      <c r="Y1533" s="80"/>
      <c r="Z1533" s="80"/>
      <c r="AA1533" s="80"/>
      <c r="AB1533" s="80"/>
      <c r="AC1533" s="80"/>
      <c r="AD1533" s="80"/>
      <c r="AE1533" s="80"/>
      <c r="AF1533" s="80"/>
      <c r="AG1533" s="80"/>
    </row>
    <row r="1534" spans="1:33" x14ac:dyDescent="0.2">
      <c r="A1534" s="2"/>
      <c r="B1534" s="80"/>
      <c r="C1534" s="80"/>
      <c r="D1534" s="80"/>
      <c r="E1534" s="80"/>
      <c r="F1534" s="80"/>
      <c r="G1534" s="80"/>
      <c r="H1534" s="80"/>
      <c r="I1534" s="80"/>
      <c r="J1534" s="80"/>
      <c r="K1534" s="80"/>
      <c r="L1534" s="2"/>
      <c r="M1534" s="2"/>
      <c r="N1534" s="2"/>
      <c r="O1534" s="2"/>
      <c r="P1534" s="2"/>
      <c r="Q1534" s="2"/>
      <c r="R1534" s="80"/>
      <c r="S1534" s="80"/>
      <c r="T1534" s="80"/>
      <c r="U1534" s="80"/>
      <c r="V1534" s="80"/>
      <c r="W1534" s="80"/>
      <c r="X1534" s="80"/>
      <c r="Y1534" s="80"/>
      <c r="Z1534" s="80"/>
      <c r="AA1534" s="80"/>
      <c r="AB1534" s="80"/>
      <c r="AC1534" s="80"/>
      <c r="AD1534" s="80"/>
      <c r="AE1534" s="80"/>
      <c r="AF1534" s="80"/>
      <c r="AG1534" s="80"/>
    </row>
    <row r="1535" spans="1:33" x14ac:dyDescent="0.2">
      <c r="A1535" s="2"/>
      <c r="B1535" s="80"/>
      <c r="C1535" s="80"/>
      <c r="D1535" s="80"/>
      <c r="E1535" s="80"/>
      <c r="F1535" s="80"/>
      <c r="G1535" s="80"/>
      <c r="H1535" s="80"/>
      <c r="I1535" s="80"/>
      <c r="J1535" s="80"/>
      <c r="K1535" s="80"/>
      <c r="L1535" s="2"/>
      <c r="M1535" s="2"/>
      <c r="N1535" s="2"/>
      <c r="O1535" s="2"/>
      <c r="P1535" s="2"/>
      <c r="Q1535" s="2"/>
      <c r="R1535" s="80"/>
      <c r="S1535" s="80"/>
      <c r="T1535" s="80"/>
      <c r="U1535" s="80"/>
      <c r="V1535" s="80"/>
      <c r="W1535" s="80"/>
      <c r="X1535" s="80"/>
      <c r="Y1535" s="80"/>
      <c r="Z1535" s="80"/>
      <c r="AA1535" s="80"/>
      <c r="AB1535" s="80"/>
      <c r="AC1535" s="80"/>
      <c r="AD1535" s="80"/>
      <c r="AE1535" s="80"/>
      <c r="AF1535" s="80"/>
      <c r="AG1535" s="80"/>
    </row>
    <row r="1536" spans="1:33" x14ac:dyDescent="0.2">
      <c r="A1536" s="2"/>
      <c r="B1536" s="80"/>
      <c r="C1536" s="80"/>
      <c r="D1536" s="80"/>
      <c r="E1536" s="80"/>
      <c r="F1536" s="80"/>
      <c r="G1536" s="80"/>
      <c r="H1536" s="80"/>
      <c r="I1536" s="80"/>
      <c r="J1536" s="80"/>
      <c r="K1536" s="80"/>
      <c r="L1536" s="2"/>
      <c r="M1536" s="2"/>
      <c r="N1536" s="2"/>
      <c r="O1536" s="2"/>
      <c r="P1536" s="2"/>
      <c r="Q1536" s="2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E1536" s="80"/>
      <c r="AF1536" s="80"/>
      <c r="AG1536" s="80"/>
    </row>
    <row r="1537" spans="1:33" x14ac:dyDescent="0.2">
      <c r="A1537" s="2"/>
      <c r="B1537" s="80"/>
      <c r="C1537" s="80"/>
      <c r="D1537" s="80"/>
      <c r="E1537" s="80"/>
      <c r="F1537" s="80"/>
      <c r="G1537" s="80"/>
      <c r="H1537" s="80"/>
      <c r="I1537" s="80"/>
      <c r="J1537" s="80"/>
      <c r="K1537" s="80"/>
      <c r="L1537" s="2"/>
      <c r="M1537" s="2"/>
      <c r="N1537" s="2"/>
      <c r="O1537" s="2"/>
      <c r="P1537" s="2"/>
      <c r="Q1537" s="2"/>
      <c r="R1537" s="80"/>
      <c r="S1537" s="80"/>
      <c r="T1537" s="80"/>
      <c r="U1537" s="80"/>
      <c r="V1537" s="80"/>
      <c r="W1537" s="80"/>
      <c r="X1537" s="80"/>
      <c r="Y1537" s="80"/>
      <c r="Z1537" s="80"/>
      <c r="AA1537" s="80"/>
      <c r="AB1537" s="80"/>
      <c r="AC1537" s="80"/>
      <c r="AD1537" s="80"/>
      <c r="AE1537" s="80"/>
      <c r="AF1537" s="80"/>
      <c r="AG1537" s="80"/>
    </row>
    <row r="1538" spans="1:33" x14ac:dyDescent="0.2">
      <c r="A1538" s="2"/>
      <c r="B1538" s="80"/>
      <c r="C1538" s="80"/>
      <c r="D1538" s="80"/>
      <c r="E1538" s="80"/>
      <c r="F1538" s="80"/>
      <c r="G1538" s="80"/>
      <c r="H1538" s="80"/>
      <c r="I1538" s="80"/>
      <c r="J1538" s="80"/>
      <c r="K1538" s="80"/>
      <c r="L1538" s="2"/>
      <c r="M1538" s="2"/>
      <c r="N1538" s="2"/>
      <c r="O1538" s="2"/>
      <c r="P1538" s="2"/>
      <c r="Q1538" s="2"/>
      <c r="R1538" s="80"/>
      <c r="S1538" s="80"/>
      <c r="T1538" s="80"/>
      <c r="U1538" s="80"/>
      <c r="V1538" s="80"/>
      <c r="W1538" s="80"/>
      <c r="X1538" s="80"/>
      <c r="Y1538" s="80"/>
      <c r="Z1538" s="80"/>
      <c r="AA1538" s="80"/>
      <c r="AB1538" s="80"/>
      <c r="AC1538" s="80"/>
      <c r="AD1538" s="80"/>
      <c r="AE1538" s="80"/>
      <c r="AF1538" s="80"/>
      <c r="AG1538" s="80"/>
    </row>
    <row r="1539" spans="1:33" x14ac:dyDescent="0.2">
      <c r="A1539" s="2"/>
      <c r="B1539" s="80"/>
      <c r="C1539" s="80"/>
      <c r="D1539" s="80"/>
      <c r="E1539" s="80"/>
      <c r="F1539" s="80"/>
      <c r="G1539" s="80"/>
      <c r="H1539" s="80"/>
      <c r="I1539" s="80"/>
      <c r="J1539" s="80"/>
      <c r="K1539" s="80"/>
      <c r="L1539" s="2"/>
      <c r="M1539" s="2"/>
      <c r="N1539" s="2"/>
      <c r="O1539" s="2"/>
      <c r="P1539" s="2"/>
      <c r="Q1539" s="2"/>
      <c r="R1539" s="80"/>
      <c r="S1539" s="80"/>
      <c r="T1539" s="80"/>
      <c r="U1539" s="80"/>
      <c r="V1539" s="80"/>
      <c r="W1539" s="80"/>
      <c r="X1539" s="80"/>
      <c r="Y1539" s="80"/>
      <c r="Z1539" s="80"/>
      <c r="AA1539" s="80"/>
      <c r="AB1539" s="80"/>
      <c r="AC1539" s="80"/>
      <c r="AD1539" s="80"/>
      <c r="AE1539" s="80"/>
      <c r="AF1539" s="80"/>
      <c r="AG1539" s="80"/>
    </row>
    <row r="1540" spans="1:33" x14ac:dyDescent="0.2">
      <c r="A1540" s="2"/>
      <c r="B1540" s="80"/>
      <c r="C1540" s="80"/>
      <c r="D1540" s="80"/>
      <c r="E1540" s="80"/>
      <c r="F1540" s="80"/>
      <c r="G1540" s="80"/>
      <c r="H1540" s="80"/>
      <c r="I1540" s="80"/>
      <c r="J1540" s="80"/>
      <c r="K1540" s="80"/>
      <c r="L1540" s="2"/>
      <c r="M1540" s="2"/>
      <c r="N1540" s="2"/>
      <c r="O1540" s="2"/>
      <c r="P1540" s="2"/>
      <c r="Q1540" s="2"/>
      <c r="R1540" s="80"/>
      <c r="S1540" s="80"/>
      <c r="T1540" s="80"/>
      <c r="U1540" s="80"/>
      <c r="V1540" s="80"/>
      <c r="W1540" s="80"/>
      <c r="X1540" s="80"/>
      <c r="Y1540" s="80"/>
      <c r="Z1540" s="80"/>
      <c r="AA1540" s="80"/>
      <c r="AB1540" s="80"/>
      <c r="AC1540" s="80"/>
      <c r="AD1540" s="80"/>
      <c r="AE1540" s="80"/>
      <c r="AF1540" s="80"/>
      <c r="AG1540" s="80"/>
    </row>
    <row r="1541" spans="1:33" x14ac:dyDescent="0.2">
      <c r="A1541" s="2"/>
      <c r="B1541" s="80"/>
      <c r="C1541" s="80"/>
      <c r="D1541" s="80"/>
      <c r="E1541" s="80"/>
      <c r="F1541" s="80"/>
      <c r="G1541" s="80"/>
      <c r="H1541" s="80"/>
      <c r="I1541" s="80"/>
      <c r="J1541" s="80"/>
      <c r="K1541" s="80"/>
      <c r="L1541" s="2"/>
      <c r="M1541" s="2"/>
      <c r="N1541" s="2"/>
      <c r="O1541" s="2"/>
      <c r="P1541" s="2"/>
      <c r="Q1541" s="2"/>
      <c r="R1541" s="80"/>
      <c r="S1541" s="80"/>
      <c r="T1541" s="80"/>
      <c r="U1541" s="80"/>
      <c r="V1541" s="80"/>
      <c r="W1541" s="80"/>
      <c r="X1541" s="80"/>
      <c r="Y1541" s="80"/>
      <c r="Z1541" s="80"/>
      <c r="AA1541" s="80"/>
      <c r="AB1541" s="80"/>
      <c r="AC1541" s="80"/>
      <c r="AD1541" s="80"/>
      <c r="AE1541" s="80"/>
      <c r="AF1541" s="80"/>
      <c r="AG1541" s="80"/>
    </row>
    <row r="1542" spans="1:33" x14ac:dyDescent="0.2">
      <c r="A1542" s="2"/>
      <c r="B1542" s="80"/>
      <c r="C1542" s="80"/>
      <c r="D1542" s="80"/>
      <c r="E1542" s="80"/>
      <c r="F1542" s="80"/>
      <c r="G1542" s="80"/>
      <c r="H1542" s="80"/>
      <c r="I1542" s="80"/>
      <c r="J1542" s="80"/>
      <c r="K1542" s="80"/>
      <c r="L1542" s="2"/>
      <c r="M1542" s="2"/>
      <c r="N1542" s="2"/>
      <c r="O1542" s="2"/>
      <c r="P1542" s="2"/>
      <c r="Q1542" s="2"/>
      <c r="R1542" s="80"/>
      <c r="S1542" s="80"/>
      <c r="T1542" s="80"/>
      <c r="U1542" s="80"/>
      <c r="V1542" s="80"/>
      <c r="W1542" s="80"/>
      <c r="X1542" s="80"/>
      <c r="Y1542" s="80"/>
      <c r="Z1542" s="80"/>
      <c r="AA1542" s="80"/>
      <c r="AB1542" s="80"/>
      <c r="AC1542" s="80"/>
      <c r="AD1542" s="80"/>
      <c r="AE1542" s="80"/>
      <c r="AF1542" s="80"/>
      <c r="AG1542" s="80"/>
    </row>
    <row r="1543" spans="1:33" x14ac:dyDescent="0.2">
      <c r="A1543" s="2"/>
      <c r="B1543" s="80"/>
      <c r="C1543" s="80"/>
      <c r="D1543" s="80"/>
      <c r="E1543" s="80"/>
      <c r="F1543" s="80"/>
      <c r="G1543" s="80"/>
      <c r="H1543" s="80"/>
      <c r="I1543" s="80"/>
      <c r="J1543" s="80"/>
      <c r="K1543" s="80"/>
      <c r="L1543" s="2"/>
      <c r="M1543" s="2"/>
      <c r="N1543" s="2"/>
      <c r="O1543" s="2"/>
      <c r="P1543" s="2"/>
      <c r="Q1543" s="2"/>
      <c r="R1543" s="80"/>
      <c r="S1543" s="80"/>
      <c r="T1543" s="80"/>
      <c r="U1543" s="80"/>
      <c r="V1543" s="80"/>
      <c r="W1543" s="80"/>
      <c r="X1543" s="80"/>
      <c r="Y1543" s="80"/>
      <c r="Z1543" s="80"/>
      <c r="AA1543" s="80"/>
      <c r="AB1543" s="80"/>
      <c r="AC1543" s="80"/>
      <c r="AD1543" s="80"/>
      <c r="AE1543" s="80"/>
      <c r="AF1543" s="80"/>
      <c r="AG1543" s="80"/>
    </row>
    <row r="1544" spans="1:33" x14ac:dyDescent="0.2">
      <c r="A1544" s="2"/>
      <c r="B1544" s="80"/>
      <c r="C1544" s="80"/>
      <c r="D1544" s="80"/>
      <c r="E1544" s="80"/>
      <c r="F1544" s="80"/>
      <c r="G1544" s="80"/>
      <c r="H1544" s="80"/>
      <c r="I1544" s="80"/>
      <c r="J1544" s="80"/>
      <c r="K1544" s="80"/>
      <c r="L1544" s="2"/>
      <c r="M1544" s="2"/>
      <c r="N1544" s="2"/>
      <c r="O1544" s="2"/>
      <c r="P1544" s="2"/>
      <c r="Q1544" s="2"/>
      <c r="R1544" s="80"/>
      <c r="S1544" s="80"/>
      <c r="T1544" s="80"/>
      <c r="U1544" s="80"/>
      <c r="V1544" s="80"/>
      <c r="W1544" s="80"/>
      <c r="X1544" s="80"/>
      <c r="Y1544" s="80"/>
      <c r="Z1544" s="80"/>
      <c r="AA1544" s="80"/>
      <c r="AB1544" s="80"/>
      <c r="AC1544" s="80"/>
      <c r="AD1544" s="80"/>
      <c r="AE1544" s="80"/>
      <c r="AF1544" s="80"/>
      <c r="AG1544" s="80"/>
    </row>
    <row r="1545" spans="1:33" x14ac:dyDescent="0.2">
      <c r="A1545" s="2"/>
      <c r="B1545" s="80"/>
      <c r="C1545" s="80"/>
      <c r="D1545" s="80"/>
      <c r="E1545" s="80"/>
      <c r="F1545" s="80"/>
      <c r="G1545" s="80"/>
      <c r="H1545" s="80"/>
      <c r="I1545" s="80"/>
      <c r="J1545" s="80"/>
      <c r="K1545" s="80"/>
      <c r="L1545" s="2"/>
      <c r="M1545" s="2"/>
      <c r="N1545" s="2"/>
      <c r="O1545" s="2"/>
      <c r="P1545" s="2"/>
      <c r="Q1545" s="2"/>
      <c r="R1545" s="80"/>
      <c r="S1545" s="80"/>
      <c r="T1545" s="80"/>
      <c r="U1545" s="80"/>
      <c r="V1545" s="80"/>
      <c r="W1545" s="80"/>
      <c r="X1545" s="80"/>
      <c r="Y1545" s="80"/>
      <c r="Z1545" s="80"/>
      <c r="AA1545" s="80"/>
      <c r="AB1545" s="80"/>
      <c r="AC1545" s="80"/>
      <c r="AD1545" s="80"/>
      <c r="AE1545" s="80"/>
      <c r="AF1545" s="80"/>
      <c r="AG1545" s="80"/>
    </row>
    <row r="1546" spans="1:33" x14ac:dyDescent="0.2">
      <c r="A1546" s="2"/>
      <c r="B1546" s="80"/>
      <c r="C1546" s="80"/>
      <c r="D1546" s="80"/>
      <c r="E1546" s="80"/>
      <c r="F1546" s="80"/>
      <c r="G1546" s="80"/>
      <c r="H1546" s="80"/>
      <c r="I1546" s="80"/>
      <c r="J1546" s="80"/>
      <c r="K1546" s="80"/>
      <c r="L1546" s="2"/>
      <c r="M1546" s="2"/>
      <c r="N1546" s="2"/>
      <c r="O1546" s="2"/>
      <c r="P1546" s="2"/>
      <c r="Q1546" s="2"/>
      <c r="R1546" s="80"/>
      <c r="S1546" s="80"/>
      <c r="T1546" s="80"/>
      <c r="U1546" s="80"/>
      <c r="V1546" s="80"/>
      <c r="W1546" s="80"/>
      <c r="X1546" s="80"/>
      <c r="Y1546" s="80"/>
      <c r="Z1546" s="80"/>
      <c r="AA1546" s="80"/>
      <c r="AB1546" s="80"/>
      <c r="AC1546" s="80"/>
      <c r="AD1546" s="80"/>
      <c r="AE1546" s="80"/>
      <c r="AF1546" s="80"/>
      <c r="AG1546" s="80"/>
    </row>
    <row r="1547" spans="1:33" x14ac:dyDescent="0.2">
      <c r="A1547" s="2"/>
      <c r="B1547" s="80"/>
      <c r="C1547" s="80"/>
      <c r="D1547" s="80"/>
      <c r="E1547" s="80"/>
      <c r="F1547" s="80"/>
      <c r="G1547" s="80"/>
      <c r="H1547" s="80"/>
      <c r="I1547" s="80"/>
      <c r="J1547" s="80"/>
      <c r="K1547" s="80"/>
      <c r="L1547" s="2"/>
      <c r="M1547" s="2"/>
      <c r="N1547" s="2"/>
      <c r="O1547" s="2"/>
      <c r="P1547" s="2"/>
      <c r="Q1547" s="2"/>
      <c r="R1547" s="80"/>
      <c r="S1547" s="80"/>
      <c r="T1547" s="80"/>
      <c r="U1547" s="80"/>
      <c r="V1547" s="80"/>
      <c r="W1547" s="80"/>
      <c r="X1547" s="80"/>
      <c r="Y1547" s="80"/>
      <c r="Z1547" s="80"/>
      <c r="AA1547" s="80"/>
      <c r="AB1547" s="80"/>
      <c r="AC1547" s="80"/>
      <c r="AD1547" s="80"/>
      <c r="AE1547" s="80"/>
      <c r="AF1547" s="80"/>
      <c r="AG1547" s="80"/>
    </row>
    <row r="1548" spans="1:33" x14ac:dyDescent="0.2">
      <c r="A1548" s="2"/>
      <c r="B1548" s="80"/>
      <c r="C1548" s="80"/>
      <c r="D1548" s="80"/>
      <c r="E1548" s="80"/>
      <c r="F1548" s="80"/>
      <c r="G1548" s="80"/>
      <c r="H1548" s="80"/>
      <c r="I1548" s="80"/>
      <c r="J1548" s="80"/>
      <c r="K1548" s="80"/>
      <c r="L1548" s="2"/>
      <c r="M1548" s="2"/>
      <c r="N1548" s="2"/>
      <c r="O1548" s="2"/>
      <c r="P1548" s="2"/>
      <c r="Q1548" s="2"/>
      <c r="R1548" s="80"/>
      <c r="S1548" s="80"/>
      <c r="T1548" s="80"/>
      <c r="U1548" s="80"/>
      <c r="V1548" s="80"/>
      <c r="W1548" s="80"/>
      <c r="X1548" s="80"/>
      <c r="Y1548" s="80"/>
      <c r="Z1548" s="80"/>
      <c r="AA1548" s="80"/>
      <c r="AB1548" s="80"/>
      <c r="AC1548" s="80"/>
      <c r="AD1548" s="80"/>
      <c r="AE1548" s="80"/>
      <c r="AF1548" s="80"/>
      <c r="AG1548" s="80"/>
    </row>
    <row r="1549" spans="1:33" x14ac:dyDescent="0.2">
      <c r="A1549" s="2"/>
      <c r="B1549" s="80"/>
      <c r="C1549" s="80"/>
      <c r="D1549" s="80"/>
      <c r="E1549" s="80"/>
      <c r="F1549" s="80"/>
      <c r="G1549" s="80"/>
      <c r="H1549" s="80"/>
      <c r="I1549" s="80"/>
      <c r="J1549" s="80"/>
      <c r="K1549" s="80"/>
      <c r="L1549" s="2"/>
      <c r="M1549" s="2"/>
      <c r="N1549" s="2"/>
      <c r="O1549" s="2"/>
      <c r="P1549" s="2"/>
      <c r="Q1549" s="2"/>
      <c r="R1549" s="80"/>
      <c r="S1549" s="80"/>
      <c r="T1549" s="80"/>
      <c r="U1549" s="80"/>
      <c r="V1549" s="80"/>
      <c r="W1549" s="80"/>
      <c r="X1549" s="80"/>
      <c r="Y1549" s="80"/>
      <c r="Z1549" s="80"/>
      <c r="AA1549" s="80"/>
      <c r="AB1549" s="80"/>
      <c r="AC1549" s="80"/>
      <c r="AD1549" s="80"/>
      <c r="AE1549" s="80"/>
      <c r="AF1549" s="80"/>
      <c r="AG1549" s="80"/>
    </row>
    <row r="1550" spans="1:33" x14ac:dyDescent="0.2">
      <c r="A1550" s="2"/>
      <c r="B1550" s="80"/>
      <c r="C1550" s="80"/>
      <c r="D1550" s="80"/>
      <c r="E1550" s="80"/>
      <c r="F1550" s="80"/>
      <c r="G1550" s="80"/>
      <c r="H1550" s="80"/>
      <c r="I1550" s="80"/>
      <c r="J1550" s="80"/>
      <c r="K1550" s="80"/>
      <c r="L1550" s="2"/>
      <c r="M1550" s="2"/>
      <c r="N1550" s="2"/>
      <c r="O1550" s="2"/>
      <c r="P1550" s="2"/>
      <c r="Q1550" s="2"/>
      <c r="R1550" s="80"/>
      <c r="S1550" s="80"/>
      <c r="T1550" s="80"/>
      <c r="U1550" s="80"/>
      <c r="V1550" s="80"/>
      <c r="W1550" s="80"/>
      <c r="X1550" s="80"/>
      <c r="Y1550" s="80"/>
      <c r="Z1550" s="80"/>
      <c r="AA1550" s="80"/>
      <c r="AB1550" s="80"/>
      <c r="AC1550" s="80"/>
      <c r="AD1550" s="80"/>
      <c r="AE1550" s="80"/>
      <c r="AF1550" s="80"/>
      <c r="AG1550" s="80"/>
    </row>
    <row r="1551" spans="1:33" x14ac:dyDescent="0.2">
      <c r="A1551" s="2"/>
      <c r="B1551" s="80"/>
      <c r="C1551" s="80"/>
      <c r="D1551" s="80"/>
      <c r="E1551" s="80"/>
      <c r="F1551" s="80"/>
      <c r="G1551" s="80"/>
      <c r="H1551" s="80"/>
      <c r="I1551" s="80"/>
      <c r="J1551" s="80"/>
      <c r="K1551" s="80"/>
      <c r="L1551" s="2"/>
      <c r="M1551" s="2"/>
      <c r="N1551" s="2"/>
      <c r="O1551" s="2"/>
      <c r="P1551" s="2"/>
      <c r="Q1551" s="2"/>
      <c r="R1551" s="80"/>
      <c r="S1551" s="80"/>
      <c r="T1551" s="80"/>
      <c r="U1551" s="80"/>
      <c r="V1551" s="80"/>
      <c r="W1551" s="80"/>
      <c r="X1551" s="80"/>
      <c r="Y1551" s="80"/>
      <c r="Z1551" s="80"/>
      <c r="AA1551" s="80"/>
      <c r="AB1551" s="80"/>
      <c r="AC1551" s="80"/>
      <c r="AD1551" s="80"/>
      <c r="AE1551" s="80"/>
      <c r="AF1551" s="80"/>
      <c r="AG1551" s="80"/>
    </row>
    <row r="1552" spans="1:33" x14ac:dyDescent="0.2">
      <c r="A1552" s="2"/>
      <c r="B1552" s="80"/>
      <c r="C1552" s="80"/>
      <c r="D1552" s="80"/>
      <c r="E1552" s="80"/>
      <c r="F1552" s="80"/>
      <c r="G1552" s="80"/>
      <c r="H1552" s="80"/>
      <c r="I1552" s="80"/>
      <c r="J1552" s="80"/>
      <c r="K1552" s="80"/>
      <c r="L1552" s="2"/>
      <c r="M1552" s="2"/>
      <c r="N1552" s="2"/>
      <c r="O1552" s="2"/>
      <c r="P1552" s="2"/>
      <c r="Q1552" s="2"/>
      <c r="R1552" s="80"/>
      <c r="S1552" s="80"/>
      <c r="T1552" s="80"/>
      <c r="U1552" s="80"/>
      <c r="V1552" s="80"/>
      <c r="W1552" s="80"/>
      <c r="X1552" s="80"/>
      <c r="Y1552" s="80"/>
      <c r="Z1552" s="80"/>
      <c r="AA1552" s="80"/>
      <c r="AB1552" s="80"/>
      <c r="AC1552" s="80"/>
      <c r="AD1552" s="80"/>
      <c r="AE1552" s="80"/>
      <c r="AF1552" s="80"/>
      <c r="AG1552" s="80"/>
    </row>
    <row r="1553" spans="1:33" x14ac:dyDescent="0.2">
      <c r="A1553" s="2"/>
      <c r="B1553" s="80"/>
      <c r="C1553" s="80"/>
      <c r="D1553" s="80"/>
      <c r="E1553" s="80"/>
      <c r="F1553" s="80"/>
      <c r="G1553" s="80"/>
      <c r="H1553" s="80"/>
      <c r="I1553" s="80"/>
      <c r="J1553" s="80"/>
      <c r="K1553" s="80"/>
      <c r="L1553" s="2"/>
      <c r="M1553" s="2"/>
      <c r="N1553" s="2"/>
      <c r="O1553" s="2"/>
      <c r="P1553" s="2"/>
      <c r="Q1553" s="2"/>
      <c r="R1553" s="80"/>
      <c r="S1553" s="80"/>
      <c r="T1553" s="80"/>
      <c r="U1553" s="80"/>
      <c r="V1553" s="80"/>
      <c r="W1553" s="80"/>
      <c r="X1553" s="80"/>
      <c r="Y1553" s="80"/>
      <c r="Z1553" s="80"/>
      <c r="AA1553" s="80"/>
      <c r="AB1553" s="80"/>
      <c r="AC1553" s="80"/>
      <c r="AD1553" s="80"/>
      <c r="AE1553" s="80"/>
      <c r="AF1553" s="80"/>
      <c r="AG1553" s="80"/>
    </row>
    <row r="1554" spans="1:33" x14ac:dyDescent="0.2">
      <c r="A1554" s="2"/>
      <c r="B1554" s="80"/>
      <c r="C1554" s="80"/>
      <c r="D1554" s="80"/>
      <c r="E1554" s="80"/>
      <c r="F1554" s="80"/>
      <c r="G1554" s="80"/>
      <c r="H1554" s="80"/>
      <c r="I1554" s="80"/>
      <c r="J1554" s="80"/>
      <c r="K1554" s="80"/>
      <c r="L1554" s="2"/>
      <c r="M1554" s="2"/>
      <c r="N1554" s="2"/>
      <c r="O1554" s="2"/>
      <c r="P1554" s="2"/>
      <c r="Q1554" s="2"/>
      <c r="R1554" s="80"/>
      <c r="S1554" s="80"/>
      <c r="T1554" s="80"/>
      <c r="U1554" s="80"/>
      <c r="V1554" s="80"/>
      <c r="W1554" s="80"/>
      <c r="X1554" s="80"/>
      <c r="Y1554" s="80"/>
      <c r="Z1554" s="80"/>
      <c r="AA1554" s="80"/>
      <c r="AB1554" s="80"/>
      <c r="AC1554" s="80"/>
      <c r="AD1554" s="80"/>
      <c r="AE1554" s="80"/>
      <c r="AF1554" s="80"/>
      <c r="AG1554" s="80"/>
    </row>
    <row r="1555" spans="1:33" x14ac:dyDescent="0.2">
      <c r="A1555" s="2"/>
      <c r="B1555" s="80"/>
      <c r="C1555" s="80"/>
      <c r="D1555" s="80"/>
      <c r="E1555" s="80"/>
      <c r="F1555" s="80"/>
      <c r="G1555" s="80"/>
      <c r="H1555" s="80"/>
      <c r="I1555" s="80"/>
      <c r="J1555" s="80"/>
      <c r="K1555" s="80"/>
      <c r="L1555" s="2"/>
      <c r="M1555" s="2"/>
      <c r="N1555" s="2"/>
      <c r="O1555" s="2"/>
      <c r="P1555" s="2"/>
      <c r="Q1555" s="2"/>
      <c r="R1555" s="80"/>
      <c r="S1555" s="80"/>
      <c r="T1555" s="80"/>
      <c r="U1555" s="80"/>
      <c r="V1555" s="80"/>
      <c r="W1555" s="80"/>
      <c r="X1555" s="80"/>
      <c r="Y1555" s="80"/>
      <c r="Z1555" s="80"/>
      <c r="AA1555" s="80"/>
      <c r="AB1555" s="80"/>
      <c r="AC1555" s="80"/>
      <c r="AD1555" s="80"/>
      <c r="AE1555" s="80"/>
      <c r="AF1555" s="80"/>
      <c r="AG1555" s="80"/>
    </row>
    <row r="1556" spans="1:33" x14ac:dyDescent="0.2">
      <c r="A1556" s="2"/>
      <c r="B1556" s="80"/>
      <c r="C1556" s="80"/>
      <c r="D1556" s="80"/>
      <c r="E1556" s="80"/>
      <c r="F1556" s="80"/>
      <c r="G1556" s="80"/>
      <c r="H1556" s="80"/>
      <c r="I1556" s="80"/>
      <c r="J1556" s="80"/>
      <c r="K1556" s="80"/>
      <c r="L1556" s="2"/>
      <c r="M1556" s="2"/>
      <c r="N1556" s="2"/>
      <c r="O1556" s="2"/>
      <c r="P1556" s="2"/>
      <c r="Q1556" s="2"/>
      <c r="R1556" s="80"/>
      <c r="S1556" s="80"/>
      <c r="T1556" s="80"/>
      <c r="U1556" s="80"/>
      <c r="V1556" s="80"/>
      <c r="W1556" s="80"/>
      <c r="X1556" s="80"/>
      <c r="Y1556" s="80"/>
      <c r="Z1556" s="80"/>
      <c r="AA1556" s="80"/>
      <c r="AB1556" s="80"/>
      <c r="AC1556" s="80"/>
      <c r="AD1556" s="80"/>
      <c r="AE1556" s="80"/>
      <c r="AF1556" s="80"/>
      <c r="AG1556" s="80"/>
    </row>
    <row r="1557" spans="1:33" x14ac:dyDescent="0.2">
      <c r="A1557" s="2"/>
      <c r="B1557" s="80"/>
      <c r="C1557" s="80"/>
      <c r="D1557" s="80"/>
      <c r="E1557" s="80"/>
      <c r="F1557" s="80"/>
      <c r="G1557" s="80"/>
      <c r="H1557" s="80"/>
      <c r="I1557" s="80"/>
      <c r="J1557" s="80"/>
      <c r="K1557" s="80"/>
      <c r="L1557" s="2"/>
      <c r="M1557" s="2"/>
      <c r="N1557" s="2"/>
      <c r="O1557" s="2"/>
      <c r="P1557" s="2"/>
      <c r="Q1557" s="2"/>
      <c r="R1557" s="80"/>
      <c r="S1557" s="80"/>
      <c r="T1557" s="80"/>
      <c r="U1557" s="80"/>
      <c r="V1557" s="80"/>
      <c r="W1557" s="80"/>
      <c r="X1557" s="80"/>
      <c r="Y1557" s="80"/>
      <c r="Z1557" s="80"/>
      <c r="AA1557" s="80"/>
      <c r="AB1557" s="80"/>
      <c r="AC1557" s="80"/>
      <c r="AD1557" s="80"/>
      <c r="AE1557" s="80"/>
      <c r="AF1557" s="80"/>
      <c r="AG1557" s="80"/>
    </row>
    <row r="1558" spans="1:33" x14ac:dyDescent="0.2">
      <c r="A1558" s="2"/>
      <c r="B1558" s="80"/>
      <c r="C1558" s="80"/>
      <c r="D1558" s="80"/>
      <c r="E1558" s="80"/>
      <c r="F1558" s="80"/>
      <c r="G1558" s="80"/>
      <c r="H1558" s="80"/>
      <c r="I1558" s="80"/>
      <c r="J1558" s="80"/>
      <c r="K1558" s="80"/>
      <c r="L1558" s="2"/>
      <c r="M1558" s="2"/>
      <c r="N1558" s="2"/>
      <c r="O1558" s="2"/>
      <c r="P1558" s="2"/>
      <c r="Q1558" s="2"/>
      <c r="R1558" s="80"/>
      <c r="S1558" s="80"/>
      <c r="T1558" s="80"/>
      <c r="U1558" s="80"/>
      <c r="V1558" s="80"/>
      <c r="W1558" s="80"/>
      <c r="X1558" s="80"/>
      <c r="Y1558" s="80"/>
      <c r="Z1558" s="80"/>
      <c r="AA1558" s="80"/>
      <c r="AB1558" s="80"/>
      <c r="AC1558" s="80"/>
      <c r="AD1558" s="80"/>
      <c r="AE1558" s="80"/>
      <c r="AF1558" s="80"/>
      <c r="AG1558" s="80"/>
    </row>
    <row r="1559" spans="1:33" x14ac:dyDescent="0.2">
      <c r="A1559" s="2"/>
      <c r="B1559" s="80"/>
      <c r="C1559" s="80"/>
      <c r="D1559" s="80"/>
      <c r="E1559" s="80"/>
      <c r="F1559" s="80"/>
      <c r="G1559" s="80"/>
      <c r="H1559" s="80"/>
      <c r="I1559" s="80"/>
      <c r="J1559" s="80"/>
      <c r="K1559" s="80"/>
      <c r="L1559" s="2"/>
      <c r="M1559" s="2"/>
      <c r="N1559" s="2"/>
      <c r="O1559" s="2"/>
      <c r="P1559" s="2"/>
      <c r="Q1559" s="2"/>
      <c r="R1559" s="80"/>
      <c r="S1559" s="80"/>
      <c r="T1559" s="80"/>
      <c r="U1559" s="80"/>
      <c r="V1559" s="80"/>
      <c r="W1559" s="80"/>
      <c r="X1559" s="80"/>
      <c r="Y1559" s="80"/>
      <c r="Z1559" s="80"/>
      <c r="AA1559" s="80"/>
      <c r="AB1559" s="80"/>
      <c r="AC1559" s="80"/>
      <c r="AD1559" s="80"/>
      <c r="AE1559" s="80"/>
      <c r="AF1559" s="80"/>
      <c r="AG1559" s="80"/>
    </row>
    <row r="1560" spans="1:33" x14ac:dyDescent="0.2">
      <c r="A1560" s="2"/>
      <c r="B1560" s="80"/>
      <c r="C1560" s="80"/>
      <c r="D1560" s="80"/>
      <c r="E1560" s="80"/>
      <c r="F1560" s="80"/>
      <c r="G1560" s="80"/>
      <c r="H1560" s="80"/>
      <c r="I1560" s="80"/>
      <c r="J1560" s="80"/>
      <c r="K1560" s="80"/>
      <c r="L1560" s="2"/>
      <c r="M1560" s="2"/>
      <c r="N1560" s="2"/>
      <c r="O1560" s="2"/>
      <c r="P1560" s="2"/>
      <c r="Q1560" s="2"/>
      <c r="R1560" s="80"/>
      <c r="S1560" s="80"/>
      <c r="T1560" s="80"/>
      <c r="U1560" s="80"/>
      <c r="V1560" s="80"/>
      <c r="W1560" s="80"/>
      <c r="X1560" s="80"/>
      <c r="Y1560" s="80"/>
      <c r="Z1560" s="80"/>
      <c r="AA1560" s="80"/>
      <c r="AB1560" s="80"/>
      <c r="AC1560" s="80"/>
      <c r="AD1560" s="80"/>
      <c r="AE1560" s="80"/>
      <c r="AF1560" s="80"/>
      <c r="AG1560" s="80"/>
    </row>
    <row r="1561" spans="1:33" x14ac:dyDescent="0.2">
      <c r="A1561" s="2"/>
      <c r="B1561" s="80"/>
      <c r="C1561" s="80"/>
      <c r="D1561" s="80"/>
      <c r="E1561" s="80"/>
      <c r="F1561" s="80"/>
      <c r="G1561" s="80"/>
      <c r="H1561" s="80"/>
      <c r="I1561" s="80"/>
      <c r="J1561" s="80"/>
      <c r="K1561" s="80"/>
      <c r="L1561" s="2"/>
      <c r="M1561" s="2"/>
      <c r="N1561" s="2"/>
      <c r="O1561" s="2"/>
      <c r="P1561" s="2"/>
      <c r="Q1561" s="2"/>
      <c r="R1561" s="80"/>
      <c r="S1561" s="80"/>
      <c r="T1561" s="80"/>
      <c r="U1561" s="80"/>
      <c r="V1561" s="80"/>
      <c r="W1561" s="80"/>
      <c r="X1561" s="80"/>
      <c r="Y1561" s="80"/>
      <c r="Z1561" s="80"/>
      <c r="AA1561" s="80"/>
      <c r="AB1561" s="80"/>
      <c r="AC1561" s="80"/>
      <c r="AD1561" s="80"/>
      <c r="AE1561" s="80"/>
      <c r="AF1561" s="80"/>
      <c r="AG1561" s="80"/>
    </row>
    <row r="1562" spans="1:33" x14ac:dyDescent="0.2">
      <c r="A1562" s="2"/>
      <c r="B1562" s="80"/>
      <c r="C1562" s="80"/>
      <c r="D1562" s="80"/>
      <c r="E1562" s="80"/>
      <c r="F1562" s="80"/>
      <c r="G1562" s="80"/>
      <c r="H1562" s="80"/>
      <c r="I1562" s="80"/>
      <c r="J1562" s="80"/>
      <c r="K1562" s="80"/>
      <c r="L1562" s="2"/>
      <c r="M1562" s="2"/>
      <c r="N1562" s="2"/>
      <c r="O1562" s="2"/>
      <c r="P1562" s="2"/>
      <c r="Q1562" s="2"/>
      <c r="R1562" s="80"/>
      <c r="S1562" s="80"/>
      <c r="T1562" s="80"/>
      <c r="U1562" s="80"/>
      <c r="V1562" s="80"/>
      <c r="W1562" s="80"/>
      <c r="X1562" s="80"/>
      <c r="Y1562" s="80"/>
      <c r="Z1562" s="80"/>
      <c r="AA1562" s="80"/>
      <c r="AB1562" s="80"/>
      <c r="AC1562" s="80"/>
      <c r="AD1562" s="80"/>
      <c r="AE1562" s="80"/>
      <c r="AF1562" s="80"/>
      <c r="AG1562" s="80"/>
    </row>
    <row r="1563" spans="1:33" x14ac:dyDescent="0.2">
      <c r="A1563" s="2"/>
      <c r="B1563" s="80"/>
      <c r="C1563" s="80"/>
      <c r="D1563" s="80"/>
      <c r="E1563" s="80"/>
      <c r="F1563" s="80"/>
      <c r="G1563" s="80"/>
      <c r="H1563" s="80"/>
      <c r="I1563" s="80"/>
      <c r="J1563" s="80"/>
      <c r="K1563" s="80"/>
      <c r="L1563" s="2"/>
      <c r="M1563" s="2"/>
      <c r="N1563" s="2"/>
      <c r="O1563" s="2"/>
      <c r="P1563" s="2"/>
      <c r="Q1563" s="2"/>
      <c r="R1563" s="80"/>
      <c r="S1563" s="80"/>
      <c r="T1563" s="80"/>
      <c r="U1563" s="80"/>
      <c r="V1563" s="80"/>
      <c r="W1563" s="80"/>
      <c r="X1563" s="80"/>
      <c r="Y1563" s="80"/>
      <c r="Z1563" s="80"/>
      <c r="AA1563" s="80"/>
      <c r="AB1563" s="80"/>
      <c r="AC1563" s="80"/>
      <c r="AD1563" s="80"/>
      <c r="AE1563" s="80"/>
      <c r="AF1563" s="80"/>
      <c r="AG1563" s="80"/>
    </row>
    <row r="1564" spans="1:33" x14ac:dyDescent="0.2">
      <c r="A1564" s="2"/>
      <c r="B1564" s="80"/>
      <c r="C1564" s="80"/>
      <c r="D1564" s="80"/>
      <c r="E1564" s="80"/>
      <c r="F1564" s="80"/>
      <c r="G1564" s="80"/>
      <c r="H1564" s="80"/>
      <c r="I1564" s="80"/>
      <c r="J1564" s="80"/>
      <c r="K1564" s="80"/>
      <c r="L1564" s="2"/>
      <c r="M1564" s="2"/>
      <c r="N1564" s="2"/>
      <c r="O1564" s="2"/>
      <c r="P1564" s="2"/>
      <c r="Q1564" s="2"/>
      <c r="R1564" s="80"/>
      <c r="S1564" s="80"/>
      <c r="T1564" s="80"/>
      <c r="U1564" s="80"/>
      <c r="V1564" s="80"/>
      <c r="W1564" s="80"/>
      <c r="X1564" s="80"/>
      <c r="Y1564" s="80"/>
      <c r="Z1564" s="80"/>
      <c r="AA1564" s="80"/>
      <c r="AB1564" s="80"/>
      <c r="AC1564" s="80"/>
      <c r="AD1564" s="80"/>
      <c r="AE1564" s="80"/>
      <c r="AF1564" s="80"/>
      <c r="AG1564" s="80"/>
    </row>
    <row r="1565" spans="1:33" x14ac:dyDescent="0.2">
      <c r="A1565" s="2"/>
      <c r="B1565" s="80"/>
      <c r="C1565" s="80"/>
      <c r="D1565" s="80"/>
      <c r="E1565" s="80"/>
      <c r="F1565" s="80"/>
      <c r="G1565" s="80"/>
      <c r="H1565" s="80"/>
      <c r="I1565" s="80"/>
      <c r="J1565" s="80"/>
      <c r="K1565" s="80"/>
      <c r="L1565" s="2"/>
      <c r="M1565" s="2"/>
      <c r="N1565" s="2"/>
      <c r="O1565" s="2"/>
      <c r="P1565" s="2"/>
      <c r="Q1565" s="2"/>
      <c r="R1565" s="80"/>
      <c r="S1565" s="80"/>
      <c r="T1565" s="80"/>
      <c r="U1565" s="80"/>
      <c r="V1565" s="80"/>
      <c r="W1565" s="80"/>
      <c r="X1565" s="80"/>
      <c r="Y1565" s="80"/>
      <c r="Z1565" s="80"/>
      <c r="AA1565" s="80"/>
      <c r="AB1565" s="80"/>
      <c r="AC1565" s="80"/>
      <c r="AD1565" s="80"/>
      <c r="AE1565" s="80"/>
      <c r="AF1565" s="80"/>
      <c r="AG1565" s="80"/>
    </row>
    <row r="1566" spans="1:33" x14ac:dyDescent="0.2">
      <c r="A1566" s="2"/>
      <c r="B1566" s="80"/>
      <c r="C1566" s="80"/>
      <c r="D1566" s="80"/>
      <c r="E1566" s="80"/>
      <c r="F1566" s="80"/>
      <c r="G1566" s="80"/>
      <c r="H1566" s="80"/>
      <c r="I1566" s="80"/>
      <c r="J1566" s="80"/>
      <c r="K1566" s="80"/>
      <c r="L1566" s="2"/>
      <c r="M1566" s="2"/>
      <c r="N1566" s="2"/>
      <c r="O1566" s="2"/>
      <c r="P1566" s="2"/>
      <c r="Q1566" s="2"/>
      <c r="R1566" s="80"/>
      <c r="S1566" s="80"/>
      <c r="T1566" s="80"/>
      <c r="U1566" s="80"/>
      <c r="V1566" s="80"/>
      <c r="W1566" s="80"/>
      <c r="X1566" s="80"/>
      <c r="Y1566" s="80"/>
      <c r="Z1566" s="80"/>
      <c r="AA1566" s="80"/>
      <c r="AB1566" s="80"/>
      <c r="AC1566" s="80"/>
      <c r="AD1566" s="80"/>
      <c r="AE1566" s="80"/>
      <c r="AF1566" s="80"/>
      <c r="AG1566" s="80"/>
    </row>
    <row r="1567" spans="1:33" x14ac:dyDescent="0.2">
      <c r="A1567" s="2"/>
      <c r="B1567" s="80"/>
      <c r="C1567" s="80"/>
      <c r="D1567" s="80"/>
      <c r="E1567" s="80"/>
      <c r="F1567" s="80"/>
      <c r="G1567" s="80"/>
      <c r="H1567" s="80"/>
      <c r="I1567" s="80"/>
      <c r="J1567" s="80"/>
      <c r="K1567" s="80"/>
      <c r="L1567" s="2"/>
      <c r="M1567" s="2"/>
      <c r="N1567" s="2"/>
      <c r="O1567" s="2"/>
      <c r="P1567" s="2"/>
      <c r="Q1567" s="2"/>
      <c r="R1567" s="80"/>
      <c r="S1567" s="80"/>
      <c r="T1567" s="80"/>
      <c r="U1567" s="80"/>
      <c r="V1567" s="80"/>
      <c r="W1567" s="80"/>
      <c r="X1567" s="80"/>
      <c r="Y1567" s="80"/>
      <c r="Z1567" s="80"/>
      <c r="AA1567" s="80"/>
      <c r="AB1567" s="80"/>
      <c r="AC1567" s="80"/>
      <c r="AD1567" s="80"/>
      <c r="AE1567" s="80"/>
      <c r="AF1567" s="80"/>
      <c r="AG1567" s="80"/>
    </row>
    <row r="1568" spans="1:33" x14ac:dyDescent="0.2">
      <c r="A1568" s="2"/>
      <c r="B1568" s="80"/>
      <c r="C1568" s="80"/>
      <c r="D1568" s="80"/>
      <c r="E1568" s="80"/>
      <c r="F1568" s="80"/>
      <c r="G1568" s="80"/>
      <c r="H1568" s="80"/>
      <c r="I1568" s="80"/>
      <c r="J1568" s="80"/>
      <c r="K1568" s="80"/>
      <c r="L1568" s="2"/>
      <c r="M1568" s="2"/>
      <c r="N1568" s="2"/>
      <c r="O1568" s="2"/>
      <c r="P1568" s="2"/>
      <c r="Q1568" s="2"/>
      <c r="R1568" s="80"/>
      <c r="S1568" s="80"/>
      <c r="T1568" s="80"/>
      <c r="U1568" s="80"/>
      <c r="V1568" s="80"/>
      <c r="W1568" s="80"/>
      <c r="X1568" s="80"/>
      <c r="Y1568" s="80"/>
      <c r="Z1568" s="80"/>
      <c r="AA1568" s="80"/>
      <c r="AB1568" s="80"/>
      <c r="AC1568" s="80"/>
      <c r="AD1568" s="80"/>
      <c r="AE1568" s="80"/>
      <c r="AF1568" s="80"/>
      <c r="AG1568" s="80"/>
    </row>
    <row r="1569" spans="1:33" x14ac:dyDescent="0.2">
      <c r="A1569" s="2"/>
      <c r="B1569" s="80"/>
      <c r="C1569" s="80"/>
      <c r="D1569" s="80"/>
      <c r="E1569" s="80"/>
      <c r="F1569" s="80"/>
      <c r="G1569" s="80"/>
      <c r="H1569" s="80"/>
      <c r="I1569" s="80"/>
      <c r="J1569" s="80"/>
      <c r="K1569" s="80"/>
      <c r="L1569" s="2"/>
      <c r="M1569" s="2"/>
      <c r="N1569" s="2"/>
      <c r="O1569" s="2"/>
      <c r="P1569" s="2"/>
      <c r="Q1569" s="2"/>
      <c r="R1569" s="80"/>
      <c r="S1569" s="80"/>
      <c r="T1569" s="80"/>
      <c r="U1569" s="80"/>
      <c r="V1569" s="80"/>
      <c r="W1569" s="80"/>
      <c r="X1569" s="80"/>
      <c r="Y1569" s="80"/>
      <c r="Z1569" s="80"/>
      <c r="AA1569" s="80"/>
      <c r="AB1569" s="80"/>
      <c r="AC1569" s="80"/>
      <c r="AD1569" s="80"/>
      <c r="AE1569" s="80"/>
      <c r="AF1569" s="80"/>
      <c r="AG1569" s="80"/>
    </row>
    <row r="1570" spans="1:33" x14ac:dyDescent="0.2">
      <c r="A1570" s="2"/>
      <c r="B1570" s="80"/>
      <c r="C1570" s="80"/>
      <c r="D1570" s="80"/>
      <c r="E1570" s="80"/>
      <c r="F1570" s="80"/>
      <c r="G1570" s="80"/>
      <c r="H1570" s="80"/>
      <c r="I1570" s="80"/>
      <c r="J1570" s="80"/>
      <c r="K1570" s="80"/>
      <c r="L1570" s="2"/>
      <c r="M1570" s="2"/>
      <c r="N1570" s="2"/>
      <c r="O1570" s="2"/>
      <c r="P1570" s="2"/>
      <c r="Q1570" s="2"/>
      <c r="R1570" s="80"/>
      <c r="S1570" s="80"/>
      <c r="T1570" s="80"/>
      <c r="U1570" s="80"/>
      <c r="V1570" s="80"/>
      <c r="W1570" s="80"/>
      <c r="X1570" s="80"/>
      <c r="Y1570" s="80"/>
      <c r="Z1570" s="80"/>
      <c r="AA1570" s="80"/>
      <c r="AB1570" s="80"/>
      <c r="AC1570" s="80"/>
      <c r="AD1570" s="80"/>
      <c r="AE1570" s="80"/>
      <c r="AF1570" s="80"/>
      <c r="AG1570" s="80"/>
    </row>
    <row r="1571" spans="1:33" x14ac:dyDescent="0.2">
      <c r="A1571" s="2"/>
      <c r="B1571" s="80"/>
      <c r="C1571" s="80"/>
      <c r="D1571" s="80"/>
      <c r="E1571" s="80"/>
      <c r="F1571" s="80"/>
      <c r="G1571" s="80"/>
      <c r="H1571" s="80"/>
      <c r="I1571" s="80"/>
      <c r="J1571" s="80"/>
      <c r="K1571" s="80"/>
      <c r="L1571" s="2"/>
      <c r="M1571" s="2"/>
      <c r="N1571" s="2"/>
      <c r="O1571" s="2"/>
      <c r="P1571" s="2"/>
      <c r="Q1571" s="2"/>
      <c r="R1571" s="80"/>
      <c r="S1571" s="80"/>
      <c r="T1571" s="80"/>
      <c r="U1571" s="80"/>
      <c r="V1571" s="80"/>
      <c r="W1571" s="80"/>
      <c r="X1571" s="80"/>
      <c r="Y1571" s="80"/>
      <c r="Z1571" s="80"/>
      <c r="AA1571" s="80"/>
      <c r="AB1571" s="80"/>
      <c r="AC1571" s="80"/>
      <c r="AD1571" s="80"/>
      <c r="AE1571" s="80"/>
      <c r="AF1571" s="80"/>
      <c r="AG1571" s="80"/>
    </row>
    <row r="1572" spans="1:33" x14ac:dyDescent="0.2">
      <c r="A1572" s="2"/>
      <c r="B1572" s="80"/>
      <c r="C1572" s="80"/>
      <c r="D1572" s="80"/>
      <c r="E1572" s="80"/>
      <c r="F1572" s="80"/>
      <c r="G1572" s="80"/>
      <c r="H1572" s="80"/>
      <c r="I1572" s="80"/>
      <c r="J1572" s="80"/>
      <c r="K1572" s="80"/>
      <c r="L1572" s="2"/>
      <c r="M1572" s="2"/>
      <c r="N1572" s="2"/>
      <c r="O1572" s="2"/>
      <c r="P1572" s="2"/>
      <c r="Q1572" s="2"/>
      <c r="R1572" s="80"/>
      <c r="S1572" s="80"/>
      <c r="T1572" s="80"/>
      <c r="U1572" s="80"/>
      <c r="V1572" s="80"/>
      <c r="W1572" s="80"/>
      <c r="X1572" s="80"/>
      <c r="Y1572" s="80"/>
      <c r="Z1572" s="80"/>
      <c r="AA1572" s="80"/>
      <c r="AB1572" s="80"/>
      <c r="AC1572" s="80"/>
      <c r="AD1572" s="80"/>
      <c r="AE1572" s="80"/>
      <c r="AF1572" s="80"/>
      <c r="AG1572" s="80"/>
    </row>
    <row r="1573" spans="1:33" x14ac:dyDescent="0.2">
      <c r="A1573" s="2"/>
      <c r="B1573" s="80"/>
      <c r="C1573" s="80"/>
      <c r="D1573" s="80"/>
      <c r="E1573" s="80"/>
      <c r="F1573" s="80"/>
      <c r="G1573" s="80"/>
      <c r="H1573" s="80"/>
      <c r="I1573" s="80"/>
      <c r="J1573" s="80"/>
      <c r="K1573" s="80"/>
      <c r="L1573" s="2"/>
      <c r="M1573" s="2"/>
      <c r="N1573" s="2"/>
      <c r="O1573" s="2"/>
      <c r="P1573" s="2"/>
      <c r="Q1573" s="2"/>
      <c r="R1573" s="80"/>
      <c r="S1573" s="80"/>
      <c r="T1573" s="80"/>
      <c r="U1573" s="80"/>
      <c r="V1573" s="80"/>
      <c r="W1573" s="80"/>
      <c r="X1573" s="80"/>
      <c r="Y1573" s="80"/>
      <c r="Z1573" s="80"/>
      <c r="AA1573" s="80"/>
      <c r="AB1573" s="80"/>
      <c r="AC1573" s="80"/>
      <c r="AD1573" s="80"/>
      <c r="AE1573" s="80"/>
      <c r="AF1573" s="80"/>
      <c r="AG1573" s="80"/>
    </row>
    <row r="1574" spans="1:33" x14ac:dyDescent="0.2">
      <c r="A1574" s="2"/>
      <c r="B1574" s="80"/>
      <c r="C1574" s="80"/>
      <c r="D1574" s="80"/>
      <c r="E1574" s="80"/>
      <c r="F1574" s="80"/>
      <c r="G1574" s="80"/>
      <c r="H1574" s="80"/>
      <c r="I1574" s="80"/>
      <c r="J1574" s="80"/>
      <c r="K1574" s="80"/>
      <c r="L1574" s="2"/>
      <c r="M1574" s="2"/>
      <c r="N1574" s="2"/>
      <c r="O1574" s="2"/>
      <c r="P1574" s="2"/>
      <c r="Q1574" s="2"/>
      <c r="R1574" s="80"/>
      <c r="S1574" s="80"/>
      <c r="T1574" s="80"/>
      <c r="U1574" s="80"/>
      <c r="V1574" s="80"/>
      <c r="W1574" s="80"/>
      <c r="X1574" s="80"/>
      <c r="Y1574" s="80"/>
      <c r="Z1574" s="80"/>
      <c r="AA1574" s="80"/>
      <c r="AB1574" s="80"/>
      <c r="AC1574" s="80"/>
      <c r="AD1574" s="80"/>
      <c r="AE1574" s="80"/>
      <c r="AF1574" s="80"/>
      <c r="AG1574" s="80"/>
    </row>
    <row r="1575" spans="1:33" x14ac:dyDescent="0.2">
      <c r="A1575" s="2"/>
      <c r="B1575" s="80"/>
      <c r="C1575" s="80"/>
      <c r="D1575" s="80"/>
      <c r="E1575" s="80"/>
      <c r="F1575" s="80"/>
      <c r="G1575" s="80"/>
      <c r="H1575" s="80"/>
      <c r="I1575" s="80"/>
      <c r="J1575" s="80"/>
      <c r="K1575" s="80"/>
      <c r="L1575" s="2"/>
      <c r="M1575" s="2"/>
      <c r="N1575" s="2"/>
      <c r="O1575" s="2"/>
      <c r="P1575" s="2"/>
      <c r="Q1575" s="2"/>
      <c r="R1575" s="80"/>
      <c r="S1575" s="80"/>
      <c r="T1575" s="80"/>
      <c r="U1575" s="80"/>
      <c r="V1575" s="80"/>
      <c r="W1575" s="80"/>
      <c r="X1575" s="80"/>
      <c r="Y1575" s="80"/>
      <c r="Z1575" s="80"/>
      <c r="AA1575" s="80"/>
      <c r="AB1575" s="80"/>
      <c r="AC1575" s="80"/>
      <c r="AD1575" s="80"/>
      <c r="AE1575" s="80"/>
      <c r="AF1575" s="80"/>
      <c r="AG1575" s="80"/>
    </row>
    <row r="1576" spans="1:33" x14ac:dyDescent="0.2">
      <c r="A1576" s="2"/>
      <c r="B1576" s="80"/>
      <c r="C1576" s="80"/>
      <c r="D1576" s="80"/>
      <c r="E1576" s="80"/>
      <c r="F1576" s="80"/>
      <c r="G1576" s="80"/>
      <c r="H1576" s="80"/>
      <c r="I1576" s="80"/>
      <c r="J1576" s="80"/>
      <c r="K1576" s="80"/>
      <c r="L1576" s="2"/>
      <c r="M1576" s="2"/>
      <c r="N1576" s="2"/>
      <c r="O1576" s="2"/>
      <c r="P1576" s="2"/>
      <c r="Q1576" s="2"/>
      <c r="R1576" s="80"/>
      <c r="S1576" s="80"/>
      <c r="T1576" s="80"/>
      <c r="U1576" s="80"/>
      <c r="V1576" s="80"/>
      <c r="W1576" s="80"/>
      <c r="X1576" s="80"/>
      <c r="Y1576" s="80"/>
      <c r="Z1576" s="80"/>
      <c r="AA1576" s="80"/>
      <c r="AB1576" s="80"/>
      <c r="AC1576" s="80"/>
      <c r="AD1576" s="80"/>
      <c r="AE1576" s="80"/>
      <c r="AF1576" s="80"/>
      <c r="AG1576" s="80"/>
    </row>
    <row r="1577" spans="1:33" x14ac:dyDescent="0.2">
      <c r="A1577" s="2"/>
      <c r="B1577" s="80"/>
      <c r="C1577" s="80"/>
      <c r="D1577" s="80"/>
      <c r="E1577" s="80"/>
      <c r="F1577" s="80"/>
      <c r="G1577" s="80"/>
      <c r="H1577" s="80"/>
      <c r="I1577" s="80"/>
      <c r="J1577" s="80"/>
      <c r="K1577" s="80"/>
      <c r="L1577" s="2"/>
      <c r="M1577" s="2"/>
      <c r="N1577" s="2"/>
      <c r="O1577" s="2"/>
      <c r="P1577" s="2"/>
      <c r="Q1577" s="2"/>
      <c r="R1577" s="80"/>
      <c r="S1577" s="80"/>
      <c r="T1577" s="80"/>
      <c r="U1577" s="80"/>
      <c r="V1577" s="80"/>
      <c r="W1577" s="80"/>
      <c r="X1577" s="80"/>
      <c r="Y1577" s="80"/>
      <c r="Z1577" s="80"/>
      <c r="AA1577" s="80"/>
      <c r="AB1577" s="80"/>
      <c r="AC1577" s="80"/>
      <c r="AD1577" s="80"/>
      <c r="AE1577" s="80"/>
      <c r="AF1577" s="80"/>
      <c r="AG1577" s="80"/>
    </row>
    <row r="1578" spans="1:33" x14ac:dyDescent="0.2">
      <c r="A1578" s="2"/>
      <c r="B1578" s="80"/>
      <c r="C1578" s="80"/>
      <c r="D1578" s="80"/>
      <c r="E1578" s="80"/>
      <c r="F1578" s="80"/>
      <c r="G1578" s="80"/>
      <c r="H1578" s="80"/>
      <c r="I1578" s="80"/>
      <c r="J1578" s="80"/>
      <c r="K1578" s="80"/>
      <c r="L1578" s="2"/>
      <c r="M1578" s="2"/>
      <c r="N1578" s="2"/>
      <c r="O1578" s="2"/>
      <c r="P1578" s="2"/>
      <c r="Q1578" s="2"/>
      <c r="R1578" s="80"/>
      <c r="S1578" s="80"/>
      <c r="T1578" s="80"/>
      <c r="U1578" s="80"/>
      <c r="V1578" s="80"/>
      <c r="W1578" s="80"/>
      <c r="X1578" s="80"/>
      <c r="Y1578" s="80"/>
      <c r="Z1578" s="80"/>
      <c r="AA1578" s="80"/>
      <c r="AB1578" s="80"/>
      <c r="AC1578" s="80"/>
      <c r="AD1578" s="80"/>
      <c r="AE1578" s="80"/>
      <c r="AF1578" s="80"/>
      <c r="AG1578" s="80"/>
    </row>
    <row r="1579" spans="1:33" x14ac:dyDescent="0.2">
      <c r="A1579" s="2"/>
      <c r="B1579" s="80"/>
      <c r="C1579" s="80"/>
      <c r="D1579" s="80"/>
      <c r="E1579" s="80"/>
      <c r="F1579" s="80"/>
      <c r="G1579" s="80"/>
      <c r="H1579" s="80"/>
      <c r="I1579" s="80"/>
      <c r="J1579" s="80"/>
      <c r="K1579" s="80"/>
      <c r="L1579" s="2"/>
      <c r="M1579" s="2"/>
      <c r="N1579" s="2"/>
      <c r="O1579" s="2"/>
      <c r="P1579" s="2"/>
      <c r="Q1579" s="2"/>
      <c r="R1579" s="80"/>
      <c r="S1579" s="80"/>
      <c r="T1579" s="80"/>
      <c r="U1579" s="80"/>
      <c r="V1579" s="80"/>
      <c r="W1579" s="80"/>
      <c r="X1579" s="80"/>
      <c r="Y1579" s="80"/>
      <c r="Z1579" s="80"/>
      <c r="AA1579" s="80"/>
      <c r="AB1579" s="80"/>
      <c r="AC1579" s="80"/>
      <c r="AD1579" s="80"/>
      <c r="AE1579" s="80"/>
      <c r="AF1579" s="80"/>
      <c r="AG1579" s="80"/>
    </row>
    <row r="1580" spans="1:33" x14ac:dyDescent="0.2">
      <c r="A1580" s="2"/>
      <c r="B1580" s="80"/>
      <c r="C1580" s="80"/>
      <c r="D1580" s="80"/>
      <c r="E1580" s="80"/>
      <c r="F1580" s="80"/>
      <c r="G1580" s="80"/>
      <c r="H1580" s="80"/>
      <c r="I1580" s="80"/>
      <c r="J1580" s="80"/>
      <c r="K1580" s="80"/>
      <c r="L1580" s="2"/>
      <c r="M1580" s="2"/>
      <c r="N1580" s="2"/>
      <c r="O1580" s="2"/>
      <c r="P1580" s="2"/>
      <c r="Q1580" s="2"/>
      <c r="R1580" s="80"/>
      <c r="S1580" s="80"/>
      <c r="T1580" s="80"/>
      <c r="U1580" s="80"/>
      <c r="V1580" s="80"/>
      <c r="W1580" s="80"/>
      <c r="X1580" s="80"/>
      <c r="Y1580" s="80"/>
      <c r="Z1580" s="80"/>
      <c r="AA1580" s="80"/>
      <c r="AB1580" s="80"/>
      <c r="AC1580" s="80"/>
      <c r="AD1580" s="80"/>
      <c r="AE1580" s="80"/>
      <c r="AF1580" s="80"/>
      <c r="AG1580" s="80"/>
    </row>
    <row r="1581" spans="1:33" x14ac:dyDescent="0.2">
      <c r="A1581" s="2"/>
      <c r="B1581" s="80"/>
      <c r="C1581" s="80"/>
      <c r="D1581" s="80"/>
      <c r="E1581" s="80"/>
      <c r="F1581" s="80"/>
      <c r="G1581" s="80"/>
      <c r="H1581" s="80"/>
      <c r="I1581" s="80"/>
      <c r="J1581" s="80"/>
      <c r="K1581" s="80"/>
      <c r="L1581" s="2"/>
      <c r="M1581" s="2"/>
      <c r="N1581" s="2"/>
      <c r="O1581" s="2"/>
      <c r="P1581" s="2"/>
      <c r="Q1581" s="2"/>
      <c r="R1581" s="80"/>
      <c r="S1581" s="80"/>
      <c r="T1581" s="80"/>
      <c r="U1581" s="80"/>
      <c r="V1581" s="80"/>
      <c r="W1581" s="80"/>
      <c r="X1581" s="80"/>
      <c r="Y1581" s="80"/>
      <c r="Z1581" s="80"/>
      <c r="AA1581" s="80"/>
      <c r="AB1581" s="80"/>
      <c r="AC1581" s="80"/>
      <c r="AD1581" s="80"/>
      <c r="AE1581" s="80"/>
      <c r="AF1581" s="80"/>
      <c r="AG1581" s="80"/>
    </row>
    <row r="1582" spans="1:33" x14ac:dyDescent="0.2">
      <c r="A1582" s="2"/>
      <c r="B1582" s="80"/>
      <c r="C1582" s="80"/>
      <c r="D1582" s="80"/>
      <c r="E1582" s="80"/>
      <c r="F1582" s="80"/>
      <c r="G1582" s="80"/>
      <c r="H1582" s="80"/>
      <c r="I1582" s="80"/>
      <c r="J1582" s="80"/>
      <c r="K1582" s="80"/>
      <c r="L1582" s="2"/>
      <c r="M1582" s="2"/>
      <c r="N1582" s="2"/>
      <c r="O1582" s="2"/>
      <c r="P1582" s="2"/>
      <c r="Q1582" s="2"/>
      <c r="R1582" s="80"/>
      <c r="S1582" s="80"/>
      <c r="T1582" s="80"/>
      <c r="U1582" s="80"/>
      <c r="V1582" s="80"/>
      <c r="W1582" s="80"/>
      <c r="X1582" s="80"/>
      <c r="Y1582" s="80"/>
      <c r="Z1582" s="80"/>
      <c r="AA1582" s="80"/>
      <c r="AB1582" s="80"/>
      <c r="AC1582" s="80"/>
      <c r="AD1582" s="80"/>
      <c r="AE1582" s="80"/>
      <c r="AF1582" s="80"/>
      <c r="AG1582" s="80"/>
    </row>
    <row r="1583" spans="1:33" x14ac:dyDescent="0.2">
      <c r="A1583" s="2"/>
      <c r="B1583" s="80"/>
      <c r="C1583" s="80"/>
      <c r="D1583" s="80"/>
      <c r="E1583" s="80"/>
      <c r="F1583" s="80"/>
      <c r="G1583" s="80"/>
      <c r="H1583" s="80"/>
      <c r="I1583" s="80"/>
      <c r="J1583" s="80"/>
      <c r="K1583" s="80"/>
      <c r="L1583" s="2"/>
      <c r="M1583" s="2"/>
      <c r="N1583" s="2"/>
      <c r="O1583" s="2"/>
      <c r="P1583" s="2"/>
      <c r="Q1583" s="2"/>
      <c r="R1583" s="80"/>
      <c r="S1583" s="80"/>
      <c r="T1583" s="80"/>
      <c r="U1583" s="80"/>
      <c r="V1583" s="80"/>
      <c r="W1583" s="80"/>
      <c r="X1583" s="80"/>
      <c r="Y1583" s="80"/>
      <c r="Z1583" s="80"/>
      <c r="AA1583" s="80"/>
      <c r="AB1583" s="80"/>
      <c r="AC1583" s="80"/>
      <c r="AD1583" s="80"/>
      <c r="AE1583" s="80"/>
      <c r="AF1583" s="80"/>
      <c r="AG1583" s="80"/>
    </row>
    <row r="1584" spans="1:33" x14ac:dyDescent="0.2">
      <c r="A1584" s="2"/>
      <c r="B1584" s="80"/>
      <c r="C1584" s="80"/>
      <c r="D1584" s="80"/>
      <c r="E1584" s="80"/>
      <c r="F1584" s="80"/>
      <c r="G1584" s="80"/>
      <c r="H1584" s="80"/>
      <c r="I1584" s="80"/>
      <c r="J1584" s="80"/>
      <c r="K1584" s="80"/>
      <c r="L1584" s="2"/>
      <c r="M1584" s="2"/>
      <c r="N1584" s="2"/>
      <c r="O1584" s="2"/>
      <c r="P1584" s="2"/>
      <c r="Q1584" s="2"/>
      <c r="R1584" s="80"/>
      <c r="S1584" s="80"/>
      <c r="T1584" s="80"/>
      <c r="U1584" s="80"/>
      <c r="V1584" s="80"/>
      <c r="W1584" s="80"/>
      <c r="X1584" s="80"/>
      <c r="Y1584" s="80"/>
      <c r="Z1584" s="80"/>
      <c r="AA1584" s="80"/>
      <c r="AB1584" s="80"/>
      <c r="AC1584" s="80"/>
      <c r="AD1584" s="80"/>
      <c r="AE1584" s="80"/>
      <c r="AF1584" s="80"/>
      <c r="AG1584" s="80"/>
    </row>
    <row r="1585" spans="1:33" x14ac:dyDescent="0.2">
      <c r="A1585" s="2"/>
      <c r="B1585" s="80"/>
      <c r="C1585" s="80"/>
      <c r="D1585" s="80"/>
      <c r="E1585" s="80"/>
      <c r="F1585" s="80"/>
      <c r="G1585" s="80"/>
      <c r="H1585" s="80"/>
      <c r="I1585" s="80"/>
      <c r="J1585" s="80"/>
      <c r="K1585" s="80"/>
      <c r="L1585" s="2"/>
      <c r="M1585" s="2"/>
      <c r="N1585" s="2"/>
      <c r="O1585" s="2"/>
      <c r="P1585" s="2"/>
      <c r="Q1585" s="2"/>
      <c r="R1585" s="80"/>
      <c r="S1585" s="80"/>
      <c r="T1585" s="80"/>
      <c r="U1585" s="80"/>
      <c r="V1585" s="80"/>
      <c r="W1585" s="80"/>
      <c r="X1585" s="80"/>
      <c r="Y1585" s="80"/>
      <c r="Z1585" s="80"/>
      <c r="AA1585" s="80"/>
      <c r="AB1585" s="80"/>
      <c r="AC1585" s="80"/>
      <c r="AD1585" s="80"/>
      <c r="AE1585" s="80"/>
      <c r="AF1585" s="80"/>
      <c r="AG1585" s="80"/>
    </row>
    <row r="1586" spans="1:33" x14ac:dyDescent="0.2">
      <c r="A1586" s="2"/>
      <c r="B1586" s="80"/>
      <c r="C1586" s="80"/>
      <c r="D1586" s="80"/>
      <c r="E1586" s="80"/>
      <c r="F1586" s="80"/>
      <c r="G1586" s="80"/>
      <c r="H1586" s="80"/>
      <c r="I1586" s="80"/>
      <c r="J1586" s="80"/>
      <c r="K1586" s="80"/>
      <c r="L1586" s="2"/>
      <c r="M1586" s="2"/>
      <c r="N1586" s="2"/>
      <c r="O1586" s="2"/>
      <c r="P1586" s="2"/>
      <c r="Q1586" s="2"/>
      <c r="R1586" s="80"/>
      <c r="S1586" s="80"/>
      <c r="T1586" s="80"/>
      <c r="U1586" s="80"/>
      <c r="V1586" s="80"/>
      <c r="W1586" s="80"/>
      <c r="X1586" s="80"/>
      <c r="Y1586" s="80"/>
      <c r="Z1586" s="80"/>
      <c r="AA1586" s="80"/>
      <c r="AB1586" s="80"/>
      <c r="AC1586" s="80"/>
      <c r="AD1586" s="80"/>
      <c r="AE1586" s="80"/>
      <c r="AF1586" s="80"/>
      <c r="AG1586" s="80"/>
    </row>
    <row r="1587" spans="1:33" x14ac:dyDescent="0.2">
      <c r="A1587" s="2"/>
      <c r="B1587" s="80"/>
      <c r="C1587" s="80"/>
      <c r="D1587" s="80"/>
      <c r="E1587" s="80"/>
      <c r="F1587" s="80"/>
      <c r="G1587" s="80"/>
      <c r="H1587" s="80"/>
      <c r="I1587" s="80"/>
      <c r="J1587" s="80"/>
      <c r="K1587" s="80"/>
      <c r="L1587" s="2"/>
      <c r="M1587" s="2"/>
      <c r="N1587" s="2"/>
      <c r="O1587" s="2"/>
      <c r="P1587" s="2"/>
      <c r="Q1587" s="2"/>
      <c r="R1587" s="80"/>
      <c r="S1587" s="80"/>
      <c r="T1587" s="80"/>
      <c r="U1587" s="80"/>
      <c r="V1587" s="80"/>
      <c r="W1587" s="80"/>
      <c r="X1587" s="80"/>
      <c r="Y1587" s="80"/>
      <c r="Z1587" s="80"/>
      <c r="AA1587" s="80"/>
      <c r="AB1587" s="80"/>
      <c r="AC1587" s="80"/>
      <c r="AD1587" s="80"/>
      <c r="AE1587" s="80"/>
      <c r="AF1587" s="80"/>
      <c r="AG1587" s="80"/>
    </row>
    <row r="1588" spans="1:33" x14ac:dyDescent="0.2">
      <c r="A1588" s="2"/>
      <c r="B1588" s="80"/>
      <c r="C1588" s="80"/>
      <c r="D1588" s="80"/>
      <c r="E1588" s="80"/>
      <c r="F1588" s="80"/>
      <c r="G1588" s="80"/>
      <c r="H1588" s="80"/>
      <c r="I1588" s="80"/>
      <c r="J1588" s="80"/>
      <c r="K1588" s="80"/>
      <c r="L1588" s="2"/>
      <c r="M1588" s="2"/>
      <c r="N1588" s="2"/>
      <c r="O1588" s="2"/>
      <c r="P1588" s="2"/>
      <c r="Q1588" s="2"/>
      <c r="R1588" s="80"/>
      <c r="S1588" s="80"/>
      <c r="T1588" s="80"/>
      <c r="U1588" s="80"/>
      <c r="V1588" s="80"/>
      <c r="W1588" s="80"/>
      <c r="X1588" s="80"/>
      <c r="Y1588" s="80"/>
      <c r="Z1588" s="80"/>
      <c r="AA1588" s="80"/>
      <c r="AB1588" s="80"/>
      <c r="AC1588" s="80"/>
      <c r="AD1588" s="80"/>
      <c r="AE1588" s="80"/>
      <c r="AF1588" s="80"/>
      <c r="AG1588" s="80"/>
    </row>
    <row r="1589" spans="1:33" x14ac:dyDescent="0.2">
      <c r="A1589" s="2"/>
      <c r="B1589" s="80"/>
      <c r="C1589" s="80"/>
      <c r="D1589" s="80"/>
      <c r="E1589" s="80"/>
      <c r="F1589" s="80"/>
      <c r="G1589" s="80"/>
      <c r="H1589" s="80"/>
      <c r="I1589" s="80"/>
      <c r="J1589" s="80"/>
      <c r="K1589" s="80"/>
      <c r="L1589" s="2"/>
      <c r="M1589" s="2"/>
      <c r="N1589" s="2"/>
      <c r="O1589" s="2"/>
      <c r="P1589" s="2"/>
      <c r="Q1589" s="2"/>
      <c r="R1589" s="80"/>
      <c r="S1589" s="80"/>
      <c r="T1589" s="80"/>
      <c r="U1589" s="80"/>
      <c r="V1589" s="80"/>
      <c r="W1589" s="80"/>
      <c r="X1589" s="80"/>
      <c r="Y1589" s="80"/>
      <c r="Z1589" s="80"/>
      <c r="AA1589" s="80"/>
      <c r="AB1589" s="80"/>
      <c r="AC1589" s="80"/>
      <c r="AD1589" s="80"/>
      <c r="AE1589" s="80"/>
      <c r="AF1589" s="80"/>
      <c r="AG1589" s="80"/>
    </row>
    <row r="1590" spans="1:33" x14ac:dyDescent="0.2">
      <c r="A1590" s="2"/>
      <c r="B1590" s="80"/>
      <c r="C1590" s="80"/>
      <c r="D1590" s="80"/>
      <c r="E1590" s="80"/>
      <c r="F1590" s="80"/>
      <c r="G1590" s="80"/>
      <c r="H1590" s="80"/>
      <c r="I1590" s="80"/>
      <c r="J1590" s="80"/>
      <c r="K1590" s="80"/>
      <c r="L1590" s="2"/>
      <c r="M1590" s="2"/>
      <c r="N1590" s="2"/>
      <c r="O1590" s="2"/>
      <c r="P1590" s="2"/>
      <c r="Q1590" s="2"/>
      <c r="R1590" s="80"/>
      <c r="S1590" s="80"/>
      <c r="T1590" s="80"/>
      <c r="U1590" s="80"/>
      <c r="V1590" s="80"/>
      <c r="W1590" s="80"/>
      <c r="X1590" s="80"/>
      <c r="Y1590" s="80"/>
      <c r="Z1590" s="80"/>
      <c r="AA1590" s="80"/>
      <c r="AB1590" s="80"/>
      <c r="AC1590" s="80"/>
      <c r="AD1590" s="80"/>
      <c r="AE1590" s="80"/>
      <c r="AF1590" s="80"/>
      <c r="AG1590" s="80"/>
    </row>
    <row r="1591" spans="1:33" x14ac:dyDescent="0.2">
      <c r="A1591" s="2"/>
      <c r="B1591" s="80"/>
      <c r="C1591" s="80"/>
      <c r="D1591" s="80"/>
      <c r="E1591" s="80"/>
      <c r="F1591" s="80"/>
      <c r="G1591" s="80"/>
      <c r="H1591" s="80"/>
      <c r="I1591" s="80"/>
      <c r="J1591" s="80"/>
      <c r="K1591" s="80"/>
      <c r="L1591" s="2"/>
      <c r="M1591" s="2"/>
      <c r="N1591" s="2"/>
      <c r="O1591" s="2"/>
      <c r="P1591" s="2"/>
      <c r="Q1591" s="2"/>
      <c r="R1591" s="80"/>
      <c r="S1591" s="80"/>
      <c r="T1591" s="80"/>
      <c r="U1591" s="80"/>
      <c r="V1591" s="80"/>
      <c r="W1591" s="80"/>
      <c r="X1591" s="80"/>
      <c r="Y1591" s="80"/>
      <c r="Z1591" s="80"/>
      <c r="AA1591" s="80"/>
      <c r="AB1591" s="80"/>
      <c r="AC1591" s="80"/>
      <c r="AD1591" s="80"/>
      <c r="AE1591" s="80"/>
      <c r="AF1591" s="80"/>
      <c r="AG1591" s="80"/>
    </row>
    <row r="1592" spans="1:33" x14ac:dyDescent="0.2">
      <c r="A1592" s="2"/>
      <c r="B1592" s="80"/>
      <c r="C1592" s="80"/>
      <c r="D1592" s="80"/>
      <c r="E1592" s="80"/>
      <c r="F1592" s="80"/>
      <c r="G1592" s="80"/>
      <c r="H1592" s="80"/>
      <c r="I1592" s="80"/>
      <c r="J1592" s="80"/>
      <c r="K1592" s="80"/>
      <c r="L1592" s="2"/>
      <c r="M1592" s="2"/>
      <c r="N1592" s="2"/>
      <c r="O1592" s="2"/>
      <c r="P1592" s="2"/>
      <c r="Q1592" s="2"/>
      <c r="R1592" s="80"/>
      <c r="S1592" s="80"/>
      <c r="T1592" s="80"/>
      <c r="U1592" s="80"/>
      <c r="V1592" s="80"/>
      <c r="W1592" s="80"/>
      <c r="X1592" s="80"/>
      <c r="Y1592" s="80"/>
      <c r="Z1592" s="80"/>
      <c r="AA1592" s="80"/>
      <c r="AB1592" s="80"/>
      <c r="AC1592" s="80"/>
      <c r="AD1592" s="80"/>
      <c r="AE1592" s="80"/>
      <c r="AF1592" s="80"/>
      <c r="AG1592" s="80"/>
    </row>
    <row r="1593" spans="1:33" x14ac:dyDescent="0.2">
      <c r="A1593" s="2"/>
      <c r="B1593" s="80"/>
      <c r="C1593" s="80"/>
      <c r="D1593" s="80"/>
      <c r="E1593" s="80"/>
      <c r="F1593" s="80"/>
      <c r="G1593" s="80"/>
      <c r="H1593" s="80"/>
      <c r="I1593" s="80"/>
      <c r="J1593" s="80"/>
      <c r="K1593" s="80"/>
      <c r="L1593" s="2"/>
      <c r="M1593" s="2"/>
      <c r="N1593" s="2"/>
      <c r="O1593" s="2"/>
      <c r="P1593" s="2"/>
      <c r="Q1593" s="2"/>
      <c r="R1593" s="80"/>
      <c r="S1593" s="80"/>
      <c r="T1593" s="80"/>
      <c r="U1593" s="80"/>
      <c r="V1593" s="80"/>
      <c r="W1593" s="80"/>
      <c r="X1593" s="80"/>
      <c r="Y1593" s="80"/>
      <c r="Z1593" s="80"/>
      <c r="AA1593" s="80"/>
      <c r="AB1593" s="80"/>
      <c r="AC1593" s="80"/>
      <c r="AD1593" s="80"/>
      <c r="AE1593" s="80"/>
      <c r="AF1593" s="80"/>
      <c r="AG1593" s="80"/>
    </row>
    <row r="1594" spans="1:33" x14ac:dyDescent="0.2">
      <c r="A1594" s="2"/>
      <c r="B1594" s="80"/>
      <c r="C1594" s="80"/>
      <c r="D1594" s="80"/>
      <c r="E1594" s="80"/>
      <c r="F1594" s="80"/>
      <c r="G1594" s="80"/>
      <c r="H1594" s="80"/>
      <c r="I1594" s="80"/>
      <c r="J1594" s="80"/>
      <c r="K1594" s="80"/>
      <c r="L1594" s="2"/>
      <c r="M1594" s="2"/>
      <c r="N1594" s="2"/>
      <c r="O1594" s="2"/>
      <c r="P1594" s="2"/>
      <c r="Q1594" s="2"/>
      <c r="R1594" s="80"/>
      <c r="S1594" s="80"/>
      <c r="T1594" s="80"/>
      <c r="U1594" s="80"/>
      <c r="V1594" s="80"/>
      <c r="W1594" s="80"/>
      <c r="X1594" s="80"/>
      <c r="Y1594" s="80"/>
      <c r="Z1594" s="80"/>
      <c r="AA1594" s="80"/>
      <c r="AB1594" s="80"/>
      <c r="AC1594" s="80"/>
      <c r="AD1594" s="80"/>
      <c r="AE1594" s="80"/>
      <c r="AF1594" s="80"/>
      <c r="AG1594" s="80"/>
    </row>
    <row r="1595" spans="1:33" x14ac:dyDescent="0.2">
      <c r="A1595" s="2"/>
      <c r="B1595" s="80"/>
      <c r="C1595" s="80"/>
      <c r="D1595" s="80"/>
      <c r="E1595" s="80"/>
      <c r="F1595" s="80"/>
      <c r="G1595" s="80"/>
      <c r="H1595" s="80"/>
      <c r="I1595" s="80"/>
      <c r="J1595" s="80"/>
      <c r="K1595" s="80"/>
      <c r="L1595" s="2"/>
      <c r="M1595" s="2"/>
      <c r="N1595" s="2"/>
      <c r="O1595" s="2"/>
      <c r="P1595" s="2"/>
      <c r="Q1595" s="2"/>
      <c r="R1595" s="80"/>
      <c r="S1595" s="80"/>
      <c r="T1595" s="80"/>
      <c r="U1595" s="80"/>
      <c r="V1595" s="80"/>
      <c r="W1595" s="80"/>
      <c r="X1595" s="80"/>
      <c r="Y1595" s="80"/>
      <c r="Z1595" s="80"/>
      <c r="AA1595" s="80"/>
      <c r="AB1595" s="80"/>
      <c r="AC1595" s="80"/>
      <c r="AD1595" s="80"/>
      <c r="AE1595" s="80"/>
      <c r="AF1595" s="80"/>
      <c r="AG1595" s="80"/>
    </row>
    <row r="1596" spans="1:33" x14ac:dyDescent="0.2">
      <c r="A1596" s="2"/>
      <c r="B1596" s="80"/>
      <c r="C1596" s="80"/>
      <c r="D1596" s="80"/>
      <c r="E1596" s="80"/>
      <c r="F1596" s="80"/>
      <c r="G1596" s="80"/>
      <c r="H1596" s="80"/>
      <c r="I1596" s="80"/>
      <c r="J1596" s="80"/>
      <c r="K1596" s="80"/>
      <c r="L1596" s="2"/>
      <c r="M1596" s="2"/>
      <c r="N1596" s="2"/>
      <c r="O1596" s="2"/>
      <c r="P1596" s="2"/>
      <c r="Q1596" s="2"/>
      <c r="R1596" s="80"/>
      <c r="S1596" s="80"/>
      <c r="T1596" s="80"/>
      <c r="U1596" s="80"/>
      <c r="V1596" s="80"/>
      <c r="W1596" s="80"/>
      <c r="X1596" s="80"/>
      <c r="Y1596" s="80"/>
      <c r="Z1596" s="80"/>
      <c r="AA1596" s="80"/>
      <c r="AB1596" s="80"/>
      <c r="AC1596" s="80"/>
      <c r="AD1596" s="80"/>
      <c r="AE1596" s="80"/>
      <c r="AF1596" s="80"/>
      <c r="AG1596" s="80"/>
    </row>
    <row r="1597" spans="1:33" x14ac:dyDescent="0.2">
      <c r="A1597" s="2"/>
      <c r="B1597" s="80"/>
      <c r="C1597" s="80"/>
      <c r="D1597" s="80"/>
      <c r="E1597" s="80"/>
      <c r="F1597" s="80"/>
      <c r="G1597" s="80"/>
      <c r="H1597" s="80"/>
      <c r="I1597" s="80"/>
      <c r="J1597" s="80"/>
      <c r="K1597" s="80"/>
      <c r="L1597" s="2"/>
      <c r="M1597" s="2"/>
      <c r="N1597" s="2"/>
      <c r="O1597" s="2"/>
      <c r="P1597" s="2"/>
      <c r="Q1597" s="2"/>
      <c r="R1597" s="80"/>
      <c r="S1597" s="80"/>
      <c r="T1597" s="80"/>
      <c r="U1597" s="80"/>
      <c r="V1597" s="80"/>
      <c r="W1597" s="80"/>
      <c r="X1597" s="80"/>
      <c r="Y1597" s="80"/>
      <c r="Z1597" s="80"/>
      <c r="AA1597" s="80"/>
      <c r="AB1597" s="80"/>
      <c r="AC1597" s="80"/>
      <c r="AD1597" s="80"/>
      <c r="AE1597" s="80"/>
      <c r="AF1597" s="80"/>
      <c r="AG1597" s="80"/>
    </row>
    <row r="1598" spans="1:33" x14ac:dyDescent="0.2">
      <c r="A1598" s="2"/>
      <c r="B1598" s="80"/>
      <c r="C1598" s="80"/>
      <c r="D1598" s="80"/>
      <c r="E1598" s="80"/>
      <c r="F1598" s="80"/>
      <c r="G1598" s="80"/>
      <c r="H1598" s="80"/>
      <c r="I1598" s="80"/>
      <c r="J1598" s="80"/>
      <c r="K1598" s="80"/>
      <c r="L1598" s="2"/>
      <c r="M1598" s="2"/>
      <c r="N1598" s="2"/>
      <c r="O1598" s="2"/>
      <c r="P1598" s="2"/>
      <c r="Q1598" s="2"/>
      <c r="R1598" s="80"/>
      <c r="S1598" s="80"/>
      <c r="T1598" s="80"/>
      <c r="U1598" s="80"/>
      <c r="V1598" s="80"/>
      <c r="W1598" s="80"/>
      <c r="X1598" s="80"/>
      <c r="Y1598" s="80"/>
      <c r="Z1598" s="80"/>
      <c r="AA1598" s="80"/>
      <c r="AB1598" s="80"/>
      <c r="AC1598" s="80"/>
      <c r="AD1598" s="80"/>
      <c r="AE1598" s="80"/>
      <c r="AF1598" s="80"/>
      <c r="AG1598" s="80"/>
    </row>
    <row r="1599" spans="1:33" x14ac:dyDescent="0.2">
      <c r="A1599" s="2"/>
      <c r="B1599" s="80"/>
      <c r="C1599" s="80"/>
      <c r="D1599" s="80"/>
      <c r="E1599" s="80"/>
      <c r="F1599" s="80"/>
      <c r="G1599" s="80"/>
      <c r="H1599" s="80"/>
      <c r="I1599" s="80"/>
      <c r="J1599" s="80"/>
      <c r="K1599" s="80"/>
      <c r="L1599" s="2"/>
      <c r="M1599" s="2"/>
      <c r="N1599" s="2"/>
      <c r="O1599" s="2"/>
      <c r="P1599" s="2"/>
      <c r="Q1599" s="2"/>
      <c r="R1599" s="80"/>
      <c r="S1599" s="80"/>
      <c r="T1599" s="80"/>
      <c r="U1599" s="80"/>
      <c r="V1599" s="80"/>
      <c r="W1599" s="80"/>
      <c r="X1599" s="80"/>
      <c r="Y1599" s="80"/>
      <c r="Z1599" s="80"/>
      <c r="AA1599" s="80"/>
      <c r="AB1599" s="80"/>
      <c r="AC1599" s="80"/>
      <c r="AD1599" s="80"/>
      <c r="AE1599" s="80"/>
      <c r="AF1599" s="80"/>
      <c r="AG1599" s="80"/>
    </row>
    <row r="1600" spans="1:33" x14ac:dyDescent="0.2">
      <c r="A1600" s="2"/>
      <c r="B1600" s="80"/>
      <c r="C1600" s="80"/>
      <c r="D1600" s="80"/>
      <c r="E1600" s="80"/>
      <c r="F1600" s="80"/>
      <c r="G1600" s="80"/>
      <c r="H1600" s="80"/>
      <c r="I1600" s="80"/>
      <c r="J1600" s="80"/>
      <c r="K1600" s="80"/>
      <c r="L1600" s="2"/>
      <c r="M1600" s="2"/>
      <c r="N1600" s="2"/>
      <c r="O1600" s="2"/>
      <c r="P1600" s="2"/>
      <c r="Q1600" s="2"/>
      <c r="R1600" s="80"/>
      <c r="S1600" s="80"/>
      <c r="T1600" s="80"/>
      <c r="U1600" s="80"/>
      <c r="V1600" s="80"/>
      <c r="W1600" s="80"/>
      <c r="X1600" s="80"/>
      <c r="Y1600" s="80"/>
      <c r="Z1600" s="80"/>
      <c r="AA1600" s="80"/>
      <c r="AB1600" s="80"/>
      <c r="AC1600" s="80"/>
      <c r="AD1600" s="80"/>
      <c r="AE1600" s="80"/>
      <c r="AF1600" s="80"/>
      <c r="AG1600" s="80"/>
    </row>
    <row r="1601" spans="1:33" x14ac:dyDescent="0.2">
      <c r="A1601" s="2"/>
      <c r="B1601" s="80"/>
      <c r="C1601" s="80"/>
      <c r="D1601" s="80"/>
      <c r="E1601" s="80"/>
      <c r="F1601" s="80"/>
      <c r="G1601" s="80"/>
      <c r="H1601" s="80"/>
      <c r="I1601" s="80"/>
      <c r="J1601" s="80"/>
      <c r="K1601" s="80"/>
      <c r="L1601" s="2"/>
      <c r="M1601" s="2"/>
      <c r="N1601" s="2"/>
      <c r="O1601" s="2"/>
      <c r="P1601" s="2"/>
      <c r="Q1601" s="2"/>
      <c r="R1601" s="80"/>
      <c r="S1601" s="80"/>
      <c r="T1601" s="80"/>
      <c r="U1601" s="80"/>
      <c r="V1601" s="80"/>
      <c r="W1601" s="80"/>
      <c r="X1601" s="80"/>
      <c r="Y1601" s="80"/>
      <c r="Z1601" s="80"/>
      <c r="AA1601" s="80"/>
      <c r="AB1601" s="80"/>
      <c r="AC1601" s="80"/>
      <c r="AD1601" s="80"/>
      <c r="AE1601" s="80"/>
      <c r="AF1601" s="80"/>
      <c r="AG1601" s="80"/>
    </row>
    <row r="1602" spans="1:33" x14ac:dyDescent="0.2">
      <c r="A1602" s="2"/>
      <c r="B1602" s="80"/>
      <c r="C1602" s="80"/>
      <c r="D1602" s="80"/>
      <c r="E1602" s="80"/>
      <c r="F1602" s="80"/>
      <c r="G1602" s="80"/>
      <c r="H1602" s="80"/>
      <c r="I1602" s="80"/>
      <c r="J1602" s="80"/>
      <c r="K1602" s="80"/>
      <c r="L1602" s="2"/>
      <c r="M1602" s="2"/>
      <c r="N1602" s="2"/>
      <c r="O1602" s="2"/>
      <c r="P1602" s="2"/>
      <c r="Q1602" s="2"/>
      <c r="R1602" s="80"/>
      <c r="S1602" s="80"/>
      <c r="T1602" s="80"/>
      <c r="U1602" s="80"/>
      <c r="V1602" s="80"/>
      <c r="W1602" s="80"/>
      <c r="X1602" s="80"/>
      <c r="Y1602" s="80"/>
      <c r="Z1602" s="80"/>
      <c r="AA1602" s="80"/>
      <c r="AB1602" s="80"/>
      <c r="AC1602" s="80"/>
      <c r="AD1602" s="80"/>
      <c r="AE1602" s="80"/>
      <c r="AF1602" s="80"/>
      <c r="AG1602" s="80"/>
    </row>
    <row r="1603" spans="1:33" x14ac:dyDescent="0.2">
      <c r="A1603" s="2"/>
      <c r="B1603" s="80"/>
      <c r="C1603" s="80"/>
      <c r="D1603" s="80"/>
      <c r="E1603" s="80"/>
      <c r="F1603" s="80"/>
      <c r="G1603" s="80"/>
      <c r="H1603" s="80"/>
      <c r="I1603" s="80"/>
      <c r="J1603" s="80"/>
      <c r="K1603" s="80"/>
      <c r="L1603" s="2"/>
      <c r="M1603" s="2"/>
      <c r="N1603" s="2"/>
      <c r="O1603" s="2"/>
      <c r="P1603" s="2"/>
      <c r="Q1603" s="2"/>
      <c r="R1603" s="80"/>
      <c r="S1603" s="80"/>
      <c r="T1603" s="80"/>
      <c r="U1603" s="80"/>
      <c r="V1603" s="80"/>
      <c r="W1603" s="80"/>
      <c r="X1603" s="80"/>
      <c r="Y1603" s="80"/>
      <c r="Z1603" s="80"/>
      <c r="AA1603" s="80"/>
      <c r="AB1603" s="80"/>
      <c r="AC1603" s="80"/>
      <c r="AD1603" s="80"/>
      <c r="AE1603" s="80"/>
      <c r="AF1603" s="80"/>
      <c r="AG1603" s="80"/>
    </row>
    <row r="1604" spans="1:33" x14ac:dyDescent="0.2">
      <c r="A1604" s="2"/>
      <c r="B1604" s="80"/>
      <c r="C1604" s="80"/>
      <c r="D1604" s="80"/>
      <c r="E1604" s="80"/>
      <c r="F1604" s="80"/>
      <c r="G1604" s="80"/>
      <c r="H1604" s="80"/>
      <c r="I1604" s="80"/>
      <c r="J1604" s="80"/>
      <c r="K1604" s="80"/>
      <c r="L1604" s="2"/>
      <c r="M1604" s="2"/>
      <c r="N1604" s="2"/>
      <c r="O1604" s="2"/>
      <c r="P1604" s="2"/>
      <c r="Q1604" s="2"/>
      <c r="R1604" s="80"/>
      <c r="S1604" s="80"/>
      <c r="T1604" s="80"/>
      <c r="U1604" s="80"/>
      <c r="V1604" s="80"/>
      <c r="W1604" s="80"/>
      <c r="X1604" s="80"/>
      <c r="Y1604" s="80"/>
      <c r="Z1604" s="80"/>
      <c r="AA1604" s="80"/>
      <c r="AB1604" s="80"/>
      <c r="AC1604" s="80"/>
      <c r="AD1604" s="80"/>
      <c r="AE1604" s="80"/>
      <c r="AF1604" s="80"/>
      <c r="AG1604" s="80"/>
    </row>
    <row r="1605" spans="1:33" x14ac:dyDescent="0.2">
      <c r="A1605" s="2"/>
      <c r="B1605" s="80"/>
      <c r="C1605" s="80"/>
      <c r="D1605" s="80"/>
      <c r="E1605" s="80"/>
      <c r="F1605" s="80"/>
      <c r="G1605" s="80"/>
      <c r="H1605" s="80"/>
      <c r="I1605" s="80"/>
      <c r="J1605" s="80"/>
      <c r="K1605" s="80"/>
      <c r="L1605" s="2"/>
      <c r="M1605" s="2"/>
      <c r="N1605" s="2"/>
      <c r="O1605" s="2"/>
      <c r="P1605" s="2"/>
      <c r="Q1605" s="2"/>
      <c r="R1605" s="80"/>
      <c r="S1605" s="80"/>
      <c r="T1605" s="80"/>
      <c r="U1605" s="80"/>
      <c r="V1605" s="80"/>
      <c r="W1605" s="80"/>
      <c r="X1605" s="80"/>
      <c r="Y1605" s="80"/>
      <c r="Z1605" s="80"/>
      <c r="AA1605" s="80"/>
      <c r="AB1605" s="80"/>
      <c r="AC1605" s="80"/>
      <c r="AD1605" s="80"/>
      <c r="AE1605" s="80"/>
      <c r="AF1605" s="80"/>
      <c r="AG1605" s="80"/>
    </row>
    <row r="1606" spans="1:33" x14ac:dyDescent="0.2">
      <c r="A1606" s="2"/>
      <c r="B1606" s="80"/>
      <c r="C1606" s="80"/>
      <c r="D1606" s="80"/>
      <c r="E1606" s="80"/>
      <c r="F1606" s="80"/>
      <c r="G1606" s="80"/>
      <c r="H1606" s="80"/>
      <c r="I1606" s="80"/>
      <c r="J1606" s="80"/>
      <c r="K1606" s="80"/>
      <c r="L1606" s="2"/>
      <c r="M1606" s="2"/>
      <c r="N1606" s="2"/>
      <c r="O1606" s="2"/>
      <c r="P1606" s="2"/>
      <c r="Q1606" s="2"/>
      <c r="R1606" s="80"/>
      <c r="S1606" s="80"/>
      <c r="T1606" s="80"/>
      <c r="U1606" s="80"/>
      <c r="V1606" s="80"/>
      <c r="W1606" s="80"/>
      <c r="X1606" s="80"/>
      <c r="Y1606" s="80"/>
      <c r="Z1606" s="80"/>
      <c r="AA1606" s="80"/>
      <c r="AB1606" s="80"/>
      <c r="AC1606" s="80"/>
      <c r="AD1606" s="80"/>
      <c r="AE1606" s="80"/>
      <c r="AF1606" s="80"/>
      <c r="AG1606" s="80"/>
    </row>
    <row r="1607" spans="1:33" x14ac:dyDescent="0.2">
      <c r="A1607" s="2"/>
      <c r="B1607" s="80"/>
      <c r="C1607" s="80"/>
      <c r="D1607" s="80"/>
      <c r="E1607" s="80"/>
      <c r="F1607" s="80"/>
      <c r="G1607" s="80"/>
      <c r="H1607" s="80"/>
      <c r="I1607" s="80"/>
      <c r="J1607" s="80"/>
      <c r="K1607" s="80"/>
      <c r="L1607" s="2"/>
      <c r="M1607" s="2"/>
      <c r="N1607" s="2"/>
      <c r="O1607" s="2"/>
      <c r="P1607" s="2"/>
      <c r="Q1607" s="2"/>
      <c r="R1607" s="80"/>
      <c r="S1607" s="80"/>
      <c r="T1607" s="80"/>
      <c r="U1607" s="80"/>
      <c r="V1607" s="80"/>
      <c r="W1607" s="80"/>
      <c r="X1607" s="80"/>
      <c r="Y1607" s="80"/>
      <c r="Z1607" s="80"/>
      <c r="AA1607" s="80"/>
      <c r="AB1607" s="80"/>
      <c r="AC1607" s="80"/>
      <c r="AD1607" s="80"/>
      <c r="AE1607" s="80"/>
      <c r="AF1607" s="80"/>
      <c r="AG1607" s="80"/>
    </row>
    <row r="1608" spans="1:33" x14ac:dyDescent="0.2">
      <c r="A1608" s="2"/>
      <c r="B1608" s="80"/>
      <c r="C1608" s="80"/>
      <c r="D1608" s="80"/>
      <c r="E1608" s="80"/>
      <c r="F1608" s="80"/>
      <c r="G1608" s="80"/>
      <c r="H1608" s="80"/>
      <c r="I1608" s="80"/>
      <c r="J1608" s="80"/>
      <c r="K1608" s="80"/>
      <c r="L1608" s="2"/>
      <c r="M1608" s="2"/>
      <c r="N1608" s="2"/>
      <c r="O1608" s="2"/>
      <c r="P1608" s="2"/>
      <c r="Q1608" s="2"/>
      <c r="R1608" s="80"/>
      <c r="S1608" s="80"/>
      <c r="T1608" s="80"/>
      <c r="U1608" s="80"/>
      <c r="V1608" s="80"/>
      <c r="W1608" s="80"/>
      <c r="X1608" s="80"/>
      <c r="Y1608" s="80"/>
      <c r="Z1608" s="80"/>
      <c r="AA1608" s="80"/>
      <c r="AB1608" s="80"/>
      <c r="AC1608" s="80"/>
      <c r="AD1608" s="80"/>
      <c r="AE1608" s="80"/>
      <c r="AF1608" s="80"/>
      <c r="AG1608" s="80"/>
    </row>
    <row r="1609" spans="1:33" x14ac:dyDescent="0.2">
      <c r="A1609" s="2"/>
      <c r="B1609" s="80"/>
      <c r="C1609" s="80"/>
      <c r="D1609" s="80"/>
      <c r="E1609" s="80"/>
      <c r="F1609" s="80"/>
      <c r="G1609" s="80"/>
      <c r="H1609" s="80"/>
      <c r="I1609" s="80"/>
      <c r="J1609" s="80"/>
      <c r="K1609" s="80"/>
      <c r="L1609" s="2"/>
      <c r="M1609" s="2"/>
      <c r="N1609" s="2"/>
      <c r="O1609" s="2"/>
      <c r="P1609" s="2"/>
      <c r="Q1609" s="2"/>
      <c r="R1609" s="80"/>
      <c r="S1609" s="80"/>
      <c r="T1609" s="80"/>
      <c r="U1609" s="80"/>
      <c r="V1609" s="80"/>
      <c r="W1609" s="80"/>
      <c r="X1609" s="80"/>
      <c r="Y1609" s="80"/>
      <c r="Z1609" s="80"/>
      <c r="AA1609" s="80"/>
      <c r="AB1609" s="80"/>
      <c r="AC1609" s="80"/>
      <c r="AD1609" s="80"/>
      <c r="AE1609" s="80"/>
      <c r="AF1609" s="80"/>
      <c r="AG1609" s="80"/>
    </row>
    <row r="1610" spans="1:33" x14ac:dyDescent="0.2">
      <c r="A1610" s="2"/>
      <c r="B1610" s="80"/>
      <c r="C1610" s="80"/>
      <c r="D1610" s="80"/>
      <c r="E1610" s="80"/>
      <c r="F1610" s="80"/>
      <c r="G1610" s="80"/>
      <c r="H1610" s="80"/>
      <c r="I1610" s="80"/>
      <c r="J1610" s="80"/>
      <c r="K1610" s="80"/>
      <c r="L1610" s="2"/>
      <c r="M1610" s="2"/>
      <c r="N1610" s="2"/>
      <c r="O1610" s="2"/>
      <c r="P1610" s="2"/>
      <c r="Q1610" s="2"/>
      <c r="R1610" s="80"/>
      <c r="S1610" s="80"/>
      <c r="T1610" s="80"/>
      <c r="U1610" s="80"/>
      <c r="V1610" s="80"/>
      <c r="W1610" s="80"/>
      <c r="X1610" s="80"/>
      <c r="Y1610" s="80"/>
      <c r="Z1610" s="80"/>
      <c r="AA1610" s="80"/>
      <c r="AB1610" s="80"/>
      <c r="AC1610" s="80"/>
      <c r="AD1610" s="80"/>
      <c r="AE1610" s="80"/>
      <c r="AF1610" s="80"/>
      <c r="AG1610" s="80"/>
    </row>
    <row r="1611" spans="1:33" x14ac:dyDescent="0.2">
      <c r="A1611" s="2"/>
      <c r="B1611" s="80"/>
      <c r="C1611" s="80"/>
      <c r="D1611" s="80"/>
      <c r="E1611" s="80"/>
      <c r="F1611" s="80"/>
      <c r="G1611" s="80"/>
      <c r="H1611" s="80"/>
      <c r="I1611" s="80"/>
      <c r="J1611" s="80"/>
      <c r="K1611" s="80"/>
      <c r="L1611" s="2"/>
      <c r="M1611" s="2"/>
      <c r="N1611" s="2"/>
      <c r="O1611" s="2"/>
      <c r="P1611" s="2"/>
      <c r="Q1611" s="2"/>
      <c r="R1611" s="80"/>
      <c r="S1611" s="80"/>
      <c r="T1611" s="80"/>
      <c r="U1611" s="80"/>
      <c r="V1611" s="80"/>
      <c r="W1611" s="80"/>
      <c r="X1611" s="80"/>
      <c r="Y1611" s="80"/>
      <c r="Z1611" s="80"/>
      <c r="AA1611" s="80"/>
      <c r="AB1611" s="80"/>
      <c r="AC1611" s="80"/>
      <c r="AD1611" s="80"/>
      <c r="AE1611" s="80"/>
      <c r="AF1611" s="80"/>
      <c r="AG1611" s="80"/>
    </row>
    <row r="1612" spans="1:33" x14ac:dyDescent="0.2">
      <c r="A1612" s="2"/>
      <c r="B1612" s="80"/>
      <c r="C1612" s="80"/>
      <c r="D1612" s="80"/>
      <c r="E1612" s="80"/>
      <c r="F1612" s="80"/>
      <c r="G1612" s="80"/>
      <c r="H1612" s="80"/>
      <c r="I1612" s="80"/>
      <c r="J1612" s="80"/>
      <c r="K1612" s="80"/>
      <c r="L1612" s="2"/>
      <c r="M1612" s="2"/>
      <c r="N1612" s="2"/>
      <c r="O1612" s="2"/>
      <c r="P1612" s="2"/>
      <c r="Q1612" s="2"/>
      <c r="R1612" s="80"/>
      <c r="S1612" s="80"/>
      <c r="T1612" s="80"/>
      <c r="U1612" s="80"/>
      <c r="V1612" s="80"/>
      <c r="W1612" s="80"/>
      <c r="X1612" s="80"/>
      <c r="Y1612" s="80"/>
      <c r="Z1612" s="80"/>
      <c r="AA1612" s="80"/>
      <c r="AB1612" s="80"/>
      <c r="AC1612" s="80"/>
      <c r="AD1612" s="80"/>
      <c r="AE1612" s="80"/>
      <c r="AF1612" s="80"/>
      <c r="AG1612" s="80"/>
    </row>
    <row r="1613" spans="1:33" x14ac:dyDescent="0.2">
      <c r="A1613" s="2"/>
      <c r="B1613" s="80"/>
      <c r="C1613" s="80"/>
      <c r="D1613" s="80"/>
      <c r="E1613" s="80"/>
      <c r="F1613" s="80"/>
      <c r="G1613" s="80"/>
      <c r="H1613" s="80"/>
      <c r="I1613" s="80"/>
      <c r="J1613" s="80"/>
      <c r="K1613" s="80"/>
      <c r="L1613" s="2"/>
      <c r="M1613" s="2"/>
      <c r="N1613" s="2"/>
      <c r="O1613" s="2"/>
      <c r="P1613" s="2"/>
      <c r="Q1613" s="2"/>
      <c r="R1613" s="80"/>
      <c r="S1613" s="80"/>
      <c r="T1613" s="80"/>
      <c r="U1613" s="80"/>
      <c r="V1613" s="80"/>
      <c r="W1613" s="80"/>
      <c r="X1613" s="80"/>
      <c r="Y1613" s="80"/>
      <c r="Z1613" s="80"/>
      <c r="AA1613" s="80"/>
      <c r="AB1613" s="80"/>
      <c r="AC1613" s="80"/>
      <c r="AD1613" s="80"/>
      <c r="AE1613" s="80"/>
      <c r="AF1613" s="80"/>
      <c r="AG1613" s="80"/>
    </row>
    <row r="1614" spans="1:33" x14ac:dyDescent="0.2">
      <c r="A1614" s="2"/>
      <c r="B1614" s="80"/>
      <c r="C1614" s="80"/>
      <c r="D1614" s="80"/>
      <c r="E1614" s="80"/>
      <c r="F1614" s="80"/>
      <c r="G1614" s="80"/>
      <c r="H1614" s="80"/>
      <c r="I1614" s="80"/>
      <c r="J1614" s="80"/>
      <c r="K1614" s="80"/>
      <c r="L1614" s="2"/>
      <c r="M1614" s="2"/>
      <c r="N1614" s="2"/>
      <c r="O1614" s="2"/>
      <c r="P1614" s="2"/>
      <c r="Q1614" s="2"/>
      <c r="R1614" s="80"/>
      <c r="S1614" s="80"/>
      <c r="T1614" s="80"/>
      <c r="U1614" s="80"/>
      <c r="V1614" s="80"/>
      <c r="W1614" s="80"/>
      <c r="X1614" s="80"/>
      <c r="Y1614" s="80"/>
      <c r="Z1614" s="80"/>
      <c r="AA1614" s="80"/>
      <c r="AB1614" s="80"/>
      <c r="AC1614" s="80"/>
      <c r="AD1614" s="80"/>
      <c r="AE1614" s="80"/>
      <c r="AF1614" s="80"/>
      <c r="AG1614" s="80"/>
    </row>
    <row r="1615" spans="1:33" x14ac:dyDescent="0.2">
      <c r="A1615" s="2"/>
      <c r="B1615" s="80"/>
      <c r="C1615" s="80"/>
      <c r="D1615" s="80"/>
      <c r="E1615" s="80"/>
      <c r="F1615" s="80"/>
      <c r="G1615" s="80"/>
      <c r="H1615" s="80"/>
      <c r="I1615" s="80"/>
      <c r="J1615" s="80"/>
      <c r="K1615" s="80"/>
      <c r="L1615" s="2"/>
      <c r="M1615" s="2"/>
      <c r="N1615" s="2"/>
      <c r="O1615" s="2"/>
      <c r="P1615" s="2"/>
      <c r="Q1615" s="2"/>
      <c r="R1615" s="80"/>
      <c r="S1615" s="80"/>
      <c r="T1615" s="80"/>
      <c r="U1615" s="80"/>
      <c r="V1615" s="80"/>
      <c r="W1615" s="80"/>
      <c r="X1615" s="80"/>
      <c r="Y1615" s="80"/>
      <c r="Z1615" s="80"/>
      <c r="AA1615" s="80"/>
      <c r="AB1615" s="80"/>
      <c r="AC1615" s="80"/>
      <c r="AD1615" s="80"/>
      <c r="AE1615" s="80"/>
      <c r="AF1615" s="80"/>
      <c r="AG1615" s="80"/>
    </row>
    <row r="1616" spans="1:33" x14ac:dyDescent="0.2">
      <c r="A1616" s="2"/>
      <c r="B1616" s="80"/>
      <c r="C1616" s="80"/>
      <c r="D1616" s="80"/>
      <c r="E1616" s="80"/>
      <c r="F1616" s="80"/>
      <c r="G1616" s="80"/>
      <c r="H1616" s="80"/>
      <c r="I1616" s="80"/>
      <c r="J1616" s="80"/>
      <c r="K1616" s="80"/>
      <c r="L1616" s="2"/>
      <c r="M1616" s="2"/>
      <c r="N1616" s="2"/>
      <c r="O1616" s="2"/>
      <c r="P1616" s="2"/>
      <c r="Q1616" s="2"/>
      <c r="R1616" s="80"/>
      <c r="S1616" s="80"/>
      <c r="T1616" s="80"/>
      <c r="U1616" s="80"/>
      <c r="V1616" s="80"/>
      <c r="W1616" s="80"/>
      <c r="X1616" s="80"/>
      <c r="Y1616" s="80"/>
      <c r="Z1616" s="80"/>
      <c r="AA1616" s="80"/>
      <c r="AB1616" s="80"/>
      <c r="AC1616" s="80"/>
      <c r="AD1616" s="80"/>
      <c r="AE1616" s="80"/>
      <c r="AF1616" s="80"/>
      <c r="AG1616" s="80"/>
    </row>
    <row r="1617" spans="1:33" x14ac:dyDescent="0.2">
      <c r="A1617" s="2"/>
      <c r="B1617" s="80"/>
      <c r="C1617" s="80"/>
      <c r="D1617" s="80"/>
      <c r="E1617" s="80"/>
      <c r="F1617" s="80"/>
      <c r="G1617" s="80"/>
      <c r="H1617" s="80"/>
      <c r="I1617" s="80"/>
      <c r="J1617" s="80"/>
      <c r="K1617" s="80"/>
      <c r="L1617" s="2"/>
      <c r="M1617" s="2"/>
      <c r="N1617" s="2"/>
      <c r="O1617" s="2"/>
      <c r="P1617" s="2"/>
      <c r="Q1617" s="2"/>
      <c r="R1617" s="80"/>
      <c r="S1617" s="80"/>
      <c r="T1617" s="80"/>
      <c r="U1617" s="80"/>
      <c r="V1617" s="80"/>
      <c r="W1617" s="80"/>
      <c r="X1617" s="80"/>
      <c r="Y1617" s="80"/>
      <c r="Z1617" s="80"/>
      <c r="AA1617" s="80"/>
      <c r="AB1617" s="80"/>
      <c r="AC1617" s="80"/>
      <c r="AD1617" s="80"/>
      <c r="AE1617" s="80"/>
      <c r="AF1617" s="80"/>
      <c r="AG1617" s="80"/>
    </row>
    <row r="1618" spans="1:33" x14ac:dyDescent="0.2">
      <c r="A1618" s="2"/>
      <c r="B1618" s="80"/>
      <c r="C1618" s="80"/>
      <c r="D1618" s="80"/>
      <c r="E1618" s="80"/>
      <c r="F1618" s="80"/>
      <c r="G1618" s="80"/>
      <c r="H1618" s="80"/>
      <c r="I1618" s="80"/>
      <c r="J1618" s="80"/>
      <c r="K1618" s="80"/>
      <c r="L1618" s="2"/>
      <c r="M1618" s="2"/>
      <c r="N1618" s="2"/>
      <c r="O1618" s="2"/>
      <c r="P1618" s="2"/>
      <c r="Q1618" s="2"/>
      <c r="R1618" s="80"/>
      <c r="S1618" s="80"/>
      <c r="T1618" s="80"/>
      <c r="U1618" s="80"/>
      <c r="V1618" s="80"/>
      <c r="W1618" s="80"/>
      <c r="X1618" s="80"/>
      <c r="Y1618" s="80"/>
      <c r="Z1618" s="80"/>
      <c r="AA1618" s="80"/>
      <c r="AB1618" s="80"/>
      <c r="AC1618" s="80"/>
      <c r="AD1618" s="80"/>
      <c r="AE1618" s="80"/>
      <c r="AF1618" s="80"/>
      <c r="AG1618" s="80"/>
    </row>
    <row r="1619" spans="1:33" x14ac:dyDescent="0.2">
      <c r="A1619" s="2"/>
      <c r="B1619" s="80"/>
      <c r="C1619" s="80"/>
      <c r="D1619" s="80"/>
      <c r="E1619" s="80"/>
      <c r="F1619" s="80"/>
      <c r="G1619" s="80"/>
      <c r="H1619" s="80"/>
      <c r="I1619" s="80"/>
      <c r="J1619" s="80"/>
      <c r="K1619" s="80"/>
      <c r="L1619" s="2"/>
      <c r="M1619" s="2"/>
      <c r="N1619" s="2"/>
      <c r="O1619" s="2"/>
      <c r="P1619" s="2"/>
      <c r="Q1619" s="2"/>
      <c r="R1619" s="80"/>
      <c r="S1619" s="80"/>
      <c r="T1619" s="80"/>
      <c r="U1619" s="80"/>
      <c r="V1619" s="80"/>
      <c r="W1619" s="80"/>
      <c r="X1619" s="80"/>
      <c r="Y1619" s="80"/>
      <c r="Z1619" s="80"/>
      <c r="AA1619" s="80"/>
      <c r="AB1619" s="80"/>
      <c r="AC1619" s="80"/>
      <c r="AD1619" s="80"/>
      <c r="AE1619" s="80"/>
      <c r="AF1619" s="80"/>
      <c r="AG1619" s="80"/>
    </row>
    <row r="1620" spans="1:33" x14ac:dyDescent="0.2">
      <c r="A1620" s="2"/>
      <c r="B1620" s="80"/>
      <c r="C1620" s="80"/>
      <c r="D1620" s="80"/>
      <c r="E1620" s="80"/>
      <c r="F1620" s="80"/>
      <c r="G1620" s="80"/>
      <c r="H1620" s="80"/>
      <c r="I1620" s="80"/>
      <c r="J1620" s="80"/>
      <c r="K1620" s="80"/>
      <c r="L1620" s="2"/>
      <c r="M1620" s="2"/>
      <c r="N1620" s="2"/>
      <c r="O1620" s="2"/>
      <c r="P1620" s="2"/>
      <c r="Q1620" s="2"/>
      <c r="R1620" s="80"/>
      <c r="S1620" s="80"/>
      <c r="T1620" s="80"/>
      <c r="U1620" s="80"/>
      <c r="V1620" s="80"/>
      <c r="W1620" s="80"/>
      <c r="X1620" s="80"/>
      <c r="Y1620" s="80"/>
      <c r="Z1620" s="80"/>
      <c r="AA1620" s="80"/>
      <c r="AB1620" s="80"/>
      <c r="AC1620" s="80"/>
      <c r="AD1620" s="80"/>
      <c r="AE1620" s="80"/>
      <c r="AF1620" s="80"/>
      <c r="AG1620" s="80"/>
    </row>
    <row r="1621" spans="1:33" x14ac:dyDescent="0.2">
      <c r="A1621" s="2"/>
      <c r="B1621" s="80"/>
      <c r="C1621" s="80"/>
      <c r="D1621" s="80"/>
      <c r="E1621" s="80"/>
      <c r="F1621" s="80"/>
      <c r="G1621" s="80"/>
      <c r="H1621" s="80"/>
      <c r="I1621" s="80"/>
      <c r="J1621" s="80"/>
      <c r="K1621" s="80"/>
      <c r="L1621" s="2"/>
      <c r="M1621" s="2"/>
      <c r="N1621" s="2"/>
      <c r="O1621" s="2"/>
      <c r="P1621" s="2"/>
      <c r="Q1621" s="2"/>
      <c r="R1621" s="80"/>
      <c r="S1621" s="80"/>
      <c r="T1621" s="80"/>
      <c r="U1621" s="80"/>
      <c r="V1621" s="80"/>
      <c r="W1621" s="80"/>
      <c r="X1621" s="80"/>
      <c r="Y1621" s="80"/>
      <c r="Z1621" s="80"/>
      <c r="AA1621" s="80"/>
      <c r="AB1621" s="80"/>
      <c r="AC1621" s="80"/>
      <c r="AD1621" s="80"/>
      <c r="AE1621" s="80"/>
      <c r="AF1621" s="80"/>
      <c r="AG1621" s="80"/>
    </row>
    <row r="1622" spans="1:33" x14ac:dyDescent="0.2">
      <c r="A1622" s="2"/>
      <c r="B1622" s="80"/>
      <c r="C1622" s="80"/>
      <c r="D1622" s="80"/>
      <c r="E1622" s="80"/>
      <c r="F1622" s="80"/>
      <c r="G1622" s="80"/>
      <c r="H1622" s="80"/>
      <c r="I1622" s="80"/>
      <c r="J1622" s="80"/>
      <c r="K1622" s="80"/>
      <c r="L1622" s="2"/>
      <c r="M1622" s="2"/>
      <c r="N1622" s="2"/>
      <c r="O1622" s="2"/>
      <c r="P1622" s="2"/>
      <c r="Q1622" s="2"/>
      <c r="R1622" s="80"/>
      <c r="S1622" s="80"/>
      <c r="T1622" s="80"/>
      <c r="U1622" s="80"/>
      <c r="V1622" s="80"/>
      <c r="W1622" s="80"/>
      <c r="X1622" s="80"/>
      <c r="Y1622" s="80"/>
      <c r="Z1622" s="80"/>
      <c r="AA1622" s="80"/>
      <c r="AB1622" s="80"/>
      <c r="AC1622" s="80"/>
      <c r="AD1622" s="80"/>
      <c r="AE1622" s="80"/>
      <c r="AF1622" s="80"/>
      <c r="AG1622" s="80"/>
    </row>
    <row r="1623" spans="1:33" x14ac:dyDescent="0.2">
      <c r="A1623" s="2"/>
      <c r="B1623" s="80"/>
      <c r="C1623" s="80"/>
      <c r="D1623" s="80"/>
      <c r="E1623" s="80"/>
      <c r="F1623" s="80"/>
      <c r="G1623" s="80"/>
      <c r="H1623" s="80"/>
      <c r="I1623" s="80"/>
      <c r="J1623" s="80"/>
      <c r="K1623" s="80"/>
      <c r="L1623" s="2"/>
      <c r="M1623" s="2"/>
      <c r="N1623" s="2"/>
      <c r="O1623" s="2"/>
      <c r="P1623" s="2"/>
      <c r="Q1623" s="2"/>
      <c r="R1623" s="80"/>
      <c r="S1623" s="80"/>
      <c r="T1623" s="80"/>
      <c r="U1623" s="80"/>
      <c r="V1623" s="80"/>
      <c r="W1623" s="80"/>
      <c r="X1623" s="80"/>
      <c r="Y1623" s="80"/>
      <c r="Z1623" s="80"/>
      <c r="AA1623" s="80"/>
      <c r="AB1623" s="80"/>
      <c r="AC1623" s="80"/>
      <c r="AD1623" s="80"/>
      <c r="AE1623" s="80"/>
      <c r="AF1623" s="80"/>
      <c r="AG1623" s="80"/>
    </row>
    <row r="1624" spans="1:33" x14ac:dyDescent="0.2">
      <c r="A1624" s="2"/>
      <c r="B1624" s="80"/>
      <c r="C1624" s="80"/>
      <c r="D1624" s="80"/>
      <c r="E1624" s="80"/>
      <c r="F1624" s="80"/>
      <c r="G1624" s="80"/>
      <c r="H1624" s="80"/>
      <c r="I1624" s="80"/>
      <c r="J1624" s="80"/>
      <c r="K1624" s="80"/>
      <c r="L1624" s="2"/>
      <c r="M1624" s="2"/>
      <c r="N1624" s="2"/>
      <c r="O1624" s="2"/>
      <c r="P1624" s="2"/>
      <c r="Q1624" s="2"/>
      <c r="R1624" s="80"/>
      <c r="S1624" s="80"/>
      <c r="T1624" s="80"/>
      <c r="U1624" s="80"/>
      <c r="V1624" s="80"/>
      <c r="W1624" s="80"/>
      <c r="X1624" s="80"/>
      <c r="Y1624" s="80"/>
      <c r="Z1624" s="80"/>
      <c r="AA1624" s="80"/>
      <c r="AB1624" s="80"/>
      <c r="AC1624" s="80"/>
      <c r="AD1624" s="80"/>
      <c r="AE1624" s="80"/>
      <c r="AF1624" s="80"/>
      <c r="AG1624" s="80"/>
    </row>
    <row r="1625" spans="1:33" x14ac:dyDescent="0.2">
      <c r="A1625" s="2"/>
      <c r="B1625" s="80"/>
      <c r="C1625" s="80"/>
      <c r="D1625" s="80"/>
      <c r="E1625" s="80"/>
      <c r="F1625" s="80"/>
      <c r="G1625" s="80"/>
      <c r="H1625" s="80"/>
      <c r="I1625" s="80"/>
      <c r="J1625" s="80"/>
      <c r="K1625" s="80"/>
      <c r="L1625" s="2"/>
      <c r="M1625" s="2"/>
      <c r="N1625" s="2"/>
      <c r="O1625" s="2"/>
      <c r="P1625" s="2"/>
      <c r="Q1625" s="2"/>
      <c r="R1625" s="80"/>
      <c r="S1625" s="80"/>
      <c r="T1625" s="80"/>
      <c r="U1625" s="80"/>
      <c r="V1625" s="80"/>
      <c r="W1625" s="80"/>
      <c r="X1625" s="80"/>
      <c r="Y1625" s="80"/>
      <c r="Z1625" s="80"/>
      <c r="AA1625" s="80"/>
      <c r="AB1625" s="80"/>
      <c r="AC1625" s="80"/>
      <c r="AD1625" s="80"/>
      <c r="AE1625" s="80"/>
      <c r="AF1625" s="80"/>
      <c r="AG1625" s="80"/>
    </row>
    <row r="1626" spans="1:33" x14ac:dyDescent="0.2">
      <c r="A1626" s="2"/>
      <c r="B1626" s="80"/>
      <c r="C1626" s="80"/>
      <c r="D1626" s="80"/>
      <c r="E1626" s="80"/>
      <c r="F1626" s="80"/>
      <c r="G1626" s="80"/>
      <c r="H1626" s="80"/>
      <c r="I1626" s="80"/>
      <c r="J1626" s="80"/>
      <c r="K1626" s="80"/>
      <c r="L1626" s="2"/>
      <c r="M1626" s="2"/>
      <c r="N1626" s="2"/>
      <c r="O1626" s="2"/>
      <c r="P1626" s="2"/>
      <c r="Q1626" s="2"/>
      <c r="R1626" s="80"/>
      <c r="S1626" s="80"/>
      <c r="T1626" s="80"/>
      <c r="U1626" s="80"/>
      <c r="V1626" s="80"/>
      <c r="W1626" s="80"/>
      <c r="X1626" s="80"/>
      <c r="Y1626" s="80"/>
      <c r="Z1626" s="80"/>
      <c r="AA1626" s="80"/>
      <c r="AB1626" s="80"/>
      <c r="AC1626" s="80"/>
      <c r="AD1626" s="80"/>
      <c r="AE1626" s="80"/>
      <c r="AF1626" s="80"/>
      <c r="AG1626" s="80"/>
    </row>
    <row r="1627" spans="1:33" x14ac:dyDescent="0.2">
      <c r="A1627" s="2"/>
      <c r="B1627" s="80"/>
      <c r="C1627" s="80"/>
      <c r="D1627" s="80"/>
      <c r="E1627" s="80"/>
      <c r="F1627" s="80"/>
      <c r="G1627" s="80"/>
      <c r="H1627" s="80"/>
      <c r="I1627" s="80"/>
      <c r="J1627" s="80"/>
      <c r="K1627" s="80"/>
      <c r="L1627" s="2"/>
      <c r="M1627" s="2"/>
      <c r="N1627" s="2"/>
      <c r="O1627" s="2"/>
      <c r="P1627" s="2"/>
      <c r="Q1627" s="2"/>
      <c r="R1627" s="80"/>
      <c r="S1627" s="80"/>
      <c r="T1627" s="80"/>
      <c r="U1627" s="80"/>
      <c r="V1627" s="80"/>
      <c r="W1627" s="80"/>
      <c r="X1627" s="80"/>
      <c r="Y1627" s="80"/>
      <c r="Z1627" s="80"/>
      <c r="AA1627" s="80"/>
      <c r="AB1627" s="80"/>
      <c r="AC1627" s="80"/>
      <c r="AD1627" s="80"/>
      <c r="AE1627" s="80"/>
      <c r="AF1627" s="80"/>
      <c r="AG1627" s="80"/>
    </row>
    <row r="1628" spans="1:33" x14ac:dyDescent="0.2">
      <c r="A1628" s="2"/>
      <c r="B1628" s="80"/>
      <c r="C1628" s="80"/>
      <c r="D1628" s="80"/>
      <c r="E1628" s="80"/>
      <c r="F1628" s="80"/>
      <c r="G1628" s="80"/>
      <c r="H1628" s="80"/>
      <c r="I1628" s="80"/>
      <c r="J1628" s="80"/>
      <c r="K1628" s="80"/>
      <c r="L1628" s="2"/>
      <c r="M1628" s="2"/>
      <c r="N1628" s="2"/>
      <c r="O1628" s="2"/>
      <c r="P1628" s="2"/>
      <c r="Q1628" s="2"/>
      <c r="R1628" s="80"/>
      <c r="S1628" s="80"/>
      <c r="T1628" s="80"/>
      <c r="U1628" s="80"/>
      <c r="V1628" s="80"/>
      <c r="W1628" s="80"/>
      <c r="X1628" s="80"/>
      <c r="Y1628" s="80"/>
      <c r="Z1628" s="80"/>
      <c r="AA1628" s="80"/>
      <c r="AB1628" s="80"/>
      <c r="AC1628" s="80"/>
      <c r="AD1628" s="80"/>
      <c r="AE1628" s="80"/>
      <c r="AF1628" s="80"/>
      <c r="AG1628" s="80"/>
    </row>
    <row r="1629" spans="1:33" x14ac:dyDescent="0.2">
      <c r="A1629" s="2"/>
      <c r="B1629" s="80"/>
      <c r="C1629" s="80"/>
      <c r="D1629" s="80"/>
      <c r="E1629" s="80"/>
      <c r="F1629" s="80"/>
      <c r="G1629" s="80"/>
      <c r="H1629" s="80"/>
      <c r="I1629" s="80"/>
      <c r="J1629" s="80"/>
      <c r="K1629" s="80"/>
      <c r="L1629" s="2"/>
      <c r="M1629" s="2"/>
      <c r="N1629" s="2"/>
      <c r="O1629" s="2"/>
      <c r="P1629" s="2"/>
      <c r="Q1629" s="2"/>
      <c r="R1629" s="80"/>
      <c r="S1629" s="80"/>
      <c r="T1629" s="80"/>
      <c r="U1629" s="80"/>
      <c r="V1629" s="80"/>
      <c r="W1629" s="80"/>
      <c r="X1629" s="80"/>
      <c r="Y1629" s="80"/>
      <c r="Z1629" s="80"/>
      <c r="AA1629" s="80"/>
      <c r="AB1629" s="80"/>
      <c r="AC1629" s="80"/>
      <c r="AD1629" s="80"/>
      <c r="AE1629" s="80"/>
      <c r="AF1629" s="80"/>
      <c r="AG1629" s="80"/>
    </row>
    <row r="1630" spans="1:33" x14ac:dyDescent="0.2">
      <c r="A1630" s="2"/>
      <c r="B1630" s="80"/>
      <c r="C1630" s="80"/>
      <c r="D1630" s="80"/>
      <c r="E1630" s="80"/>
      <c r="F1630" s="80"/>
      <c r="G1630" s="80"/>
      <c r="H1630" s="80"/>
      <c r="I1630" s="80"/>
      <c r="J1630" s="80"/>
      <c r="K1630" s="80"/>
      <c r="L1630" s="2"/>
      <c r="M1630" s="2"/>
      <c r="N1630" s="2"/>
      <c r="O1630" s="2"/>
      <c r="P1630" s="2"/>
      <c r="Q1630" s="2"/>
      <c r="R1630" s="80"/>
      <c r="S1630" s="80"/>
      <c r="T1630" s="80"/>
      <c r="U1630" s="80"/>
      <c r="V1630" s="80"/>
      <c r="W1630" s="80"/>
      <c r="X1630" s="80"/>
      <c r="Y1630" s="80"/>
      <c r="Z1630" s="80"/>
      <c r="AA1630" s="80"/>
      <c r="AB1630" s="80"/>
      <c r="AC1630" s="80"/>
      <c r="AD1630" s="80"/>
      <c r="AE1630" s="80"/>
      <c r="AF1630" s="80"/>
      <c r="AG1630" s="80"/>
    </row>
    <row r="1631" spans="1:33" x14ac:dyDescent="0.2">
      <c r="A1631" s="2"/>
      <c r="B1631" s="80"/>
      <c r="C1631" s="80"/>
      <c r="D1631" s="80"/>
      <c r="E1631" s="80"/>
      <c r="F1631" s="80"/>
      <c r="G1631" s="80"/>
      <c r="H1631" s="80"/>
      <c r="I1631" s="80"/>
      <c r="J1631" s="80"/>
      <c r="K1631" s="80"/>
      <c r="L1631" s="2"/>
      <c r="M1631" s="2"/>
      <c r="N1631" s="2"/>
      <c r="O1631" s="2"/>
      <c r="P1631" s="2"/>
      <c r="Q1631" s="2"/>
      <c r="R1631" s="80"/>
      <c r="S1631" s="80"/>
      <c r="T1631" s="80"/>
      <c r="U1631" s="80"/>
      <c r="V1631" s="80"/>
      <c r="W1631" s="80"/>
      <c r="X1631" s="80"/>
      <c r="Y1631" s="80"/>
      <c r="Z1631" s="80"/>
      <c r="AA1631" s="80"/>
      <c r="AB1631" s="80"/>
      <c r="AC1631" s="80"/>
      <c r="AD1631" s="80"/>
      <c r="AE1631" s="80"/>
      <c r="AF1631" s="80"/>
      <c r="AG1631" s="80"/>
    </row>
    <row r="1632" spans="1:33" x14ac:dyDescent="0.2">
      <c r="A1632" s="2"/>
      <c r="B1632" s="80"/>
      <c r="C1632" s="80"/>
      <c r="D1632" s="80"/>
      <c r="E1632" s="80"/>
      <c r="F1632" s="80"/>
      <c r="G1632" s="80"/>
      <c r="H1632" s="80"/>
      <c r="I1632" s="80"/>
      <c r="J1632" s="80"/>
      <c r="K1632" s="80"/>
      <c r="L1632" s="2"/>
      <c r="M1632" s="2"/>
      <c r="N1632" s="2"/>
      <c r="O1632" s="2"/>
      <c r="P1632" s="2"/>
      <c r="Q1632" s="2"/>
      <c r="R1632" s="80"/>
      <c r="S1632" s="80"/>
      <c r="T1632" s="80"/>
      <c r="U1632" s="80"/>
      <c r="V1632" s="80"/>
      <c r="W1632" s="80"/>
      <c r="X1632" s="80"/>
      <c r="Y1632" s="80"/>
      <c r="Z1632" s="80"/>
      <c r="AA1632" s="80"/>
      <c r="AB1632" s="80"/>
      <c r="AC1632" s="80"/>
      <c r="AD1632" s="80"/>
      <c r="AE1632" s="80"/>
      <c r="AF1632" s="80"/>
      <c r="AG1632" s="80"/>
    </row>
    <row r="1633" spans="1:33" x14ac:dyDescent="0.2">
      <c r="A1633" s="2"/>
      <c r="B1633" s="80"/>
      <c r="C1633" s="80"/>
      <c r="D1633" s="80"/>
      <c r="E1633" s="80"/>
      <c r="F1633" s="80"/>
      <c r="G1633" s="80"/>
      <c r="H1633" s="80"/>
      <c r="I1633" s="80"/>
      <c r="J1633" s="80"/>
      <c r="K1633" s="80"/>
      <c r="L1633" s="2"/>
      <c r="M1633" s="2"/>
      <c r="N1633" s="2"/>
      <c r="O1633" s="2"/>
      <c r="P1633" s="2"/>
      <c r="Q1633" s="2"/>
      <c r="R1633" s="80"/>
      <c r="S1633" s="80"/>
      <c r="T1633" s="80"/>
      <c r="U1633" s="80"/>
      <c r="V1633" s="80"/>
      <c r="W1633" s="80"/>
      <c r="X1633" s="80"/>
      <c r="Y1633" s="80"/>
      <c r="Z1633" s="80"/>
      <c r="AA1633" s="80"/>
      <c r="AB1633" s="80"/>
      <c r="AC1633" s="80"/>
      <c r="AD1633" s="80"/>
      <c r="AE1633" s="80"/>
      <c r="AF1633" s="80"/>
      <c r="AG1633" s="80"/>
    </row>
    <row r="1634" spans="1:33" x14ac:dyDescent="0.2">
      <c r="A1634" s="2"/>
      <c r="B1634" s="80"/>
      <c r="C1634" s="80"/>
      <c r="D1634" s="80"/>
      <c r="E1634" s="80"/>
      <c r="F1634" s="80"/>
      <c r="G1634" s="80"/>
      <c r="H1634" s="80"/>
      <c r="I1634" s="80"/>
      <c r="J1634" s="80"/>
      <c r="K1634" s="80"/>
      <c r="L1634" s="2"/>
      <c r="M1634" s="2"/>
      <c r="N1634" s="2"/>
      <c r="O1634" s="2"/>
      <c r="P1634" s="2"/>
      <c r="Q1634" s="2"/>
      <c r="R1634" s="80"/>
      <c r="S1634" s="80"/>
      <c r="T1634" s="80"/>
      <c r="U1634" s="80"/>
      <c r="V1634" s="80"/>
      <c r="W1634" s="80"/>
      <c r="X1634" s="80"/>
      <c r="Y1634" s="80"/>
      <c r="Z1634" s="80"/>
      <c r="AA1634" s="80"/>
      <c r="AB1634" s="80"/>
      <c r="AC1634" s="80"/>
      <c r="AD1634" s="80"/>
      <c r="AE1634" s="80"/>
      <c r="AF1634" s="80"/>
      <c r="AG1634" s="80"/>
    </row>
    <row r="1635" spans="1:33" x14ac:dyDescent="0.2">
      <c r="A1635" s="2"/>
      <c r="B1635" s="80"/>
      <c r="C1635" s="80"/>
      <c r="D1635" s="80"/>
      <c r="E1635" s="80"/>
      <c r="F1635" s="80"/>
      <c r="G1635" s="80"/>
      <c r="H1635" s="80"/>
      <c r="I1635" s="80"/>
      <c r="J1635" s="80"/>
      <c r="K1635" s="80"/>
      <c r="L1635" s="2"/>
      <c r="M1635" s="2"/>
      <c r="N1635" s="2"/>
      <c r="O1635" s="2"/>
      <c r="P1635" s="2"/>
      <c r="Q1635" s="2"/>
      <c r="R1635" s="80"/>
      <c r="S1635" s="80"/>
      <c r="T1635" s="80"/>
      <c r="U1635" s="80"/>
      <c r="V1635" s="80"/>
      <c r="W1635" s="80"/>
      <c r="X1635" s="80"/>
      <c r="Y1635" s="80"/>
      <c r="Z1635" s="80"/>
      <c r="AA1635" s="80"/>
      <c r="AB1635" s="80"/>
      <c r="AC1635" s="80"/>
      <c r="AD1635" s="80"/>
      <c r="AE1635" s="80"/>
      <c r="AF1635" s="80"/>
      <c r="AG1635" s="80"/>
    </row>
    <row r="1636" spans="1:33" x14ac:dyDescent="0.2">
      <c r="A1636" s="2"/>
      <c r="B1636" s="80"/>
      <c r="C1636" s="80"/>
      <c r="D1636" s="80"/>
      <c r="E1636" s="80"/>
      <c r="F1636" s="80"/>
      <c r="G1636" s="80"/>
      <c r="H1636" s="80"/>
      <c r="I1636" s="80"/>
      <c r="J1636" s="80"/>
      <c r="K1636" s="80"/>
      <c r="L1636" s="2"/>
      <c r="M1636" s="2"/>
      <c r="N1636" s="2"/>
      <c r="O1636" s="2"/>
      <c r="P1636" s="2"/>
      <c r="Q1636" s="2"/>
      <c r="R1636" s="80"/>
      <c r="S1636" s="80"/>
      <c r="T1636" s="80"/>
      <c r="U1636" s="80"/>
      <c r="V1636" s="80"/>
      <c r="W1636" s="80"/>
      <c r="X1636" s="80"/>
      <c r="Y1636" s="80"/>
      <c r="Z1636" s="80"/>
      <c r="AA1636" s="80"/>
      <c r="AB1636" s="80"/>
      <c r="AC1636" s="80"/>
      <c r="AD1636" s="80"/>
      <c r="AE1636" s="80"/>
      <c r="AF1636" s="80"/>
      <c r="AG1636" s="80"/>
    </row>
    <row r="1637" spans="1:33" x14ac:dyDescent="0.2">
      <c r="A1637" s="2"/>
      <c r="B1637" s="80"/>
      <c r="C1637" s="80"/>
      <c r="D1637" s="80"/>
      <c r="E1637" s="80"/>
      <c r="F1637" s="80"/>
      <c r="G1637" s="80"/>
      <c r="H1637" s="80"/>
      <c r="I1637" s="80"/>
      <c r="J1637" s="80"/>
      <c r="K1637" s="80"/>
      <c r="L1637" s="2"/>
      <c r="M1637" s="2"/>
      <c r="N1637" s="2"/>
      <c r="O1637" s="2"/>
      <c r="P1637" s="2"/>
      <c r="Q1637" s="2"/>
      <c r="R1637" s="80"/>
      <c r="S1637" s="80"/>
      <c r="T1637" s="80"/>
      <c r="U1637" s="80"/>
      <c r="V1637" s="80"/>
      <c r="W1637" s="80"/>
      <c r="X1637" s="80"/>
      <c r="Y1637" s="80"/>
      <c r="Z1637" s="80"/>
      <c r="AA1637" s="80"/>
      <c r="AB1637" s="80"/>
      <c r="AC1637" s="80"/>
      <c r="AD1637" s="80"/>
      <c r="AE1637" s="80"/>
      <c r="AF1637" s="80"/>
      <c r="AG1637" s="80"/>
    </row>
    <row r="1638" spans="1:33" x14ac:dyDescent="0.2">
      <c r="A1638" s="2"/>
      <c r="B1638" s="80"/>
      <c r="C1638" s="80"/>
      <c r="D1638" s="80"/>
      <c r="E1638" s="80"/>
      <c r="F1638" s="80"/>
      <c r="G1638" s="80"/>
      <c r="H1638" s="80"/>
      <c r="I1638" s="80"/>
      <c r="J1638" s="80"/>
      <c r="K1638" s="80"/>
      <c r="L1638" s="2"/>
      <c r="M1638" s="2"/>
      <c r="N1638" s="2"/>
      <c r="O1638" s="2"/>
      <c r="P1638" s="2"/>
      <c r="Q1638" s="2"/>
      <c r="R1638" s="80"/>
      <c r="S1638" s="80"/>
      <c r="T1638" s="80"/>
      <c r="U1638" s="80"/>
      <c r="V1638" s="80"/>
      <c r="W1638" s="80"/>
      <c r="X1638" s="80"/>
      <c r="Y1638" s="80"/>
      <c r="Z1638" s="80"/>
      <c r="AA1638" s="80"/>
      <c r="AB1638" s="80"/>
      <c r="AC1638" s="80"/>
      <c r="AD1638" s="80"/>
      <c r="AE1638" s="80"/>
      <c r="AF1638" s="80"/>
      <c r="AG1638" s="80"/>
    </row>
    <row r="1639" spans="1:33" x14ac:dyDescent="0.2">
      <c r="A1639" s="2"/>
      <c r="B1639" s="80"/>
      <c r="C1639" s="80"/>
      <c r="D1639" s="80"/>
      <c r="E1639" s="80"/>
      <c r="F1639" s="80"/>
      <c r="G1639" s="80"/>
      <c r="H1639" s="80"/>
      <c r="I1639" s="80"/>
      <c r="J1639" s="80"/>
      <c r="K1639" s="80"/>
      <c r="L1639" s="2"/>
      <c r="M1639" s="2"/>
      <c r="N1639" s="2"/>
      <c r="O1639" s="2"/>
      <c r="P1639" s="2"/>
      <c r="Q1639" s="2"/>
      <c r="R1639" s="80"/>
      <c r="S1639" s="80"/>
      <c r="T1639" s="80"/>
      <c r="U1639" s="80"/>
      <c r="V1639" s="80"/>
      <c r="W1639" s="80"/>
      <c r="X1639" s="80"/>
      <c r="Y1639" s="80"/>
      <c r="Z1639" s="80"/>
      <c r="AA1639" s="80"/>
      <c r="AB1639" s="80"/>
      <c r="AC1639" s="80"/>
      <c r="AD1639" s="80"/>
      <c r="AE1639" s="80"/>
      <c r="AF1639" s="80"/>
      <c r="AG1639" s="80"/>
    </row>
    <row r="1640" spans="1:33" x14ac:dyDescent="0.2">
      <c r="A1640" s="2"/>
      <c r="B1640" s="80"/>
      <c r="C1640" s="80"/>
      <c r="D1640" s="80"/>
      <c r="E1640" s="80"/>
      <c r="F1640" s="80"/>
      <c r="G1640" s="80"/>
      <c r="H1640" s="80"/>
      <c r="I1640" s="80"/>
      <c r="J1640" s="80"/>
      <c r="K1640" s="80"/>
      <c r="L1640" s="2"/>
      <c r="M1640" s="2"/>
      <c r="N1640" s="2"/>
      <c r="O1640" s="2"/>
      <c r="P1640" s="2"/>
      <c r="Q1640" s="2"/>
      <c r="R1640" s="80"/>
      <c r="S1640" s="80"/>
      <c r="T1640" s="80"/>
      <c r="U1640" s="80"/>
      <c r="V1640" s="80"/>
      <c r="W1640" s="80"/>
      <c r="X1640" s="80"/>
      <c r="Y1640" s="80"/>
      <c r="Z1640" s="80"/>
      <c r="AA1640" s="80"/>
      <c r="AB1640" s="80"/>
      <c r="AC1640" s="80"/>
      <c r="AD1640" s="80"/>
      <c r="AE1640" s="80"/>
      <c r="AF1640" s="80"/>
      <c r="AG1640" s="80"/>
    </row>
    <row r="1641" spans="1:33" x14ac:dyDescent="0.2">
      <c r="A1641" s="2"/>
      <c r="B1641" s="80"/>
      <c r="C1641" s="80"/>
      <c r="D1641" s="80"/>
      <c r="E1641" s="80"/>
      <c r="F1641" s="80"/>
      <c r="G1641" s="80"/>
      <c r="H1641" s="80"/>
      <c r="I1641" s="80"/>
      <c r="J1641" s="80"/>
      <c r="K1641" s="80"/>
      <c r="L1641" s="2"/>
      <c r="M1641" s="2"/>
      <c r="N1641" s="2"/>
      <c r="O1641" s="2"/>
      <c r="P1641" s="2"/>
      <c r="Q1641" s="2"/>
      <c r="R1641" s="80"/>
      <c r="S1641" s="80"/>
      <c r="T1641" s="80"/>
      <c r="U1641" s="80"/>
      <c r="V1641" s="80"/>
      <c r="W1641" s="80"/>
      <c r="X1641" s="80"/>
      <c r="Y1641" s="80"/>
      <c r="Z1641" s="80"/>
      <c r="AA1641" s="80"/>
      <c r="AB1641" s="80"/>
      <c r="AC1641" s="80"/>
      <c r="AD1641" s="80"/>
      <c r="AE1641" s="80"/>
      <c r="AF1641" s="80"/>
      <c r="AG1641" s="80"/>
    </row>
    <row r="1642" spans="1:33" x14ac:dyDescent="0.2">
      <c r="A1642" s="2"/>
      <c r="B1642" s="80"/>
      <c r="C1642" s="80"/>
      <c r="D1642" s="80"/>
      <c r="E1642" s="80"/>
      <c r="F1642" s="80"/>
      <c r="G1642" s="80"/>
      <c r="H1642" s="80"/>
      <c r="I1642" s="80"/>
      <c r="J1642" s="80"/>
      <c r="K1642" s="80"/>
      <c r="L1642" s="2"/>
      <c r="M1642" s="2"/>
      <c r="N1642" s="2"/>
      <c r="O1642" s="2"/>
      <c r="P1642" s="2"/>
      <c r="Q1642" s="2"/>
      <c r="R1642" s="80"/>
      <c r="S1642" s="80"/>
      <c r="T1642" s="80"/>
      <c r="U1642" s="80"/>
      <c r="V1642" s="80"/>
      <c r="W1642" s="80"/>
      <c r="X1642" s="80"/>
      <c r="Y1642" s="80"/>
      <c r="Z1642" s="80"/>
      <c r="AA1642" s="80"/>
      <c r="AB1642" s="80"/>
      <c r="AC1642" s="80"/>
      <c r="AD1642" s="80"/>
      <c r="AE1642" s="80"/>
      <c r="AF1642" s="80"/>
      <c r="AG1642" s="80"/>
    </row>
    <row r="1643" spans="1:33" x14ac:dyDescent="0.2">
      <c r="A1643" s="2"/>
      <c r="B1643" s="80"/>
      <c r="C1643" s="80"/>
      <c r="D1643" s="80"/>
      <c r="E1643" s="80"/>
      <c r="F1643" s="80"/>
      <c r="G1643" s="80"/>
      <c r="H1643" s="80"/>
      <c r="I1643" s="80"/>
      <c r="J1643" s="80"/>
      <c r="K1643" s="80"/>
      <c r="L1643" s="2"/>
      <c r="M1643" s="2"/>
      <c r="N1643" s="2"/>
      <c r="O1643" s="2"/>
      <c r="P1643" s="2"/>
      <c r="Q1643" s="2"/>
      <c r="R1643" s="80"/>
      <c r="S1643" s="80"/>
      <c r="T1643" s="80"/>
      <c r="U1643" s="80"/>
      <c r="V1643" s="80"/>
      <c r="W1643" s="80"/>
      <c r="X1643" s="80"/>
      <c r="Y1643" s="80"/>
      <c r="Z1643" s="80"/>
      <c r="AA1643" s="80"/>
      <c r="AB1643" s="80"/>
      <c r="AC1643" s="80"/>
      <c r="AD1643" s="80"/>
      <c r="AE1643" s="80"/>
      <c r="AF1643" s="80"/>
      <c r="AG1643" s="80"/>
    </row>
    <row r="1644" spans="1:33" x14ac:dyDescent="0.2">
      <c r="A1644" s="2"/>
      <c r="B1644" s="80"/>
      <c r="C1644" s="80"/>
      <c r="D1644" s="80"/>
      <c r="E1644" s="80"/>
      <c r="F1644" s="80"/>
      <c r="G1644" s="80"/>
      <c r="H1644" s="80"/>
      <c r="I1644" s="80"/>
      <c r="J1644" s="80"/>
      <c r="K1644" s="80"/>
      <c r="L1644" s="2"/>
      <c r="M1644" s="2"/>
      <c r="N1644" s="2"/>
      <c r="O1644" s="2"/>
      <c r="P1644" s="2"/>
      <c r="Q1644" s="2"/>
      <c r="R1644" s="80"/>
      <c r="S1644" s="80"/>
      <c r="T1644" s="80"/>
      <c r="U1644" s="80"/>
      <c r="V1644" s="80"/>
      <c r="W1644" s="80"/>
      <c r="X1644" s="80"/>
      <c r="Y1644" s="80"/>
      <c r="Z1644" s="80"/>
      <c r="AA1644" s="80"/>
      <c r="AB1644" s="80"/>
      <c r="AC1644" s="80"/>
      <c r="AD1644" s="80"/>
      <c r="AE1644" s="80"/>
      <c r="AF1644" s="80"/>
      <c r="AG1644" s="80"/>
    </row>
    <row r="1645" spans="1:33" x14ac:dyDescent="0.2">
      <c r="A1645" s="2"/>
      <c r="B1645" s="80"/>
      <c r="C1645" s="80"/>
      <c r="D1645" s="80"/>
      <c r="E1645" s="80"/>
      <c r="F1645" s="80"/>
      <c r="G1645" s="80"/>
      <c r="H1645" s="80"/>
      <c r="I1645" s="80"/>
      <c r="J1645" s="80"/>
      <c r="K1645" s="80"/>
      <c r="L1645" s="2"/>
      <c r="M1645" s="2"/>
      <c r="N1645" s="2"/>
      <c r="O1645" s="2"/>
      <c r="P1645" s="2"/>
      <c r="Q1645" s="2"/>
      <c r="R1645" s="80"/>
      <c r="S1645" s="80"/>
      <c r="T1645" s="80"/>
      <c r="U1645" s="80"/>
      <c r="V1645" s="80"/>
      <c r="W1645" s="80"/>
      <c r="X1645" s="80"/>
      <c r="Y1645" s="80"/>
      <c r="Z1645" s="80"/>
      <c r="AA1645" s="80"/>
      <c r="AB1645" s="80"/>
      <c r="AC1645" s="80"/>
      <c r="AD1645" s="80"/>
      <c r="AE1645" s="80"/>
      <c r="AF1645" s="80"/>
      <c r="AG1645" s="80"/>
    </row>
    <row r="1646" spans="1:33" x14ac:dyDescent="0.2">
      <c r="A1646" s="2"/>
      <c r="B1646" s="80"/>
      <c r="C1646" s="80"/>
      <c r="D1646" s="80"/>
      <c r="E1646" s="80"/>
      <c r="F1646" s="80"/>
      <c r="G1646" s="80"/>
      <c r="H1646" s="80"/>
      <c r="I1646" s="80"/>
      <c r="J1646" s="80"/>
      <c r="K1646" s="80"/>
      <c r="L1646" s="2"/>
      <c r="M1646" s="2"/>
      <c r="N1646" s="2"/>
      <c r="O1646" s="2"/>
      <c r="P1646" s="2"/>
      <c r="Q1646" s="2"/>
      <c r="R1646" s="80"/>
      <c r="S1646" s="80"/>
      <c r="T1646" s="80"/>
      <c r="U1646" s="80"/>
      <c r="V1646" s="80"/>
      <c r="W1646" s="80"/>
      <c r="X1646" s="80"/>
      <c r="Y1646" s="80"/>
      <c r="Z1646" s="80"/>
      <c r="AA1646" s="80"/>
      <c r="AB1646" s="80"/>
      <c r="AC1646" s="80"/>
      <c r="AD1646" s="80"/>
      <c r="AE1646" s="80"/>
      <c r="AF1646" s="80"/>
      <c r="AG1646" s="80"/>
    </row>
    <row r="1647" spans="1:33" x14ac:dyDescent="0.2">
      <c r="A1647" s="2"/>
      <c r="B1647" s="80"/>
      <c r="C1647" s="80"/>
      <c r="D1647" s="80"/>
      <c r="E1647" s="80"/>
      <c r="F1647" s="80"/>
      <c r="G1647" s="80"/>
      <c r="H1647" s="80"/>
      <c r="I1647" s="80"/>
      <c r="J1647" s="80"/>
      <c r="K1647" s="80"/>
      <c r="L1647" s="2"/>
      <c r="M1647" s="2"/>
      <c r="N1647" s="2"/>
      <c r="O1647" s="2"/>
      <c r="P1647" s="2"/>
      <c r="Q1647" s="2"/>
      <c r="R1647" s="80"/>
      <c r="S1647" s="80"/>
      <c r="T1647" s="80"/>
      <c r="U1647" s="80"/>
      <c r="V1647" s="80"/>
      <c r="W1647" s="80"/>
      <c r="X1647" s="80"/>
      <c r="Y1647" s="80"/>
      <c r="Z1647" s="80"/>
      <c r="AA1647" s="80"/>
      <c r="AB1647" s="80"/>
      <c r="AC1647" s="80"/>
      <c r="AD1647" s="80"/>
      <c r="AE1647" s="80"/>
      <c r="AF1647" s="80"/>
      <c r="AG1647" s="80"/>
    </row>
    <row r="1648" spans="1:33" x14ac:dyDescent="0.2">
      <c r="A1648" s="2"/>
      <c r="B1648" s="80"/>
      <c r="C1648" s="80"/>
      <c r="D1648" s="80"/>
      <c r="E1648" s="80"/>
      <c r="F1648" s="80"/>
      <c r="G1648" s="80"/>
      <c r="H1648" s="80"/>
      <c r="I1648" s="80"/>
      <c r="J1648" s="80"/>
      <c r="K1648" s="80"/>
      <c r="L1648" s="2"/>
      <c r="M1648" s="2"/>
      <c r="N1648" s="2"/>
      <c r="O1648" s="2"/>
      <c r="P1648" s="2"/>
      <c r="Q1648" s="2"/>
      <c r="R1648" s="80"/>
      <c r="S1648" s="80"/>
      <c r="T1648" s="80"/>
      <c r="U1648" s="80"/>
      <c r="V1648" s="80"/>
      <c r="W1648" s="80"/>
      <c r="X1648" s="80"/>
      <c r="Y1648" s="80"/>
      <c r="Z1648" s="80"/>
      <c r="AA1648" s="80"/>
      <c r="AB1648" s="80"/>
      <c r="AC1648" s="80"/>
      <c r="AD1648" s="80"/>
      <c r="AE1648" s="80"/>
      <c r="AF1648" s="80"/>
      <c r="AG1648" s="80"/>
    </row>
    <row r="1649" spans="1:33" x14ac:dyDescent="0.2">
      <c r="A1649" s="2"/>
      <c r="B1649" s="80"/>
      <c r="C1649" s="80"/>
      <c r="D1649" s="80"/>
      <c r="E1649" s="80"/>
      <c r="F1649" s="80"/>
      <c r="G1649" s="80"/>
      <c r="H1649" s="80"/>
      <c r="I1649" s="80"/>
      <c r="J1649" s="80"/>
      <c r="K1649" s="80"/>
      <c r="L1649" s="2"/>
      <c r="M1649" s="2"/>
      <c r="N1649" s="2"/>
      <c r="O1649" s="2"/>
      <c r="P1649" s="2"/>
      <c r="Q1649" s="2"/>
      <c r="R1649" s="80"/>
      <c r="S1649" s="80"/>
      <c r="T1649" s="80"/>
      <c r="U1649" s="80"/>
      <c r="V1649" s="80"/>
      <c r="W1649" s="80"/>
      <c r="X1649" s="80"/>
      <c r="Y1649" s="80"/>
      <c r="Z1649" s="80"/>
      <c r="AA1649" s="80"/>
      <c r="AB1649" s="80"/>
      <c r="AC1649" s="80"/>
      <c r="AD1649" s="80"/>
      <c r="AE1649" s="80"/>
      <c r="AF1649" s="80"/>
      <c r="AG1649" s="80"/>
    </row>
    <row r="1650" spans="1:33" x14ac:dyDescent="0.2">
      <c r="A1650" s="2"/>
      <c r="B1650" s="80"/>
      <c r="C1650" s="80"/>
      <c r="D1650" s="80"/>
      <c r="E1650" s="80"/>
      <c r="F1650" s="80"/>
      <c r="G1650" s="80"/>
      <c r="H1650" s="80"/>
      <c r="I1650" s="80"/>
      <c r="J1650" s="80"/>
      <c r="K1650" s="80"/>
      <c r="L1650" s="2"/>
      <c r="M1650" s="2"/>
      <c r="N1650" s="2"/>
      <c r="O1650" s="2"/>
      <c r="P1650" s="2"/>
      <c r="Q1650" s="2"/>
      <c r="R1650" s="80"/>
      <c r="S1650" s="80"/>
      <c r="T1650" s="80"/>
      <c r="U1650" s="80"/>
      <c r="V1650" s="80"/>
      <c r="W1650" s="80"/>
      <c r="X1650" s="80"/>
      <c r="Y1650" s="80"/>
      <c r="Z1650" s="80"/>
      <c r="AA1650" s="80"/>
      <c r="AB1650" s="80"/>
      <c r="AC1650" s="80"/>
      <c r="AD1650" s="80"/>
      <c r="AE1650" s="80"/>
      <c r="AF1650" s="80"/>
      <c r="AG1650" s="80"/>
    </row>
    <row r="1651" spans="1:33" x14ac:dyDescent="0.2">
      <c r="A1651" s="2"/>
      <c r="B1651" s="80"/>
      <c r="C1651" s="80"/>
      <c r="D1651" s="80"/>
      <c r="E1651" s="80"/>
      <c r="F1651" s="80"/>
      <c r="G1651" s="80"/>
      <c r="H1651" s="80"/>
      <c r="I1651" s="80"/>
      <c r="J1651" s="80"/>
      <c r="K1651" s="80"/>
      <c r="L1651" s="2"/>
      <c r="M1651" s="2"/>
      <c r="N1651" s="2"/>
      <c r="O1651" s="2"/>
      <c r="P1651" s="2"/>
      <c r="Q1651" s="2"/>
      <c r="R1651" s="80"/>
      <c r="S1651" s="80"/>
      <c r="T1651" s="80"/>
      <c r="U1651" s="80"/>
      <c r="V1651" s="80"/>
      <c r="W1651" s="80"/>
      <c r="X1651" s="80"/>
      <c r="Y1651" s="80"/>
      <c r="Z1651" s="80"/>
      <c r="AA1651" s="80"/>
      <c r="AB1651" s="80"/>
      <c r="AC1651" s="80"/>
      <c r="AD1651" s="80"/>
      <c r="AE1651" s="80"/>
      <c r="AF1651" s="80"/>
      <c r="AG1651" s="80"/>
    </row>
    <row r="1652" spans="1:33" x14ac:dyDescent="0.2">
      <c r="A1652" s="2"/>
      <c r="B1652" s="80"/>
      <c r="C1652" s="80"/>
      <c r="D1652" s="80"/>
      <c r="E1652" s="80"/>
      <c r="F1652" s="80"/>
      <c r="G1652" s="80"/>
      <c r="H1652" s="80"/>
      <c r="I1652" s="80"/>
      <c r="J1652" s="80"/>
      <c r="K1652" s="80"/>
      <c r="L1652" s="2"/>
      <c r="M1652" s="2"/>
      <c r="N1652" s="2"/>
      <c r="O1652" s="2"/>
      <c r="P1652" s="2"/>
      <c r="Q1652" s="2"/>
      <c r="R1652" s="80"/>
      <c r="S1652" s="80"/>
      <c r="T1652" s="80"/>
      <c r="U1652" s="80"/>
      <c r="V1652" s="80"/>
      <c r="W1652" s="80"/>
      <c r="X1652" s="80"/>
      <c r="Y1652" s="80"/>
      <c r="Z1652" s="80"/>
      <c r="AA1652" s="80"/>
      <c r="AB1652" s="80"/>
      <c r="AC1652" s="80"/>
      <c r="AD1652" s="80"/>
      <c r="AE1652" s="80"/>
      <c r="AF1652" s="80"/>
      <c r="AG1652" s="80"/>
    </row>
    <row r="1653" spans="1:33" x14ac:dyDescent="0.2">
      <c r="A1653" s="2"/>
      <c r="B1653" s="80"/>
      <c r="C1653" s="80"/>
      <c r="D1653" s="80"/>
      <c r="E1653" s="80"/>
      <c r="F1653" s="80"/>
      <c r="G1653" s="80"/>
      <c r="H1653" s="80"/>
      <c r="I1653" s="80"/>
      <c r="J1653" s="80"/>
      <c r="K1653" s="80"/>
      <c r="L1653" s="2"/>
      <c r="M1653" s="2"/>
      <c r="N1653" s="2"/>
      <c r="O1653" s="2"/>
      <c r="P1653" s="2"/>
      <c r="Q1653" s="2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E1653" s="80"/>
      <c r="AF1653" s="80"/>
      <c r="AG1653" s="80"/>
    </row>
    <row r="1654" spans="1:33" x14ac:dyDescent="0.2">
      <c r="A1654" s="2"/>
      <c r="B1654" s="80"/>
      <c r="C1654" s="80"/>
      <c r="D1654" s="80"/>
      <c r="E1654" s="80"/>
      <c r="F1654" s="80"/>
      <c r="G1654" s="80"/>
      <c r="H1654" s="80"/>
      <c r="I1654" s="80"/>
      <c r="J1654" s="80"/>
      <c r="K1654" s="80"/>
      <c r="L1654" s="2"/>
      <c r="M1654" s="2"/>
      <c r="N1654" s="2"/>
      <c r="O1654" s="2"/>
      <c r="P1654" s="2"/>
      <c r="Q1654" s="2"/>
      <c r="R1654" s="80"/>
      <c r="S1654" s="80"/>
      <c r="T1654" s="80"/>
      <c r="U1654" s="80"/>
      <c r="V1654" s="80"/>
      <c r="W1654" s="80"/>
      <c r="X1654" s="80"/>
      <c r="Y1654" s="80"/>
      <c r="Z1654" s="80"/>
      <c r="AA1654" s="80"/>
      <c r="AB1654" s="80"/>
      <c r="AC1654" s="80"/>
      <c r="AD1654" s="80"/>
      <c r="AE1654" s="80"/>
      <c r="AF1654" s="80"/>
      <c r="AG1654" s="80"/>
    </row>
    <row r="1655" spans="1:33" x14ac:dyDescent="0.2">
      <c r="A1655" s="2"/>
      <c r="B1655" s="80"/>
      <c r="C1655" s="80"/>
      <c r="D1655" s="80"/>
      <c r="E1655" s="80"/>
      <c r="F1655" s="80"/>
      <c r="G1655" s="80"/>
      <c r="H1655" s="80"/>
      <c r="I1655" s="80"/>
      <c r="J1655" s="80"/>
      <c r="K1655" s="80"/>
      <c r="L1655" s="2"/>
      <c r="M1655" s="2"/>
      <c r="N1655" s="2"/>
      <c r="O1655" s="2"/>
      <c r="P1655" s="2"/>
      <c r="Q1655" s="2"/>
      <c r="R1655" s="80"/>
      <c r="S1655" s="80"/>
      <c r="T1655" s="80"/>
      <c r="U1655" s="80"/>
      <c r="V1655" s="80"/>
      <c r="W1655" s="80"/>
      <c r="X1655" s="80"/>
      <c r="Y1655" s="80"/>
      <c r="Z1655" s="80"/>
      <c r="AA1655" s="80"/>
      <c r="AB1655" s="80"/>
      <c r="AC1655" s="80"/>
      <c r="AD1655" s="80"/>
      <c r="AE1655" s="80"/>
      <c r="AF1655" s="80"/>
      <c r="AG1655" s="80"/>
    </row>
    <row r="1656" spans="1:33" x14ac:dyDescent="0.2">
      <c r="A1656" s="2"/>
      <c r="B1656" s="80"/>
      <c r="C1656" s="80"/>
      <c r="D1656" s="80"/>
      <c r="E1656" s="80"/>
      <c r="F1656" s="80"/>
      <c r="G1656" s="80"/>
      <c r="H1656" s="80"/>
      <c r="I1656" s="80"/>
      <c r="J1656" s="80"/>
      <c r="K1656" s="80"/>
      <c r="L1656" s="2"/>
      <c r="M1656" s="2"/>
      <c r="N1656" s="2"/>
      <c r="O1656" s="2"/>
      <c r="P1656" s="2"/>
      <c r="Q1656" s="2"/>
      <c r="R1656" s="80"/>
      <c r="S1656" s="80"/>
      <c r="T1656" s="80"/>
      <c r="U1656" s="80"/>
      <c r="V1656" s="80"/>
      <c r="W1656" s="80"/>
      <c r="X1656" s="80"/>
      <c r="Y1656" s="80"/>
      <c r="Z1656" s="80"/>
      <c r="AA1656" s="80"/>
      <c r="AB1656" s="80"/>
      <c r="AC1656" s="80"/>
      <c r="AD1656" s="80"/>
      <c r="AE1656" s="80"/>
      <c r="AF1656" s="80"/>
      <c r="AG1656" s="80"/>
    </row>
    <row r="1657" spans="1:33" x14ac:dyDescent="0.2">
      <c r="A1657" s="2"/>
      <c r="B1657" s="80"/>
      <c r="C1657" s="80"/>
      <c r="D1657" s="80"/>
      <c r="E1657" s="80"/>
      <c r="F1657" s="80"/>
      <c r="G1657" s="80"/>
      <c r="H1657" s="80"/>
      <c r="I1657" s="80"/>
      <c r="J1657" s="80"/>
      <c r="K1657" s="80"/>
      <c r="L1657" s="2"/>
      <c r="M1657" s="2"/>
      <c r="N1657" s="2"/>
      <c r="O1657" s="2"/>
      <c r="P1657" s="2"/>
      <c r="Q1657" s="2"/>
      <c r="R1657" s="80"/>
      <c r="S1657" s="80"/>
      <c r="T1657" s="80"/>
      <c r="U1657" s="80"/>
      <c r="V1657" s="80"/>
      <c r="W1657" s="80"/>
      <c r="X1657" s="80"/>
      <c r="Y1657" s="80"/>
      <c r="Z1657" s="80"/>
      <c r="AA1657" s="80"/>
      <c r="AB1657" s="80"/>
      <c r="AC1657" s="80"/>
      <c r="AD1657" s="80"/>
      <c r="AE1657" s="80"/>
      <c r="AF1657" s="80"/>
      <c r="AG1657" s="80"/>
    </row>
    <row r="1658" spans="1:33" x14ac:dyDescent="0.2">
      <c r="A1658" s="2"/>
      <c r="B1658" s="80"/>
      <c r="C1658" s="80"/>
      <c r="D1658" s="80"/>
      <c r="E1658" s="80"/>
      <c r="F1658" s="80"/>
      <c r="G1658" s="80"/>
      <c r="H1658" s="80"/>
      <c r="I1658" s="80"/>
      <c r="J1658" s="80"/>
      <c r="K1658" s="80"/>
      <c r="L1658" s="2"/>
      <c r="M1658" s="2"/>
      <c r="N1658" s="2"/>
      <c r="O1658" s="2"/>
      <c r="P1658" s="2"/>
      <c r="Q1658" s="2"/>
      <c r="R1658" s="80"/>
      <c r="S1658" s="80"/>
      <c r="T1658" s="80"/>
      <c r="U1658" s="80"/>
      <c r="V1658" s="80"/>
      <c r="W1658" s="80"/>
      <c r="X1658" s="80"/>
      <c r="Y1658" s="80"/>
      <c r="Z1658" s="80"/>
      <c r="AA1658" s="80"/>
      <c r="AB1658" s="80"/>
      <c r="AC1658" s="80"/>
      <c r="AD1658" s="80"/>
      <c r="AE1658" s="80"/>
      <c r="AF1658" s="80"/>
      <c r="AG1658" s="80"/>
    </row>
    <row r="1659" spans="1:33" x14ac:dyDescent="0.2">
      <c r="A1659" s="2"/>
      <c r="B1659" s="80"/>
      <c r="C1659" s="80"/>
      <c r="D1659" s="80"/>
      <c r="E1659" s="80"/>
      <c r="F1659" s="80"/>
      <c r="G1659" s="80"/>
      <c r="H1659" s="80"/>
      <c r="I1659" s="80"/>
      <c r="J1659" s="80"/>
      <c r="K1659" s="80"/>
      <c r="L1659" s="2"/>
      <c r="M1659" s="2"/>
      <c r="N1659" s="2"/>
      <c r="O1659" s="2"/>
      <c r="P1659" s="2"/>
      <c r="Q1659" s="2"/>
      <c r="R1659" s="80"/>
      <c r="S1659" s="80"/>
      <c r="T1659" s="80"/>
      <c r="U1659" s="80"/>
      <c r="V1659" s="80"/>
      <c r="W1659" s="80"/>
      <c r="X1659" s="80"/>
      <c r="Y1659" s="80"/>
      <c r="Z1659" s="80"/>
      <c r="AA1659" s="80"/>
      <c r="AB1659" s="80"/>
      <c r="AC1659" s="80"/>
      <c r="AD1659" s="80"/>
      <c r="AE1659" s="80"/>
      <c r="AF1659" s="80"/>
      <c r="AG1659" s="80"/>
    </row>
    <row r="1660" spans="1:33" x14ac:dyDescent="0.2">
      <c r="A1660" s="2"/>
      <c r="B1660" s="80"/>
      <c r="C1660" s="80"/>
      <c r="D1660" s="80"/>
      <c r="E1660" s="80"/>
      <c r="F1660" s="80"/>
      <c r="G1660" s="80"/>
      <c r="H1660" s="80"/>
      <c r="I1660" s="80"/>
      <c r="J1660" s="80"/>
      <c r="K1660" s="80"/>
      <c r="L1660" s="2"/>
      <c r="M1660" s="2"/>
      <c r="N1660" s="2"/>
      <c r="O1660" s="2"/>
      <c r="P1660" s="2"/>
      <c r="Q1660" s="2"/>
      <c r="R1660" s="80"/>
      <c r="S1660" s="80"/>
      <c r="T1660" s="80"/>
      <c r="U1660" s="80"/>
      <c r="V1660" s="80"/>
      <c r="W1660" s="80"/>
      <c r="X1660" s="80"/>
      <c r="Y1660" s="80"/>
      <c r="Z1660" s="80"/>
      <c r="AA1660" s="80"/>
      <c r="AB1660" s="80"/>
      <c r="AC1660" s="80"/>
      <c r="AD1660" s="80"/>
      <c r="AE1660" s="80"/>
      <c r="AF1660" s="80"/>
      <c r="AG1660" s="80"/>
    </row>
    <row r="1661" spans="1:33" x14ac:dyDescent="0.2">
      <c r="A1661" s="2"/>
      <c r="B1661" s="80"/>
      <c r="C1661" s="80"/>
      <c r="D1661" s="80"/>
      <c r="E1661" s="80"/>
      <c r="F1661" s="80"/>
      <c r="G1661" s="80"/>
      <c r="H1661" s="80"/>
      <c r="I1661" s="80"/>
      <c r="J1661" s="80"/>
      <c r="K1661" s="80"/>
      <c r="L1661" s="2"/>
      <c r="M1661" s="2"/>
      <c r="N1661" s="2"/>
      <c r="O1661" s="2"/>
      <c r="P1661" s="2"/>
      <c r="Q1661" s="2"/>
      <c r="R1661" s="80"/>
      <c r="S1661" s="80"/>
      <c r="T1661" s="80"/>
      <c r="U1661" s="80"/>
      <c r="V1661" s="80"/>
      <c r="W1661" s="80"/>
      <c r="X1661" s="80"/>
      <c r="Y1661" s="80"/>
      <c r="Z1661" s="80"/>
      <c r="AA1661" s="80"/>
      <c r="AB1661" s="80"/>
      <c r="AC1661" s="80"/>
      <c r="AD1661" s="80"/>
      <c r="AE1661" s="80"/>
      <c r="AF1661" s="80"/>
      <c r="AG1661" s="80"/>
    </row>
    <row r="1662" spans="1:33" x14ac:dyDescent="0.2">
      <c r="A1662" s="2"/>
      <c r="B1662" s="80"/>
      <c r="C1662" s="80"/>
      <c r="D1662" s="80"/>
      <c r="E1662" s="80"/>
      <c r="F1662" s="80"/>
      <c r="G1662" s="80"/>
      <c r="H1662" s="80"/>
      <c r="I1662" s="80"/>
      <c r="J1662" s="80"/>
      <c r="K1662" s="80"/>
      <c r="L1662" s="2"/>
      <c r="M1662" s="2"/>
      <c r="N1662" s="2"/>
      <c r="O1662" s="2"/>
      <c r="P1662" s="2"/>
      <c r="Q1662" s="2"/>
      <c r="R1662" s="80"/>
      <c r="S1662" s="80"/>
      <c r="T1662" s="80"/>
      <c r="U1662" s="80"/>
      <c r="V1662" s="80"/>
      <c r="W1662" s="80"/>
      <c r="X1662" s="80"/>
      <c r="Y1662" s="80"/>
      <c r="Z1662" s="80"/>
      <c r="AA1662" s="80"/>
      <c r="AB1662" s="80"/>
      <c r="AC1662" s="80"/>
      <c r="AD1662" s="80"/>
      <c r="AE1662" s="80"/>
      <c r="AF1662" s="80"/>
      <c r="AG1662" s="80"/>
    </row>
    <row r="1663" spans="1:33" x14ac:dyDescent="0.2">
      <c r="A1663" s="2"/>
      <c r="B1663" s="80"/>
      <c r="C1663" s="80"/>
      <c r="D1663" s="80"/>
      <c r="E1663" s="80"/>
      <c r="F1663" s="80"/>
      <c r="G1663" s="80"/>
      <c r="H1663" s="80"/>
      <c r="I1663" s="80"/>
      <c r="J1663" s="80"/>
      <c r="K1663" s="80"/>
      <c r="L1663" s="2"/>
      <c r="M1663" s="2"/>
      <c r="N1663" s="2"/>
      <c r="O1663" s="2"/>
      <c r="P1663" s="2"/>
      <c r="Q1663" s="2"/>
      <c r="R1663" s="80"/>
      <c r="S1663" s="80"/>
      <c r="T1663" s="80"/>
      <c r="U1663" s="80"/>
      <c r="V1663" s="80"/>
      <c r="W1663" s="80"/>
      <c r="X1663" s="80"/>
      <c r="Y1663" s="80"/>
      <c r="Z1663" s="80"/>
      <c r="AA1663" s="80"/>
      <c r="AB1663" s="80"/>
      <c r="AC1663" s="80"/>
      <c r="AD1663" s="80"/>
      <c r="AE1663" s="80"/>
      <c r="AF1663" s="80"/>
      <c r="AG1663" s="80"/>
    </row>
    <row r="1664" spans="1:33" x14ac:dyDescent="0.2">
      <c r="A1664" s="2"/>
      <c r="B1664" s="80"/>
      <c r="C1664" s="80"/>
      <c r="D1664" s="80"/>
      <c r="E1664" s="80"/>
      <c r="F1664" s="80"/>
      <c r="G1664" s="80"/>
      <c r="H1664" s="80"/>
      <c r="I1664" s="80"/>
      <c r="J1664" s="80"/>
      <c r="K1664" s="80"/>
      <c r="L1664" s="2"/>
      <c r="M1664" s="2"/>
      <c r="N1664" s="2"/>
      <c r="O1664" s="2"/>
      <c r="P1664" s="2"/>
      <c r="Q1664" s="2"/>
      <c r="R1664" s="80"/>
      <c r="S1664" s="80"/>
      <c r="T1664" s="80"/>
      <c r="U1664" s="80"/>
      <c r="V1664" s="80"/>
      <c r="W1664" s="80"/>
      <c r="X1664" s="80"/>
      <c r="Y1664" s="80"/>
      <c r="Z1664" s="80"/>
      <c r="AA1664" s="80"/>
      <c r="AB1664" s="80"/>
      <c r="AC1664" s="80"/>
      <c r="AD1664" s="80"/>
      <c r="AE1664" s="80"/>
      <c r="AF1664" s="80"/>
      <c r="AG1664" s="80"/>
    </row>
    <row r="1665" spans="1:33" x14ac:dyDescent="0.2">
      <c r="A1665" s="2"/>
      <c r="B1665" s="80"/>
      <c r="C1665" s="80"/>
      <c r="D1665" s="80"/>
      <c r="E1665" s="80"/>
      <c r="F1665" s="80"/>
      <c r="G1665" s="80"/>
      <c r="H1665" s="80"/>
      <c r="I1665" s="80"/>
      <c r="J1665" s="80"/>
      <c r="K1665" s="80"/>
      <c r="L1665" s="2"/>
      <c r="M1665" s="2"/>
      <c r="N1665" s="2"/>
      <c r="O1665" s="2"/>
      <c r="P1665" s="2"/>
      <c r="Q1665" s="2"/>
      <c r="R1665" s="80"/>
      <c r="S1665" s="80"/>
      <c r="T1665" s="80"/>
      <c r="U1665" s="80"/>
      <c r="V1665" s="80"/>
      <c r="W1665" s="80"/>
      <c r="X1665" s="80"/>
      <c r="Y1665" s="80"/>
      <c r="Z1665" s="80"/>
      <c r="AA1665" s="80"/>
      <c r="AB1665" s="80"/>
      <c r="AC1665" s="80"/>
      <c r="AD1665" s="80"/>
      <c r="AE1665" s="80"/>
      <c r="AF1665" s="80"/>
      <c r="AG1665" s="80"/>
    </row>
    <row r="1666" spans="1:33" x14ac:dyDescent="0.2">
      <c r="A1666" s="2"/>
      <c r="B1666" s="80"/>
      <c r="C1666" s="80"/>
      <c r="D1666" s="80"/>
      <c r="E1666" s="80"/>
      <c r="F1666" s="80"/>
      <c r="G1666" s="80"/>
      <c r="H1666" s="80"/>
      <c r="I1666" s="80"/>
      <c r="J1666" s="80"/>
      <c r="K1666" s="80"/>
      <c r="L1666" s="2"/>
      <c r="M1666" s="2"/>
      <c r="N1666" s="2"/>
      <c r="O1666" s="2"/>
      <c r="P1666" s="2"/>
      <c r="Q1666" s="2"/>
      <c r="R1666" s="80"/>
      <c r="S1666" s="80"/>
      <c r="T1666" s="80"/>
      <c r="U1666" s="80"/>
      <c r="V1666" s="80"/>
      <c r="W1666" s="80"/>
      <c r="X1666" s="80"/>
      <c r="Y1666" s="80"/>
      <c r="Z1666" s="80"/>
      <c r="AA1666" s="80"/>
      <c r="AB1666" s="80"/>
      <c r="AC1666" s="80"/>
      <c r="AD1666" s="80"/>
      <c r="AE1666" s="80"/>
      <c r="AF1666" s="80"/>
      <c r="AG1666" s="80"/>
    </row>
    <row r="1667" spans="1:33" x14ac:dyDescent="0.2">
      <c r="A1667" s="2"/>
      <c r="B1667" s="80"/>
      <c r="C1667" s="80"/>
      <c r="D1667" s="80"/>
      <c r="E1667" s="80"/>
      <c r="F1667" s="80"/>
      <c r="G1667" s="80"/>
      <c r="H1667" s="80"/>
      <c r="I1667" s="80"/>
      <c r="J1667" s="80"/>
      <c r="K1667" s="80"/>
      <c r="L1667" s="2"/>
      <c r="M1667" s="2"/>
      <c r="N1667" s="2"/>
      <c r="O1667" s="2"/>
      <c r="P1667" s="2"/>
      <c r="Q1667" s="2"/>
      <c r="R1667" s="80"/>
      <c r="S1667" s="80"/>
      <c r="T1667" s="80"/>
      <c r="U1667" s="80"/>
      <c r="V1667" s="80"/>
      <c r="W1667" s="80"/>
      <c r="X1667" s="80"/>
      <c r="Y1667" s="80"/>
      <c r="Z1667" s="80"/>
      <c r="AA1667" s="80"/>
      <c r="AB1667" s="80"/>
      <c r="AC1667" s="80"/>
      <c r="AD1667" s="80"/>
      <c r="AE1667" s="80"/>
      <c r="AF1667" s="80"/>
      <c r="AG1667" s="80"/>
    </row>
    <row r="1668" spans="1:33" x14ac:dyDescent="0.2">
      <c r="A1668" s="2"/>
      <c r="B1668" s="80"/>
      <c r="C1668" s="80"/>
      <c r="D1668" s="80"/>
      <c r="E1668" s="80"/>
      <c r="F1668" s="80"/>
      <c r="G1668" s="80"/>
      <c r="H1668" s="80"/>
      <c r="I1668" s="80"/>
      <c r="J1668" s="80"/>
      <c r="K1668" s="80"/>
      <c r="L1668" s="2"/>
      <c r="M1668" s="2"/>
      <c r="N1668" s="2"/>
      <c r="O1668" s="2"/>
      <c r="P1668" s="2"/>
      <c r="Q1668" s="2"/>
      <c r="R1668" s="80"/>
      <c r="S1668" s="80"/>
      <c r="T1668" s="80"/>
      <c r="U1668" s="80"/>
      <c r="V1668" s="80"/>
      <c r="W1668" s="80"/>
      <c r="X1668" s="80"/>
      <c r="Y1668" s="80"/>
      <c r="Z1668" s="80"/>
      <c r="AA1668" s="80"/>
      <c r="AB1668" s="80"/>
      <c r="AC1668" s="80"/>
      <c r="AD1668" s="80"/>
      <c r="AE1668" s="80"/>
      <c r="AF1668" s="80"/>
      <c r="AG1668" s="80"/>
    </row>
    <row r="1669" spans="1:33" x14ac:dyDescent="0.2">
      <c r="A1669" s="2"/>
      <c r="B1669" s="80"/>
      <c r="C1669" s="80"/>
      <c r="D1669" s="80"/>
      <c r="E1669" s="80"/>
      <c r="F1669" s="80"/>
      <c r="G1669" s="80"/>
      <c r="H1669" s="80"/>
      <c r="I1669" s="80"/>
      <c r="J1669" s="80"/>
      <c r="K1669" s="80"/>
      <c r="L1669" s="2"/>
      <c r="M1669" s="2"/>
      <c r="N1669" s="2"/>
      <c r="O1669" s="2"/>
      <c r="P1669" s="2"/>
      <c r="Q1669" s="2"/>
      <c r="R1669" s="80"/>
      <c r="S1669" s="80"/>
      <c r="T1669" s="80"/>
      <c r="U1669" s="80"/>
      <c r="V1669" s="80"/>
      <c r="W1669" s="80"/>
      <c r="X1669" s="80"/>
      <c r="Y1669" s="80"/>
      <c r="Z1669" s="80"/>
      <c r="AA1669" s="80"/>
      <c r="AB1669" s="80"/>
      <c r="AC1669" s="80"/>
      <c r="AD1669" s="80"/>
      <c r="AE1669" s="80"/>
      <c r="AF1669" s="80"/>
      <c r="AG1669" s="80"/>
    </row>
    <row r="1670" spans="1:33" x14ac:dyDescent="0.2">
      <c r="A1670" s="2"/>
      <c r="B1670" s="80"/>
      <c r="C1670" s="80"/>
      <c r="D1670" s="80"/>
      <c r="E1670" s="80"/>
      <c r="F1670" s="80"/>
      <c r="G1670" s="80"/>
      <c r="H1670" s="80"/>
      <c r="I1670" s="80"/>
      <c r="J1670" s="80"/>
      <c r="K1670" s="80"/>
      <c r="L1670" s="2"/>
      <c r="M1670" s="2"/>
      <c r="N1670" s="2"/>
      <c r="O1670" s="2"/>
      <c r="P1670" s="2"/>
      <c r="Q1670" s="2"/>
      <c r="R1670" s="80"/>
      <c r="S1670" s="80"/>
      <c r="T1670" s="80"/>
      <c r="U1670" s="80"/>
      <c r="V1670" s="80"/>
      <c r="W1670" s="80"/>
      <c r="X1670" s="80"/>
      <c r="Y1670" s="80"/>
      <c r="Z1670" s="80"/>
      <c r="AA1670" s="80"/>
      <c r="AB1670" s="80"/>
      <c r="AC1670" s="80"/>
      <c r="AD1670" s="80"/>
      <c r="AE1670" s="80"/>
      <c r="AF1670" s="80"/>
      <c r="AG1670" s="80"/>
    </row>
    <row r="1671" spans="1:33" x14ac:dyDescent="0.2">
      <c r="A1671" s="2"/>
      <c r="B1671" s="80"/>
      <c r="C1671" s="80"/>
      <c r="D1671" s="80"/>
      <c r="E1671" s="80"/>
      <c r="F1671" s="80"/>
      <c r="G1671" s="80"/>
      <c r="H1671" s="80"/>
      <c r="I1671" s="80"/>
      <c r="J1671" s="80"/>
      <c r="K1671" s="80"/>
      <c r="L1671" s="2"/>
      <c r="M1671" s="2"/>
      <c r="N1671" s="2"/>
      <c r="O1671" s="2"/>
      <c r="P1671" s="2"/>
      <c r="Q1671" s="2"/>
      <c r="R1671" s="80"/>
      <c r="S1671" s="80"/>
      <c r="T1671" s="80"/>
      <c r="U1671" s="80"/>
      <c r="V1671" s="80"/>
      <c r="W1671" s="80"/>
      <c r="X1671" s="80"/>
      <c r="Y1671" s="80"/>
      <c r="Z1671" s="80"/>
      <c r="AA1671" s="80"/>
      <c r="AB1671" s="80"/>
      <c r="AC1671" s="80"/>
      <c r="AD1671" s="80"/>
      <c r="AE1671" s="80"/>
      <c r="AF1671" s="80"/>
      <c r="AG1671" s="80"/>
    </row>
    <row r="1672" spans="1:33" x14ac:dyDescent="0.2">
      <c r="A1672" s="2"/>
      <c r="B1672" s="80"/>
      <c r="C1672" s="80"/>
      <c r="D1672" s="80"/>
      <c r="E1672" s="80"/>
      <c r="F1672" s="80"/>
      <c r="G1672" s="80"/>
      <c r="H1672" s="80"/>
      <c r="I1672" s="80"/>
      <c r="J1672" s="80"/>
      <c r="K1672" s="80"/>
      <c r="L1672" s="2"/>
      <c r="M1672" s="2"/>
      <c r="N1672" s="2"/>
      <c r="O1672" s="2"/>
      <c r="P1672" s="2"/>
      <c r="Q1672" s="2"/>
      <c r="R1672" s="80"/>
      <c r="S1672" s="80"/>
      <c r="T1672" s="80"/>
      <c r="U1672" s="80"/>
      <c r="V1672" s="80"/>
      <c r="W1672" s="80"/>
      <c r="X1672" s="80"/>
      <c r="Y1672" s="80"/>
      <c r="Z1672" s="80"/>
      <c r="AA1672" s="80"/>
      <c r="AB1672" s="80"/>
      <c r="AC1672" s="80"/>
      <c r="AD1672" s="80"/>
      <c r="AE1672" s="80"/>
      <c r="AF1672" s="80"/>
      <c r="AG1672" s="80"/>
    </row>
    <row r="1673" spans="1:33" x14ac:dyDescent="0.2">
      <c r="A1673" s="2"/>
      <c r="B1673" s="80"/>
      <c r="C1673" s="80"/>
      <c r="D1673" s="80"/>
      <c r="E1673" s="80"/>
      <c r="F1673" s="80"/>
      <c r="G1673" s="80"/>
      <c r="H1673" s="80"/>
      <c r="I1673" s="80"/>
      <c r="J1673" s="80"/>
      <c r="K1673" s="80"/>
      <c r="L1673" s="2"/>
      <c r="M1673" s="2"/>
      <c r="N1673" s="2"/>
      <c r="O1673" s="2"/>
      <c r="P1673" s="2"/>
      <c r="Q1673" s="2"/>
      <c r="R1673" s="80"/>
      <c r="S1673" s="80"/>
      <c r="T1673" s="80"/>
      <c r="U1673" s="80"/>
      <c r="V1673" s="80"/>
      <c r="W1673" s="80"/>
      <c r="X1673" s="80"/>
      <c r="Y1673" s="80"/>
      <c r="Z1673" s="80"/>
      <c r="AA1673" s="80"/>
      <c r="AB1673" s="80"/>
      <c r="AC1673" s="80"/>
      <c r="AD1673" s="80"/>
      <c r="AE1673" s="80"/>
      <c r="AF1673" s="80"/>
      <c r="AG1673" s="80"/>
    </row>
    <row r="1674" spans="1:33" x14ac:dyDescent="0.2">
      <c r="A1674" s="2"/>
      <c r="B1674" s="80"/>
      <c r="C1674" s="80"/>
      <c r="D1674" s="80"/>
      <c r="E1674" s="80"/>
      <c r="F1674" s="80"/>
      <c r="G1674" s="80"/>
      <c r="H1674" s="80"/>
      <c r="I1674" s="80"/>
      <c r="J1674" s="80"/>
      <c r="K1674" s="80"/>
      <c r="L1674" s="2"/>
      <c r="M1674" s="2"/>
      <c r="N1674" s="2"/>
      <c r="O1674" s="2"/>
      <c r="P1674" s="2"/>
      <c r="Q1674" s="2"/>
      <c r="R1674" s="80"/>
      <c r="S1674" s="80"/>
      <c r="T1674" s="80"/>
      <c r="U1674" s="80"/>
      <c r="V1674" s="80"/>
      <c r="W1674" s="80"/>
      <c r="X1674" s="80"/>
      <c r="Y1674" s="80"/>
      <c r="Z1674" s="80"/>
      <c r="AA1674" s="80"/>
      <c r="AB1674" s="80"/>
      <c r="AC1674" s="80"/>
      <c r="AD1674" s="80"/>
      <c r="AE1674" s="80"/>
      <c r="AF1674" s="80"/>
      <c r="AG1674" s="80"/>
    </row>
    <row r="1675" spans="1:33" x14ac:dyDescent="0.2">
      <c r="A1675" s="2"/>
      <c r="B1675" s="80"/>
      <c r="C1675" s="80"/>
      <c r="D1675" s="80"/>
      <c r="E1675" s="80"/>
      <c r="F1675" s="80"/>
      <c r="G1675" s="80"/>
      <c r="H1675" s="80"/>
      <c r="I1675" s="80"/>
      <c r="J1675" s="80"/>
      <c r="K1675" s="80"/>
      <c r="L1675" s="2"/>
      <c r="M1675" s="2"/>
      <c r="N1675" s="2"/>
      <c r="O1675" s="2"/>
      <c r="P1675" s="2"/>
      <c r="Q1675" s="2"/>
      <c r="R1675" s="80"/>
      <c r="S1675" s="80"/>
      <c r="T1675" s="80"/>
      <c r="U1675" s="80"/>
      <c r="V1675" s="80"/>
      <c r="W1675" s="80"/>
      <c r="X1675" s="80"/>
      <c r="Y1675" s="80"/>
      <c r="Z1675" s="80"/>
      <c r="AA1675" s="80"/>
      <c r="AB1675" s="80"/>
      <c r="AC1675" s="80"/>
      <c r="AD1675" s="80"/>
      <c r="AE1675" s="80"/>
      <c r="AF1675" s="80"/>
      <c r="AG1675" s="80"/>
    </row>
    <row r="1676" spans="1:33" x14ac:dyDescent="0.2">
      <c r="A1676" s="2"/>
      <c r="B1676" s="80"/>
      <c r="C1676" s="80"/>
      <c r="D1676" s="80"/>
      <c r="E1676" s="80"/>
      <c r="F1676" s="80"/>
      <c r="G1676" s="80"/>
      <c r="H1676" s="80"/>
      <c r="I1676" s="80"/>
      <c r="J1676" s="80"/>
      <c r="K1676" s="80"/>
      <c r="L1676" s="2"/>
      <c r="M1676" s="2"/>
      <c r="N1676" s="2"/>
      <c r="O1676" s="2"/>
      <c r="P1676" s="2"/>
      <c r="Q1676" s="2"/>
      <c r="R1676" s="80"/>
      <c r="S1676" s="80"/>
      <c r="T1676" s="80"/>
      <c r="U1676" s="80"/>
      <c r="V1676" s="80"/>
      <c r="W1676" s="80"/>
      <c r="X1676" s="80"/>
      <c r="Y1676" s="80"/>
      <c r="Z1676" s="80"/>
      <c r="AA1676" s="80"/>
      <c r="AB1676" s="80"/>
      <c r="AC1676" s="80"/>
      <c r="AD1676" s="80"/>
      <c r="AE1676" s="80"/>
      <c r="AF1676" s="80"/>
      <c r="AG1676" s="80"/>
    </row>
    <row r="1677" spans="1:33" x14ac:dyDescent="0.2">
      <c r="A1677" s="2"/>
      <c r="B1677" s="80"/>
      <c r="C1677" s="80"/>
      <c r="D1677" s="80"/>
      <c r="E1677" s="80"/>
      <c r="F1677" s="80"/>
      <c r="G1677" s="80"/>
      <c r="H1677" s="80"/>
      <c r="I1677" s="80"/>
      <c r="J1677" s="80"/>
      <c r="K1677" s="80"/>
      <c r="L1677" s="2"/>
      <c r="M1677" s="2"/>
      <c r="N1677" s="2"/>
      <c r="O1677" s="2"/>
      <c r="P1677" s="2"/>
      <c r="Q1677" s="2"/>
      <c r="R1677" s="80"/>
      <c r="S1677" s="80"/>
      <c r="T1677" s="80"/>
      <c r="U1677" s="80"/>
      <c r="V1677" s="80"/>
      <c r="W1677" s="80"/>
      <c r="X1677" s="80"/>
      <c r="Y1677" s="80"/>
      <c r="Z1677" s="80"/>
      <c r="AA1677" s="80"/>
      <c r="AB1677" s="80"/>
      <c r="AC1677" s="80"/>
      <c r="AD1677" s="80"/>
      <c r="AE1677" s="80"/>
      <c r="AF1677" s="80"/>
      <c r="AG1677" s="80"/>
    </row>
    <row r="1678" spans="1:33" x14ac:dyDescent="0.2">
      <c r="A1678" s="2"/>
      <c r="B1678" s="80"/>
      <c r="C1678" s="80"/>
      <c r="D1678" s="80"/>
      <c r="E1678" s="80"/>
      <c r="F1678" s="80"/>
      <c r="G1678" s="80"/>
      <c r="H1678" s="80"/>
      <c r="I1678" s="80"/>
      <c r="J1678" s="80"/>
      <c r="K1678" s="80"/>
      <c r="L1678" s="2"/>
      <c r="M1678" s="2"/>
      <c r="N1678" s="2"/>
      <c r="O1678" s="2"/>
      <c r="P1678" s="2"/>
      <c r="Q1678" s="2"/>
      <c r="R1678" s="80"/>
      <c r="S1678" s="80"/>
      <c r="T1678" s="80"/>
      <c r="U1678" s="80"/>
      <c r="V1678" s="80"/>
      <c r="W1678" s="80"/>
      <c r="X1678" s="80"/>
      <c r="Y1678" s="80"/>
      <c r="Z1678" s="80"/>
      <c r="AA1678" s="80"/>
      <c r="AB1678" s="80"/>
      <c r="AC1678" s="80"/>
      <c r="AD1678" s="80"/>
      <c r="AE1678" s="80"/>
      <c r="AF1678" s="80"/>
      <c r="AG1678" s="80"/>
    </row>
    <row r="1679" spans="1:33" x14ac:dyDescent="0.2">
      <c r="A1679" s="2"/>
      <c r="B1679" s="80"/>
      <c r="C1679" s="80"/>
      <c r="D1679" s="80"/>
      <c r="E1679" s="80"/>
      <c r="F1679" s="80"/>
      <c r="G1679" s="80"/>
      <c r="H1679" s="80"/>
      <c r="I1679" s="80"/>
      <c r="J1679" s="80"/>
      <c r="K1679" s="80"/>
      <c r="L1679" s="2"/>
      <c r="M1679" s="2"/>
      <c r="N1679" s="2"/>
      <c r="O1679" s="2"/>
      <c r="P1679" s="2"/>
      <c r="Q1679" s="2"/>
      <c r="R1679" s="80"/>
      <c r="S1679" s="80"/>
      <c r="T1679" s="80"/>
      <c r="U1679" s="80"/>
      <c r="V1679" s="80"/>
      <c r="W1679" s="80"/>
      <c r="X1679" s="80"/>
      <c r="Y1679" s="80"/>
      <c r="Z1679" s="80"/>
      <c r="AA1679" s="80"/>
      <c r="AB1679" s="80"/>
      <c r="AC1679" s="80"/>
      <c r="AD1679" s="80"/>
      <c r="AE1679" s="80"/>
      <c r="AF1679" s="80"/>
      <c r="AG1679" s="80"/>
    </row>
    <row r="1680" spans="1:33" x14ac:dyDescent="0.2">
      <c r="A1680" s="2"/>
      <c r="B1680" s="80"/>
      <c r="C1680" s="80"/>
      <c r="D1680" s="80"/>
      <c r="E1680" s="80"/>
      <c r="F1680" s="80"/>
      <c r="G1680" s="80"/>
      <c r="H1680" s="80"/>
      <c r="I1680" s="80"/>
      <c r="J1680" s="80"/>
      <c r="K1680" s="80"/>
      <c r="L1680" s="2"/>
      <c r="M1680" s="2"/>
      <c r="N1680" s="2"/>
      <c r="O1680" s="2"/>
      <c r="P1680" s="2"/>
      <c r="Q1680" s="2"/>
      <c r="R1680" s="80"/>
      <c r="S1680" s="80"/>
      <c r="T1680" s="80"/>
      <c r="U1680" s="80"/>
      <c r="V1680" s="80"/>
      <c r="W1680" s="80"/>
      <c r="X1680" s="80"/>
      <c r="Y1680" s="80"/>
      <c r="Z1680" s="80"/>
      <c r="AA1680" s="80"/>
      <c r="AB1680" s="80"/>
      <c r="AC1680" s="80"/>
      <c r="AD1680" s="80"/>
      <c r="AE1680" s="80"/>
      <c r="AF1680" s="80"/>
      <c r="AG1680" s="80"/>
    </row>
    <row r="1681" spans="1:33" x14ac:dyDescent="0.2">
      <c r="A1681" s="2"/>
      <c r="B1681" s="80"/>
      <c r="C1681" s="80"/>
      <c r="D1681" s="80"/>
      <c r="E1681" s="80"/>
      <c r="F1681" s="80"/>
      <c r="G1681" s="80"/>
      <c r="H1681" s="80"/>
      <c r="I1681" s="80"/>
      <c r="J1681" s="80"/>
      <c r="K1681" s="80"/>
      <c r="L1681" s="2"/>
      <c r="M1681" s="2"/>
      <c r="N1681" s="2"/>
      <c r="O1681" s="2"/>
      <c r="P1681" s="2"/>
      <c r="Q1681" s="2"/>
      <c r="R1681" s="80"/>
      <c r="S1681" s="80"/>
      <c r="T1681" s="80"/>
      <c r="U1681" s="80"/>
      <c r="V1681" s="80"/>
      <c r="W1681" s="80"/>
      <c r="X1681" s="80"/>
      <c r="Y1681" s="80"/>
      <c r="Z1681" s="80"/>
      <c r="AA1681" s="80"/>
      <c r="AB1681" s="80"/>
      <c r="AC1681" s="80"/>
      <c r="AD1681" s="80"/>
      <c r="AE1681" s="80"/>
      <c r="AF1681" s="80"/>
      <c r="AG1681" s="80"/>
    </row>
    <row r="1682" spans="1:33" x14ac:dyDescent="0.2">
      <c r="A1682" s="2"/>
      <c r="B1682" s="80"/>
      <c r="C1682" s="80"/>
      <c r="D1682" s="80"/>
      <c r="E1682" s="80"/>
      <c r="F1682" s="80"/>
      <c r="G1682" s="80"/>
      <c r="H1682" s="80"/>
      <c r="I1682" s="80"/>
      <c r="J1682" s="80"/>
      <c r="K1682" s="80"/>
      <c r="L1682" s="2"/>
      <c r="M1682" s="2"/>
      <c r="N1682" s="2"/>
      <c r="O1682" s="2"/>
      <c r="P1682" s="2"/>
      <c r="Q1682" s="2"/>
      <c r="R1682" s="80"/>
      <c r="S1682" s="80"/>
      <c r="T1682" s="80"/>
      <c r="U1682" s="80"/>
      <c r="V1682" s="80"/>
      <c r="W1682" s="80"/>
      <c r="X1682" s="80"/>
      <c r="Y1682" s="80"/>
      <c r="Z1682" s="80"/>
      <c r="AA1682" s="80"/>
      <c r="AB1682" s="80"/>
      <c r="AC1682" s="80"/>
      <c r="AD1682" s="80"/>
      <c r="AE1682" s="80"/>
      <c r="AF1682" s="80"/>
      <c r="AG1682" s="80"/>
    </row>
    <row r="1683" spans="1:33" x14ac:dyDescent="0.2">
      <c r="A1683" s="2"/>
      <c r="B1683" s="80"/>
      <c r="C1683" s="80"/>
      <c r="D1683" s="80"/>
      <c r="E1683" s="80"/>
      <c r="F1683" s="80"/>
      <c r="G1683" s="80"/>
      <c r="H1683" s="80"/>
      <c r="I1683" s="80"/>
      <c r="J1683" s="80"/>
      <c r="K1683" s="80"/>
      <c r="L1683" s="2"/>
      <c r="M1683" s="2"/>
      <c r="N1683" s="2"/>
      <c r="O1683" s="2"/>
      <c r="P1683" s="2"/>
      <c r="Q1683" s="2"/>
      <c r="R1683" s="80"/>
      <c r="S1683" s="80"/>
      <c r="T1683" s="80"/>
      <c r="U1683" s="80"/>
      <c r="V1683" s="80"/>
      <c r="W1683" s="80"/>
      <c r="X1683" s="80"/>
      <c r="Y1683" s="80"/>
      <c r="Z1683" s="80"/>
      <c r="AA1683" s="80"/>
      <c r="AB1683" s="80"/>
      <c r="AC1683" s="80"/>
      <c r="AD1683" s="80"/>
      <c r="AE1683" s="80"/>
      <c r="AF1683" s="80"/>
      <c r="AG1683" s="80"/>
    </row>
    <row r="1684" spans="1:33" x14ac:dyDescent="0.2">
      <c r="A1684" s="2"/>
      <c r="B1684" s="80"/>
      <c r="C1684" s="80"/>
      <c r="D1684" s="80"/>
      <c r="E1684" s="80"/>
      <c r="F1684" s="80"/>
      <c r="G1684" s="80"/>
      <c r="H1684" s="80"/>
      <c r="I1684" s="80"/>
      <c r="J1684" s="80"/>
      <c r="K1684" s="80"/>
      <c r="L1684" s="2"/>
      <c r="M1684" s="2"/>
      <c r="N1684" s="2"/>
      <c r="O1684" s="2"/>
      <c r="P1684" s="2"/>
      <c r="Q1684" s="2"/>
      <c r="R1684" s="80"/>
      <c r="S1684" s="80"/>
      <c r="T1684" s="80"/>
      <c r="U1684" s="80"/>
      <c r="V1684" s="80"/>
      <c r="W1684" s="80"/>
      <c r="X1684" s="80"/>
      <c r="Y1684" s="80"/>
      <c r="Z1684" s="80"/>
      <c r="AA1684" s="80"/>
      <c r="AB1684" s="80"/>
      <c r="AC1684" s="80"/>
      <c r="AD1684" s="80"/>
      <c r="AE1684" s="80"/>
      <c r="AF1684" s="80"/>
      <c r="AG1684" s="80"/>
    </row>
    <row r="1685" spans="1:33" x14ac:dyDescent="0.2">
      <c r="A1685" s="2"/>
      <c r="B1685" s="80"/>
      <c r="C1685" s="80"/>
      <c r="D1685" s="80"/>
      <c r="E1685" s="80"/>
      <c r="F1685" s="80"/>
      <c r="G1685" s="80"/>
      <c r="H1685" s="80"/>
      <c r="I1685" s="80"/>
      <c r="J1685" s="80"/>
      <c r="K1685" s="80"/>
      <c r="L1685" s="2"/>
      <c r="M1685" s="2"/>
      <c r="N1685" s="2"/>
      <c r="O1685" s="2"/>
      <c r="P1685" s="2"/>
      <c r="Q1685" s="2"/>
      <c r="R1685" s="80"/>
      <c r="S1685" s="80"/>
      <c r="T1685" s="80"/>
      <c r="U1685" s="80"/>
      <c r="V1685" s="80"/>
      <c r="W1685" s="80"/>
      <c r="X1685" s="80"/>
      <c r="Y1685" s="80"/>
      <c r="Z1685" s="80"/>
      <c r="AA1685" s="80"/>
      <c r="AB1685" s="80"/>
      <c r="AC1685" s="80"/>
      <c r="AD1685" s="80"/>
      <c r="AE1685" s="80"/>
      <c r="AF1685" s="80"/>
      <c r="AG1685" s="80"/>
    </row>
    <row r="1686" spans="1:33" x14ac:dyDescent="0.2">
      <c r="A1686" s="2"/>
      <c r="B1686" s="80"/>
      <c r="C1686" s="80"/>
      <c r="D1686" s="80"/>
      <c r="E1686" s="80"/>
      <c r="F1686" s="80"/>
      <c r="G1686" s="80"/>
      <c r="H1686" s="80"/>
      <c r="I1686" s="80"/>
      <c r="J1686" s="80"/>
      <c r="K1686" s="80"/>
      <c r="L1686" s="2"/>
      <c r="M1686" s="2"/>
      <c r="N1686" s="2"/>
      <c r="O1686" s="2"/>
      <c r="P1686" s="2"/>
      <c r="Q1686" s="2"/>
      <c r="R1686" s="80"/>
      <c r="S1686" s="80"/>
      <c r="T1686" s="80"/>
      <c r="U1686" s="80"/>
      <c r="V1686" s="80"/>
      <c r="W1686" s="80"/>
      <c r="X1686" s="80"/>
      <c r="Y1686" s="80"/>
      <c r="Z1686" s="80"/>
      <c r="AA1686" s="80"/>
      <c r="AB1686" s="80"/>
      <c r="AC1686" s="80"/>
      <c r="AD1686" s="80"/>
      <c r="AE1686" s="80"/>
      <c r="AF1686" s="80"/>
      <c r="AG1686" s="80"/>
    </row>
    <row r="1687" spans="1:33" x14ac:dyDescent="0.2">
      <c r="A1687" s="2"/>
      <c r="B1687" s="80"/>
      <c r="C1687" s="80"/>
      <c r="D1687" s="80"/>
      <c r="E1687" s="80"/>
      <c r="F1687" s="80"/>
      <c r="G1687" s="80"/>
      <c r="H1687" s="80"/>
      <c r="I1687" s="80"/>
      <c r="J1687" s="80"/>
      <c r="K1687" s="80"/>
      <c r="L1687" s="2"/>
      <c r="M1687" s="2"/>
      <c r="N1687" s="2"/>
      <c r="O1687" s="2"/>
      <c r="P1687" s="2"/>
      <c r="Q1687" s="2"/>
      <c r="R1687" s="80"/>
      <c r="S1687" s="80"/>
      <c r="T1687" s="80"/>
      <c r="U1687" s="80"/>
      <c r="V1687" s="80"/>
      <c r="W1687" s="80"/>
      <c r="X1687" s="80"/>
      <c r="Y1687" s="80"/>
      <c r="Z1687" s="80"/>
      <c r="AA1687" s="80"/>
      <c r="AB1687" s="80"/>
      <c r="AC1687" s="80"/>
      <c r="AD1687" s="80"/>
      <c r="AE1687" s="80"/>
      <c r="AF1687" s="80"/>
      <c r="AG1687" s="80"/>
    </row>
    <row r="1688" spans="1:33" x14ac:dyDescent="0.2">
      <c r="A1688" s="2"/>
      <c r="B1688" s="80"/>
      <c r="C1688" s="80"/>
      <c r="D1688" s="80"/>
      <c r="E1688" s="80"/>
      <c r="F1688" s="80"/>
      <c r="G1688" s="80"/>
      <c r="H1688" s="80"/>
      <c r="I1688" s="80"/>
      <c r="J1688" s="80"/>
      <c r="K1688" s="80"/>
      <c r="L1688" s="2"/>
      <c r="M1688" s="2"/>
      <c r="N1688" s="2"/>
      <c r="O1688" s="2"/>
      <c r="P1688" s="2"/>
      <c r="Q1688" s="2"/>
      <c r="R1688" s="80"/>
      <c r="S1688" s="80"/>
      <c r="T1688" s="80"/>
      <c r="U1688" s="80"/>
      <c r="V1688" s="80"/>
      <c r="W1688" s="80"/>
      <c r="X1688" s="80"/>
      <c r="Y1688" s="80"/>
      <c r="Z1688" s="80"/>
      <c r="AA1688" s="80"/>
      <c r="AB1688" s="80"/>
      <c r="AC1688" s="80"/>
      <c r="AD1688" s="80"/>
      <c r="AE1688" s="80"/>
      <c r="AF1688" s="80"/>
      <c r="AG1688" s="80"/>
    </row>
    <row r="1689" spans="1:33" x14ac:dyDescent="0.2">
      <c r="A1689" s="2"/>
      <c r="B1689" s="80"/>
      <c r="C1689" s="80"/>
      <c r="D1689" s="80"/>
      <c r="E1689" s="80"/>
      <c r="F1689" s="80"/>
      <c r="G1689" s="80"/>
      <c r="H1689" s="80"/>
      <c r="I1689" s="80"/>
      <c r="J1689" s="80"/>
      <c r="K1689" s="80"/>
      <c r="L1689" s="2"/>
      <c r="M1689" s="2"/>
      <c r="N1689" s="2"/>
      <c r="O1689" s="2"/>
      <c r="P1689" s="2"/>
      <c r="Q1689" s="2"/>
      <c r="R1689" s="80"/>
      <c r="S1689" s="80"/>
      <c r="T1689" s="80"/>
      <c r="U1689" s="80"/>
      <c r="V1689" s="80"/>
      <c r="W1689" s="80"/>
      <c r="X1689" s="80"/>
      <c r="Y1689" s="80"/>
      <c r="Z1689" s="80"/>
      <c r="AA1689" s="80"/>
      <c r="AB1689" s="80"/>
      <c r="AC1689" s="80"/>
      <c r="AD1689" s="80"/>
      <c r="AE1689" s="80"/>
      <c r="AF1689" s="80"/>
      <c r="AG1689" s="80"/>
    </row>
    <row r="1690" spans="1:33" x14ac:dyDescent="0.2">
      <c r="A1690" s="2"/>
      <c r="B1690" s="80"/>
      <c r="C1690" s="80"/>
      <c r="D1690" s="80"/>
      <c r="E1690" s="80"/>
      <c r="F1690" s="80"/>
      <c r="G1690" s="80"/>
      <c r="H1690" s="80"/>
      <c r="I1690" s="80"/>
      <c r="J1690" s="80"/>
      <c r="K1690" s="80"/>
      <c r="L1690" s="2"/>
      <c r="M1690" s="2"/>
      <c r="N1690" s="2"/>
      <c r="O1690" s="2"/>
      <c r="P1690" s="2"/>
      <c r="Q1690" s="2"/>
      <c r="R1690" s="80"/>
      <c r="S1690" s="80"/>
      <c r="T1690" s="80"/>
      <c r="U1690" s="80"/>
      <c r="V1690" s="80"/>
      <c r="W1690" s="80"/>
      <c r="X1690" s="80"/>
      <c r="Y1690" s="80"/>
      <c r="Z1690" s="80"/>
      <c r="AA1690" s="80"/>
      <c r="AB1690" s="80"/>
      <c r="AC1690" s="80"/>
      <c r="AD1690" s="80"/>
      <c r="AE1690" s="80"/>
      <c r="AF1690" s="80"/>
      <c r="AG1690" s="80"/>
    </row>
    <row r="1691" spans="1:33" x14ac:dyDescent="0.2">
      <c r="A1691" s="2"/>
      <c r="B1691" s="80"/>
      <c r="C1691" s="80"/>
      <c r="D1691" s="80"/>
      <c r="E1691" s="80"/>
      <c r="F1691" s="80"/>
      <c r="G1691" s="80"/>
      <c r="H1691" s="80"/>
      <c r="I1691" s="80"/>
      <c r="J1691" s="80"/>
      <c r="K1691" s="80"/>
      <c r="L1691" s="2"/>
      <c r="M1691" s="2"/>
      <c r="N1691" s="2"/>
      <c r="O1691" s="2"/>
      <c r="P1691" s="2"/>
      <c r="Q1691" s="2"/>
      <c r="R1691" s="80"/>
      <c r="S1691" s="80"/>
      <c r="T1691" s="80"/>
      <c r="U1691" s="80"/>
      <c r="V1691" s="80"/>
      <c r="W1691" s="80"/>
      <c r="X1691" s="80"/>
      <c r="Y1691" s="80"/>
      <c r="Z1691" s="80"/>
      <c r="AA1691" s="80"/>
      <c r="AB1691" s="80"/>
      <c r="AC1691" s="80"/>
      <c r="AD1691" s="80"/>
      <c r="AE1691" s="80"/>
      <c r="AF1691" s="80"/>
      <c r="AG1691" s="80"/>
    </row>
    <row r="1692" spans="1:33" x14ac:dyDescent="0.2">
      <c r="A1692" s="2"/>
      <c r="B1692" s="80"/>
      <c r="C1692" s="80"/>
      <c r="D1692" s="80"/>
      <c r="E1692" s="80"/>
      <c r="F1692" s="80"/>
      <c r="G1692" s="80"/>
      <c r="H1692" s="80"/>
      <c r="I1692" s="80"/>
      <c r="J1692" s="80"/>
      <c r="K1692" s="80"/>
      <c r="L1692" s="2"/>
      <c r="M1692" s="2"/>
      <c r="N1692" s="2"/>
      <c r="O1692" s="2"/>
      <c r="P1692" s="2"/>
      <c r="Q1692" s="2"/>
      <c r="R1692" s="80"/>
      <c r="S1692" s="80"/>
      <c r="T1692" s="80"/>
      <c r="U1692" s="80"/>
      <c r="V1692" s="80"/>
      <c r="W1692" s="80"/>
      <c r="X1692" s="80"/>
      <c r="Y1692" s="80"/>
      <c r="Z1692" s="80"/>
      <c r="AA1692" s="80"/>
      <c r="AB1692" s="80"/>
      <c r="AC1692" s="80"/>
      <c r="AD1692" s="80"/>
      <c r="AE1692" s="80"/>
      <c r="AF1692" s="80"/>
      <c r="AG1692" s="80"/>
    </row>
    <row r="1693" spans="1:33" x14ac:dyDescent="0.2">
      <c r="A1693" s="2"/>
      <c r="B1693" s="80"/>
      <c r="C1693" s="80"/>
      <c r="D1693" s="80"/>
      <c r="E1693" s="80"/>
      <c r="F1693" s="80"/>
      <c r="G1693" s="80"/>
      <c r="H1693" s="80"/>
      <c r="I1693" s="80"/>
      <c r="J1693" s="80"/>
      <c r="K1693" s="80"/>
      <c r="L1693" s="2"/>
      <c r="M1693" s="2"/>
      <c r="N1693" s="2"/>
      <c r="O1693" s="2"/>
      <c r="P1693" s="2"/>
      <c r="Q1693" s="2"/>
      <c r="R1693" s="80"/>
      <c r="S1693" s="80"/>
      <c r="T1693" s="80"/>
      <c r="U1693" s="80"/>
      <c r="V1693" s="80"/>
      <c r="W1693" s="80"/>
      <c r="X1693" s="80"/>
      <c r="Y1693" s="80"/>
      <c r="Z1693" s="80"/>
      <c r="AA1693" s="80"/>
      <c r="AB1693" s="80"/>
      <c r="AC1693" s="80"/>
      <c r="AD1693" s="80"/>
      <c r="AE1693" s="80"/>
      <c r="AF1693" s="80"/>
      <c r="AG1693" s="80"/>
    </row>
    <row r="1694" spans="1:33" x14ac:dyDescent="0.2">
      <c r="A1694" s="2"/>
      <c r="B1694" s="80"/>
      <c r="C1694" s="80"/>
      <c r="D1694" s="80"/>
      <c r="E1694" s="80"/>
      <c r="F1694" s="80"/>
      <c r="G1694" s="80"/>
      <c r="H1694" s="80"/>
      <c r="I1694" s="80"/>
      <c r="J1694" s="80"/>
      <c r="K1694" s="80"/>
      <c r="L1694" s="2"/>
      <c r="M1694" s="2"/>
      <c r="N1694" s="2"/>
      <c r="O1694" s="2"/>
      <c r="P1694" s="2"/>
      <c r="Q1694" s="2"/>
      <c r="R1694" s="80"/>
      <c r="S1694" s="80"/>
      <c r="T1694" s="80"/>
      <c r="U1694" s="80"/>
      <c r="V1694" s="80"/>
      <c r="W1694" s="80"/>
      <c r="X1694" s="80"/>
      <c r="Y1694" s="80"/>
      <c r="Z1694" s="80"/>
      <c r="AA1694" s="80"/>
      <c r="AB1694" s="80"/>
      <c r="AC1694" s="80"/>
      <c r="AD1694" s="80"/>
      <c r="AE1694" s="80"/>
      <c r="AF1694" s="80"/>
      <c r="AG1694" s="80"/>
    </row>
    <row r="1695" spans="1:33" x14ac:dyDescent="0.2">
      <c r="A1695" s="2"/>
      <c r="B1695" s="80"/>
      <c r="C1695" s="80"/>
      <c r="D1695" s="80"/>
      <c r="E1695" s="80"/>
      <c r="F1695" s="80"/>
      <c r="G1695" s="80"/>
      <c r="H1695" s="80"/>
      <c r="I1695" s="80"/>
      <c r="J1695" s="80"/>
      <c r="K1695" s="80"/>
      <c r="L1695" s="2"/>
      <c r="M1695" s="2"/>
      <c r="N1695" s="2"/>
      <c r="O1695" s="2"/>
      <c r="P1695" s="2"/>
      <c r="Q1695" s="2"/>
      <c r="R1695" s="80"/>
      <c r="S1695" s="80"/>
      <c r="T1695" s="80"/>
      <c r="U1695" s="80"/>
      <c r="V1695" s="80"/>
      <c r="W1695" s="80"/>
      <c r="X1695" s="80"/>
      <c r="Y1695" s="80"/>
      <c r="Z1695" s="80"/>
      <c r="AA1695" s="80"/>
      <c r="AB1695" s="80"/>
      <c r="AC1695" s="80"/>
      <c r="AD1695" s="80"/>
      <c r="AE1695" s="80"/>
      <c r="AF1695" s="80"/>
      <c r="AG1695" s="80"/>
    </row>
    <row r="1696" spans="1:33" x14ac:dyDescent="0.2">
      <c r="A1696" s="2"/>
      <c r="B1696" s="80"/>
      <c r="C1696" s="80"/>
      <c r="D1696" s="80"/>
      <c r="E1696" s="80"/>
      <c r="F1696" s="80"/>
      <c r="G1696" s="80"/>
      <c r="H1696" s="80"/>
      <c r="I1696" s="80"/>
      <c r="J1696" s="80"/>
      <c r="K1696" s="80"/>
      <c r="L1696" s="2"/>
      <c r="M1696" s="2"/>
      <c r="N1696" s="2"/>
      <c r="O1696" s="2"/>
      <c r="P1696" s="2"/>
      <c r="Q1696" s="2"/>
      <c r="R1696" s="80"/>
      <c r="S1696" s="80"/>
      <c r="T1696" s="80"/>
      <c r="U1696" s="80"/>
      <c r="V1696" s="80"/>
      <c r="W1696" s="80"/>
      <c r="X1696" s="80"/>
      <c r="Y1696" s="80"/>
      <c r="Z1696" s="80"/>
      <c r="AA1696" s="80"/>
      <c r="AB1696" s="80"/>
      <c r="AC1696" s="80"/>
      <c r="AD1696" s="80"/>
      <c r="AE1696" s="80"/>
      <c r="AF1696" s="80"/>
      <c r="AG1696" s="80"/>
    </row>
    <row r="1697" spans="1:33" x14ac:dyDescent="0.2">
      <c r="A1697" s="2"/>
      <c r="B1697" s="80"/>
      <c r="C1697" s="80"/>
      <c r="D1697" s="80"/>
      <c r="E1697" s="80"/>
      <c r="F1697" s="80"/>
      <c r="G1697" s="80"/>
      <c r="H1697" s="80"/>
      <c r="I1697" s="80"/>
      <c r="J1697" s="80"/>
      <c r="K1697" s="80"/>
      <c r="L1697" s="2"/>
      <c r="M1697" s="2"/>
      <c r="N1697" s="2"/>
      <c r="O1697" s="2"/>
      <c r="P1697" s="2"/>
      <c r="Q1697" s="2"/>
      <c r="R1697" s="80"/>
      <c r="S1697" s="80"/>
      <c r="T1697" s="80"/>
      <c r="U1697" s="80"/>
      <c r="V1697" s="80"/>
      <c r="W1697" s="80"/>
      <c r="X1697" s="80"/>
      <c r="Y1697" s="80"/>
      <c r="Z1697" s="80"/>
      <c r="AA1697" s="80"/>
      <c r="AB1697" s="80"/>
      <c r="AC1697" s="80"/>
      <c r="AD1697" s="80"/>
      <c r="AE1697" s="80"/>
      <c r="AF1697" s="80"/>
      <c r="AG1697" s="80"/>
    </row>
    <row r="1698" spans="1:33" x14ac:dyDescent="0.2">
      <c r="A1698" s="2"/>
      <c r="B1698" s="80"/>
      <c r="C1698" s="80"/>
      <c r="D1698" s="80"/>
      <c r="E1698" s="80"/>
      <c r="F1698" s="80"/>
      <c r="G1698" s="80"/>
      <c r="H1698" s="80"/>
      <c r="I1698" s="80"/>
      <c r="J1698" s="80"/>
      <c r="K1698" s="80"/>
      <c r="L1698" s="2"/>
      <c r="M1698" s="2"/>
      <c r="N1698" s="2"/>
      <c r="O1698" s="2"/>
      <c r="P1698" s="2"/>
      <c r="Q1698" s="2"/>
      <c r="R1698" s="80"/>
      <c r="S1698" s="80"/>
      <c r="T1698" s="80"/>
      <c r="U1698" s="80"/>
      <c r="V1698" s="80"/>
      <c r="W1698" s="80"/>
      <c r="X1698" s="80"/>
      <c r="Y1698" s="80"/>
      <c r="Z1698" s="80"/>
      <c r="AA1698" s="80"/>
      <c r="AB1698" s="80"/>
      <c r="AC1698" s="80"/>
      <c r="AD1698" s="80"/>
      <c r="AE1698" s="80"/>
      <c r="AF1698" s="80"/>
      <c r="AG1698" s="80"/>
    </row>
    <row r="1699" spans="1:33" x14ac:dyDescent="0.2">
      <c r="A1699" s="2"/>
      <c r="B1699" s="80"/>
      <c r="C1699" s="80"/>
      <c r="D1699" s="80"/>
      <c r="E1699" s="80"/>
      <c r="F1699" s="80"/>
      <c r="G1699" s="80"/>
      <c r="H1699" s="80"/>
      <c r="I1699" s="80"/>
      <c r="J1699" s="80"/>
      <c r="K1699" s="80"/>
      <c r="L1699" s="2"/>
      <c r="M1699" s="2"/>
      <c r="N1699" s="2"/>
      <c r="O1699" s="2"/>
      <c r="P1699" s="2"/>
      <c r="Q1699" s="2"/>
      <c r="R1699" s="80"/>
      <c r="S1699" s="80"/>
      <c r="T1699" s="80"/>
      <c r="U1699" s="80"/>
      <c r="V1699" s="80"/>
      <c r="W1699" s="80"/>
      <c r="X1699" s="80"/>
      <c r="Y1699" s="80"/>
      <c r="Z1699" s="80"/>
      <c r="AA1699" s="80"/>
      <c r="AB1699" s="80"/>
      <c r="AC1699" s="80"/>
      <c r="AD1699" s="80"/>
      <c r="AE1699" s="80"/>
      <c r="AF1699" s="80"/>
      <c r="AG1699" s="80"/>
    </row>
    <row r="1700" spans="1:33" x14ac:dyDescent="0.2">
      <c r="A1700" s="2"/>
      <c r="B1700" s="80"/>
      <c r="C1700" s="80"/>
      <c r="D1700" s="80"/>
      <c r="E1700" s="80"/>
      <c r="F1700" s="80"/>
      <c r="G1700" s="80"/>
      <c r="H1700" s="80"/>
      <c r="I1700" s="80"/>
      <c r="J1700" s="80"/>
      <c r="K1700" s="80"/>
      <c r="L1700" s="2"/>
      <c r="M1700" s="2"/>
      <c r="N1700" s="2"/>
      <c r="O1700" s="2"/>
      <c r="P1700" s="2"/>
      <c r="Q1700" s="2"/>
      <c r="R1700" s="80"/>
      <c r="S1700" s="80"/>
      <c r="T1700" s="80"/>
      <c r="U1700" s="80"/>
      <c r="V1700" s="80"/>
      <c r="W1700" s="80"/>
      <c r="X1700" s="80"/>
      <c r="Y1700" s="80"/>
      <c r="Z1700" s="80"/>
      <c r="AA1700" s="80"/>
      <c r="AB1700" s="80"/>
      <c r="AC1700" s="80"/>
      <c r="AD1700" s="80"/>
      <c r="AE1700" s="80"/>
      <c r="AF1700" s="80"/>
      <c r="AG1700" s="80"/>
    </row>
    <row r="1701" spans="1:33" x14ac:dyDescent="0.2">
      <c r="A1701" s="2"/>
      <c r="B1701" s="80"/>
      <c r="C1701" s="80"/>
      <c r="D1701" s="80"/>
      <c r="E1701" s="80"/>
      <c r="F1701" s="80"/>
      <c r="G1701" s="80"/>
      <c r="H1701" s="80"/>
      <c r="I1701" s="80"/>
      <c r="J1701" s="80"/>
      <c r="K1701" s="80"/>
      <c r="L1701" s="2"/>
      <c r="M1701" s="2"/>
      <c r="N1701" s="2"/>
      <c r="O1701" s="2"/>
      <c r="P1701" s="2"/>
      <c r="Q1701" s="2"/>
      <c r="R1701" s="80"/>
      <c r="S1701" s="80"/>
      <c r="T1701" s="80"/>
      <c r="U1701" s="80"/>
      <c r="V1701" s="80"/>
      <c r="W1701" s="80"/>
      <c r="X1701" s="80"/>
      <c r="Y1701" s="80"/>
      <c r="Z1701" s="80"/>
      <c r="AA1701" s="80"/>
      <c r="AB1701" s="80"/>
      <c r="AC1701" s="80"/>
      <c r="AD1701" s="80"/>
      <c r="AE1701" s="80"/>
      <c r="AF1701" s="80"/>
      <c r="AG1701" s="80"/>
    </row>
    <row r="1702" spans="1:33" x14ac:dyDescent="0.2">
      <c r="A1702" s="2"/>
      <c r="B1702" s="80"/>
      <c r="C1702" s="80"/>
      <c r="D1702" s="80"/>
      <c r="E1702" s="80"/>
      <c r="F1702" s="80"/>
      <c r="G1702" s="80"/>
      <c r="H1702" s="80"/>
      <c r="I1702" s="80"/>
      <c r="J1702" s="80"/>
      <c r="K1702" s="80"/>
      <c r="L1702" s="2"/>
      <c r="M1702" s="2"/>
      <c r="N1702" s="2"/>
      <c r="O1702" s="2"/>
      <c r="P1702" s="2"/>
      <c r="Q1702" s="2"/>
      <c r="R1702" s="80"/>
      <c r="S1702" s="80"/>
      <c r="T1702" s="80"/>
      <c r="U1702" s="80"/>
      <c r="V1702" s="80"/>
      <c r="W1702" s="80"/>
      <c r="X1702" s="80"/>
      <c r="Y1702" s="80"/>
      <c r="Z1702" s="80"/>
      <c r="AA1702" s="80"/>
      <c r="AB1702" s="80"/>
      <c r="AC1702" s="80"/>
      <c r="AD1702" s="80"/>
      <c r="AE1702" s="80"/>
      <c r="AF1702" s="80"/>
      <c r="AG1702" s="80"/>
    </row>
    <row r="1703" spans="1:33" x14ac:dyDescent="0.2">
      <c r="A1703" s="2"/>
      <c r="B1703" s="80"/>
      <c r="C1703" s="80"/>
      <c r="D1703" s="80"/>
      <c r="E1703" s="80"/>
      <c r="F1703" s="80"/>
      <c r="G1703" s="80"/>
      <c r="H1703" s="80"/>
      <c r="I1703" s="80"/>
      <c r="J1703" s="80"/>
      <c r="K1703" s="80"/>
      <c r="L1703" s="2"/>
      <c r="M1703" s="2"/>
      <c r="N1703" s="2"/>
      <c r="O1703" s="2"/>
      <c r="P1703" s="2"/>
      <c r="Q1703" s="2"/>
      <c r="R1703" s="80"/>
      <c r="S1703" s="80"/>
      <c r="T1703" s="80"/>
      <c r="U1703" s="80"/>
      <c r="V1703" s="80"/>
      <c r="W1703" s="80"/>
      <c r="X1703" s="80"/>
      <c r="Y1703" s="80"/>
      <c r="Z1703" s="80"/>
      <c r="AA1703" s="80"/>
      <c r="AB1703" s="80"/>
      <c r="AC1703" s="80"/>
      <c r="AD1703" s="80"/>
      <c r="AE1703" s="80"/>
      <c r="AF1703" s="80"/>
      <c r="AG1703" s="80"/>
    </row>
    <row r="1704" spans="1:33" x14ac:dyDescent="0.2">
      <c r="A1704" s="2"/>
      <c r="B1704" s="80"/>
      <c r="C1704" s="80"/>
      <c r="D1704" s="80"/>
      <c r="E1704" s="80"/>
      <c r="F1704" s="80"/>
      <c r="G1704" s="80"/>
      <c r="H1704" s="80"/>
      <c r="I1704" s="80"/>
      <c r="J1704" s="80"/>
      <c r="K1704" s="80"/>
      <c r="L1704" s="2"/>
      <c r="M1704" s="2"/>
      <c r="N1704" s="2"/>
      <c r="O1704" s="2"/>
      <c r="P1704" s="2"/>
      <c r="Q1704" s="2"/>
      <c r="R1704" s="80"/>
      <c r="S1704" s="80"/>
      <c r="T1704" s="80"/>
      <c r="U1704" s="80"/>
      <c r="V1704" s="80"/>
      <c r="W1704" s="80"/>
      <c r="X1704" s="80"/>
      <c r="Y1704" s="80"/>
      <c r="Z1704" s="80"/>
      <c r="AA1704" s="80"/>
      <c r="AB1704" s="80"/>
      <c r="AC1704" s="80"/>
      <c r="AD1704" s="80"/>
      <c r="AE1704" s="80"/>
      <c r="AF1704" s="80"/>
      <c r="AG1704" s="80"/>
    </row>
    <row r="1705" spans="1:33" x14ac:dyDescent="0.2">
      <c r="A1705" s="2"/>
      <c r="B1705" s="80"/>
      <c r="C1705" s="80"/>
      <c r="D1705" s="80"/>
      <c r="E1705" s="80"/>
      <c r="F1705" s="80"/>
      <c r="G1705" s="80"/>
      <c r="H1705" s="80"/>
      <c r="I1705" s="80"/>
      <c r="J1705" s="80"/>
      <c r="K1705" s="80"/>
      <c r="L1705" s="2"/>
      <c r="M1705" s="2"/>
      <c r="N1705" s="2"/>
      <c r="O1705" s="2"/>
      <c r="P1705" s="2"/>
      <c r="Q1705" s="2"/>
      <c r="R1705" s="80"/>
      <c r="S1705" s="80"/>
      <c r="T1705" s="80"/>
      <c r="U1705" s="80"/>
      <c r="V1705" s="80"/>
      <c r="W1705" s="80"/>
      <c r="X1705" s="80"/>
      <c r="Y1705" s="80"/>
      <c r="Z1705" s="80"/>
      <c r="AA1705" s="80"/>
      <c r="AB1705" s="80"/>
      <c r="AC1705" s="80"/>
      <c r="AD1705" s="80"/>
      <c r="AE1705" s="80"/>
      <c r="AF1705" s="80"/>
      <c r="AG1705" s="80"/>
    </row>
    <row r="1706" spans="1:33" x14ac:dyDescent="0.2">
      <c r="A1706" s="2"/>
      <c r="B1706" s="80"/>
      <c r="C1706" s="80"/>
      <c r="D1706" s="80"/>
      <c r="E1706" s="80"/>
      <c r="F1706" s="80"/>
      <c r="G1706" s="80"/>
      <c r="H1706" s="80"/>
      <c r="I1706" s="80"/>
      <c r="J1706" s="80"/>
      <c r="K1706" s="80"/>
      <c r="L1706" s="2"/>
      <c r="M1706" s="2"/>
      <c r="N1706" s="2"/>
      <c r="O1706" s="2"/>
      <c r="P1706" s="2"/>
      <c r="Q1706" s="2"/>
      <c r="R1706" s="80"/>
      <c r="S1706" s="80"/>
      <c r="T1706" s="80"/>
      <c r="U1706" s="80"/>
      <c r="V1706" s="80"/>
      <c r="W1706" s="80"/>
      <c r="X1706" s="80"/>
      <c r="Y1706" s="80"/>
      <c r="Z1706" s="80"/>
      <c r="AA1706" s="80"/>
      <c r="AB1706" s="80"/>
      <c r="AC1706" s="80"/>
      <c r="AD1706" s="80"/>
      <c r="AE1706" s="80"/>
      <c r="AF1706" s="80"/>
      <c r="AG1706" s="80"/>
    </row>
    <row r="1707" spans="1:33" x14ac:dyDescent="0.2">
      <c r="A1707" s="2"/>
      <c r="B1707" s="80"/>
      <c r="C1707" s="80"/>
      <c r="D1707" s="80"/>
      <c r="E1707" s="80"/>
      <c r="F1707" s="80"/>
      <c r="G1707" s="80"/>
      <c r="H1707" s="80"/>
      <c r="I1707" s="80"/>
      <c r="J1707" s="80"/>
      <c r="K1707" s="80"/>
      <c r="L1707" s="2"/>
      <c r="M1707" s="2"/>
      <c r="N1707" s="2"/>
      <c r="O1707" s="2"/>
      <c r="P1707" s="2"/>
      <c r="Q1707" s="2"/>
      <c r="R1707" s="80"/>
      <c r="S1707" s="80"/>
      <c r="T1707" s="80"/>
      <c r="U1707" s="80"/>
      <c r="V1707" s="80"/>
      <c r="W1707" s="80"/>
      <c r="X1707" s="80"/>
      <c r="Y1707" s="80"/>
      <c r="Z1707" s="80"/>
      <c r="AA1707" s="80"/>
      <c r="AB1707" s="80"/>
      <c r="AC1707" s="80"/>
      <c r="AD1707" s="80"/>
      <c r="AE1707" s="80"/>
      <c r="AF1707" s="80"/>
      <c r="AG1707" s="80"/>
    </row>
    <row r="1708" spans="1:33" x14ac:dyDescent="0.2">
      <c r="A1708" s="2"/>
      <c r="B1708" s="80"/>
      <c r="C1708" s="80"/>
      <c r="D1708" s="80"/>
      <c r="E1708" s="80"/>
      <c r="F1708" s="80"/>
      <c r="G1708" s="80"/>
      <c r="H1708" s="80"/>
      <c r="I1708" s="80"/>
      <c r="J1708" s="80"/>
      <c r="K1708" s="80"/>
      <c r="L1708" s="2"/>
      <c r="M1708" s="2"/>
      <c r="N1708" s="2"/>
      <c r="O1708" s="2"/>
      <c r="P1708" s="2"/>
      <c r="Q1708" s="2"/>
      <c r="R1708" s="80"/>
      <c r="S1708" s="80"/>
      <c r="T1708" s="80"/>
      <c r="U1708" s="80"/>
      <c r="V1708" s="80"/>
      <c r="W1708" s="80"/>
      <c r="X1708" s="80"/>
      <c r="Y1708" s="80"/>
      <c r="Z1708" s="80"/>
      <c r="AA1708" s="80"/>
      <c r="AB1708" s="80"/>
      <c r="AC1708" s="80"/>
      <c r="AD1708" s="80"/>
      <c r="AE1708" s="80"/>
      <c r="AF1708" s="80"/>
      <c r="AG1708" s="80"/>
    </row>
    <row r="1709" spans="1:33" x14ac:dyDescent="0.2">
      <c r="A1709" s="2"/>
      <c r="B1709" s="80"/>
      <c r="C1709" s="80"/>
      <c r="D1709" s="80"/>
      <c r="E1709" s="80"/>
      <c r="F1709" s="80"/>
      <c r="G1709" s="80"/>
      <c r="H1709" s="80"/>
      <c r="I1709" s="80"/>
      <c r="J1709" s="80"/>
      <c r="K1709" s="80"/>
      <c r="L1709" s="2"/>
      <c r="M1709" s="2"/>
      <c r="N1709" s="2"/>
      <c r="O1709" s="2"/>
      <c r="P1709" s="2"/>
      <c r="Q1709" s="2"/>
      <c r="R1709" s="80"/>
      <c r="S1709" s="80"/>
      <c r="T1709" s="80"/>
      <c r="U1709" s="80"/>
      <c r="V1709" s="80"/>
      <c r="W1709" s="80"/>
      <c r="X1709" s="80"/>
      <c r="Y1709" s="80"/>
      <c r="Z1709" s="80"/>
      <c r="AA1709" s="80"/>
      <c r="AB1709" s="80"/>
      <c r="AC1709" s="80"/>
      <c r="AD1709" s="80"/>
      <c r="AE1709" s="80"/>
      <c r="AF1709" s="80"/>
      <c r="AG1709" s="80"/>
    </row>
    <row r="1710" spans="1:33" x14ac:dyDescent="0.2">
      <c r="A1710" s="2"/>
      <c r="B1710" s="80"/>
      <c r="C1710" s="80"/>
      <c r="D1710" s="80"/>
      <c r="E1710" s="80"/>
      <c r="F1710" s="80"/>
      <c r="G1710" s="80"/>
      <c r="H1710" s="80"/>
      <c r="I1710" s="80"/>
      <c r="J1710" s="80"/>
      <c r="K1710" s="80"/>
      <c r="L1710" s="2"/>
      <c r="M1710" s="2"/>
      <c r="N1710" s="2"/>
      <c r="O1710" s="2"/>
      <c r="P1710" s="2"/>
      <c r="Q1710" s="2"/>
      <c r="R1710" s="80"/>
      <c r="S1710" s="80"/>
      <c r="T1710" s="80"/>
      <c r="U1710" s="80"/>
      <c r="V1710" s="80"/>
      <c r="W1710" s="80"/>
      <c r="X1710" s="80"/>
      <c r="Y1710" s="80"/>
      <c r="Z1710" s="80"/>
      <c r="AA1710" s="80"/>
      <c r="AB1710" s="80"/>
      <c r="AC1710" s="80"/>
      <c r="AD1710" s="80"/>
      <c r="AE1710" s="80"/>
      <c r="AF1710" s="80"/>
      <c r="AG1710" s="80"/>
    </row>
    <row r="1711" spans="1:33" x14ac:dyDescent="0.2">
      <c r="A1711" s="2"/>
      <c r="B1711" s="80"/>
      <c r="C1711" s="80"/>
      <c r="D1711" s="80"/>
      <c r="E1711" s="80"/>
      <c r="F1711" s="80"/>
      <c r="G1711" s="80"/>
      <c r="H1711" s="80"/>
      <c r="I1711" s="80"/>
      <c r="J1711" s="80"/>
      <c r="K1711" s="80"/>
      <c r="L1711" s="2"/>
      <c r="M1711" s="2"/>
      <c r="N1711" s="2"/>
      <c r="O1711" s="2"/>
      <c r="P1711" s="2"/>
      <c r="Q1711" s="2"/>
      <c r="R1711" s="80"/>
      <c r="S1711" s="80"/>
      <c r="T1711" s="80"/>
      <c r="U1711" s="80"/>
      <c r="V1711" s="80"/>
      <c r="W1711" s="80"/>
      <c r="X1711" s="80"/>
      <c r="Y1711" s="80"/>
      <c r="Z1711" s="80"/>
      <c r="AA1711" s="80"/>
      <c r="AB1711" s="80"/>
      <c r="AC1711" s="80"/>
      <c r="AD1711" s="80"/>
      <c r="AE1711" s="80"/>
      <c r="AF1711" s="80"/>
      <c r="AG1711" s="80"/>
    </row>
    <row r="1712" spans="1:33" x14ac:dyDescent="0.2">
      <c r="A1712" s="2"/>
      <c r="B1712" s="80"/>
      <c r="C1712" s="80"/>
      <c r="D1712" s="80"/>
      <c r="E1712" s="80"/>
      <c r="F1712" s="80"/>
      <c r="G1712" s="80"/>
      <c r="H1712" s="80"/>
      <c r="I1712" s="80"/>
      <c r="J1712" s="80"/>
      <c r="K1712" s="80"/>
      <c r="L1712" s="2"/>
      <c r="M1712" s="2"/>
      <c r="N1712" s="2"/>
      <c r="O1712" s="2"/>
      <c r="P1712" s="2"/>
      <c r="Q1712" s="2"/>
      <c r="R1712" s="80"/>
      <c r="S1712" s="80"/>
      <c r="T1712" s="80"/>
      <c r="U1712" s="80"/>
      <c r="V1712" s="80"/>
      <c r="W1712" s="80"/>
      <c r="X1712" s="80"/>
      <c r="Y1712" s="80"/>
      <c r="Z1712" s="80"/>
      <c r="AA1712" s="80"/>
      <c r="AB1712" s="80"/>
      <c r="AC1712" s="80"/>
      <c r="AD1712" s="80"/>
      <c r="AE1712" s="80"/>
      <c r="AF1712" s="80"/>
      <c r="AG1712" s="80"/>
    </row>
    <row r="1713" spans="1:33" x14ac:dyDescent="0.2">
      <c r="A1713" s="2"/>
      <c r="B1713" s="80"/>
      <c r="C1713" s="80"/>
      <c r="D1713" s="80"/>
      <c r="E1713" s="80"/>
      <c r="F1713" s="80"/>
      <c r="G1713" s="80"/>
      <c r="H1713" s="80"/>
      <c r="I1713" s="80"/>
      <c r="J1713" s="80"/>
      <c r="K1713" s="80"/>
      <c r="L1713" s="2"/>
      <c r="M1713" s="2"/>
      <c r="N1713" s="2"/>
      <c r="O1713" s="2"/>
      <c r="P1713" s="2"/>
      <c r="Q1713" s="2"/>
      <c r="R1713" s="80"/>
      <c r="S1713" s="80"/>
      <c r="T1713" s="80"/>
      <c r="U1713" s="80"/>
      <c r="V1713" s="80"/>
      <c r="W1713" s="80"/>
      <c r="X1713" s="80"/>
      <c r="Y1713" s="80"/>
      <c r="Z1713" s="80"/>
      <c r="AA1713" s="80"/>
      <c r="AB1713" s="80"/>
      <c r="AC1713" s="80"/>
      <c r="AD1713" s="80"/>
      <c r="AE1713" s="80"/>
      <c r="AF1713" s="80"/>
      <c r="AG1713" s="80"/>
    </row>
    <row r="1714" spans="1:33" x14ac:dyDescent="0.2">
      <c r="A1714" s="2"/>
      <c r="B1714" s="80"/>
      <c r="C1714" s="80"/>
      <c r="D1714" s="80"/>
      <c r="E1714" s="80"/>
      <c r="F1714" s="80"/>
      <c r="G1714" s="80"/>
      <c r="H1714" s="80"/>
      <c r="I1714" s="80"/>
      <c r="J1714" s="80"/>
      <c r="K1714" s="80"/>
      <c r="L1714" s="2"/>
      <c r="M1714" s="2"/>
      <c r="N1714" s="2"/>
      <c r="O1714" s="2"/>
      <c r="P1714" s="2"/>
      <c r="Q1714" s="2"/>
      <c r="R1714" s="80"/>
      <c r="S1714" s="80"/>
      <c r="T1714" s="80"/>
      <c r="U1714" s="80"/>
      <c r="V1714" s="80"/>
      <c r="W1714" s="80"/>
      <c r="X1714" s="80"/>
      <c r="Y1714" s="80"/>
      <c r="Z1714" s="80"/>
      <c r="AA1714" s="80"/>
      <c r="AB1714" s="80"/>
      <c r="AC1714" s="80"/>
      <c r="AD1714" s="80"/>
      <c r="AE1714" s="80"/>
      <c r="AF1714" s="80"/>
      <c r="AG1714" s="80"/>
    </row>
    <row r="1715" spans="1:33" x14ac:dyDescent="0.2">
      <c r="A1715" s="2"/>
      <c r="B1715" s="80"/>
      <c r="C1715" s="80"/>
      <c r="D1715" s="80"/>
      <c r="E1715" s="80"/>
      <c r="F1715" s="80"/>
      <c r="G1715" s="80"/>
      <c r="H1715" s="80"/>
      <c r="I1715" s="80"/>
      <c r="J1715" s="80"/>
      <c r="K1715" s="80"/>
      <c r="L1715" s="2"/>
      <c r="M1715" s="2"/>
      <c r="N1715" s="2"/>
      <c r="O1715" s="2"/>
      <c r="P1715" s="2"/>
      <c r="Q1715" s="2"/>
      <c r="R1715" s="80"/>
      <c r="S1715" s="80"/>
      <c r="T1715" s="80"/>
      <c r="U1715" s="80"/>
      <c r="V1715" s="80"/>
      <c r="W1715" s="80"/>
      <c r="X1715" s="80"/>
      <c r="Y1715" s="80"/>
      <c r="Z1715" s="80"/>
      <c r="AA1715" s="80"/>
      <c r="AB1715" s="80"/>
      <c r="AC1715" s="80"/>
      <c r="AD1715" s="80"/>
      <c r="AE1715" s="80"/>
      <c r="AF1715" s="80"/>
      <c r="AG1715" s="80"/>
    </row>
    <row r="1716" spans="1:33" x14ac:dyDescent="0.2">
      <c r="A1716" s="2"/>
      <c r="B1716" s="80"/>
      <c r="C1716" s="80"/>
      <c r="D1716" s="80"/>
      <c r="E1716" s="80"/>
      <c r="F1716" s="80"/>
      <c r="G1716" s="80"/>
      <c r="H1716" s="80"/>
      <c r="I1716" s="80"/>
      <c r="J1716" s="80"/>
      <c r="K1716" s="80"/>
      <c r="L1716" s="2"/>
      <c r="M1716" s="2"/>
      <c r="N1716" s="2"/>
      <c r="O1716" s="2"/>
      <c r="P1716" s="2"/>
      <c r="Q1716" s="2"/>
      <c r="R1716" s="80"/>
      <c r="S1716" s="80"/>
      <c r="T1716" s="80"/>
      <c r="U1716" s="80"/>
      <c r="V1716" s="80"/>
      <c r="W1716" s="80"/>
      <c r="X1716" s="80"/>
      <c r="Y1716" s="80"/>
      <c r="Z1716" s="80"/>
      <c r="AA1716" s="80"/>
      <c r="AB1716" s="80"/>
      <c r="AC1716" s="80"/>
      <c r="AD1716" s="80"/>
      <c r="AE1716" s="80"/>
      <c r="AF1716" s="80"/>
      <c r="AG1716" s="80"/>
    </row>
    <row r="1717" spans="1:33" x14ac:dyDescent="0.2">
      <c r="A1717" s="2"/>
      <c r="B1717" s="80"/>
      <c r="C1717" s="80"/>
      <c r="D1717" s="80"/>
      <c r="E1717" s="80"/>
      <c r="F1717" s="80"/>
      <c r="G1717" s="80"/>
      <c r="H1717" s="80"/>
      <c r="I1717" s="80"/>
      <c r="J1717" s="80"/>
      <c r="K1717" s="80"/>
      <c r="L1717" s="2"/>
      <c r="M1717" s="2"/>
      <c r="N1717" s="2"/>
      <c r="O1717" s="2"/>
      <c r="P1717" s="2"/>
      <c r="Q1717" s="2"/>
      <c r="R1717" s="80"/>
      <c r="S1717" s="80"/>
      <c r="T1717" s="80"/>
      <c r="U1717" s="80"/>
      <c r="V1717" s="80"/>
      <c r="W1717" s="80"/>
      <c r="X1717" s="80"/>
      <c r="Y1717" s="80"/>
      <c r="Z1717" s="80"/>
      <c r="AA1717" s="80"/>
      <c r="AB1717" s="80"/>
      <c r="AC1717" s="80"/>
      <c r="AD1717" s="80"/>
      <c r="AE1717" s="80"/>
      <c r="AF1717" s="80"/>
      <c r="AG1717" s="80"/>
    </row>
    <row r="1718" spans="1:33" x14ac:dyDescent="0.2">
      <c r="A1718" s="2"/>
      <c r="B1718" s="80"/>
      <c r="C1718" s="80"/>
      <c r="D1718" s="80"/>
      <c r="E1718" s="80"/>
      <c r="F1718" s="80"/>
      <c r="G1718" s="80"/>
      <c r="H1718" s="80"/>
      <c r="I1718" s="80"/>
      <c r="J1718" s="80"/>
      <c r="K1718" s="80"/>
      <c r="L1718" s="2"/>
      <c r="M1718" s="2"/>
      <c r="N1718" s="2"/>
      <c r="O1718" s="2"/>
      <c r="P1718" s="2"/>
      <c r="Q1718" s="2"/>
      <c r="R1718" s="80"/>
      <c r="S1718" s="80"/>
      <c r="T1718" s="80"/>
      <c r="U1718" s="80"/>
      <c r="V1718" s="80"/>
      <c r="W1718" s="80"/>
      <c r="X1718" s="80"/>
      <c r="Y1718" s="80"/>
      <c r="Z1718" s="80"/>
      <c r="AA1718" s="80"/>
      <c r="AB1718" s="80"/>
      <c r="AC1718" s="80"/>
      <c r="AD1718" s="80"/>
      <c r="AE1718" s="80"/>
      <c r="AF1718" s="80"/>
      <c r="AG1718" s="80"/>
    </row>
    <row r="1719" spans="1:33" x14ac:dyDescent="0.2">
      <c r="A1719" s="2"/>
      <c r="B1719" s="80"/>
      <c r="C1719" s="80"/>
      <c r="D1719" s="80"/>
      <c r="E1719" s="80"/>
      <c r="F1719" s="80"/>
      <c r="G1719" s="80"/>
      <c r="H1719" s="80"/>
      <c r="I1719" s="80"/>
      <c r="J1719" s="80"/>
      <c r="K1719" s="80"/>
      <c r="L1719" s="2"/>
      <c r="M1719" s="2"/>
      <c r="N1719" s="2"/>
      <c r="O1719" s="2"/>
      <c r="P1719" s="2"/>
      <c r="Q1719" s="2"/>
      <c r="R1719" s="80"/>
      <c r="S1719" s="80"/>
      <c r="T1719" s="80"/>
      <c r="U1719" s="80"/>
      <c r="V1719" s="80"/>
      <c r="W1719" s="80"/>
      <c r="X1719" s="80"/>
      <c r="Y1719" s="80"/>
      <c r="Z1719" s="80"/>
      <c r="AA1719" s="80"/>
      <c r="AB1719" s="80"/>
      <c r="AC1719" s="80"/>
      <c r="AD1719" s="80"/>
      <c r="AE1719" s="80"/>
      <c r="AF1719" s="80"/>
      <c r="AG1719" s="80"/>
    </row>
    <row r="1720" spans="1:33" x14ac:dyDescent="0.2">
      <c r="A1720" s="2"/>
      <c r="B1720" s="80"/>
      <c r="C1720" s="80"/>
      <c r="D1720" s="80"/>
      <c r="E1720" s="80"/>
      <c r="F1720" s="80"/>
      <c r="G1720" s="80"/>
      <c r="H1720" s="80"/>
      <c r="I1720" s="80"/>
      <c r="J1720" s="80"/>
      <c r="K1720" s="80"/>
      <c r="L1720" s="2"/>
      <c r="M1720" s="2"/>
      <c r="N1720" s="2"/>
      <c r="O1720" s="2"/>
      <c r="P1720" s="2"/>
      <c r="Q1720" s="2"/>
      <c r="R1720" s="80"/>
      <c r="S1720" s="80"/>
      <c r="T1720" s="80"/>
      <c r="U1720" s="80"/>
      <c r="V1720" s="80"/>
      <c r="W1720" s="80"/>
      <c r="X1720" s="80"/>
      <c r="Y1720" s="80"/>
      <c r="Z1720" s="80"/>
      <c r="AA1720" s="80"/>
      <c r="AB1720" s="80"/>
      <c r="AC1720" s="80"/>
      <c r="AD1720" s="80"/>
      <c r="AE1720" s="80"/>
      <c r="AF1720" s="80"/>
      <c r="AG1720" s="80"/>
    </row>
    <row r="1721" spans="1:33" x14ac:dyDescent="0.2">
      <c r="A1721" s="2"/>
      <c r="B1721" s="80"/>
      <c r="C1721" s="80"/>
      <c r="D1721" s="80"/>
      <c r="E1721" s="80"/>
      <c r="F1721" s="80"/>
      <c r="G1721" s="80"/>
      <c r="H1721" s="80"/>
      <c r="I1721" s="80"/>
      <c r="J1721" s="80"/>
      <c r="K1721" s="80"/>
      <c r="L1721" s="2"/>
      <c r="M1721" s="2"/>
      <c r="N1721" s="2"/>
      <c r="O1721" s="2"/>
      <c r="P1721" s="2"/>
      <c r="Q1721" s="2"/>
      <c r="R1721" s="80"/>
      <c r="S1721" s="80"/>
      <c r="T1721" s="80"/>
      <c r="U1721" s="80"/>
      <c r="V1721" s="80"/>
      <c r="W1721" s="80"/>
      <c r="X1721" s="80"/>
      <c r="Y1721" s="80"/>
      <c r="Z1721" s="80"/>
      <c r="AA1721" s="80"/>
      <c r="AB1721" s="80"/>
      <c r="AC1721" s="80"/>
      <c r="AD1721" s="80"/>
      <c r="AE1721" s="80"/>
      <c r="AF1721" s="80"/>
      <c r="AG1721" s="80"/>
    </row>
    <row r="1722" spans="1:33" x14ac:dyDescent="0.2">
      <c r="A1722" s="2"/>
      <c r="B1722" s="80"/>
      <c r="C1722" s="80"/>
      <c r="D1722" s="80"/>
      <c r="E1722" s="80"/>
      <c r="F1722" s="80"/>
      <c r="G1722" s="80"/>
      <c r="H1722" s="80"/>
      <c r="I1722" s="80"/>
      <c r="J1722" s="80"/>
      <c r="K1722" s="80"/>
      <c r="L1722" s="2"/>
      <c r="M1722" s="2"/>
      <c r="N1722" s="2"/>
      <c r="O1722" s="2"/>
      <c r="P1722" s="2"/>
      <c r="Q1722" s="2"/>
      <c r="R1722" s="80"/>
      <c r="S1722" s="80"/>
      <c r="T1722" s="80"/>
      <c r="U1722" s="80"/>
      <c r="V1722" s="80"/>
      <c r="W1722" s="80"/>
      <c r="X1722" s="80"/>
      <c r="Y1722" s="80"/>
      <c r="Z1722" s="80"/>
      <c r="AA1722" s="80"/>
      <c r="AB1722" s="80"/>
      <c r="AC1722" s="80"/>
      <c r="AD1722" s="80"/>
      <c r="AE1722" s="80"/>
      <c r="AF1722" s="80"/>
      <c r="AG1722" s="80"/>
    </row>
    <row r="1723" spans="1:33" x14ac:dyDescent="0.2">
      <c r="A1723" s="2"/>
      <c r="B1723" s="80"/>
      <c r="C1723" s="80"/>
      <c r="D1723" s="80"/>
      <c r="E1723" s="80"/>
      <c r="F1723" s="80"/>
      <c r="G1723" s="80"/>
      <c r="H1723" s="80"/>
      <c r="I1723" s="80"/>
      <c r="J1723" s="80"/>
      <c r="K1723" s="80"/>
      <c r="L1723" s="2"/>
      <c r="M1723" s="2"/>
      <c r="N1723" s="2"/>
      <c r="O1723" s="2"/>
      <c r="P1723" s="2"/>
      <c r="Q1723" s="2"/>
      <c r="R1723" s="80"/>
      <c r="S1723" s="80"/>
      <c r="T1723" s="80"/>
      <c r="U1723" s="80"/>
      <c r="V1723" s="80"/>
      <c r="W1723" s="80"/>
      <c r="X1723" s="80"/>
      <c r="Y1723" s="80"/>
      <c r="Z1723" s="80"/>
      <c r="AA1723" s="80"/>
      <c r="AB1723" s="80"/>
      <c r="AC1723" s="80"/>
      <c r="AD1723" s="80"/>
      <c r="AE1723" s="80"/>
      <c r="AF1723" s="80"/>
      <c r="AG1723" s="80"/>
    </row>
    <row r="1724" spans="1:33" x14ac:dyDescent="0.2">
      <c r="A1724" s="2"/>
      <c r="B1724" s="80"/>
      <c r="C1724" s="80"/>
      <c r="D1724" s="80"/>
      <c r="E1724" s="80"/>
      <c r="F1724" s="80"/>
      <c r="G1724" s="80"/>
      <c r="H1724" s="80"/>
      <c r="I1724" s="80"/>
      <c r="J1724" s="80"/>
      <c r="K1724" s="80"/>
      <c r="L1724" s="2"/>
      <c r="M1724" s="2"/>
      <c r="N1724" s="2"/>
      <c r="O1724" s="2"/>
      <c r="P1724" s="2"/>
      <c r="Q1724" s="2"/>
      <c r="R1724" s="80"/>
      <c r="S1724" s="80"/>
      <c r="T1724" s="80"/>
      <c r="U1724" s="80"/>
      <c r="V1724" s="80"/>
      <c r="W1724" s="80"/>
      <c r="X1724" s="80"/>
      <c r="Y1724" s="80"/>
      <c r="Z1724" s="80"/>
      <c r="AA1724" s="80"/>
      <c r="AB1724" s="80"/>
      <c r="AC1724" s="80"/>
      <c r="AD1724" s="80"/>
      <c r="AE1724" s="80"/>
      <c r="AF1724" s="80"/>
      <c r="AG1724" s="80"/>
    </row>
    <row r="1725" spans="1:33" x14ac:dyDescent="0.2">
      <c r="A1725" s="2"/>
      <c r="B1725" s="80"/>
      <c r="C1725" s="80"/>
      <c r="D1725" s="80"/>
      <c r="E1725" s="80"/>
      <c r="F1725" s="80"/>
      <c r="G1725" s="80"/>
      <c r="H1725" s="80"/>
      <c r="I1725" s="80"/>
      <c r="J1725" s="80"/>
      <c r="K1725" s="80"/>
      <c r="L1725" s="2"/>
      <c r="M1725" s="2"/>
      <c r="N1725" s="2"/>
      <c r="O1725" s="2"/>
      <c r="P1725" s="2"/>
      <c r="Q1725" s="2"/>
      <c r="R1725" s="80"/>
      <c r="S1725" s="80"/>
      <c r="T1725" s="80"/>
      <c r="U1725" s="80"/>
      <c r="V1725" s="80"/>
      <c r="W1725" s="80"/>
      <c r="X1725" s="80"/>
      <c r="Y1725" s="80"/>
      <c r="Z1725" s="80"/>
      <c r="AA1725" s="80"/>
      <c r="AB1725" s="80"/>
      <c r="AC1725" s="80"/>
      <c r="AD1725" s="80"/>
      <c r="AE1725" s="80"/>
      <c r="AF1725" s="80"/>
      <c r="AG1725" s="80"/>
    </row>
    <row r="1726" spans="1:33" x14ac:dyDescent="0.2">
      <c r="A1726" s="2"/>
      <c r="B1726" s="80"/>
      <c r="C1726" s="80"/>
      <c r="D1726" s="80"/>
      <c r="E1726" s="80"/>
      <c r="F1726" s="80"/>
      <c r="G1726" s="80"/>
      <c r="H1726" s="80"/>
      <c r="I1726" s="80"/>
      <c r="J1726" s="80"/>
      <c r="K1726" s="80"/>
      <c r="L1726" s="2"/>
      <c r="M1726" s="2"/>
      <c r="N1726" s="2"/>
      <c r="O1726" s="2"/>
      <c r="P1726" s="2"/>
      <c r="Q1726" s="2"/>
      <c r="R1726" s="80"/>
      <c r="S1726" s="80"/>
      <c r="T1726" s="80"/>
      <c r="U1726" s="80"/>
      <c r="V1726" s="80"/>
      <c r="W1726" s="80"/>
      <c r="X1726" s="80"/>
      <c r="Y1726" s="80"/>
      <c r="Z1726" s="80"/>
      <c r="AA1726" s="80"/>
      <c r="AB1726" s="80"/>
      <c r="AC1726" s="80"/>
      <c r="AD1726" s="80"/>
      <c r="AE1726" s="80"/>
      <c r="AF1726" s="80"/>
      <c r="AG1726" s="80"/>
    </row>
    <row r="1727" spans="1:33" x14ac:dyDescent="0.2">
      <c r="A1727" s="2"/>
      <c r="B1727" s="80"/>
      <c r="C1727" s="80"/>
      <c r="D1727" s="80"/>
      <c r="E1727" s="80"/>
      <c r="F1727" s="80"/>
      <c r="G1727" s="80"/>
      <c r="H1727" s="80"/>
      <c r="I1727" s="80"/>
      <c r="J1727" s="80"/>
      <c r="K1727" s="80"/>
      <c r="L1727" s="2"/>
      <c r="M1727" s="2"/>
      <c r="N1727" s="2"/>
      <c r="O1727" s="2"/>
      <c r="P1727" s="2"/>
      <c r="Q1727" s="2"/>
      <c r="R1727" s="80"/>
      <c r="S1727" s="80"/>
      <c r="T1727" s="80"/>
      <c r="U1727" s="80"/>
      <c r="V1727" s="80"/>
      <c r="W1727" s="80"/>
      <c r="X1727" s="80"/>
      <c r="Y1727" s="80"/>
      <c r="Z1727" s="80"/>
      <c r="AA1727" s="80"/>
      <c r="AB1727" s="80"/>
      <c r="AC1727" s="80"/>
      <c r="AD1727" s="80"/>
      <c r="AE1727" s="80"/>
      <c r="AF1727" s="80"/>
      <c r="AG1727" s="80"/>
    </row>
    <row r="1728" spans="1:33" x14ac:dyDescent="0.2">
      <c r="A1728" s="2"/>
      <c r="B1728" s="80"/>
      <c r="C1728" s="80"/>
      <c r="D1728" s="80"/>
      <c r="E1728" s="80"/>
      <c r="F1728" s="80"/>
      <c r="G1728" s="80"/>
      <c r="H1728" s="80"/>
      <c r="I1728" s="80"/>
      <c r="J1728" s="80"/>
      <c r="K1728" s="80"/>
      <c r="L1728" s="2"/>
      <c r="M1728" s="2"/>
      <c r="N1728" s="2"/>
      <c r="O1728" s="2"/>
      <c r="P1728" s="2"/>
      <c r="Q1728" s="2"/>
      <c r="R1728" s="80"/>
      <c r="S1728" s="80"/>
      <c r="T1728" s="80"/>
      <c r="U1728" s="80"/>
      <c r="V1728" s="80"/>
      <c r="W1728" s="80"/>
      <c r="X1728" s="80"/>
      <c r="Y1728" s="80"/>
      <c r="Z1728" s="80"/>
      <c r="AA1728" s="80"/>
      <c r="AB1728" s="80"/>
      <c r="AC1728" s="80"/>
      <c r="AD1728" s="80"/>
      <c r="AE1728" s="80"/>
      <c r="AF1728" s="80"/>
      <c r="AG1728" s="80"/>
    </row>
    <row r="1729" spans="1:33" x14ac:dyDescent="0.2">
      <c r="A1729" s="2"/>
      <c r="B1729" s="80"/>
      <c r="C1729" s="80"/>
      <c r="D1729" s="80"/>
      <c r="E1729" s="80"/>
      <c r="F1729" s="80"/>
      <c r="G1729" s="80"/>
      <c r="H1729" s="80"/>
      <c r="I1729" s="80"/>
      <c r="J1729" s="80"/>
      <c r="K1729" s="80"/>
      <c r="L1729" s="2"/>
      <c r="M1729" s="2"/>
      <c r="N1729" s="2"/>
      <c r="O1729" s="2"/>
      <c r="P1729" s="2"/>
      <c r="Q1729" s="2"/>
      <c r="R1729" s="80"/>
      <c r="S1729" s="80"/>
      <c r="T1729" s="80"/>
      <c r="U1729" s="80"/>
      <c r="V1729" s="80"/>
      <c r="W1729" s="80"/>
      <c r="X1729" s="80"/>
      <c r="Y1729" s="80"/>
      <c r="Z1729" s="80"/>
      <c r="AA1729" s="80"/>
      <c r="AB1729" s="80"/>
      <c r="AC1729" s="80"/>
      <c r="AD1729" s="80"/>
      <c r="AE1729" s="80"/>
      <c r="AF1729" s="80"/>
      <c r="AG1729" s="80"/>
    </row>
    <row r="1730" spans="1:33" x14ac:dyDescent="0.2">
      <c r="A1730" s="2"/>
      <c r="B1730" s="80"/>
      <c r="C1730" s="80"/>
      <c r="D1730" s="80"/>
      <c r="E1730" s="80"/>
      <c r="F1730" s="80"/>
      <c r="G1730" s="80"/>
      <c r="H1730" s="80"/>
      <c r="I1730" s="80"/>
      <c r="J1730" s="80"/>
      <c r="K1730" s="80"/>
      <c r="L1730" s="2"/>
      <c r="M1730" s="2"/>
      <c r="N1730" s="2"/>
      <c r="O1730" s="2"/>
      <c r="P1730" s="2"/>
      <c r="Q1730" s="2"/>
      <c r="R1730" s="80"/>
      <c r="S1730" s="80"/>
      <c r="T1730" s="80"/>
      <c r="U1730" s="80"/>
      <c r="V1730" s="80"/>
      <c r="W1730" s="80"/>
      <c r="X1730" s="80"/>
      <c r="Y1730" s="80"/>
      <c r="Z1730" s="80"/>
      <c r="AA1730" s="80"/>
      <c r="AB1730" s="80"/>
      <c r="AC1730" s="80"/>
      <c r="AD1730" s="80"/>
      <c r="AE1730" s="80"/>
      <c r="AF1730" s="80"/>
      <c r="AG1730" s="80"/>
    </row>
    <row r="1731" spans="1:33" x14ac:dyDescent="0.2">
      <c r="A1731" s="2"/>
      <c r="B1731" s="80"/>
      <c r="C1731" s="80"/>
      <c r="D1731" s="80"/>
      <c r="E1731" s="80"/>
      <c r="F1731" s="80"/>
      <c r="G1731" s="80"/>
      <c r="H1731" s="80"/>
      <c r="I1731" s="80"/>
      <c r="J1731" s="80"/>
      <c r="K1731" s="80"/>
      <c r="L1731" s="2"/>
      <c r="M1731" s="2"/>
      <c r="N1731" s="2"/>
      <c r="O1731" s="2"/>
      <c r="P1731" s="2"/>
      <c r="Q1731" s="2"/>
      <c r="R1731" s="80"/>
      <c r="S1731" s="80"/>
      <c r="T1731" s="80"/>
      <c r="U1731" s="80"/>
      <c r="V1731" s="80"/>
      <c r="W1731" s="80"/>
      <c r="X1731" s="80"/>
      <c r="Y1731" s="80"/>
      <c r="Z1731" s="80"/>
      <c r="AA1731" s="80"/>
      <c r="AB1731" s="80"/>
      <c r="AC1731" s="80"/>
      <c r="AD1731" s="80"/>
      <c r="AE1731" s="80"/>
      <c r="AF1731" s="80"/>
      <c r="AG1731" s="80"/>
    </row>
    <row r="1732" spans="1:33" x14ac:dyDescent="0.2">
      <c r="A1732" s="2"/>
      <c r="B1732" s="80"/>
      <c r="C1732" s="80"/>
      <c r="D1732" s="80"/>
      <c r="E1732" s="80"/>
      <c r="F1732" s="80"/>
      <c r="G1732" s="80"/>
      <c r="H1732" s="80"/>
      <c r="I1732" s="80"/>
      <c r="J1732" s="80"/>
      <c r="K1732" s="80"/>
      <c r="L1732" s="2"/>
      <c r="M1732" s="2"/>
      <c r="N1732" s="2"/>
      <c r="O1732" s="2"/>
      <c r="P1732" s="2"/>
      <c r="Q1732" s="2"/>
      <c r="R1732" s="80"/>
      <c r="S1732" s="80"/>
      <c r="T1732" s="80"/>
      <c r="U1732" s="80"/>
      <c r="V1732" s="80"/>
      <c r="W1732" s="80"/>
      <c r="X1732" s="80"/>
      <c r="Y1732" s="80"/>
      <c r="Z1732" s="80"/>
      <c r="AA1732" s="80"/>
      <c r="AB1732" s="80"/>
      <c r="AC1732" s="80"/>
      <c r="AD1732" s="80"/>
      <c r="AE1732" s="80"/>
      <c r="AF1732" s="80"/>
      <c r="AG1732" s="80"/>
    </row>
    <row r="1733" spans="1:33" x14ac:dyDescent="0.2">
      <c r="A1733" s="2"/>
      <c r="B1733" s="80"/>
      <c r="C1733" s="80"/>
      <c r="D1733" s="80"/>
      <c r="E1733" s="80"/>
      <c r="F1733" s="80"/>
      <c r="G1733" s="80"/>
      <c r="H1733" s="80"/>
      <c r="I1733" s="80"/>
      <c r="J1733" s="80"/>
      <c r="K1733" s="80"/>
      <c r="L1733" s="2"/>
      <c r="M1733" s="2"/>
      <c r="N1733" s="2"/>
      <c r="O1733" s="2"/>
      <c r="P1733" s="2"/>
      <c r="Q1733" s="2"/>
      <c r="R1733" s="80"/>
      <c r="S1733" s="80"/>
      <c r="T1733" s="80"/>
      <c r="U1733" s="80"/>
      <c r="V1733" s="80"/>
      <c r="W1733" s="80"/>
      <c r="X1733" s="80"/>
      <c r="Y1733" s="80"/>
      <c r="Z1733" s="80"/>
      <c r="AA1733" s="80"/>
      <c r="AB1733" s="80"/>
      <c r="AC1733" s="80"/>
      <c r="AD1733" s="80"/>
      <c r="AE1733" s="80"/>
      <c r="AF1733" s="80"/>
      <c r="AG1733" s="80"/>
    </row>
    <row r="1734" spans="1:33" x14ac:dyDescent="0.2">
      <c r="A1734" s="2"/>
      <c r="B1734" s="80"/>
      <c r="C1734" s="80"/>
      <c r="D1734" s="80"/>
      <c r="E1734" s="80"/>
      <c r="F1734" s="80"/>
      <c r="G1734" s="80"/>
      <c r="H1734" s="80"/>
      <c r="I1734" s="80"/>
      <c r="J1734" s="80"/>
      <c r="K1734" s="80"/>
      <c r="L1734" s="2"/>
      <c r="M1734" s="2"/>
      <c r="N1734" s="2"/>
      <c r="O1734" s="2"/>
      <c r="P1734" s="2"/>
      <c r="Q1734" s="2"/>
      <c r="R1734" s="80"/>
      <c r="S1734" s="80"/>
      <c r="T1734" s="80"/>
      <c r="U1734" s="80"/>
      <c r="V1734" s="80"/>
      <c r="W1734" s="80"/>
      <c r="X1734" s="80"/>
      <c r="Y1734" s="80"/>
      <c r="Z1734" s="80"/>
      <c r="AA1734" s="80"/>
      <c r="AB1734" s="80"/>
      <c r="AC1734" s="80"/>
      <c r="AD1734" s="80"/>
      <c r="AE1734" s="80"/>
      <c r="AF1734" s="80"/>
      <c r="AG1734" s="80"/>
    </row>
    <row r="1735" spans="1:33" x14ac:dyDescent="0.2">
      <c r="A1735" s="2"/>
      <c r="B1735" s="80"/>
      <c r="C1735" s="80"/>
      <c r="D1735" s="80"/>
      <c r="E1735" s="80"/>
      <c r="F1735" s="80"/>
      <c r="G1735" s="80"/>
      <c r="H1735" s="80"/>
      <c r="I1735" s="80"/>
      <c r="J1735" s="80"/>
      <c r="K1735" s="80"/>
      <c r="L1735" s="2"/>
      <c r="M1735" s="2"/>
      <c r="N1735" s="2"/>
      <c r="O1735" s="2"/>
      <c r="P1735" s="2"/>
      <c r="Q1735" s="2"/>
      <c r="R1735" s="80"/>
      <c r="S1735" s="80"/>
      <c r="T1735" s="80"/>
      <c r="U1735" s="80"/>
      <c r="V1735" s="80"/>
      <c r="W1735" s="80"/>
      <c r="X1735" s="80"/>
      <c r="Y1735" s="80"/>
      <c r="Z1735" s="80"/>
      <c r="AA1735" s="80"/>
      <c r="AB1735" s="80"/>
      <c r="AC1735" s="80"/>
      <c r="AD1735" s="80"/>
      <c r="AE1735" s="80"/>
      <c r="AF1735" s="80"/>
      <c r="AG1735" s="80"/>
    </row>
    <row r="1736" spans="1:33" x14ac:dyDescent="0.2">
      <c r="A1736" s="2"/>
      <c r="B1736" s="80"/>
      <c r="C1736" s="80"/>
      <c r="D1736" s="80"/>
      <c r="E1736" s="80"/>
      <c r="F1736" s="80"/>
      <c r="G1736" s="80"/>
      <c r="H1736" s="80"/>
      <c r="I1736" s="80"/>
      <c r="J1736" s="80"/>
      <c r="K1736" s="80"/>
      <c r="L1736" s="2"/>
      <c r="M1736" s="2"/>
      <c r="N1736" s="2"/>
      <c r="O1736" s="2"/>
      <c r="P1736" s="2"/>
      <c r="Q1736" s="2"/>
      <c r="R1736" s="80"/>
      <c r="S1736" s="80"/>
      <c r="T1736" s="80"/>
      <c r="U1736" s="80"/>
      <c r="V1736" s="80"/>
      <c r="W1736" s="80"/>
      <c r="X1736" s="80"/>
      <c r="Y1736" s="80"/>
      <c r="Z1736" s="80"/>
      <c r="AA1736" s="80"/>
      <c r="AB1736" s="80"/>
      <c r="AC1736" s="80"/>
      <c r="AD1736" s="80"/>
      <c r="AE1736" s="80"/>
      <c r="AF1736" s="80"/>
      <c r="AG1736" s="80"/>
    </row>
    <row r="1737" spans="1:33" x14ac:dyDescent="0.2">
      <c r="A1737" s="2"/>
      <c r="B1737" s="80"/>
      <c r="C1737" s="80"/>
      <c r="D1737" s="80"/>
      <c r="E1737" s="80"/>
      <c r="F1737" s="80"/>
      <c r="G1737" s="80"/>
      <c r="H1737" s="80"/>
      <c r="I1737" s="80"/>
      <c r="J1737" s="80"/>
      <c r="K1737" s="80"/>
      <c r="L1737" s="2"/>
      <c r="M1737" s="2"/>
      <c r="N1737" s="2"/>
      <c r="O1737" s="2"/>
      <c r="P1737" s="2"/>
      <c r="Q1737" s="2"/>
      <c r="R1737" s="80"/>
      <c r="S1737" s="80"/>
      <c r="T1737" s="80"/>
      <c r="U1737" s="80"/>
      <c r="V1737" s="80"/>
      <c r="W1737" s="80"/>
      <c r="X1737" s="80"/>
      <c r="Y1737" s="80"/>
      <c r="Z1737" s="80"/>
      <c r="AA1737" s="80"/>
      <c r="AB1737" s="80"/>
      <c r="AC1737" s="80"/>
      <c r="AD1737" s="80"/>
      <c r="AE1737" s="80"/>
      <c r="AF1737" s="80"/>
      <c r="AG1737" s="80"/>
    </row>
    <row r="1738" spans="1:33" x14ac:dyDescent="0.2">
      <c r="A1738" s="2"/>
      <c r="B1738" s="80"/>
      <c r="C1738" s="80"/>
      <c r="D1738" s="80"/>
      <c r="E1738" s="80"/>
      <c r="F1738" s="80"/>
      <c r="G1738" s="80"/>
      <c r="H1738" s="80"/>
      <c r="I1738" s="80"/>
      <c r="J1738" s="80"/>
      <c r="K1738" s="80"/>
      <c r="L1738" s="2"/>
      <c r="M1738" s="2"/>
      <c r="N1738" s="2"/>
      <c r="O1738" s="2"/>
      <c r="P1738" s="2"/>
      <c r="Q1738" s="2"/>
      <c r="R1738" s="80"/>
      <c r="S1738" s="80"/>
      <c r="T1738" s="80"/>
      <c r="U1738" s="80"/>
      <c r="V1738" s="80"/>
      <c r="W1738" s="80"/>
      <c r="X1738" s="80"/>
      <c r="Y1738" s="80"/>
      <c r="Z1738" s="80"/>
      <c r="AA1738" s="80"/>
      <c r="AB1738" s="80"/>
      <c r="AC1738" s="80"/>
      <c r="AD1738" s="80"/>
      <c r="AE1738" s="80"/>
      <c r="AF1738" s="80"/>
      <c r="AG1738" s="80"/>
    </row>
    <row r="1739" spans="1:33" x14ac:dyDescent="0.2">
      <c r="A1739" s="2"/>
      <c r="B1739" s="80"/>
      <c r="C1739" s="80"/>
      <c r="D1739" s="80"/>
      <c r="E1739" s="80"/>
      <c r="F1739" s="80"/>
      <c r="G1739" s="80"/>
      <c r="H1739" s="80"/>
      <c r="I1739" s="80"/>
      <c r="J1739" s="80"/>
      <c r="K1739" s="80"/>
      <c r="L1739" s="2"/>
      <c r="M1739" s="2"/>
      <c r="N1739" s="2"/>
      <c r="O1739" s="2"/>
      <c r="P1739" s="2"/>
      <c r="Q1739" s="2"/>
      <c r="R1739" s="80"/>
      <c r="S1739" s="80"/>
      <c r="T1739" s="80"/>
      <c r="U1739" s="80"/>
      <c r="V1739" s="80"/>
      <c r="W1739" s="80"/>
      <c r="X1739" s="80"/>
      <c r="Y1739" s="80"/>
      <c r="Z1739" s="80"/>
      <c r="AA1739" s="80"/>
      <c r="AB1739" s="80"/>
      <c r="AC1739" s="80"/>
      <c r="AD1739" s="80"/>
      <c r="AE1739" s="80"/>
      <c r="AF1739" s="80"/>
      <c r="AG1739" s="80"/>
    </row>
    <row r="1740" spans="1:33" x14ac:dyDescent="0.2">
      <c r="A1740" s="2"/>
      <c r="B1740" s="80"/>
      <c r="C1740" s="80"/>
      <c r="D1740" s="80"/>
      <c r="E1740" s="80"/>
      <c r="F1740" s="80"/>
      <c r="G1740" s="80"/>
      <c r="H1740" s="80"/>
      <c r="I1740" s="80"/>
      <c r="J1740" s="80"/>
      <c r="K1740" s="80"/>
      <c r="L1740" s="2"/>
      <c r="M1740" s="2"/>
      <c r="N1740" s="2"/>
      <c r="O1740" s="2"/>
      <c r="P1740" s="2"/>
      <c r="Q1740" s="2"/>
      <c r="R1740" s="80"/>
      <c r="S1740" s="80"/>
      <c r="T1740" s="80"/>
      <c r="U1740" s="80"/>
      <c r="V1740" s="80"/>
      <c r="W1740" s="80"/>
      <c r="X1740" s="80"/>
      <c r="Y1740" s="80"/>
      <c r="Z1740" s="80"/>
      <c r="AA1740" s="80"/>
      <c r="AB1740" s="80"/>
      <c r="AC1740" s="80"/>
      <c r="AD1740" s="80"/>
      <c r="AE1740" s="80"/>
      <c r="AF1740" s="80"/>
      <c r="AG1740" s="80"/>
    </row>
    <row r="1741" spans="1:33" x14ac:dyDescent="0.2">
      <c r="A1741" s="2"/>
      <c r="B1741" s="80"/>
      <c r="C1741" s="80"/>
      <c r="D1741" s="80"/>
      <c r="E1741" s="80"/>
      <c r="F1741" s="80"/>
      <c r="G1741" s="80"/>
      <c r="H1741" s="80"/>
      <c r="I1741" s="80"/>
      <c r="J1741" s="80"/>
      <c r="K1741" s="80"/>
      <c r="L1741" s="2"/>
      <c r="M1741" s="2"/>
      <c r="N1741" s="2"/>
      <c r="O1741" s="2"/>
      <c r="P1741" s="2"/>
      <c r="Q1741" s="2"/>
      <c r="R1741" s="80"/>
      <c r="S1741" s="80"/>
      <c r="T1741" s="80"/>
      <c r="U1741" s="80"/>
      <c r="V1741" s="80"/>
      <c r="W1741" s="80"/>
      <c r="X1741" s="80"/>
      <c r="Y1741" s="80"/>
      <c r="Z1741" s="80"/>
      <c r="AA1741" s="80"/>
      <c r="AB1741" s="80"/>
      <c r="AC1741" s="80"/>
      <c r="AD1741" s="80"/>
      <c r="AE1741" s="80"/>
      <c r="AF1741" s="80"/>
      <c r="AG1741" s="80"/>
    </row>
    <row r="1742" spans="1:33" x14ac:dyDescent="0.2">
      <c r="A1742" s="2"/>
      <c r="B1742" s="80"/>
      <c r="C1742" s="80"/>
      <c r="D1742" s="80"/>
      <c r="E1742" s="80"/>
      <c r="F1742" s="80"/>
      <c r="G1742" s="80"/>
      <c r="H1742" s="80"/>
      <c r="I1742" s="80"/>
      <c r="J1742" s="80"/>
      <c r="K1742" s="80"/>
      <c r="L1742" s="2"/>
      <c r="M1742" s="2"/>
      <c r="N1742" s="2"/>
      <c r="O1742" s="2"/>
      <c r="P1742" s="2"/>
      <c r="Q1742" s="2"/>
      <c r="R1742" s="80"/>
      <c r="S1742" s="80"/>
      <c r="T1742" s="80"/>
      <c r="U1742" s="80"/>
      <c r="V1742" s="80"/>
      <c r="W1742" s="80"/>
      <c r="X1742" s="80"/>
      <c r="Y1742" s="80"/>
      <c r="Z1742" s="80"/>
      <c r="AA1742" s="80"/>
      <c r="AB1742" s="80"/>
      <c r="AC1742" s="80"/>
      <c r="AD1742" s="80"/>
      <c r="AE1742" s="80"/>
      <c r="AF1742" s="80"/>
      <c r="AG1742" s="80"/>
    </row>
    <row r="1743" spans="1:33" x14ac:dyDescent="0.2">
      <c r="A1743" s="2"/>
      <c r="B1743" s="80"/>
      <c r="C1743" s="80"/>
      <c r="D1743" s="80"/>
      <c r="E1743" s="80"/>
      <c r="F1743" s="80"/>
      <c r="G1743" s="80"/>
      <c r="H1743" s="80"/>
      <c r="I1743" s="80"/>
      <c r="J1743" s="80"/>
      <c r="K1743" s="80"/>
      <c r="L1743" s="2"/>
      <c r="M1743" s="2"/>
      <c r="N1743" s="2"/>
      <c r="O1743" s="2"/>
      <c r="P1743" s="2"/>
      <c r="Q1743" s="2"/>
      <c r="R1743" s="80"/>
      <c r="S1743" s="80"/>
      <c r="T1743" s="80"/>
      <c r="U1743" s="80"/>
      <c r="V1743" s="80"/>
      <c r="W1743" s="80"/>
      <c r="X1743" s="80"/>
      <c r="Y1743" s="80"/>
      <c r="Z1743" s="80"/>
      <c r="AA1743" s="80"/>
      <c r="AB1743" s="80"/>
      <c r="AC1743" s="80"/>
      <c r="AD1743" s="80"/>
      <c r="AE1743" s="80"/>
      <c r="AF1743" s="80"/>
      <c r="AG1743" s="80"/>
    </row>
    <row r="1744" spans="1:33" x14ac:dyDescent="0.2">
      <c r="A1744" s="2"/>
      <c r="B1744" s="80"/>
      <c r="C1744" s="80"/>
      <c r="D1744" s="80"/>
      <c r="E1744" s="80"/>
      <c r="F1744" s="80"/>
      <c r="G1744" s="80"/>
      <c r="H1744" s="80"/>
      <c r="I1744" s="80"/>
      <c r="J1744" s="80"/>
      <c r="K1744" s="80"/>
      <c r="L1744" s="2"/>
      <c r="M1744" s="2"/>
      <c r="N1744" s="2"/>
      <c r="O1744" s="2"/>
      <c r="P1744" s="2"/>
      <c r="Q1744" s="2"/>
      <c r="R1744" s="80"/>
      <c r="S1744" s="80"/>
      <c r="T1744" s="80"/>
      <c r="U1744" s="80"/>
      <c r="V1744" s="80"/>
      <c r="W1744" s="80"/>
      <c r="X1744" s="80"/>
      <c r="Y1744" s="80"/>
      <c r="Z1744" s="80"/>
      <c r="AA1744" s="80"/>
      <c r="AB1744" s="80"/>
      <c r="AC1744" s="80"/>
      <c r="AD1744" s="80"/>
      <c r="AE1744" s="80"/>
      <c r="AF1744" s="80"/>
      <c r="AG1744" s="80"/>
    </row>
    <row r="1745" spans="1:33" x14ac:dyDescent="0.2">
      <c r="A1745" s="2"/>
      <c r="B1745" s="80"/>
      <c r="C1745" s="80"/>
      <c r="D1745" s="80"/>
      <c r="E1745" s="80"/>
      <c r="F1745" s="80"/>
      <c r="G1745" s="80"/>
      <c r="H1745" s="80"/>
      <c r="I1745" s="80"/>
      <c r="J1745" s="80"/>
      <c r="K1745" s="80"/>
      <c r="L1745" s="2"/>
      <c r="M1745" s="2"/>
      <c r="N1745" s="2"/>
      <c r="O1745" s="2"/>
      <c r="P1745" s="2"/>
      <c r="Q1745" s="2"/>
      <c r="R1745" s="80"/>
      <c r="S1745" s="80"/>
      <c r="T1745" s="80"/>
      <c r="U1745" s="80"/>
      <c r="V1745" s="80"/>
      <c r="W1745" s="80"/>
      <c r="X1745" s="80"/>
      <c r="Y1745" s="80"/>
      <c r="Z1745" s="80"/>
      <c r="AA1745" s="80"/>
      <c r="AB1745" s="80"/>
      <c r="AC1745" s="80"/>
      <c r="AD1745" s="80"/>
      <c r="AE1745" s="80"/>
      <c r="AF1745" s="80"/>
      <c r="AG1745" s="80"/>
    </row>
    <row r="1746" spans="1:33" x14ac:dyDescent="0.2">
      <c r="A1746" s="2"/>
      <c r="B1746" s="80"/>
      <c r="C1746" s="80"/>
      <c r="D1746" s="80"/>
      <c r="E1746" s="80"/>
      <c r="F1746" s="80"/>
      <c r="G1746" s="80"/>
      <c r="H1746" s="80"/>
      <c r="I1746" s="80"/>
      <c r="J1746" s="80"/>
      <c r="K1746" s="80"/>
      <c r="L1746" s="2"/>
      <c r="M1746" s="2"/>
      <c r="N1746" s="2"/>
      <c r="O1746" s="2"/>
      <c r="P1746" s="2"/>
      <c r="Q1746" s="2"/>
      <c r="R1746" s="80"/>
      <c r="S1746" s="80"/>
      <c r="T1746" s="80"/>
      <c r="U1746" s="80"/>
      <c r="V1746" s="80"/>
      <c r="W1746" s="80"/>
      <c r="X1746" s="80"/>
      <c r="Y1746" s="80"/>
      <c r="Z1746" s="80"/>
      <c r="AA1746" s="80"/>
      <c r="AB1746" s="80"/>
      <c r="AC1746" s="80"/>
      <c r="AD1746" s="80"/>
      <c r="AE1746" s="80"/>
      <c r="AF1746" s="80"/>
      <c r="AG1746" s="80"/>
    </row>
    <row r="1747" spans="1:33" x14ac:dyDescent="0.2">
      <c r="A1747" s="2"/>
      <c r="B1747" s="80"/>
      <c r="C1747" s="80"/>
      <c r="D1747" s="80"/>
      <c r="E1747" s="80"/>
      <c r="F1747" s="80"/>
      <c r="G1747" s="80"/>
      <c r="H1747" s="80"/>
      <c r="I1747" s="80"/>
      <c r="J1747" s="80"/>
      <c r="K1747" s="80"/>
      <c r="L1747" s="2"/>
      <c r="M1747" s="2"/>
      <c r="N1747" s="2"/>
      <c r="O1747" s="2"/>
      <c r="P1747" s="2"/>
      <c r="Q1747" s="2"/>
      <c r="R1747" s="80"/>
      <c r="S1747" s="80"/>
      <c r="T1747" s="80"/>
      <c r="U1747" s="80"/>
      <c r="V1747" s="80"/>
      <c r="W1747" s="80"/>
      <c r="X1747" s="80"/>
      <c r="Y1747" s="80"/>
      <c r="Z1747" s="80"/>
      <c r="AA1747" s="80"/>
      <c r="AB1747" s="80"/>
      <c r="AC1747" s="80"/>
      <c r="AD1747" s="80"/>
      <c r="AE1747" s="80"/>
      <c r="AF1747" s="80"/>
      <c r="AG1747" s="80"/>
    </row>
    <row r="1748" spans="1:33" x14ac:dyDescent="0.2">
      <c r="A1748" s="2"/>
      <c r="B1748" s="80"/>
      <c r="C1748" s="80"/>
      <c r="D1748" s="80"/>
      <c r="E1748" s="80"/>
      <c r="F1748" s="80"/>
      <c r="G1748" s="80"/>
      <c r="H1748" s="80"/>
      <c r="I1748" s="80"/>
      <c r="J1748" s="80"/>
      <c r="K1748" s="80"/>
      <c r="L1748" s="2"/>
      <c r="M1748" s="2"/>
      <c r="N1748" s="2"/>
      <c r="O1748" s="2"/>
      <c r="P1748" s="2"/>
      <c r="Q1748" s="2"/>
      <c r="R1748" s="80"/>
      <c r="S1748" s="80"/>
      <c r="T1748" s="80"/>
      <c r="U1748" s="80"/>
      <c r="V1748" s="80"/>
      <c r="W1748" s="80"/>
      <c r="X1748" s="80"/>
      <c r="Y1748" s="80"/>
      <c r="Z1748" s="80"/>
      <c r="AA1748" s="80"/>
      <c r="AB1748" s="80"/>
      <c r="AC1748" s="80"/>
      <c r="AD1748" s="80"/>
      <c r="AE1748" s="80"/>
      <c r="AF1748" s="80"/>
      <c r="AG1748" s="80"/>
    </row>
    <row r="1749" spans="1:33" x14ac:dyDescent="0.2">
      <c r="A1749" s="2"/>
      <c r="B1749" s="80"/>
      <c r="C1749" s="80"/>
      <c r="D1749" s="80"/>
      <c r="E1749" s="80"/>
      <c r="F1749" s="80"/>
      <c r="G1749" s="80"/>
      <c r="H1749" s="80"/>
      <c r="I1749" s="80"/>
      <c r="J1749" s="80"/>
      <c r="K1749" s="80"/>
      <c r="L1749" s="2"/>
      <c r="M1749" s="2"/>
      <c r="N1749" s="2"/>
      <c r="O1749" s="2"/>
      <c r="P1749" s="2"/>
      <c r="Q1749" s="2"/>
      <c r="R1749" s="80"/>
      <c r="S1749" s="80"/>
      <c r="T1749" s="80"/>
      <c r="U1749" s="80"/>
      <c r="V1749" s="80"/>
      <c r="W1749" s="80"/>
      <c r="X1749" s="80"/>
      <c r="Y1749" s="80"/>
      <c r="Z1749" s="80"/>
      <c r="AA1749" s="80"/>
      <c r="AB1749" s="80"/>
      <c r="AC1749" s="80"/>
      <c r="AD1749" s="80"/>
      <c r="AE1749" s="80"/>
      <c r="AF1749" s="80"/>
      <c r="AG1749" s="80"/>
    </row>
    <row r="1750" spans="1:33" x14ac:dyDescent="0.2">
      <c r="A1750" s="2"/>
      <c r="B1750" s="80"/>
      <c r="C1750" s="80"/>
      <c r="D1750" s="80"/>
      <c r="E1750" s="80"/>
      <c r="F1750" s="80"/>
      <c r="G1750" s="80"/>
      <c r="H1750" s="80"/>
      <c r="I1750" s="80"/>
      <c r="J1750" s="80"/>
      <c r="K1750" s="80"/>
      <c r="L1750" s="2"/>
      <c r="M1750" s="2"/>
      <c r="N1750" s="2"/>
      <c r="O1750" s="2"/>
      <c r="P1750" s="2"/>
      <c r="Q1750" s="2"/>
      <c r="R1750" s="80"/>
      <c r="S1750" s="80"/>
      <c r="T1750" s="80"/>
      <c r="U1750" s="80"/>
      <c r="V1750" s="80"/>
      <c r="W1750" s="80"/>
      <c r="X1750" s="80"/>
      <c r="Y1750" s="80"/>
      <c r="Z1750" s="80"/>
      <c r="AA1750" s="80"/>
      <c r="AB1750" s="80"/>
      <c r="AC1750" s="80"/>
      <c r="AD1750" s="80"/>
      <c r="AE1750" s="80"/>
      <c r="AF1750" s="80"/>
      <c r="AG1750" s="80"/>
    </row>
    <row r="1751" spans="1:33" x14ac:dyDescent="0.2">
      <c r="A1751" s="2"/>
      <c r="B1751" s="80"/>
      <c r="C1751" s="80"/>
      <c r="D1751" s="80"/>
      <c r="E1751" s="80"/>
      <c r="F1751" s="80"/>
      <c r="G1751" s="80"/>
      <c r="H1751" s="80"/>
      <c r="I1751" s="80"/>
      <c r="J1751" s="80"/>
      <c r="K1751" s="80"/>
      <c r="L1751" s="2"/>
      <c r="M1751" s="2"/>
      <c r="N1751" s="2"/>
      <c r="O1751" s="2"/>
      <c r="P1751" s="2"/>
      <c r="Q1751" s="2"/>
      <c r="R1751" s="80"/>
      <c r="S1751" s="80"/>
      <c r="T1751" s="80"/>
      <c r="U1751" s="80"/>
      <c r="V1751" s="80"/>
      <c r="W1751" s="80"/>
      <c r="X1751" s="80"/>
      <c r="Y1751" s="80"/>
      <c r="Z1751" s="80"/>
      <c r="AA1751" s="80"/>
      <c r="AB1751" s="80"/>
      <c r="AC1751" s="80"/>
      <c r="AD1751" s="80"/>
      <c r="AE1751" s="80"/>
      <c r="AF1751" s="80"/>
      <c r="AG1751" s="80"/>
    </row>
    <row r="1752" spans="1:33" x14ac:dyDescent="0.2">
      <c r="A1752" s="2"/>
      <c r="B1752" s="80"/>
      <c r="C1752" s="80"/>
      <c r="D1752" s="80"/>
      <c r="E1752" s="80"/>
      <c r="F1752" s="80"/>
      <c r="G1752" s="80"/>
      <c r="H1752" s="80"/>
      <c r="I1752" s="80"/>
      <c r="J1752" s="80"/>
      <c r="K1752" s="80"/>
      <c r="L1752" s="2"/>
      <c r="M1752" s="2"/>
      <c r="N1752" s="2"/>
      <c r="O1752" s="2"/>
      <c r="P1752" s="2"/>
      <c r="Q1752" s="2"/>
      <c r="R1752" s="80"/>
      <c r="S1752" s="80"/>
      <c r="T1752" s="80"/>
      <c r="U1752" s="80"/>
      <c r="V1752" s="80"/>
      <c r="W1752" s="80"/>
      <c r="X1752" s="80"/>
      <c r="Y1752" s="80"/>
      <c r="Z1752" s="80"/>
      <c r="AA1752" s="80"/>
      <c r="AB1752" s="80"/>
      <c r="AC1752" s="80"/>
      <c r="AD1752" s="80"/>
      <c r="AE1752" s="80"/>
      <c r="AF1752" s="80"/>
      <c r="AG1752" s="80"/>
    </row>
    <row r="1753" spans="1:33" x14ac:dyDescent="0.2">
      <c r="A1753" s="2"/>
      <c r="B1753" s="80"/>
      <c r="C1753" s="80"/>
      <c r="D1753" s="80"/>
      <c r="E1753" s="80"/>
      <c r="F1753" s="80"/>
      <c r="G1753" s="80"/>
      <c r="H1753" s="80"/>
      <c r="I1753" s="80"/>
      <c r="J1753" s="80"/>
      <c r="K1753" s="80"/>
      <c r="L1753" s="2"/>
      <c r="M1753" s="2"/>
      <c r="N1753" s="2"/>
      <c r="O1753" s="2"/>
      <c r="P1753" s="2"/>
      <c r="Q1753" s="2"/>
      <c r="R1753" s="80"/>
      <c r="S1753" s="80"/>
      <c r="T1753" s="80"/>
      <c r="U1753" s="80"/>
      <c r="V1753" s="80"/>
      <c r="W1753" s="80"/>
      <c r="X1753" s="80"/>
      <c r="Y1753" s="80"/>
      <c r="Z1753" s="80"/>
      <c r="AA1753" s="80"/>
      <c r="AB1753" s="80"/>
      <c r="AC1753" s="80"/>
      <c r="AD1753" s="80"/>
      <c r="AE1753" s="80"/>
      <c r="AF1753" s="80"/>
      <c r="AG1753" s="80"/>
    </row>
    <row r="1754" spans="1:33" x14ac:dyDescent="0.2">
      <c r="A1754" s="2"/>
      <c r="B1754" s="80"/>
      <c r="C1754" s="80"/>
      <c r="D1754" s="80"/>
      <c r="E1754" s="80"/>
      <c r="F1754" s="80"/>
      <c r="G1754" s="80"/>
      <c r="H1754" s="80"/>
      <c r="I1754" s="80"/>
      <c r="J1754" s="80"/>
      <c r="K1754" s="80"/>
      <c r="L1754" s="2"/>
      <c r="M1754" s="2"/>
      <c r="N1754" s="2"/>
      <c r="O1754" s="2"/>
      <c r="P1754" s="2"/>
      <c r="Q1754" s="2"/>
      <c r="R1754" s="80"/>
      <c r="S1754" s="80"/>
      <c r="T1754" s="80"/>
      <c r="U1754" s="80"/>
      <c r="V1754" s="80"/>
      <c r="W1754" s="80"/>
      <c r="X1754" s="80"/>
      <c r="Y1754" s="80"/>
      <c r="Z1754" s="80"/>
      <c r="AA1754" s="80"/>
      <c r="AB1754" s="80"/>
      <c r="AC1754" s="80"/>
      <c r="AD1754" s="80"/>
      <c r="AE1754" s="80"/>
      <c r="AF1754" s="80"/>
      <c r="AG1754" s="80"/>
    </row>
    <row r="1755" spans="1:33" x14ac:dyDescent="0.2">
      <c r="A1755" s="2"/>
      <c r="B1755" s="80"/>
      <c r="C1755" s="80"/>
      <c r="D1755" s="80"/>
      <c r="E1755" s="80"/>
      <c r="F1755" s="80"/>
      <c r="G1755" s="80"/>
      <c r="H1755" s="80"/>
      <c r="I1755" s="80"/>
      <c r="J1755" s="80"/>
      <c r="K1755" s="80"/>
      <c r="L1755" s="2"/>
      <c r="M1755" s="2"/>
      <c r="N1755" s="2"/>
      <c r="O1755" s="2"/>
      <c r="P1755" s="2"/>
      <c r="Q1755" s="2"/>
      <c r="R1755" s="80"/>
      <c r="S1755" s="80"/>
      <c r="T1755" s="80"/>
      <c r="U1755" s="80"/>
      <c r="V1755" s="80"/>
      <c r="W1755" s="80"/>
      <c r="X1755" s="80"/>
      <c r="Y1755" s="80"/>
      <c r="Z1755" s="80"/>
      <c r="AA1755" s="80"/>
      <c r="AB1755" s="80"/>
      <c r="AC1755" s="80"/>
      <c r="AD1755" s="80"/>
      <c r="AE1755" s="80"/>
      <c r="AF1755" s="80"/>
      <c r="AG1755" s="80"/>
    </row>
    <row r="1756" spans="1:33" x14ac:dyDescent="0.2">
      <c r="A1756" s="2"/>
      <c r="B1756" s="80"/>
      <c r="C1756" s="80"/>
      <c r="D1756" s="80"/>
      <c r="E1756" s="80"/>
      <c r="F1756" s="80"/>
      <c r="G1756" s="80"/>
      <c r="H1756" s="80"/>
      <c r="I1756" s="80"/>
      <c r="J1756" s="80"/>
      <c r="K1756" s="80"/>
      <c r="L1756" s="2"/>
      <c r="M1756" s="2"/>
      <c r="N1756" s="2"/>
      <c r="O1756" s="2"/>
      <c r="P1756" s="2"/>
      <c r="Q1756" s="2"/>
      <c r="R1756" s="80"/>
      <c r="S1756" s="80"/>
      <c r="T1756" s="80"/>
      <c r="U1756" s="80"/>
      <c r="V1756" s="80"/>
      <c r="W1756" s="80"/>
      <c r="X1756" s="80"/>
      <c r="Y1756" s="80"/>
      <c r="Z1756" s="80"/>
      <c r="AA1756" s="80"/>
      <c r="AB1756" s="80"/>
      <c r="AC1756" s="80"/>
      <c r="AD1756" s="80"/>
      <c r="AE1756" s="80"/>
      <c r="AF1756" s="80"/>
      <c r="AG1756" s="80"/>
    </row>
    <row r="1757" spans="1:33" x14ac:dyDescent="0.2">
      <c r="A1757" s="2"/>
      <c r="B1757" s="80"/>
      <c r="C1757" s="80"/>
      <c r="D1757" s="80"/>
      <c r="E1757" s="80"/>
      <c r="F1757" s="80"/>
      <c r="G1757" s="80"/>
      <c r="H1757" s="80"/>
      <c r="I1757" s="80"/>
      <c r="J1757" s="80"/>
      <c r="K1757" s="80"/>
      <c r="L1757" s="2"/>
      <c r="M1757" s="2"/>
      <c r="N1757" s="2"/>
      <c r="O1757" s="2"/>
      <c r="P1757" s="2"/>
      <c r="Q1757" s="2"/>
      <c r="R1757" s="80"/>
      <c r="S1757" s="80"/>
      <c r="T1757" s="80"/>
      <c r="U1757" s="80"/>
      <c r="V1757" s="80"/>
      <c r="W1757" s="80"/>
      <c r="X1757" s="80"/>
      <c r="Y1757" s="80"/>
      <c r="Z1757" s="80"/>
      <c r="AA1757" s="80"/>
      <c r="AB1757" s="80"/>
      <c r="AC1757" s="80"/>
      <c r="AD1757" s="80"/>
      <c r="AE1757" s="80"/>
      <c r="AF1757" s="80"/>
      <c r="AG1757" s="80"/>
    </row>
    <row r="1758" spans="1:33" x14ac:dyDescent="0.2">
      <c r="A1758" s="2"/>
      <c r="B1758" s="80"/>
      <c r="C1758" s="80"/>
      <c r="D1758" s="80"/>
      <c r="E1758" s="80"/>
      <c r="F1758" s="80"/>
      <c r="G1758" s="80"/>
      <c r="H1758" s="80"/>
      <c r="I1758" s="80"/>
      <c r="J1758" s="80"/>
      <c r="K1758" s="80"/>
      <c r="L1758" s="2"/>
      <c r="M1758" s="2"/>
      <c r="N1758" s="2"/>
      <c r="O1758" s="2"/>
      <c r="P1758" s="2"/>
      <c r="Q1758" s="2"/>
      <c r="R1758" s="80"/>
      <c r="S1758" s="80"/>
      <c r="T1758" s="80"/>
      <c r="U1758" s="80"/>
      <c r="V1758" s="80"/>
      <c r="W1758" s="80"/>
      <c r="X1758" s="80"/>
      <c r="Y1758" s="80"/>
      <c r="Z1758" s="80"/>
      <c r="AA1758" s="80"/>
      <c r="AB1758" s="80"/>
      <c r="AC1758" s="80"/>
      <c r="AD1758" s="80"/>
      <c r="AE1758" s="80"/>
      <c r="AF1758" s="80"/>
      <c r="AG1758" s="80"/>
    </row>
    <row r="1759" spans="1:33" x14ac:dyDescent="0.2">
      <c r="A1759" s="2"/>
      <c r="B1759" s="80"/>
      <c r="C1759" s="80"/>
      <c r="D1759" s="80"/>
      <c r="E1759" s="80"/>
      <c r="F1759" s="80"/>
      <c r="G1759" s="80"/>
      <c r="H1759" s="80"/>
      <c r="I1759" s="80"/>
      <c r="J1759" s="80"/>
      <c r="K1759" s="80"/>
      <c r="L1759" s="2"/>
      <c r="M1759" s="2"/>
      <c r="N1759" s="2"/>
      <c r="O1759" s="2"/>
      <c r="P1759" s="2"/>
      <c r="Q1759" s="2"/>
      <c r="R1759" s="80"/>
      <c r="S1759" s="80"/>
      <c r="T1759" s="80"/>
      <c r="U1759" s="80"/>
      <c r="V1759" s="80"/>
      <c r="W1759" s="80"/>
      <c r="X1759" s="80"/>
      <c r="Y1759" s="80"/>
      <c r="Z1759" s="80"/>
      <c r="AA1759" s="80"/>
      <c r="AB1759" s="80"/>
      <c r="AC1759" s="80"/>
      <c r="AD1759" s="80"/>
      <c r="AE1759" s="80"/>
      <c r="AF1759" s="80"/>
      <c r="AG1759" s="80"/>
    </row>
    <row r="1760" spans="1:33" x14ac:dyDescent="0.2">
      <c r="A1760" s="2"/>
      <c r="B1760" s="80"/>
      <c r="C1760" s="80"/>
      <c r="D1760" s="80"/>
      <c r="E1760" s="80"/>
      <c r="F1760" s="80"/>
      <c r="G1760" s="80"/>
      <c r="H1760" s="80"/>
      <c r="I1760" s="80"/>
      <c r="J1760" s="80"/>
      <c r="K1760" s="80"/>
      <c r="L1760" s="2"/>
      <c r="M1760" s="2"/>
      <c r="N1760" s="2"/>
      <c r="O1760" s="2"/>
      <c r="P1760" s="2"/>
      <c r="Q1760" s="2"/>
      <c r="R1760" s="80"/>
      <c r="S1760" s="80"/>
      <c r="T1760" s="80"/>
      <c r="U1760" s="80"/>
      <c r="V1760" s="80"/>
      <c r="W1760" s="80"/>
      <c r="X1760" s="80"/>
      <c r="Y1760" s="80"/>
      <c r="Z1760" s="80"/>
      <c r="AA1760" s="80"/>
      <c r="AB1760" s="80"/>
      <c r="AC1760" s="80"/>
      <c r="AD1760" s="80"/>
      <c r="AE1760" s="80"/>
      <c r="AF1760" s="80"/>
      <c r="AG1760" s="80"/>
    </row>
    <row r="1761" spans="1:33" x14ac:dyDescent="0.2">
      <c r="A1761" s="2"/>
      <c r="B1761" s="80"/>
      <c r="C1761" s="80"/>
      <c r="D1761" s="80"/>
      <c r="E1761" s="80"/>
      <c r="F1761" s="80"/>
      <c r="G1761" s="80"/>
      <c r="H1761" s="80"/>
      <c r="I1761" s="80"/>
      <c r="J1761" s="80"/>
      <c r="K1761" s="80"/>
      <c r="L1761" s="2"/>
      <c r="M1761" s="2"/>
      <c r="N1761" s="2"/>
      <c r="O1761" s="2"/>
      <c r="P1761" s="2"/>
      <c r="Q1761" s="2"/>
      <c r="R1761" s="80"/>
      <c r="S1761" s="80"/>
      <c r="T1761" s="80"/>
      <c r="U1761" s="80"/>
      <c r="V1761" s="80"/>
      <c r="W1761" s="80"/>
      <c r="X1761" s="80"/>
      <c r="Y1761" s="80"/>
      <c r="Z1761" s="80"/>
      <c r="AA1761" s="80"/>
      <c r="AB1761" s="80"/>
      <c r="AC1761" s="80"/>
      <c r="AD1761" s="80"/>
      <c r="AE1761" s="80"/>
      <c r="AF1761" s="80"/>
      <c r="AG1761" s="80"/>
    </row>
    <row r="1762" spans="1:33" x14ac:dyDescent="0.2">
      <c r="A1762" s="2"/>
      <c r="B1762" s="80"/>
      <c r="C1762" s="80"/>
      <c r="D1762" s="80"/>
      <c r="E1762" s="80"/>
      <c r="F1762" s="80"/>
      <c r="G1762" s="80"/>
      <c r="H1762" s="80"/>
      <c r="I1762" s="80"/>
      <c r="J1762" s="80"/>
      <c r="K1762" s="80"/>
      <c r="L1762" s="2"/>
      <c r="M1762" s="2"/>
      <c r="N1762" s="2"/>
      <c r="O1762" s="2"/>
      <c r="P1762" s="2"/>
      <c r="Q1762" s="2"/>
      <c r="R1762" s="80"/>
      <c r="S1762" s="80"/>
      <c r="T1762" s="80"/>
      <c r="U1762" s="80"/>
      <c r="V1762" s="80"/>
      <c r="W1762" s="80"/>
      <c r="X1762" s="80"/>
      <c r="Y1762" s="80"/>
      <c r="Z1762" s="80"/>
      <c r="AA1762" s="80"/>
      <c r="AB1762" s="80"/>
      <c r="AC1762" s="80"/>
      <c r="AD1762" s="80"/>
      <c r="AE1762" s="80"/>
      <c r="AF1762" s="80"/>
      <c r="AG1762" s="80"/>
    </row>
    <row r="1763" spans="1:33" x14ac:dyDescent="0.2">
      <c r="A1763" s="2"/>
      <c r="B1763" s="80"/>
      <c r="C1763" s="80"/>
      <c r="D1763" s="80"/>
      <c r="E1763" s="80"/>
      <c r="F1763" s="80"/>
      <c r="G1763" s="80"/>
      <c r="H1763" s="80"/>
      <c r="I1763" s="80"/>
      <c r="J1763" s="80"/>
      <c r="K1763" s="80"/>
      <c r="L1763" s="2"/>
      <c r="M1763" s="2"/>
      <c r="N1763" s="2"/>
      <c r="O1763" s="2"/>
      <c r="P1763" s="2"/>
      <c r="Q1763" s="2"/>
      <c r="R1763" s="80"/>
      <c r="S1763" s="80"/>
      <c r="T1763" s="80"/>
      <c r="U1763" s="80"/>
      <c r="V1763" s="80"/>
      <c r="W1763" s="80"/>
      <c r="X1763" s="80"/>
      <c r="Y1763" s="80"/>
      <c r="Z1763" s="80"/>
      <c r="AA1763" s="80"/>
      <c r="AB1763" s="80"/>
      <c r="AC1763" s="80"/>
      <c r="AD1763" s="80"/>
      <c r="AE1763" s="80"/>
      <c r="AF1763" s="80"/>
      <c r="AG1763" s="80"/>
    </row>
    <row r="1764" spans="1:33" x14ac:dyDescent="0.2">
      <c r="A1764" s="2"/>
      <c r="B1764" s="80"/>
      <c r="C1764" s="80"/>
      <c r="D1764" s="80"/>
      <c r="E1764" s="80"/>
      <c r="F1764" s="80"/>
      <c r="G1764" s="80"/>
      <c r="H1764" s="80"/>
      <c r="I1764" s="80"/>
      <c r="J1764" s="80"/>
      <c r="K1764" s="80"/>
      <c r="L1764" s="2"/>
      <c r="M1764" s="2"/>
      <c r="N1764" s="2"/>
      <c r="O1764" s="2"/>
      <c r="P1764" s="2"/>
      <c r="Q1764" s="2"/>
      <c r="R1764" s="80"/>
      <c r="S1764" s="80"/>
      <c r="T1764" s="80"/>
      <c r="U1764" s="80"/>
      <c r="V1764" s="80"/>
      <c r="W1764" s="80"/>
      <c r="X1764" s="80"/>
      <c r="Y1764" s="80"/>
      <c r="Z1764" s="80"/>
      <c r="AA1764" s="80"/>
      <c r="AB1764" s="80"/>
      <c r="AC1764" s="80"/>
      <c r="AD1764" s="80"/>
      <c r="AE1764" s="80"/>
      <c r="AF1764" s="80"/>
      <c r="AG1764" s="80"/>
    </row>
    <row r="1765" spans="1:33" x14ac:dyDescent="0.2">
      <c r="A1765" s="2"/>
      <c r="B1765" s="80"/>
      <c r="C1765" s="80"/>
      <c r="D1765" s="80"/>
      <c r="E1765" s="80"/>
      <c r="F1765" s="80"/>
      <c r="G1765" s="80"/>
      <c r="H1765" s="80"/>
      <c r="I1765" s="80"/>
      <c r="J1765" s="80"/>
      <c r="K1765" s="80"/>
      <c r="L1765" s="2"/>
      <c r="M1765" s="2"/>
      <c r="N1765" s="2"/>
      <c r="O1765" s="2"/>
      <c r="P1765" s="2"/>
      <c r="Q1765" s="2"/>
      <c r="R1765" s="80"/>
      <c r="S1765" s="80"/>
      <c r="T1765" s="80"/>
      <c r="U1765" s="80"/>
      <c r="V1765" s="80"/>
      <c r="W1765" s="80"/>
      <c r="X1765" s="80"/>
      <c r="Y1765" s="80"/>
      <c r="Z1765" s="80"/>
      <c r="AA1765" s="80"/>
      <c r="AB1765" s="80"/>
      <c r="AC1765" s="80"/>
      <c r="AD1765" s="80"/>
      <c r="AE1765" s="80"/>
      <c r="AF1765" s="80"/>
      <c r="AG1765" s="80"/>
    </row>
    <row r="1766" spans="1:33" x14ac:dyDescent="0.2">
      <c r="A1766" s="2"/>
      <c r="B1766" s="80"/>
      <c r="C1766" s="80"/>
      <c r="D1766" s="80"/>
      <c r="E1766" s="80"/>
      <c r="F1766" s="80"/>
      <c r="G1766" s="80"/>
      <c r="H1766" s="80"/>
      <c r="I1766" s="80"/>
      <c r="J1766" s="80"/>
      <c r="K1766" s="80"/>
      <c r="L1766" s="2"/>
      <c r="M1766" s="2"/>
      <c r="N1766" s="2"/>
      <c r="O1766" s="2"/>
      <c r="P1766" s="2"/>
      <c r="Q1766" s="2"/>
      <c r="R1766" s="80"/>
      <c r="S1766" s="80"/>
      <c r="T1766" s="80"/>
      <c r="U1766" s="80"/>
      <c r="V1766" s="80"/>
      <c r="W1766" s="80"/>
      <c r="X1766" s="80"/>
      <c r="Y1766" s="80"/>
      <c r="Z1766" s="80"/>
      <c r="AA1766" s="80"/>
      <c r="AB1766" s="80"/>
      <c r="AC1766" s="80"/>
      <c r="AD1766" s="80"/>
      <c r="AE1766" s="80"/>
      <c r="AF1766" s="80"/>
      <c r="AG1766" s="80"/>
    </row>
    <row r="1767" spans="1:33" x14ac:dyDescent="0.2">
      <c r="A1767" s="2"/>
      <c r="B1767" s="80"/>
      <c r="C1767" s="80"/>
      <c r="D1767" s="80"/>
      <c r="E1767" s="80"/>
      <c r="F1767" s="80"/>
      <c r="G1767" s="80"/>
      <c r="H1767" s="80"/>
      <c r="I1767" s="80"/>
      <c r="J1767" s="80"/>
      <c r="K1767" s="80"/>
      <c r="L1767" s="2"/>
      <c r="M1767" s="2"/>
      <c r="N1767" s="2"/>
      <c r="O1767" s="2"/>
      <c r="P1767" s="2"/>
      <c r="Q1767" s="2"/>
      <c r="R1767" s="80"/>
      <c r="S1767" s="80"/>
      <c r="T1767" s="80"/>
      <c r="U1767" s="80"/>
      <c r="V1767" s="80"/>
      <c r="W1767" s="80"/>
      <c r="X1767" s="80"/>
      <c r="Y1767" s="80"/>
      <c r="Z1767" s="80"/>
      <c r="AA1767" s="80"/>
      <c r="AB1767" s="80"/>
      <c r="AC1767" s="80"/>
      <c r="AD1767" s="80"/>
      <c r="AE1767" s="80"/>
      <c r="AF1767" s="80"/>
      <c r="AG1767" s="80"/>
    </row>
    <row r="1768" spans="1:33" x14ac:dyDescent="0.2">
      <c r="A1768" s="2"/>
      <c r="B1768" s="80"/>
      <c r="C1768" s="80"/>
      <c r="D1768" s="80"/>
      <c r="E1768" s="80"/>
      <c r="F1768" s="80"/>
      <c r="G1768" s="80"/>
      <c r="H1768" s="80"/>
      <c r="I1768" s="80"/>
      <c r="J1768" s="80"/>
      <c r="K1768" s="80"/>
      <c r="L1768" s="2"/>
      <c r="M1768" s="2"/>
      <c r="N1768" s="2"/>
      <c r="O1768" s="2"/>
      <c r="P1768" s="2"/>
      <c r="Q1768" s="2"/>
      <c r="R1768" s="80"/>
      <c r="S1768" s="80"/>
      <c r="T1768" s="80"/>
      <c r="U1768" s="80"/>
      <c r="V1768" s="80"/>
      <c r="W1768" s="80"/>
      <c r="X1768" s="80"/>
      <c r="Y1768" s="80"/>
      <c r="Z1768" s="80"/>
      <c r="AA1768" s="80"/>
      <c r="AB1768" s="80"/>
      <c r="AC1768" s="80"/>
      <c r="AD1768" s="80"/>
      <c r="AE1768" s="80"/>
      <c r="AF1768" s="80"/>
      <c r="AG1768" s="80"/>
    </row>
    <row r="1769" spans="1:33" x14ac:dyDescent="0.2">
      <c r="A1769" s="2"/>
      <c r="B1769" s="80"/>
      <c r="C1769" s="80"/>
      <c r="D1769" s="80"/>
      <c r="E1769" s="80"/>
      <c r="F1769" s="80"/>
      <c r="G1769" s="80"/>
      <c r="H1769" s="80"/>
      <c r="I1769" s="80"/>
      <c r="J1769" s="80"/>
      <c r="K1769" s="80"/>
      <c r="L1769" s="2"/>
      <c r="M1769" s="2"/>
      <c r="N1769" s="2"/>
      <c r="O1769" s="2"/>
      <c r="P1769" s="2"/>
      <c r="Q1769" s="2"/>
      <c r="R1769" s="80"/>
      <c r="S1769" s="80"/>
      <c r="T1769" s="80"/>
      <c r="U1769" s="80"/>
      <c r="V1769" s="80"/>
      <c r="W1769" s="80"/>
      <c r="X1769" s="80"/>
      <c r="Y1769" s="80"/>
      <c r="Z1769" s="80"/>
      <c r="AA1769" s="80"/>
      <c r="AB1769" s="80"/>
      <c r="AC1769" s="80"/>
      <c r="AD1769" s="80"/>
      <c r="AE1769" s="80"/>
      <c r="AF1769" s="80"/>
      <c r="AG1769" s="80"/>
    </row>
    <row r="1770" spans="1:33" x14ac:dyDescent="0.2">
      <c r="A1770" s="2"/>
      <c r="B1770" s="80"/>
      <c r="C1770" s="80"/>
      <c r="D1770" s="80"/>
      <c r="E1770" s="80"/>
      <c r="F1770" s="80"/>
      <c r="G1770" s="80"/>
      <c r="H1770" s="80"/>
      <c r="I1770" s="80"/>
      <c r="J1770" s="80"/>
      <c r="K1770" s="80"/>
      <c r="L1770" s="2"/>
      <c r="M1770" s="2"/>
      <c r="N1770" s="2"/>
      <c r="O1770" s="2"/>
      <c r="P1770" s="2"/>
      <c r="Q1770" s="2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E1770" s="80"/>
      <c r="AF1770" s="80"/>
      <c r="AG1770" s="80"/>
    </row>
    <row r="1771" spans="1:33" x14ac:dyDescent="0.2">
      <c r="A1771" s="2"/>
      <c r="B1771" s="80"/>
      <c r="C1771" s="80"/>
      <c r="D1771" s="80"/>
      <c r="E1771" s="80"/>
      <c r="F1771" s="80"/>
      <c r="G1771" s="80"/>
      <c r="H1771" s="80"/>
      <c r="I1771" s="80"/>
      <c r="J1771" s="80"/>
      <c r="K1771" s="80"/>
      <c r="L1771" s="2"/>
      <c r="M1771" s="2"/>
      <c r="N1771" s="2"/>
      <c r="O1771" s="2"/>
      <c r="P1771" s="2"/>
      <c r="Q1771" s="2"/>
      <c r="R1771" s="80"/>
      <c r="S1771" s="80"/>
      <c r="T1771" s="80"/>
      <c r="U1771" s="80"/>
      <c r="V1771" s="80"/>
      <c r="W1771" s="80"/>
      <c r="X1771" s="80"/>
      <c r="Y1771" s="80"/>
      <c r="Z1771" s="80"/>
      <c r="AA1771" s="80"/>
      <c r="AB1771" s="80"/>
      <c r="AC1771" s="80"/>
      <c r="AD1771" s="80"/>
      <c r="AE1771" s="80"/>
      <c r="AF1771" s="80"/>
      <c r="AG1771" s="80"/>
    </row>
    <row r="1772" spans="1:33" x14ac:dyDescent="0.2">
      <c r="A1772" s="2"/>
      <c r="B1772" s="80"/>
      <c r="C1772" s="80"/>
      <c r="D1772" s="80"/>
      <c r="E1772" s="80"/>
      <c r="F1772" s="80"/>
      <c r="G1772" s="80"/>
      <c r="H1772" s="80"/>
      <c r="I1772" s="80"/>
      <c r="J1772" s="80"/>
      <c r="K1772" s="80"/>
      <c r="L1772" s="2"/>
      <c r="M1772" s="2"/>
      <c r="N1772" s="2"/>
      <c r="O1772" s="2"/>
      <c r="P1772" s="2"/>
      <c r="Q1772" s="2"/>
      <c r="R1772" s="80"/>
      <c r="S1772" s="80"/>
      <c r="T1772" s="80"/>
      <c r="U1772" s="80"/>
      <c r="V1772" s="80"/>
      <c r="W1772" s="80"/>
      <c r="X1772" s="80"/>
      <c r="Y1772" s="80"/>
      <c r="Z1772" s="80"/>
      <c r="AA1772" s="80"/>
      <c r="AB1772" s="80"/>
      <c r="AC1772" s="80"/>
      <c r="AD1772" s="80"/>
      <c r="AE1772" s="80"/>
      <c r="AF1772" s="80"/>
      <c r="AG1772" s="80"/>
    </row>
    <row r="1773" spans="1:33" x14ac:dyDescent="0.2">
      <c r="A1773" s="2"/>
      <c r="B1773" s="80"/>
      <c r="C1773" s="80"/>
      <c r="D1773" s="80"/>
      <c r="E1773" s="80"/>
      <c r="F1773" s="80"/>
      <c r="G1773" s="80"/>
      <c r="H1773" s="80"/>
      <c r="I1773" s="80"/>
      <c r="J1773" s="80"/>
      <c r="K1773" s="80"/>
      <c r="L1773" s="2"/>
      <c r="M1773" s="2"/>
      <c r="N1773" s="2"/>
      <c r="O1773" s="2"/>
      <c r="P1773" s="2"/>
      <c r="Q1773" s="2"/>
      <c r="R1773" s="80"/>
      <c r="S1773" s="80"/>
      <c r="T1773" s="80"/>
      <c r="U1773" s="80"/>
      <c r="V1773" s="80"/>
      <c r="W1773" s="80"/>
      <c r="X1773" s="80"/>
      <c r="Y1773" s="80"/>
      <c r="Z1773" s="80"/>
      <c r="AA1773" s="80"/>
      <c r="AB1773" s="80"/>
      <c r="AC1773" s="80"/>
      <c r="AD1773" s="80"/>
      <c r="AE1773" s="80"/>
      <c r="AF1773" s="80"/>
      <c r="AG1773" s="80"/>
    </row>
    <row r="1774" spans="1:33" x14ac:dyDescent="0.2">
      <c r="A1774" s="2"/>
      <c r="B1774" s="80"/>
      <c r="C1774" s="80"/>
      <c r="D1774" s="80"/>
      <c r="E1774" s="80"/>
      <c r="F1774" s="80"/>
      <c r="G1774" s="80"/>
      <c r="H1774" s="80"/>
      <c r="I1774" s="80"/>
      <c r="J1774" s="80"/>
      <c r="K1774" s="80"/>
      <c r="L1774" s="2"/>
      <c r="M1774" s="2"/>
      <c r="N1774" s="2"/>
      <c r="O1774" s="2"/>
      <c r="P1774" s="2"/>
      <c r="Q1774" s="2"/>
      <c r="R1774" s="80"/>
      <c r="S1774" s="80"/>
      <c r="T1774" s="80"/>
      <c r="U1774" s="80"/>
      <c r="V1774" s="80"/>
      <c r="W1774" s="80"/>
      <c r="X1774" s="80"/>
      <c r="Y1774" s="80"/>
      <c r="Z1774" s="80"/>
      <c r="AA1774" s="80"/>
      <c r="AB1774" s="80"/>
      <c r="AC1774" s="80"/>
      <c r="AD1774" s="80"/>
      <c r="AE1774" s="80"/>
      <c r="AF1774" s="80"/>
      <c r="AG1774" s="80"/>
    </row>
    <row r="1775" spans="1:33" x14ac:dyDescent="0.2">
      <c r="A1775" s="2"/>
      <c r="B1775" s="80"/>
      <c r="C1775" s="80"/>
      <c r="D1775" s="80"/>
      <c r="E1775" s="80"/>
      <c r="F1775" s="80"/>
      <c r="G1775" s="80"/>
      <c r="H1775" s="80"/>
      <c r="I1775" s="80"/>
      <c r="J1775" s="80"/>
      <c r="K1775" s="80"/>
      <c r="L1775" s="2"/>
      <c r="M1775" s="2"/>
      <c r="N1775" s="2"/>
      <c r="O1775" s="2"/>
      <c r="P1775" s="2"/>
      <c r="Q1775" s="2"/>
      <c r="R1775" s="80"/>
      <c r="S1775" s="80"/>
      <c r="T1775" s="80"/>
      <c r="U1775" s="80"/>
      <c r="V1775" s="80"/>
      <c r="W1775" s="80"/>
      <c r="X1775" s="80"/>
      <c r="Y1775" s="80"/>
      <c r="Z1775" s="80"/>
      <c r="AA1775" s="80"/>
      <c r="AB1775" s="80"/>
      <c r="AC1775" s="80"/>
      <c r="AD1775" s="80"/>
      <c r="AE1775" s="80"/>
      <c r="AF1775" s="80"/>
      <c r="AG1775" s="80"/>
    </row>
    <row r="1776" spans="1:33" x14ac:dyDescent="0.2">
      <c r="A1776" s="2"/>
      <c r="B1776" s="80"/>
      <c r="C1776" s="80"/>
      <c r="D1776" s="80"/>
      <c r="E1776" s="80"/>
      <c r="F1776" s="80"/>
      <c r="G1776" s="80"/>
      <c r="H1776" s="80"/>
      <c r="I1776" s="80"/>
      <c r="J1776" s="80"/>
      <c r="K1776" s="80"/>
      <c r="L1776" s="2"/>
      <c r="M1776" s="2"/>
      <c r="N1776" s="2"/>
      <c r="O1776" s="2"/>
      <c r="P1776" s="2"/>
      <c r="Q1776" s="2"/>
      <c r="R1776" s="80"/>
      <c r="S1776" s="80"/>
      <c r="T1776" s="80"/>
      <c r="U1776" s="80"/>
      <c r="V1776" s="80"/>
      <c r="W1776" s="80"/>
      <c r="X1776" s="80"/>
      <c r="Y1776" s="80"/>
      <c r="Z1776" s="80"/>
      <c r="AA1776" s="80"/>
      <c r="AB1776" s="80"/>
      <c r="AC1776" s="80"/>
      <c r="AD1776" s="80"/>
      <c r="AE1776" s="80"/>
      <c r="AF1776" s="80"/>
      <c r="AG1776" s="80"/>
    </row>
    <row r="1777" spans="1:33" x14ac:dyDescent="0.2">
      <c r="A1777" s="2"/>
      <c r="B1777" s="80"/>
      <c r="C1777" s="80"/>
      <c r="D1777" s="80"/>
      <c r="E1777" s="80"/>
      <c r="F1777" s="80"/>
      <c r="G1777" s="80"/>
      <c r="H1777" s="80"/>
      <c r="I1777" s="80"/>
      <c r="J1777" s="80"/>
      <c r="K1777" s="80"/>
      <c r="L1777" s="2"/>
      <c r="M1777" s="2"/>
      <c r="N1777" s="2"/>
      <c r="O1777" s="2"/>
      <c r="P1777" s="2"/>
      <c r="Q1777" s="2"/>
      <c r="R1777" s="80"/>
      <c r="S1777" s="80"/>
      <c r="T1777" s="80"/>
      <c r="U1777" s="80"/>
      <c r="V1777" s="80"/>
      <c r="W1777" s="80"/>
      <c r="X1777" s="80"/>
      <c r="Y1777" s="80"/>
      <c r="Z1777" s="80"/>
      <c r="AA1777" s="80"/>
      <c r="AB1777" s="80"/>
      <c r="AC1777" s="80"/>
      <c r="AD1777" s="80"/>
      <c r="AE1777" s="80"/>
      <c r="AF1777" s="80"/>
      <c r="AG1777" s="80"/>
    </row>
    <row r="1778" spans="1:33" x14ac:dyDescent="0.2">
      <c r="A1778" s="2"/>
      <c r="B1778" s="80"/>
      <c r="C1778" s="80"/>
      <c r="D1778" s="80"/>
      <c r="E1778" s="80"/>
      <c r="F1778" s="80"/>
      <c r="G1778" s="80"/>
      <c r="H1778" s="80"/>
      <c r="I1778" s="80"/>
      <c r="J1778" s="80"/>
      <c r="K1778" s="80"/>
      <c r="L1778" s="2"/>
      <c r="M1778" s="2"/>
      <c r="N1778" s="2"/>
      <c r="O1778" s="2"/>
      <c r="P1778" s="2"/>
      <c r="Q1778" s="2"/>
      <c r="R1778" s="80"/>
      <c r="S1778" s="80"/>
      <c r="T1778" s="80"/>
      <c r="U1778" s="80"/>
      <c r="V1778" s="80"/>
      <c r="W1778" s="80"/>
      <c r="X1778" s="80"/>
      <c r="Y1778" s="80"/>
      <c r="Z1778" s="80"/>
      <c r="AA1778" s="80"/>
      <c r="AB1778" s="80"/>
      <c r="AC1778" s="80"/>
      <c r="AD1778" s="80"/>
      <c r="AE1778" s="80"/>
      <c r="AF1778" s="80"/>
      <c r="AG1778" s="80"/>
    </row>
    <row r="1779" spans="1:33" x14ac:dyDescent="0.2">
      <c r="A1779" s="2"/>
      <c r="B1779" s="80"/>
      <c r="C1779" s="80"/>
      <c r="D1779" s="80"/>
      <c r="E1779" s="80"/>
      <c r="F1779" s="80"/>
      <c r="G1779" s="80"/>
      <c r="H1779" s="80"/>
      <c r="I1779" s="80"/>
      <c r="J1779" s="80"/>
      <c r="K1779" s="80"/>
      <c r="L1779" s="2"/>
      <c r="M1779" s="2"/>
      <c r="N1779" s="2"/>
      <c r="O1779" s="2"/>
      <c r="P1779" s="2"/>
      <c r="Q1779" s="2"/>
      <c r="R1779" s="80"/>
      <c r="S1779" s="80"/>
      <c r="T1779" s="80"/>
      <c r="U1779" s="80"/>
      <c r="V1779" s="80"/>
      <c r="W1779" s="80"/>
      <c r="X1779" s="80"/>
      <c r="Y1779" s="80"/>
      <c r="Z1779" s="80"/>
      <c r="AA1779" s="80"/>
      <c r="AB1779" s="80"/>
      <c r="AC1779" s="80"/>
      <c r="AD1779" s="80"/>
      <c r="AE1779" s="80"/>
      <c r="AF1779" s="80"/>
      <c r="AG1779" s="80"/>
    </row>
    <row r="1780" spans="1:33" x14ac:dyDescent="0.2">
      <c r="A1780" s="2"/>
      <c r="B1780" s="80"/>
      <c r="C1780" s="80"/>
      <c r="D1780" s="80"/>
      <c r="E1780" s="80"/>
      <c r="F1780" s="80"/>
      <c r="G1780" s="80"/>
      <c r="H1780" s="80"/>
      <c r="I1780" s="80"/>
      <c r="J1780" s="80"/>
      <c r="K1780" s="80"/>
      <c r="L1780" s="2"/>
      <c r="M1780" s="2"/>
      <c r="N1780" s="2"/>
      <c r="O1780" s="2"/>
      <c r="P1780" s="2"/>
      <c r="Q1780" s="2"/>
      <c r="R1780" s="80"/>
      <c r="S1780" s="80"/>
      <c r="T1780" s="80"/>
      <c r="U1780" s="80"/>
      <c r="V1780" s="80"/>
      <c r="W1780" s="80"/>
      <c r="X1780" s="80"/>
      <c r="Y1780" s="80"/>
      <c r="Z1780" s="80"/>
      <c r="AA1780" s="80"/>
      <c r="AB1780" s="80"/>
      <c r="AC1780" s="80"/>
      <c r="AD1780" s="80"/>
      <c r="AE1780" s="80"/>
      <c r="AF1780" s="80"/>
      <c r="AG1780" s="80"/>
    </row>
    <row r="1781" spans="1:33" x14ac:dyDescent="0.2">
      <c r="A1781" s="2"/>
      <c r="B1781" s="80"/>
      <c r="C1781" s="80"/>
      <c r="D1781" s="80"/>
      <c r="E1781" s="80"/>
      <c r="F1781" s="80"/>
      <c r="G1781" s="80"/>
      <c r="H1781" s="80"/>
      <c r="I1781" s="80"/>
      <c r="J1781" s="80"/>
      <c r="K1781" s="80"/>
      <c r="L1781" s="2"/>
      <c r="M1781" s="2"/>
      <c r="N1781" s="2"/>
      <c r="O1781" s="2"/>
      <c r="P1781" s="2"/>
      <c r="Q1781" s="2"/>
      <c r="R1781" s="80"/>
      <c r="S1781" s="80"/>
      <c r="T1781" s="80"/>
      <c r="U1781" s="80"/>
      <c r="V1781" s="80"/>
      <c r="W1781" s="80"/>
      <c r="X1781" s="80"/>
      <c r="Y1781" s="80"/>
      <c r="Z1781" s="80"/>
      <c r="AA1781" s="80"/>
      <c r="AB1781" s="80"/>
      <c r="AC1781" s="80"/>
      <c r="AD1781" s="80"/>
      <c r="AE1781" s="80"/>
      <c r="AF1781" s="80"/>
      <c r="AG1781" s="80"/>
    </row>
    <row r="1782" spans="1:33" x14ac:dyDescent="0.2">
      <c r="A1782" s="2"/>
      <c r="B1782" s="80"/>
      <c r="C1782" s="80"/>
      <c r="D1782" s="80"/>
      <c r="E1782" s="80"/>
      <c r="F1782" s="80"/>
      <c r="G1782" s="80"/>
      <c r="H1782" s="80"/>
      <c r="I1782" s="80"/>
      <c r="J1782" s="80"/>
      <c r="K1782" s="80"/>
      <c r="L1782" s="2"/>
      <c r="M1782" s="2"/>
      <c r="N1782" s="2"/>
      <c r="O1782" s="2"/>
      <c r="P1782" s="2"/>
      <c r="Q1782" s="2"/>
      <c r="R1782" s="80"/>
      <c r="S1782" s="80"/>
      <c r="T1782" s="80"/>
      <c r="U1782" s="80"/>
      <c r="V1782" s="80"/>
      <c r="W1782" s="80"/>
      <c r="X1782" s="80"/>
      <c r="Y1782" s="80"/>
      <c r="Z1782" s="80"/>
      <c r="AA1782" s="80"/>
      <c r="AB1782" s="80"/>
      <c r="AC1782" s="80"/>
      <c r="AD1782" s="80"/>
      <c r="AE1782" s="80"/>
      <c r="AF1782" s="80"/>
      <c r="AG1782" s="80"/>
    </row>
    <row r="1783" spans="1:33" x14ac:dyDescent="0.2">
      <c r="A1783" s="2"/>
      <c r="B1783" s="80"/>
      <c r="C1783" s="80"/>
      <c r="D1783" s="80"/>
      <c r="E1783" s="80"/>
      <c r="F1783" s="80"/>
      <c r="G1783" s="80"/>
      <c r="H1783" s="80"/>
      <c r="I1783" s="80"/>
      <c r="J1783" s="80"/>
      <c r="K1783" s="80"/>
      <c r="L1783" s="2"/>
      <c r="M1783" s="2"/>
      <c r="N1783" s="2"/>
      <c r="O1783" s="2"/>
      <c r="P1783" s="2"/>
      <c r="Q1783" s="2"/>
      <c r="R1783" s="80"/>
      <c r="S1783" s="80"/>
      <c r="T1783" s="80"/>
      <c r="U1783" s="80"/>
      <c r="V1783" s="80"/>
      <c r="W1783" s="80"/>
      <c r="X1783" s="80"/>
      <c r="Y1783" s="80"/>
      <c r="Z1783" s="80"/>
      <c r="AA1783" s="80"/>
      <c r="AB1783" s="80"/>
      <c r="AC1783" s="80"/>
      <c r="AD1783" s="80"/>
      <c r="AE1783" s="80"/>
      <c r="AF1783" s="80"/>
      <c r="AG1783" s="80"/>
    </row>
    <row r="1784" spans="1:33" x14ac:dyDescent="0.2">
      <c r="A1784" s="2"/>
      <c r="B1784" s="80"/>
      <c r="C1784" s="80"/>
      <c r="D1784" s="80"/>
      <c r="E1784" s="80"/>
      <c r="F1784" s="80"/>
      <c r="G1784" s="80"/>
      <c r="H1784" s="80"/>
      <c r="I1784" s="80"/>
      <c r="J1784" s="80"/>
      <c r="K1784" s="80"/>
      <c r="L1784" s="2"/>
      <c r="M1784" s="2"/>
      <c r="N1784" s="2"/>
      <c r="O1784" s="2"/>
      <c r="P1784" s="2"/>
      <c r="Q1784" s="2"/>
      <c r="R1784" s="80"/>
      <c r="S1784" s="80"/>
      <c r="T1784" s="80"/>
      <c r="U1784" s="80"/>
      <c r="V1784" s="80"/>
      <c r="W1784" s="80"/>
      <c r="X1784" s="80"/>
      <c r="Y1784" s="80"/>
      <c r="Z1784" s="80"/>
      <c r="AA1784" s="80"/>
      <c r="AB1784" s="80"/>
      <c r="AC1784" s="80"/>
      <c r="AD1784" s="80"/>
      <c r="AE1784" s="80"/>
      <c r="AF1784" s="80"/>
      <c r="AG1784" s="80"/>
    </row>
    <row r="1785" spans="1:33" x14ac:dyDescent="0.2">
      <c r="A1785" s="2"/>
      <c r="B1785" s="80"/>
      <c r="C1785" s="80"/>
      <c r="D1785" s="80"/>
      <c r="E1785" s="80"/>
      <c r="F1785" s="80"/>
      <c r="G1785" s="80"/>
      <c r="H1785" s="80"/>
      <c r="I1785" s="80"/>
      <c r="J1785" s="80"/>
      <c r="K1785" s="80"/>
      <c r="L1785" s="2"/>
      <c r="M1785" s="2"/>
      <c r="N1785" s="2"/>
      <c r="O1785" s="2"/>
      <c r="P1785" s="2"/>
      <c r="Q1785" s="2"/>
      <c r="R1785" s="80"/>
      <c r="S1785" s="80"/>
      <c r="T1785" s="80"/>
      <c r="U1785" s="80"/>
      <c r="V1785" s="80"/>
      <c r="W1785" s="80"/>
      <c r="X1785" s="80"/>
      <c r="Y1785" s="80"/>
      <c r="Z1785" s="80"/>
      <c r="AA1785" s="80"/>
      <c r="AB1785" s="80"/>
      <c r="AC1785" s="80"/>
      <c r="AD1785" s="80"/>
      <c r="AE1785" s="80"/>
      <c r="AF1785" s="80"/>
      <c r="AG1785" s="80"/>
    </row>
    <row r="1786" spans="1:33" x14ac:dyDescent="0.2">
      <c r="A1786" s="2"/>
      <c r="B1786" s="80"/>
      <c r="C1786" s="80"/>
      <c r="D1786" s="80"/>
      <c r="E1786" s="80"/>
      <c r="F1786" s="80"/>
      <c r="G1786" s="80"/>
      <c r="H1786" s="80"/>
      <c r="I1786" s="80"/>
      <c r="J1786" s="80"/>
      <c r="K1786" s="80"/>
      <c r="L1786" s="2"/>
      <c r="M1786" s="2"/>
      <c r="N1786" s="2"/>
      <c r="O1786" s="2"/>
      <c r="P1786" s="2"/>
      <c r="Q1786" s="2"/>
      <c r="R1786" s="80"/>
      <c r="S1786" s="80"/>
      <c r="T1786" s="80"/>
      <c r="U1786" s="80"/>
      <c r="V1786" s="80"/>
      <c r="W1786" s="80"/>
      <c r="X1786" s="80"/>
      <c r="Y1786" s="80"/>
      <c r="Z1786" s="80"/>
      <c r="AA1786" s="80"/>
      <c r="AB1786" s="80"/>
      <c r="AC1786" s="80"/>
      <c r="AD1786" s="80"/>
      <c r="AE1786" s="80"/>
      <c r="AF1786" s="80"/>
      <c r="AG1786" s="80"/>
    </row>
    <row r="1787" spans="1:33" x14ac:dyDescent="0.2">
      <c r="A1787" s="2"/>
      <c r="B1787" s="80"/>
      <c r="C1787" s="80"/>
      <c r="D1787" s="80"/>
      <c r="E1787" s="80"/>
      <c r="F1787" s="80"/>
      <c r="G1787" s="80"/>
      <c r="H1787" s="80"/>
      <c r="I1787" s="80"/>
      <c r="J1787" s="80"/>
      <c r="K1787" s="80"/>
      <c r="L1787" s="2"/>
      <c r="M1787" s="2"/>
      <c r="N1787" s="2"/>
      <c r="O1787" s="2"/>
      <c r="P1787" s="2"/>
      <c r="Q1787" s="2"/>
      <c r="R1787" s="80"/>
      <c r="S1787" s="80"/>
      <c r="T1787" s="80"/>
      <c r="U1787" s="80"/>
      <c r="V1787" s="80"/>
      <c r="W1787" s="80"/>
      <c r="X1787" s="80"/>
      <c r="Y1787" s="80"/>
      <c r="Z1787" s="80"/>
      <c r="AA1787" s="80"/>
      <c r="AB1787" s="80"/>
      <c r="AC1787" s="80"/>
      <c r="AD1787" s="80"/>
      <c r="AE1787" s="80"/>
      <c r="AF1787" s="80"/>
      <c r="AG1787" s="80"/>
    </row>
    <row r="1788" spans="1:33" x14ac:dyDescent="0.2">
      <c r="A1788" s="2"/>
      <c r="B1788" s="80"/>
      <c r="C1788" s="80"/>
      <c r="D1788" s="80"/>
      <c r="E1788" s="80"/>
      <c r="F1788" s="80"/>
      <c r="G1788" s="80"/>
      <c r="H1788" s="80"/>
      <c r="I1788" s="80"/>
      <c r="J1788" s="80"/>
      <c r="K1788" s="80"/>
      <c r="L1788" s="2"/>
      <c r="M1788" s="2"/>
      <c r="N1788" s="2"/>
      <c r="O1788" s="2"/>
      <c r="P1788" s="2"/>
      <c r="Q1788" s="2"/>
      <c r="R1788" s="80"/>
      <c r="S1788" s="80"/>
      <c r="T1788" s="80"/>
      <c r="U1788" s="80"/>
      <c r="V1788" s="80"/>
      <c r="W1788" s="80"/>
      <c r="X1788" s="80"/>
      <c r="Y1788" s="80"/>
      <c r="Z1788" s="80"/>
      <c r="AA1788" s="80"/>
      <c r="AB1788" s="80"/>
      <c r="AC1788" s="80"/>
      <c r="AD1788" s="80"/>
      <c r="AE1788" s="80"/>
      <c r="AF1788" s="80"/>
      <c r="AG1788" s="80"/>
    </row>
    <row r="1789" spans="1:33" x14ac:dyDescent="0.2">
      <c r="A1789" s="2"/>
      <c r="B1789" s="80"/>
      <c r="C1789" s="80"/>
      <c r="D1789" s="80"/>
      <c r="E1789" s="80"/>
      <c r="F1789" s="80"/>
      <c r="G1789" s="80"/>
      <c r="H1789" s="80"/>
      <c r="I1789" s="80"/>
      <c r="J1789" s="80"/>
      <c r="K1789" s="80"/>
      <c r="L1789" s="2"/>
      <c r="M1789" s="2"/>
      <c r="N1789" s="2"/>
      <c r="O1789" s="2"/>
      <c r="P1789" s="2"/>
      <c r="Q1789" s="2"/>
      <c r="R1789" s="80"/>
      <c r="S1789" s="80"/>
      <c r="T1789" s="80"/>
      <c r="U1789" s="80"/>
      <c r="V1789" s="80"/>
      <c r="W1789" s="80"/>
      <c r="X1789" s="80"/>
      <c r="Y1789" s="80"/>
      <c r="Z1789" s="80"/>
      <c r="AA1789" s="80"/>
      <c r="AB1789" s="80"/>
      <c r="AC1789" s="80"/>
      <c r="AD1789" s="80"/>
      <c r="AE1789" s="80"/>
      <c r="AF1789" s="80"/>
      <c r="AG1789" s="80"/>
    </row>
    <row r="1790" spans="1:33" x14ac:dyDescent="0.2">
      <c r="A1790" s="2"/>
      <c r="B1790" s="80"/>
      <c r="C1790" s="80"/>
      <c r="D1790" s="80"/>
      <c r="E1790" s="80"/>
      <c r="F1790" s="80"/>
      <c r="G1790" s="80"/>
      <c r="H1790" s="80"/>
      <c r="I1790" s="80"/>
      <c r="J1790" s="80"/>
      <c r="K1790" s="80"/>
      <c r="L1790" s="2"/>
      <c r="M1790" s="2"/>
      <c r="N1790" s="2"/>
      <c r="O1790" s="2"/>
      <c r="P1790" s="2"/>
      <c r="Q1790" s="2"/>
      <c r="R1790" s="80"/>
      <c r="S1790" s="80"/>
      <c r="T1790" s="80"/>
      <c r="U1790" s="80"/>
      <c r="V1790" s="80"/>
      <c r="W1790" s="80"/>
      <c r="X1790" s="80"/>
      <c r="Y1790" s="80"/>
      <c r="Z1790" s="80"/>
      <c r="AA1790" s="80"/>
      <c r="AB1790" s="80"/>
      <c r="AC1790" s="80"/>
      <c r="AD1790" s="80"/>
      <c r="AE1790" s="80"/>
      <c r="AF1790" s="80"/>
      <c r="AG1790" s="80"/>
    </row>
    <row r="1791" spans="1:33" x14ac:dyDescent="0.2">
      <c r="A1791" s="2"/>
      <c r="B1791" s="80"/>
      <c r="C1791" s="80"/>
      <c r="D1791" s="80"/>
      <c r="E1791" s="80"/>
      <c r="F1791" s="80"/>
      <c r="G1791" s="80"/>
      <c r="H1791" s="80"/>
      <c r="I1791" s="80"/>
      <c r="J1791" s="80"/>
      <c r="K1791" s="80"/>
      <c r="L1791" s="2"/>
      <c r="M1791" s="2"/>
      <c r="N1791" s="2"/>
      <c r="O1791" s="2"/>
      <c r="P1791" s="2"/>
      <c r="Q1791" s="2"/>
      <c r="R1791" s="80"/>
      <c r="S1791" s="80"/>
      <c r="T1791" s="80"/>
      <c r="U1791" s="80"/>
      <c r="V1791" s="80"/>
      <c r="W1791" s="80"/>
      <c r="X1791" s="80"/>
      <c r="Y1791" s="80"/>
      <c r="Z1791" s="80"/>
      <c r="AA1791" s="80"/>
      <c r="AB1791" s="80"/>
      <c r="AC1791" s="80"/>
      <c r="AD1791" s="80"/>
      <c r="AE1791" s="80"/>
      <c r="AF1791" s="80"/>
      <c r="AG1791" s="80"/>
    </row>
    <row r="1792" spans="1:33" x14ac:dyDescent="0.2">
      <c r="A1792" s="2"/>
      <c r="B1792" s="80"/>
      <c r="C1792" s="80"/>
      <c r="D1792" s="80"/>
      <c r="E1792" s="80"/>
      <c r="F1792" s="80"/>
      <c r="G1792" s="80"/>
      <c r="H1792" s="80"/>
      <c r="I1792" s="80"/>
      <c r="J1792" s="80"/>
      <c r="K1792" s="80"/>
      <c r="L1792" s="2"/>
      <c r="M1792" s="2"/>
      <c r="N1792" s="2"/>
      <c r="O1792" s="2"/>
      <c r="P1792" s="2"/>
      <c r="Q1792" s="2"/>
      <c r="R1792" s="80"/>
      <c r="S1792" s="80"/>
      <c r="T1792" s="80"/>
      <c r="U1792" s="80"/>
      <c r="V1792" s="80"/>
      <c r="W1792" s="80"/>
      <c r="X1792" s="80"/>
      <c r="Y1792" s="80"/>
      <c r="Z1792" s="80"/>
      <c r="AA1792" s="80"/>
      <c r="AB1792" s="80"/>
      <c r="AC1792" s="80"/>
      <c r="AD1792" s="80"/>
      <c r="AE1792" s="80"/>
      <c r="AF1792" s="80"/>
      <c r="AG1792" s="80"/>
    </row>
    <row r="1793" spans="1:33" x14ac:dyDescent="0.2">
      <c r="A1793" s="2"/>
      <c r="B1793" s="80"/>
      <c r="C1793" s="80"/>
      <c r="D1793" s="80"/>
      <c r="E1793" s="80"/>
      <c r="F1793" s="80"/>
      <c r="G1793" s="80"/>
      <c r="H1793" s="80"/>
      <c r="I1793" s="80"/>
      <c r="J1793" s="80"/>
      <c r="K1793" s="80"/>
      <c r="L1793" s="2"/>
      <c r="M1793" s="2"/>
      <c r="N1793" s="2"/>
      <c r="O1793" s="2"/>
      <c r="P1793" s="2"/>
      <c r="Q1793" s="2"/>
      <c r="R1793" s="80"/>
      <c r="S1793" s="80"/>
      <c r="T1793" s="80"/>
      <c r="U1793" s="80"/>
      <c r="V1793" s="80"/>
      <c r="W1793" s="80"/>
      <c r="X1793" s="80"/>
      <c r="Y1793" s="80"/>
      <c r="Z1793" s="80"/>
      <c r="AA1793" s="80"/>
      <c r="AB1793" s="80"/>
      <c r="AC1793" s="80"/>
      <c r="AD1793" s="80"/>
      <c r="AE1793" s="80"/>
      <c r="AF1793" s="80"/>
      <c r="AG1793" s="80"/>
    </row>
    <row r="1794" spans="1:33" x14ac:dyDescent="0.2">
      <c r="A1794" s="2"/>
      <c r="B1794" s="80"/>
      <c r="C1794" s="80"/>
      <c r="D1794" s="80"/>
      <c r="E1794" s="80"/>
      <c r="F1794" s="80"/>
      <c r="G1794" s="80"/>
      <c r="H1794" s="80"/>
      <c r="I1794" s="80"/>
      <c r="J1794" s="80"/>
      <c r="K1794" s="80"/>
      <c r="L1794" s="2"/>
      <c r="M1794" s="2"/>
      <c r="N1794" s="2"/>
      <c r="O1794" s="2"/>
      <c r="P1794" s="2"/>
      <c r="Q1794" s="2"/>
      <c r="R1794" s="80"/>
      <c r="S1794" s="80"/>
      <c r="T1794" s="80"/>
      <c r="U1794" s="80"/>
      <c r="V1794" s="80"/>
      <c r="W1794" s="80"/>
      <c r="X1794" s="80"/>
      <c r="Y1794" s="80"/>
      <c r="Z1794" s="80"/>
      <c r="AA1794" s="80"/>
      <c r="AB1794" s="80"/>
      <c r="AC1794" s="80"/>
      <c r="AD1794" s="80"/>
      <c r="AE1794" s="80"/>
      <c r="AF1794" s="80"/>
      <c r="AG1794" s="80"/>
    </row>
    <row r="1795" spans="1:33" x14ac:dyDescent="0.2">
      <c r="A1795" s="2"/>
      <c r="B1795" s="80"/>
      <c r="C1795" s="80"/>
      <c r="D1795" s="80"/>
      <c r="E1795" s="80"/>
      <c r="F1795" s="80"/>
      <c r="G1795" s="80"/>
      <c r="H1795" s="80"/>
      <c r="I1795" s="80"/>
      <c r="J1795" s="80"/>
      <c r="K1795" s="80"/>
      <c r="L1795" s="2"/>
      <c r="M1795" s="2"/>
      <c r="N1795" s="2"/>
      <c r="O1795" s="2"/>
      <c r="P1795" s="2"/>
      <c r="Q1795" s="2"/>
      <c r="R1795" s="80"/>
      <c r="S1795" s="80"/>
      <c r="T1795" s="80"/>
      <c r="U1795" s="80"/>
      <c r="V1795" s="80"/>
      <c r="W1795" s="80"/>
      <c r="X1795" s="80"/>
      <c r="Y1795" s="80"/>
      <c r="Z1795" s="80"/>
      <c r="AA1795" s="80"/>
      <c r="AB1795" s="80"/>
      <c r="AC1795" s="80"/>
      <c r="AD1795" s="80"/>
      <c r="AE1795" s="80"/>
      <c r="AF1795" s="80"/>
      <c r="AG1795" s="80"/>
    </row>
    <row r="1796" spans="1:33" x14ac:dyDescent="0.2">
      <c r="A1796" s="2"/>
      <c r="B1796" s="80"/>
      <c r="C1796" s="80"/>
      <c r="D1796" s="80"/>
      <c r="E1796" s="80"/>
      <c r="F1796" s="80"/>
      <c r="G1796" s="80"/>
      <c r="H1796" s="80"/>
      <c r="I1796" s="80"/>
      <c r="J1796" s="80"/>
      <c r="K1796" s="80"/>
      <c r="L1796" s="2"/>
      <c r="M1796" s="2"/>
      <c r="N1796" s="2"/>
      <c r="O1796" s="2"/>
      <c r="P1796" s="2"/>
      <c r="Q1796" s="2"/>
      <c r="R1796" s="80"/>
      <c r="S1796" s="80"/>
      <c r="T1796" s="80"/>
      <c r="U1796" s="80"/>
      <c r="V1796" s="80"/>
      <c r="W1796" s="80"/>
      <c r="X1796" s="80"/>
      <c r="Y1796" s="80"/>
      <c r="Z1796" s="80"/>
      <c r="AA1796" s="80"/>
      <c r="AB1796" s="80"/>
      <c r="AC1796" s="80"/>
      <c r="AD1796" s="80"/>
      <c r="AE1796" s="80"/>
      <c r="AF1796" s="80"/>
      <c r="AG1796" s="80"/>
    </row>
    <row r="1797" spans="1:33" x14ac:dyDescent="0.2">
      <c r="A1797" s="2"/>
      <c r="B1797" s="80"/>
      <c r="C1797" s="80"/>
      <c r="D1797" s="80"/>
      <c r="E1797" s="80"/>
      <c r="F1797" s="80"/>
      <c r="G1797" s="80"/>
      <c r="H1797" s="80"/>
      <c r="I1797" s="80"/>
      <c r="J1797" s="80"/>
      <c r="K1797" s="80"/>
      <c r="L1797" s="2"/>
      <c r="M1797" s="2"/>
      <c r="N1797" s="2"/>
      <c r="O1797" s="2"/>
      <c r="P1797" s="2"/>
      <c r="Q1797" s="2"/>
      <c r="R1797" s="80"/>
      <c r="S1797" s="80"/>
      <c r="T1797" s="80"/>
      <c r="U1797" s="80"/>
      <c r="V1797" s="80"/>
      <c r="W1797" s="80"/>
      <c r="X1797" s="80"/>
      <c r="Y1797" s="80"/>
      <c r="Z1797" s="80"/>
      <c r="AA1797" s="80"/>
      <c r="AB1797" s="80"/>
      <c r="AC1797" s="80"/>
      <c r="AD1797" s="80"/>
      <c r="AE1797" s="80"/>
      <c r="AF1797" s="80"/>
      <c r="AG1797" s="80"/>
    </row>
    <row r="1798" spans="1:33" x14ac:dyDescent="0.2">
      <c r="A1798" s="2"/>
      <c r="B1798" s="80"/>
      <c r="C1798" s="80"/>
      <c r="D1798" s="80"/>
      <c r="E1798" s="80"/>
      <c r="F1798" s="80"/>
      <c r="G1798" s="80"/>
      <c r="H1798" s="80"/>
      <c r="I1798" s="80"/>
      <c r="J1798" s="80"/>
      <c r="K1798" s="80"/>
      <c r="L1798" s="2"/>
      <c r="M1798" s="2"/>
      <c r="N1798" s="2"/>
      <c r="O1798" s="2"/>
      <c r="P1798" s="2"/>
      <c r="Q1798" s="2"/>
      <c r="R1798" s="80"/>
      <c r="S1798" s="80"/>
      <c r="T1798" s="80"/>
      <c r="U1798" s="80"/>
      <c r="V1798" s="80"/>
      <c r="W1798" s="80"/>
      <c r="X1798" s="80"/>
      <c r="Y1798" s="80"/>
      <c r="Z1798" s="80"/>
      <c r="AA1798" s="80"/>
      <c r="AB1798" s="80"/>
      <c r="AC1798" s="80"/>
      <c r="AD1798" s="80"/>
      <c r="AE1798" s="80"/>
      <c r="AF1798" s="80"/>
      <c r="AG1798" s="80"/>
    </row>
    <row r="1799" spans="1:33" x14ac:dyDescent="0.2">
      <c r="A1799" s="2"/>
      <c r="B1799" s="80"/>
      <c r="C1799" s="80"/>
      <c r="D1799" s="80"/>
      <c r="E1799" s="80"/>
      <c r="F1799" s="80"/>
      <c r="G1799" s="80"/>
      <c r="H1799" s="80"/>
      <c r="I1799" s="80"/>
      <c r="J1799" s="80"/>
      <c r="K1799" s="80"/>
      <c r="L1799" s="2"/>
      <c r="M1799" s="2"/>
      <c r="N1799" s="2"/>
      <c r="O1799" s="2"/>
      <c r="P1799" s="2"/>
      <c r="Q1799" s="2"/>
      <c r="R1799" s="80"/>
      <c r="S1799" s="80"/>
      <c r="T1799" s="80"/>
      <c r="U1799" s="80"/>
      <c r="V1799" s="80"/>
      <c r="W1799" s="80"/>
      <c r="X1799" s="80"/>
      <c r="Y1799" s="80"/>
      <c r="Z1799" s="80"/>
      <c r="AA1799" s="80"/>
      <c r="AB1799" s="80"/>
      <c r="AC1799" s="80"/>
      <c r="AD1799" s="80"/>
      <c r="AE1799" s="80"/>
      <c r="AF1799" s="80"/>
      <c r="AG1799" s="80"/>
    </row>
    <row r="1800" spans="1:33" x14ac:dyDescent="0.2">
      <c r="A1800" s="2"/>
      <c r="B1800" s="80"/>
      <c r="C1800" s="80"/>
      <c r="D1800" s="80"/>
      <c r="E1800" s="80"/>
      <c r="F1800" s="80"/>
      <c r="G1800" s="80"/>
      <c r="H1800" s="80"/>
      <c r="I1800" s="80"/>
      <c r="J1800" s="80"/>
      <c r="K1800" s="80"/>
      <c r="L1800" s="2"/>
      <c r="M1800" s="2"/>
      <c r="N1800" s="2"/>
      <c r="O1800" s="2"/>
      <c r="P1800" s="2"/>
      <c r="Q1800" s="2"/>
      <c r="R1800" s="80"/>
      <c r="S1800" s="80"/>
      <c r="T1800" s="80"/>
      <c r="U1800" s="80"/>
      <c r="V1800" s="80"/>
      <c r="W1800" s="80"/>
      <c r="X1800" s="80"/>
      <c r="Y1800" s="80"/>
      <c r="Z1800" s="80"/>
      <c r="AA1800" s="80"/>
      <c r="AB1800" s="80"/>
      <c r="AC1800" s="80"/>
      <c r="AD1800" s="80"/>
      <c r="AE1800" s="80"/>
      <c r="AF1800" s="80"/>
      <c r="AG1800" s="80"/>
    </row>
    <row r="1801" spans="1:33" x14ac:dyDescent="0.2">
      <c r="A1801" s="2"/>
      <c r="B1801" s="80"/>
      <c r="C1801" s="80"/>
      <c r="D1801" s="80"/>
      <c r="E1801" s="80"/>
      <c r="F1801" s="80"/>
      <c r="G1801" s="80"/>
      <c r="H1801" s="80"/>
      <c r="I1801" s="80"/>
      <c r="J1801" s="80"/>
      <c r="K1801" s="80"/>
      <c r="L1801" s="2"/>
      <c r="M1801" s="2"/>
      <c r="N1801" s="2"/>
      <c r="O1801" s="2"/>
      <c r="P1801" s="2"/>
      <c r="Q1801" s="2"/>
      <c r="R1801" s="80"/>
      <c r="S1801" s="80"/>
      <c r="T1801" s="80"/>
      <c r="U1801" s="80"/>
      <c r="V1801" s="80"/>
      <c r="W1801" s="80"/>
      <c r="X1801" s="80"/>
      <c r="Y1801" s="80"/>
      <c r="Z1801" s="80"/>
      <c r="AA1801" s="80"/>
      <c r="AB1801" s="80"/>
      <c r="AC1801" s="80"/>
      <c r="AD1801" s="80"/>
      <c r="AE1801" s="80"/>
      <c r="AF1801" s="80"/>
      <c r="AG1801" s="80"/>
    </row>
    <row r="1802" spans="1:33" x14ac:dyDescent="0.2">
      <c r="A1802" s="2"/>
      <c r="B1802" s="80"/>
      <c r="C1802" s="80"/>
      <c r="D1802" s="80"/>
      <c r="E1802" s="80"/>
      <c r="F1802" s="80"/>
      <c r="G1802" s="80"/>
      <c r="H1802" s="80"/>
      <c r="I1802" s="80"/>
      <c r="J1802" s="80"/>
      <c r="K1802" s="80"/>
      <c r="L1802" s="2"/>
      <c r="M1802" s="2"/>
      <c r="N1802" s="2"/>
      <c r="O1802" s="2"/>
      <c r="P1802" s="2"/>
      <c r="Q1802" s="2"/>
      <c r="R1802" s="80"/>
      <c r="S1802" s="80"/>
      <c r="T1802" s="80"/>
      <c r="U1802" s="80"/>
      <c r="V1802" s="80"/>
      <c r="W1802" s="80"/>
      <c r="X1802" s="80"/>
      <c r="Y1802" s="80"/>
      <c r="Z1802" s="80"/>
      <c r="AA1802" s="80"/>
      <c r="AB1802" s="80"/>
      <c r="AC1802" s="80"/>
      <c r="AD1802" s="80"/>
      <c r="AE1802" s="80"/>
      <c r="AF1802" s="80"/>
      <c r="AG1802" s="80"/>
    </row>
    <row r="1803" spans="1:33" x14ac:dyDescent="0.2">
      <c r="A1803" s="2"/>
      <c r="B1803" s="80"/>
      <c r="C1803" s="80"/>
      <c r="D1803" s="80"/>
      <c r="E1803" s="80"/>
      <c r="F1803" s="80"/>
      <c r="G1803" s="80"/>
      <c r="H1803" s="80"/>
      <c r="I1803" s="80"/>
      <c r="J1803" s="80"/>
      <c r="K1803" s="80"/>
      <c r="L1803" s="2"/>
      <c r="M1803" s="2"/>
      <c r="N1803" s="2"/>
      <c r="O1803" s="2"/>
      <c r="P1803" s="2"/>
      <c r="Q1803" s="2"/>
      <c r="R1803" s="80"/>
      <c r="S1803" s="80"/>
      <c r="T1803" s="80"/>
      <c r="U1803" s="80"/>
      <c r="V1803" s="80"/>
      <c r="W1803" s="80"/>
      <c r="X1803" s="80"/>
      <c r="Y1803" s="80"/>
      <c r="Z1803" s="80"/>
      <c r="AA1803" s="80"/>
      <c r="AB1803" s="80"/>
      <c r="AC1803" s="80"/>
      <c r="AD1803" s="80"/>
      <c r="AE1803" s="80"/>
      <c r="AF1803" s="80"/>
      <c r="AG1803" s="80"/>
    </row>
    <row r="1804" spans="1:33" x14ac:dyDescent="0.2">
      <c r="A1804" s="2"/>
      <c r="B1804" s="80"/>
      <c r="C1804" s="80"/>
      <c r="D1804" s="80"/>
      <c r="E1804" s="80"/>
      <c r="F1804" s="80"/>
      <c r="G1804" s="80"/>
      <c r="H1804" s="80"/>
      <c r="I1804" s="80"/>
      <c r="J1804" s="80"/>
      <c r="K1804" s="80"/>
      <c r="L1804" s="2"/>
      <c r="M1804" s="2"/>
      <c r="N1804" s="2"/>
      <c r="O1804" s="2"/>
      <c r="P1804" s="2"/>
      <c r="Q1804" s="2"/>
      <c r="R1804" s="80"/>
      <c r="S1804" s="80"/>
      <c r="T1804" s="80"/>
      <c r="U1804" s="80"/>
      <c r="V1804" s="80"/>
      <c r="W1804" s="80"/>
      <c r="X1804" s="80"/>
      <c r="Y1804" s="80"/>
      <c r="Z1804" s="80"/>
      <c r="AA1804" s="80"/>
      <c r="AB1804" s="80"/>
      <c r="AC1804" s="80"/>
      <c r="AD1804" s="80"/>
      <c r="AE1804" s="80"/>
      <c r="AF1804" s="80"/>
      <c r="AG1804" s="80"/>
    </row>
    <row r="1805" spans="1:33" x14ac:dyDescent="0.2">
      <c r="A1805" s="2"/>
      <c r="B1805" s="80"/>
      <c r="C1805" s="80"/>
      <c r="D1805" s="80"/>
      <c r="E1805" s="80"/>
      <c r="F1805" s="80"/>
      <c r="G1805" s="80"/>
      <c r="H1805" s="80"/>
      <c r="I1805" s="80"/>
      <c r="J1805" s="80"/>
      <c r="K1805" s="80"/>
      <c r="L1805" s="2"/>
      <c r="M1805" s="2"/>
      <c r="N1805" s="2"/>
      <c r="O1805" s="2"/>
      <c r="P1805" s="2"/>
      <c r="Q1805" s="2"/>
      <c r="R1805" s="80"/>
      <c r="S1805" s="80"/>
      <c r="T1805" s="80"/>
      <c r="U1805" s="80"/>
      <c r="V1805" s="80"/>
      <c r="W1805" s="80"/>
      <c r="X1805" s="80"/>
      <c r="Y1805" s="80"/>
      <c r="Z1805" s="80"/>
      <c r="AA1805" s="80"/>
      <c r="AB1805" s="80"/>
      <c r="AC1805" s="80"/>
      <c r="AD1805" s="80"/>
      <c r="AE1805" s="80"/>
      <c r="AF1805" s="80"/>
      <c r="AG1805" s="80"/>
    </row>
    <row r="1806" spans="1:33" x14ac:dyDescent="0.2">
      <c r="A1806" s="2"/>
      <c r="B1806" s="80"/>
      <c r="C1806" s="80"/>
      <c r="D1806" s="80"/>
      <c r="E1806" s="80"/>
      <c r="F1806" s="80"/>
      <c r="G1806" s="80"/>
      <c r="H1806" s="80"/>
      <c r="I1806" s="80"/>
      <c r="J1806" s="80"/>
      <c r="K1806" s="80"/>
      <c r="L1806" s="2"/>
      <c r="M1806" s="2"/>
      <c r="N1806" s="2"/>
      <c r="O1806" s="2"/>
      <c r="P1806" s="2"/>
      <c r="Q1806" s="2"/>
      <c r="R1806" s="80"/>
      <c r="S1806" s="80"/>
      <c r="T1806" s="80"/>
      <c r="U1806" s="80"/>
      <c r="V1806" s="80"/>
      <c r="W1806" s="80"/>
      <c r="X1806" s="80"/>
      <c r="Y1806" s="80"/>
      <c r="Z1806" s="80"/>
      <c r="AA1806" s="80"/>
      <c r="AB1806" s="80"/>
      <c r="AC1806" s="80"/>
      <c r="AD1806" s="80"/>
      <c r="AE1806" s="80"/>
      <c r="AF1806" s="80"/>
      <c r="AG1806" s="80"/>
    </row>
    <row r="1807" spans="1:33" x14ac:dyDescent="0.2">
      <c r="A1807" s="2"/>
      <c r="B1807" s="80"/>
      <c r="C1807" s="80"/>
      <c r="D1807" s="80"/>
      <c r="E1807" s="80"/>
      <c r="F1807" s="80"/>
      <c r="G1807" s="80"/>
      <c r="H1807" s="80"/>
      <c r="I1807" s="80"/>
      <c r="J1807" s="80"/>
      <c r="K1807" s="80"/>
      <c r="L1807" s="2"/>
      <c r="M1807" s="2"/>
      <c r="N1807" s="2"/>
      <c r="O1807" s="2"/>
      <c r="P1807" s="2"/>
      <c r="Q1807" s="2"/>
      <c r="R1807" s="80"/>
      <c r="S1807" s="80"/>
      <c r="T1807" s="80"/>
      <c r="U1807" s="80"/>
      <c r="V1807" s="80"/>
      <c r="W1807" s="80"/>
      <c r="X1807" s="80"/>
      <c r="Y1807" s="80"/>
      <c r="Z1807" s="80"/>
      <c r="AA1807" s="80"/>
      <c r="AB1807" s="80"/>
      <c r="AC1807" s="80"/>
      <c r="AD1807" s="80"/>
      <c r="AE1807" s="80"/>
      <c r="AF1807" s="80"/>
      <c r="AG1807" s="80"/>
    </row>
    <row r="1808" spans="1:33" x14ac:dyDescent="0.2">
      <c r="A1808" s="2"/>
      <c r="B1808" s="80"/>
      <c r="C1808" s="80"/>
      <c r="D1808" s="80"/>
      <c r="E1808" s="80"/>
      <c r="F1808" s="80"/>
      <c r="G1808" s="80"/>
      <c r="H1808" s="80"/>
      <c r="I1808" s="80"/>
      <c r="J1808" s="80"/>
      <c r="K1808" s="80"/>
      <c r="L1808" s="2"/>
      <c r="M1808" s="2"/>
      <c r="N1808" s="2"/>
      <c r="O1808" s="2"/>
      <c r="P1808" s="2"/>
      <c r="Q1808" s="2"/>
      <c r="R1808" s="80"/>
      <c r="S1808" s="80"/>
      <c r="T1808" s="80"/>
      <c r="U1808" s="80"/>
      <c r="V1808" s="80"/>
      <c r="W1808" s="80"/>
      <c r="X1808" s="80"/>
      <c r="Y1808" s="80"/>
      <c r="Z1808" s="80"/>
      <c r="AA1808" s="80"/>
      <c r="AB1808" s="80"/>
      <c r="AC1808" s="80"/>
      <c r="AD1808" s="80"/>
      <c r="AE1808" s="80"/>
      <c r="AF1808" s="80"/>
      <c r="AG1808" s="80"/>
    </row>
    <row r="1809" spans="1:33" x14ac:dyDescent="0.2">
      <c r="A1809" s="2"/>
      <c r="B1809" s="80"/>
      <c r="C1809" s="80"/>
      <c r="D1809" s="80"/>
      <c r="E1809" s="80"/>
      <c r="F1809" s="80"/>
      <c r="G1809" s="80"/>
      <c r="H1809" s="80"/>
      <c r="I1809" s="80"/>
      <c r="J1809" s="80"/>
      <c r="K1809" s="80"/>
      <c r="L1809" s="2"/>
      <c r="M1809" s="2"/>
      <c r="N1809" s="2"/>
      <c r="O1809" s="2"/>
      <c r="P1809" s="2"/>
      <c r="Q1809" s="2"/>
      <c r="R1809" s="80"/>
      <c r="S1809" s="80"/>
      <c r="T1809" s="80"/>
      <c r="U1809" s="80"/>
      <c r="V1809" s="80"/>
      <c r="W1809" s="80"/>
      <c r="X1809" s="80"/>
      <c r="Y1809" s="80"/>
      <c r="Z1809" s="80"/>
      <c r="AA1809" s="80"/>
      <c r="AB1809" s="80"/>
      <c r="AC1809" s="80"/>
      <c r="AD1809" s="80"/>
      <c r="AE1809" s="80"/>
      <c r="AF1809" s="80"/>
      <c r="AG1809" s="80"/>
    </row>
    <row r="1810" spans="1:33" x14ac:dyDescent="0.2">
      <c r="A1810" s="2"/>
      <c r="B1810" s="80"/>
      <c r="C1810" s="80"/>
      <c r="D1810" s="80"/>
      <c r="E1810" s="80"/>
      <c r="F1810" s="80"/>
      <c r="G1810" s="80"/>
      <c r="H1810" s="80"/>
      <c r="I1810" s="80"/>
      <c r="J1810" s="80"/>
      <c r="K1810" s="80"/>
      <c r="L1810" s="2"/>
      <c r="M1810" s="2"/>
      <c r="N1810" s="2"/>
      <c r="O1810" s="2"/>
      <c r="P1810" s="2"/>
      <c r="Q1810" s="2"/>
      <c r="R1810" s="80"/>
      <c r="S1810" s="80"/>
      <c r="T1810" s="80"/>
      <c r="U1810" s="80"/>
      <c r="V1810" s="80"/>
      <c r="W1810" s="80"/>
      <c r="X1810" s="80"/>
      <c r="Y1810" s="80"/>
      <c r="Z1810" s="80"/>
      <c r="AA1810" s="80"/>
      <c r="AB1810" s="80"/>
      <c r="AC1810" s="80"/>
      <c r="AD1810" s="80"/>
      <c r="AE1810" s="80"/>
      <c r="AF1810" s="80"/>
      <c r="AG1810" s="80"/>
    </row>
    <row r="1811" spans="1:33" x14ac:dyDescent="0.2">
      <c r="A1811" s="2"/>
      <c r="B1811" s="80"/>
      <c r="C1811" s="80"/>
      <c r="D1811" s="80"/>
      <c r="E1811" s="80"/>
      <c r="F1811" s="80"/>
      <c r="G1811" s="80"/>
      <c r="H1811" s="80"/>
      <c r="I1811" s="80"/>
      <c r="J1811" s="80"/>
      <c r="K1811" s="80"/>
      <c r="L1811" s="2"/>
      <c r="M1811" s="2"/>
      <c r="N1811" s="2"/>
      <c r="O1811" s="2"/>
      <c r="P1811" s="2"/>
      <c r="Q1811" s="2"/>
      <c r="R1811" s="80"/>
      <c r="S1811" s="80"/>
      <c r="T1811" s="80"/>
      <c r="U1811" s="80"/>
      <c r="V1811" s="80"/>
      <c r="W1811" s="80"/>
      <c r="X1811" s="80"/>
      <c r="Y1811" s="80"/>
      <c r="Z1811" s="80"/>
      <c r="AA1811" s="80"/>
      <c r="AB1811" s="80"/>
      <c r="AC1811" s="80"/>
      <c r="AD1811" s="80"/>
      <c r="AE1811" s="80"/>
      <c r="AF1811" s="80"/>
      <c r="AG1811" s="80"/>
    </row>
    <row r="1812" spans="1:33" x14ac:dyDescent="0.2">
      <c r="A1812" s="2"/>
      <c r="B1812" s="80"/>
      <c r="C1812" s="80"/>
      <c r="D1812" s="80"/>
      <c r="E1812" s="80"/>
      <c r="F1812" s="80"/>
      <c r="G1812" s="80"/>
      <c r="H1812" s="80"/>
      <c r="I1812" s="80"/>
      <c r="J1812" s="80"/>
      <c r="K1812" s="80"/>
      <c r="L1812" s="2"/>
      <c r="M1812" s="2"/>
      <c r="N1812" s="2"/>
      <c r="O1812" s="2"/>
      <c r="P1812" s="2"/>
      <c r="Q1812" s="2"/>
      <c r="R1812" s="80"/>
      <c r="S1812" s="80"/>
      <c r="T1812" s="80"/>
      <c r="U1812" s="80"/>
      <c r="V1812" s="80"/>
      <c r="W1812" s="80"/>
      <c r="X1812" s="80"/>
      <c r="Y1812" s="80"/>
      <c r="Z1812" s="80"/>
      <c r="AA1812" s="80"/>
      <c r="AB1812" s="80"/>
      <c r="AC1812" s="80"/>
      <c r="AD1812" s="80"/>
      <c r="AE1812" s="80"/>
      <c r="AF1812" s="80"/>
      <c r="AG1812" s="80"/>
    </row>
    <row r="1813" spans="1:33" x14ac:dyDescent="0.2">
      <c r="A1813" s="2"/>
      <c r="B1813" s="80"/>
      <c r="C1813" s="80"/>
      <c r="D1813" s="80"/>
      <c r="E1813" s="80"/>
      <c r="F1813" s="80"/>
      <c r="G1813" s="80"/>
      <c r="H1813" s="80"/>
      <c r="I1813" s="80"/>
      <c r="J1813" s="80"/>
      <c r="K1813" s="80"/>
      <c r="L1813" s="2"/>
      <c r="M1813" s="2"/>
      <c r="N1813" s="2"/>
      <c r="O1813" s="2"/>
      <c r="P1813" s="2"/>
      <c r="Q1813" s="2"/>
      <c r="R1813" s="80"/>
      <c r="S1813" s="80"/>
      <c r="T1813" s="80"/>
      <c r="U1813" s="80"/>
      <c r="V1813" s="80"/>
      <c r="W1813" s="80"/>
      <c r="X1813" s="80"/>
      <c r="Y1813" s="80"/>
      <c r="Z1813" s="80"/>
      <c r="AA1813" s="80"/>
      <c r="AB1813" s="80"/>
      <c r="AC1813" s="80"/>
      <c r="AD1813" s="80"/>
      <c r="AE1813" s="80"/>
      <c r="AF1813" s="80"/>
      <c r="AG1813" s="80"/>
    </row>
    <row r="1814" spans="1:33" x14ac:dyDescent="0.2">
      <c r="A1814" s="2"/>
      <c r="B1814" s="80"/>
      <c r="C1814" s="80"/>
      <c r="D1814" s="80"/>
      <c r="E1814" s="80"/>
      <c r="F1814" s="80"/>
      <c r="G1814" s="80"/>
      <c r="H1814" s="80"/>
      <c r="I1814" s="80"/>
      <c r="J1814" s="80"/>
      <c r="K1814" s="80"/>
      <c r="L1814" s="2"/>
      <c r="M1814" s="2"/>
      <c r="N1814" s="2"/>
      <c r="O1814" s="2"/>
      <c r="P1814" s="2"/>
      <c r="Q1814" s="2"/>
      <c r="R1814" s="80"/>
      <c r="S1814" s="80"/>
      <c r="T1814" s="80"/>
      <c r="U1814" s="80"/>
      <c r="V1814" s="80"/>
      <c r="W1814" s="80"/>
      <c r="X1814" s="80"/>
      <c r="Y1814" s="80"/>
      <c r="Z1814" s="80"/>
      <c r="AA1814" s="80"/>
      <c r="AB1814" s="80"/>
      <c r="AC1814" s="80"/>
      <c r="AD1814" s="80"/>
      <c r="AE1814" s="80"/>
      <c r="AF1814" s="80"/>
      <c r="AG1814" s="80"/>
    </row>
    <row r="1815" spans="1:33" x14ac:dyDescent="0.2">
      <c r="A1815" s="2"/>
      <c r="B1815" s="80"/>
      <c r="C1815" s="80"/>
      <c r="D1815" s="80"/>
      <c r="E1815" s="80"/>
      <c r="F1815" s="80"/>
      <c r="G1815" s="80"/>
      <c r="H1815" s="80"/>
      <c r="I1815" s="80"/>
      <c r="J1815" s="80"/>
      <c r="K1815" s="80"/>
      <c r="L1815" s="2"/>
      <c r="M1815" s="2"/>
      <c r="N1815" s="2"/>
      <c r="O1815" s="2"/>
      <c r="P1815" s="2"/>
      <c r="Q1815" s="2"/>
      <c r="R1815" s="80"/>
      <c r="S1815" s="80"/>
      <c r="T1815" s="80"/>
      <c r="U1815" s="80"/>
      <c r="V1815" s="80"/>
      <c r="W1815" s="80"/>
      <c r="X1815" s="80"/>
      <c r="Y1815" s="80"/>
      <c r="Z1815" s="80"/>
      <c r="AA1815" s="80"/>
      <c r="AB1815" s="80"/>
      <c r="AC1815" s="80"/>
      <c r="AD1815" s="80"/>
      <c r="AE1815" s="80"/>
      <c r="AF1815" s="80"/>
      <c r="AG1815" s="80"/>
    </row>
    <row r="1816" spans="1:33" x14ac:dyDescent="0.2">
      <c r="A1816" s="2"/>
      <c r="B1816" s="80"/>
      <c r="C1816" s="80"/>
      <c r="D1816" s="80"/>
      <c r="E1816" s="80"/>
      <c r="F1816" s="80"/>
      <c r="G1816" s="80"/>
      <c r="H1816" s="80"/>
      <c r="I1816" s="80"/>
      <c r="J1816" s="80"/>
      <c r="K1816" s="80"/>
      <c r="L1816" s="2"/>
      <c r="M1816" s="2"/>
      <c r="N1816" s="2"/>
      <c r="O1816" s="2"/>
      <c r="P1816" s="2"/>
      <c r="Q1816" s="2"/>
      <c r="R1816" s="80"/>
      <c r="S1816" s="80"/>
      <c r="T1816" s="80"/>
      <c r="U1816" s="80"/>
      <c r="V1816" s="80"/>
      <c r="W1816" s="80"/>
      <c r="X1816" s="80"/>
      <c r="Y1816" s="80"/>
      <c r="Z1816" s="80"/>
      <c r="AA1816" s="80"/>
      <c r="AB1816" s="80"/>
      <c r="AC1816" s="80"/>
      <c r="AD1816" s="80"/>
      <c r="AE1816" s="80"/>
      <c r="AF1816" s="80"/>
      <c r="AG1816" s="80"/>
    </row>
    <row r="1817" spans="1:33" x14ac:dyDescent="0.2">
      <c r="A1817" s="2"/>
      <c r="B1817" s="80"/>
      <c r="C1817" s="80"/>
      <c r="D1817" s="80"/>
      <c r="E1817" s="80"/>
      <c r="F1817" s="80"/>
      <c r="G1817" s="80"/>
      <c r="H1817" s="80"/>
      <c r="I1817" s="80"/>
      <c r="J1817" s="80"/>
      <c r="K1817" s="80"/>
      <c r="L1817" s="2"/>
      <c r="M1817" s="2"/>
      <c r="N1817" s="2"/>
      <c r="O1817" s="2"/>
      <c r="P1817" s="2"/>
      <c r="Q1817" s="2"/>
      <c r="R1817" s="80"/>
      <c r="S1817" s="80"/>
      <c r="T1817" s="80"/>
      <c r="U1817" s="80"/>
      <c r="V1817" s="80"/>
      <c r="W1817" s="80"/>
      <c r="X1817" s="80"/>
      <c r="Y1817" s="80"/>
      <c r="Z1817" s="80"/>
      <c r="AA1817" s="80"/>
      <c r="AB1817" s="80"/>
      <c r="AC1817" s="80"/>
      <c r="AD1817" s="80"/>
      <c r="AE1817" s="80"/>
      <c r="AF1817" s="80"/>
      <c r="AG1817" s="80"/>
    </row>
    <row r="1818" spans="1:33" x14ac:dyDescent="0.2">
      <c r="A1818" s="2"/>
      <c r="B1818" s="80"/>
      <c r="C1818" s="80"/>
      <c r="D1818" s="80"/>
      <c r="E1818" s="80"/>
      <c r="F1818" s="80"/>
      <c r="G1818" s="80"/>
      <c r="H1818" s="80"/>
      <c r="I1818" s="80"/>
      <c r="J1818" s="80"/>
      <c r="K1818" s="80"/>
      <c r="L1818" s="2"/>
      <c r="M1818" s="2"/>
      <c r="N1818" s="2"/>
      <c r="O1818" s="2"/>
      <c r="P1818" s="2"/>
      <c r="Q1818" s="2"/>
      <c r="R1818" s="80"/>
      <c r="S1818" s="80"/>
      <c r="T1818" s="80"/>
      <c r="U1818" s="80"/>
      <c r="V1818" s="80"/>
      <c r="W1818" s="80"/>
      <c r="X1818" s="80"/>
      <c r="Y1818" s="80"/>
      <c r="Z1818" s="80"/>
      <c r="AA1818" s="80"/>
      <c r="AB1818" s="80"/>
      <c r="AC1818" s="80"/>
      <c r="AD1818" s="80"/>
      <c r="AE1818" s="80"/>
      <c r="AF1818" s="80"/>
      <c r="AG1818" s="80"/>
    </row>
    <row r="1819" spans="1:33" x14ac:dyDescent="0.2">
      <c r="A1819" s="2"/>
      <c r="B1819" s="80"/>
      <c r="C1819" s="80"/>
      <c r="D1819" s="80"/>
      <c r="E1819" s="80"/>
      <c r="F1819" s="80"/>
      <c r="G1819" s="80"/>
      <c r="H1819" s="80"/>
      <c r="I1819" s="80"/>
      <c r="J1819" s="80"/>
      <c r="K1819" s="80"/>
      <c r="L1819" s="2"/>
      <c r="M1819" s="2"/>
      <c r="N1819" s="2"/>
      <c r="O1819" s="2"/>
      <c r="P1819" s="2"/>
      <c r="Q1819" s="2"/>
      <c r="R1819" s="80"/>
      <c r="S1819" s="80"/>
      <c r="T1819" s="80"/>
      <c r="U1819" s="80"/>
      <c r="V1819" s="80"/>
      <c r="W1819" s="80"/>
      <c r="X1819" s="80"/>
      <c r="Y1819" s="80"/>
      <c r="Z1819" s="80"/>
      <c r="AA1819" s="80"/>
      <c r="AB1819" s="80"/>
      <c r="AC1819" s="80"/>
      <c r="AD1819" s="80"/>
      <c r="AE1819" s="80"/>
      <c r="AF1819" s="80"/>
      <c r="AG1819" s="80"/>
    </row>
    <row r="1820" spans="1:33" x14ac:dyDescent="0.2">
      <c r="A1820" s="2"/>
      <c r="B1820" s="80"/>
      <c r="C1820" s="80"/>
      <c r="D1820" s="80"/>
      <c r="E1820" s="80"/>
      <c r="F1820" s="80"/>
      <c r="G1820" s="80"/>
      <c r="H1820" s="80"/>
      <c r="I1820" s="80"/>
      <c r="J1820" s="80"/>
      <c r="K1820" s="80"/>
      <c r="L1820" s="2"/>
      <c r="M1820" s="2"/>
      <c r="N1820" s="2"/>
      <c r="O1820" s="2"/>
      <c r="P1820" s="2"/>
      <c r="Q1820" s="2"/>
      <c r="R1820" s="80"/>
      <c r="S1820" s="80"/>
      <c r="T1820" s="80"/>
      <c r="U1820" s="80"/>
      <c r="V1820" s="80"/>
      <c r="W1820" s="80"/>
      <c r="X1820" s="80"/>
      <c r="Y1820" s="80"/>
      <c r="Z1820" s="80"/>
      <c r="AA1820" s="80"/>
      <c r="AB1820" s="80"/>
      <c r="AC1820" s="80"/>
      <c r="AD1820" s="80"/>
      <c r="AE1820" s="80"/>
      <c r="AF1820" s="80"/>
      <c r="AG1820" s="80"/>
    </row>
    <row r="1821" spans="1:33" x14ac:dyDescent="0.2">
      <c r="A1821" s="2"/>
      <c r="B1821" s="80"/>
      <c r="C1821" s="80"/>
      <c r="D1821" s="80"/>
      <c r="E1821" s="80"/>
      <c r="F1821" s="80"/>
      <c r="G1821" s="80"/>
      <c r="H1821" s="80"/>
      <c r="I1821" s="80"/>
      <c r="J1821" s="80"/>
      <c r="K1821" s="80"/>
      <c r="L1821" s="2"/>
      <c r="M1821" s="2"/>
      <c r="N1821" s="2"/>
      <c r="O1821" s="2"/>
      <c r="P1821" s="2"/>
      <c r="Q1821" s="2"/>
      <c r="R1821" s="80"/>
      <c r="S1821" s="80"/>
      <c r="T1821" s="80"/>
      <c r="U1821" s="80"/>
      <c r="V1821" s="80"/>
      <c r="W1821" s="80"/>
      <c r="X1821" s="80"/>
      <c r="Y1821" s="80"/>
      <c r="Z1821" s="80"/>
      <c r="AA1821" s="80"/>
      <c r="AB1821" s="80"/>
      <c r="AC1821" s="80"/>
      <c r="AD1821" s="80"/>
      <c r="AE1821" s="80"/>
      <c r="AF1821" s="80"/>
      <c r="AG1821" s="80"/>
    </row>
    <row r="1822" spans="1:33" x14ac:dyDescent="0.2">
      <c r="A1822" s="2"/>
      <c r="B1822" s="80"/>
      <c r="C1822" s="80"/>
      <c r="D1822" s="80"/>
      <c r="E1822" s="80"/>
      <c r="F1822" s="80"/>
      <c r="G1822" s="80"/>
      <c r="H1822" s="80"/>
      <c r="I1822" s="80"/>
      <c r="J1822" s="80"/>
      <c r="K1822" s="80"/>
      <c r="L1822" s="2"/>
      <c r="M1822" s="2"/>
      <c r="N1822" s="2"/>
      <c r="O1822" s="2"/>
      <c r="P1822" s="2"/>
      <c r="Q1822" s="2"/>
      <c r="R1822" s="80"/>
      <c r="S1822" s="80"/>
      <c r="T1822" s="80"/>
      <c r="U1822" s="80"/>
      <c r="V1822" s="80"/>
      <c r="W1822" s="80"/>
      <c r="X1822" s="80"/>
      <c r="Y1822" s="80"/>
      <c r="Z1822" s="80"/>
      <c r="AA1822" s="80"/>
      <c r="AB1822" s="80"/>
      <c r="AC1822" s="80"/>
      <c r="AD1822" s="80"/>
      <c r="AE1822" s="80"/>
      <c r="AF1822" s="80"/>
      <c r="AG1822" s="80"/>
    </row>
    <row r="1823" spans="1:33" x14ac:dyDescent="0.2">
      <c r="A1823" s="2"/>
      <c r="B1823" s="80"/>
      <c r="C1823" s="80"/>
      <c r="D1823" s="80"/>
      <c r="E1823" s="80"/>
      <c r="F1823" s="80"/>
      <c r="G1823" s="80"/>
      <c r="H1823" s="80"/>
      <c r="I1823" s="80"/>
      <c r="J1823" s="80"/>
      <c r="K1823" s="80"/>
      <c r="L1823" s="2"/>
      <c r="M1823" s="2"/>
      <c r="N1823" s="2"/>
      <c r="O1823" s="2"/>
      <c r="P1823" s="2"/>
      <c r="Q1823" s="2"/>
      <c r="R1823" s="80"/>
      <c r="S1823" s="80"/>
      <c r="T1823" s="80"/>
      <c r="U1823" s="80"/>
      <c r="V1823" s="80"/>
      <c r="W1823" s="80"/>
      <c r="X1823" s="80"/>
      <c r="Y1823" s="80"/>
      <c r="Z1823" s="80"/>
      <c r="AA1823" s="80"/>
      <c r="AB1823" s="80"/>
      <c r="AC1823" s="80"/>
      <c r="AD1823" s="80"/>
      <c r="AE1823" s="80"/>
      <c r="AF1823" s="80"/>
      <c r="AG1823" s="80"/>
    </row>
    <row r="1824" spans="1:33" x14ac:dyDescent="0.2">
      <c r="A1824" s="2"/>
      <c r="B1824" s="80"/>
      <c r="C1824" s="80"/>
      <c r="D1824" s="80"/>
      <c r="E1824" s="80"/>
      <c r="F1824" s="80"/>
      <c r="G1824" s="80"/>
      <c r="H1824" s="80"/>
      <c r="I1824" s="80"/>
      <c r="J1824" s="80"/>
      <c r="K1824" s="80"/>
      <c r="L1824" s="2"/>
      <c r="M1824" s="2"/>
      <c r="N1824" s="2"/>
      <c r="O1824" s="2"/>
      <c r="P1824" s="2"/>
      <c r="Q1824" s="2"/>
      <c r="R1824" s="80"/>
      <c r="S1824" s="80"/>
      <c r="T1824" s="80"/>
      <c r="U1824" s="80"/>
      <c r="V1824" s="80"/>
      <c r="W1824" s="80"/>
      <c r="X1824" s="80"/>
      <c r="Y1824" s="80"/>
      <c r="Z1824" s="80"/>
      <c r="AA1824" s="80"/>
      <c r="AB1824" s="80"/>
      <c r="AC1824" s="80"/>
      <c r="AD1824" s="80"/>
      <c r="AE1824" s="80"/>
      <c r="AF1824" s="80"/>
      <c r="AG1824" s="80"/>
    </row>
    <row r="1825" spans="1:33" x14ac:dyDescent="0.2">
      <c r="A1825" s="2"/>
      <c r="B1825" s="80"/>
      <c r="C1825" s="80"/>
      <c r="D1825" s="80"/>
      <c r="E1825" s="80"/>
      <c r="F1825" s="80"/>
      <c r="G1825" s="80"/>
      <c r="H1825" s="80"/>
      <c r="I1825" s="80"/>
      <c r="J1825" s="80"/>
      <c r="K1825" s="80"/>
      <c r="L1825" s="2"/>
      <c r="M1825" s="2"/>
      <c r="N1825" s="2"/>
      <c r="O1825" s="2"/>
      <c r="P1825" s="2"/>
      <c r="Q1825" s="2"/>
      <c r="R1825" s="80"/>
      <c r="S1825" s="80"/>
      <c r="T1825" s="80"/>
      <c r="U1825" s="80"/>
      <c r="V1825" s="80"/>
      <c r="W1825" s="80"/>
      <c r="X1825" s="80"/>
      <c r="Y1825" s="80"/>
      <c r="Z1825" s="80"/>
      <c r="AA1825" s="80"/>
      <c r="AB1825" s="80"/>
      <c r="AC1825" s="80"/>
      <c r="AD1825" s="80"/>
      <c r="AE1825" s="80"/>
      <c r="AF1825" s="80"/>
      <c r="AG1825" s="80"/>
    </row>
    <row r="1826" spans="1:33" x14ac:dyDescent="0.2">
      <c r="A1826" s="2"/>
      <c r="B1826" s="80"/>
      <c r="C1826" s="80"/>
      <c r="D1826" s="80"/>
      <c r="E1826" s="80"/>
      <c r="F1826" s="80"/>
      <c r="G1826" s="80"/>
      <c r="H1826" s="80"/>
      <c r="I1826" s="80"/>
      <c r="J1826" s="80"/>
      <c r="K1826" s="80"/>
      <c r="L1826" s="2"/>
      <c r="M1826" s="2"/>
      <c r="N1826" s="2"/>
      <c r="O1826" s="2"/>
      <c r="P1826" s="2"/>
      <c r="Q1826" s="2"/>
      <c r="R1826" s="80"/>
      <c r="S1826" s="80"/>
      <c r="T1826" s="80"/>
      <c r="U1826" s="80"/>
      <c r="V1826" s="80"/>
      <c r="W1826" s="80"/>
      <c r="X1826" s="80"/>
      <c r="Y1826" s="80"/>
      <c r="Z1826" s="80"/>
      <c r="AA1826" s="80"/>
      <c r="AB1826" s="80"/>
      <c r="AC1826" s="80"/>
      <c r="AD1826" s="80"/>
      <c r="AE1826" s="80"/>
      <c r="AF1826" s="80"/>
      <c r="AG1826" s="80"/>
    </row>
    <row r="1827" spans="1:33" x14ac:dyDescent="0.2">
      <c r="A1827" s="2"/>
      <c r="B1827" s="80"/>
      <c r="C1827" s="80"/>
      <c r="D1827" s="80"/>
      <c r="E1827" s="80"/>
      <c r="F1827" s="80"/>
      <c r="G1827" s="80"/>
      <c r="H1827" s="80"/>
      <c r="I1827" s="80"/>
      <c r="J1827" s="80"/>
      <c r="K1827" s="80"/>
      <c r="L1827" s="2"/>
      <c r="M1827" s="2"/>
      <c r="N1827" s="2"/>
      <c r="O1827" s="2"/>
      <c r="P1827" s="2"/>
      <c r="Q1827" s="2"/>
      <c r="R1827" s="80"/>
      <c r="S1827" s="80"/>
      <c r="T1827" s="80"/>
      <c r="U1827" s="80"/>
      <c r="V1827" s="80"/>
      <c r="W1827" s="80"/>
      <c r="X1827" s="80"/>
      <c r="Y1827" s="80"/>
      <c r="Z1827" s="80"/>
      <c r="AA1827" s="80"/>
      <c r="AB1827" s="80"/>
      <c r="AC1827" s="80"/>
      <c r="AD1827" s="80"/>
      <c r="AE1827" s="80"/>
      <c r="AF1827" s="80"/>
      <c r="AG1827" s="80"/>
    </row>
    <row r="1828" spans="1:33" x14ac:dyDescent="0.2">
      <c r="A1828" s="2"/>
      <c r="B1828" s="80"/>
      <c r="C1828" s="80"/>
      <c r="D1828" s="80"/>
      <c r="E1828" s="80"/>
      <c r="F1828" s="80"/>
      <c r="G1828" s="80"/>
      <c r="H1828" s="80"/>
      <c r="I1828" s="80"/>
      <c r="J1828" s="80"/>
      <c r="K1828" s="80"/>
      <c r="L1828" s="2"/>
      <c r="M1828" s="2"/>
      <c r="N1828" s="2"/>
      <c r="O1828" s="2"/>
      <c r="P1828" s="2"/>
      <c r="Q1828" s="2"/>
      <c r="R1828" s="80"/>
      <c r="S1828" s="80"/>
      <c r="T1828" s="80"/>
      <c r="U1828" s="80"/>
      <c r="V1828" s="80"/>
      <c r="W1828" s="80"/>
      <c r="X1828" s="80"/>
      <c r="Y1828" s="80"/>
      <c r="Z1828" s="80"/>
      <c r="AA1828" s="80"/>
      <c r="AB1828" s="80"/>
      <c r="AC1828" s="80"/>
      <c r="AD1828" s="80"/>
      <c r="AE1828" s="80"/>
      <c r="AF1828" s="80"/>
      <c r="AG1828" s="80"/>
    </row>
    <row r="1829" spans="1:33" x14ac:dyDescent="0.2">
      <c r="A1829" s="2"/>
      <c r="B1829" s="80"/>
      <c r="C1829" s="80"/>
      <c r="D1829" s="80"/>
      <c r="E1829" s="80"/>
      <c r="F1829" s="80"/>
      <c r="G1829" s="80"/>
      <c r="H1829" s="80"/>
      <c r="I1829" s="80"/>
      <c r="J1829" s="80"/>
      <c r="K1829" s="80"/>
      <c r="L1829" s="2"/>
      <c r="M1829" s="2"/>
      <c r="N1829" s="2"/>
      <c r="O1829" s="2"/>
      <c r="P1829" s="2"/>
      <c r="Q1829" s="2"/>
      <c r="R1829" s="80"/>
      <c r="S1829" s="80"/>
      <c r="T1829" s="80"/>
      <c r="U1829" s="80"/>
      <c r="V1829" s="80"/>
      <c r="W1829" s="80"/>
      <c r="X1829" s="80"/>
      <c r="Y1829" s="80"/>
      <c r="Z1829" s="80"/>
      <c r="AA1829" s="80"/>
      <c r="AB1829" s="80"/>
      <c r="AC1829" s="80"/>
      <c r="AD1829" s="80"/>
      <c r="AE1829" s="80"/>
      <c r="AF1829" s="80"/>
      <c r="AG1829" s="80"/>
    </row>
    <row r="1830" spans="1:33" x14ac:dyDescent="0.2">
      <c r="A1830" s="2"/>
      <c r="B1830" s="80"/>
      <c r="C1830" s="80"/>
      <c r="D1830" s="80"/>
      <c r="E1830" s="80"/>
      <c r="F1830" s="80"/>
      <c r="G1830" s="80"/>
      <c r="H1830" s="80"/>
      <c r="I1830" s="80"/>
      <c r="J1830" s="80"/>
      <c r="K1830" s="80"/>
      <c r="L1830" s="2"/>
      <c r="M1830" s="2"/>
      <c r="N1830" s="2"/>
      <c r="O1830" s="2"/>
      <c r="P1830" s="2"/>
      <c r="Q1830" s="2"/>
      <c r="R1830" s="80"/>
      <c r="S1830" s="80"/>
      <c r="T1830" s="80"/>
      <c r="U1830" s="80"/>
      <c r="V1830" s="80"/>
      <c r="W1830" s="80"/>
      <c r="X1830" s="80"/>
      <c r="Y1830" s="80"/>
      <c r="Z1830" s="80"/>
      <c r="AA1830" s="80"/>
      <c r="AB1830" s="80"/>
      <c r="AC1830" s="80"/>
      <c r="AD1830" s="80"/>
      <c r="AE1830" s="80"/>
      <c r="AF1830" s="80"/>
      <c r="AG1830" s="80"/>
    </row>
    <row r="1831" spans="1:33" x14ac:dyDescent="0.2">
      <c r="A1831" s="2"/>
      <c r="B1831" s="80"/>
      <c r="C1831" s="80"/>
      <c r="D1831" s="80"/>
      <c r="E1831" s="80"/>
      <c r="F1831" s="80"/>
      <c r="G1831" s="80"/>
      <c r="H1831" s="80"/>
      <c r="I1831" s="80"/>
      <c r="J1831" s="80"/>
      <c r="K1831" s="80"/>
      <c r="L1831" s="2"/>
      <c r="M1831" s="2"/>
      <c r="N1831" s="2"/>
      <c r="O1831" s="2"/>
      <c r="P1831" s="2"/>
      <c r="Q1831" s="2"/>
      <c r="R1831" s="80"/>
      <c r="S1831" s="80"/>
      <c r="T1831" s="80"/>
      <c r="U1831" s="80"/>
      <c r="V1831" s="80"/>
      <c r="W1831" s="80"/>
      <c r="X1831" s="80"/>
      <c r="Y1831" s="80"/>
      <c r="Z1831" s="80"/>
      <c r="AA1831" s="80"/>
      <c r="AB1831" s="80"/>
      <c r="AC1831" s="80"/>
      <c r="AD1831" s="80"/>
      <c r="AE1831" s="80"/>
      <c r="AF1831" s="80"/>
      <c r="AG1831" s="80"/>
    </row>
    <row r="1832" spans="1:33" x14ac:dyDescent="0.2">
      <c r="A1832" s="2"/>
      <c r="B1832" s="80"/>
      <c r="C1832" s="80"/>
      <c r="D1832" s="80"/>
      <c r="E1832" s="80"/>
      <c r="F1832" s="80"/>
      <c r="G1832" s="80"/>
      <c r="H1832" s="80"/>
      <c r="I1832" s="80"/>
      <c r="J1832" s="80"/>
      <c r="K1832" s="80"/>
      <c r="L1832" s="2"/>
      <c r="M1832" s="2"/>
      <c r="N1832" s="2"/>
      <c r="O1832" s="2"/>
      <c r="P1832" s="2"/>
      <c r="Q1832" s="2"/>
      <c r="R1832" s="80"/>
      <c r="S1832" s="80"/>
      <c r="T1832" s="80"/>
      <c r="U1832" s="80"/>
      <c r="V1832" s="80"/>
      <c r="W1832" s="80"/>
      <c r="X1832" s="80"/>
      <c r="Y1832" s="80"/>
      <c r="Z1832" s="80"/>
      <c r="AA1832" s="80"/>
      <c r="AB1832" s="80"/>
      <c r="AC1832" s="80"/>
      <c r="AD1832" s="80"/>
      <c r="AE1832" s="80"/>
      <c r="AF1832" s="80"/>
      <c r="AG1832" s="80"/>
    </row>
    <row r="1833" spans="1:33" x14ac:dyDescent="0.2">
      <c r="A1833" s="2"/>
      <c r="B1833" s="80"/>
      <c r="C1833" s="80"/>
      <c r="D1833" s="80"/>
      <c r="E1833" s="80"/>
      <c r="F1833" s="80"/>
      <c r="G1833" s="80"/>
      <c r="H1833" s="80"/>
      <c r="I1833" s="80"/>
      <c r="J1833" s="80"/>
      <c r="K1833" s="80"/>
      <c r="L1833" s="2"/>
      <c r="M1833" s="2"/>
      <c r="N1833" s="2"/>
      <c r="O1833" s="2"/>
      <c r="P1833" s="2"/>
      <c r="Q1833" s="2"/>
      <c r="R1833" s="80"/>
      <c r="S1833" s="80"/>
      <c r="T1833" s="80"/>
      <c r="U1833" s="80"/>
      <c r="V1833" s="80"/>
      <c r="W1833" s="80"/>
      <c r="X1833" s="80"/>
      <c r="Y1833" s="80"/>
      <c r="Z1833" s="80"/>
      <c r="AA1833" s="80"/>
      <c r="AB1833" s="80"/>
      <c r="AC1833" s="80"/>
      <c r="AD1833" s="80"/>
      <c r="AE1833" s="80"/>
      <c r="AF1833" s="80"/>
      <c r="AG1833" s="80"/>
    </row>
    <row r="1834" spans="1:33" x14ac:dyDescent="0.2">
      <c r="A1834" s="2"/>
      <c r="B1834" s="80"/>
      <c r="C1834" s="80"/>
      <c r="D1834" s="80"/>
      <c r="E1834" s="80"/>
      <c r="F1834" s="80"/>
      <c r="G1834" s="80"/>
      <c r="H1834" s="80"/>
      <c r="I1834" s="80"/>
      <c r="J1834" s="80"/>
      <c r="K1834" s="80"/>
      <c r="L1834" s="2"/>
      <c r="M1834" s="2"/>
      <c r="N1834" s="2"/>
      <c r="O1834" s="2"/>
      <c r="P1834" s="2"/>
      <c r="Q1834" s="2"/>
      <c r="R1834" s="80"/>
      <c r="S1834" s="80"/>
      <c r="T1834" s="80"/>
      <c r="U1834" s="80"/>
      <c r="V1834" s="80"/>
      <c r="W1834" s="80"/>
      <c r="X1834" s="80"/>
      <c r="Y1834" s="80"/>
      <c r="Z1834" s="80"/>
      <c r="AA1834" s="80"/>
      <c r="AB1834" s="80"/>
      <c r="AC1834" s="80"/>
      <c r="AD1834" s="80"/>
      <c r="AE1834" s="80"/>
      <c r="AF1834" s="80"/>
      <c r="AG1834" s="80"/>
    </row>
    <row r="1835" spans="1:33" x14ac:dyDescent="0.2">
      <c r="A1835" s="2"/>
      <c r="B1835" s="80"/>
      <c r="C1835" s="80"/>
      <c r="D1835" s="80"/>
      <c r="E1835" s="80"/>
      <c r="F1835" s="80"/>
      <c r="G1835" s="80"/>
      <c r="H1835" s="80"/>
      <c r="I1835" s="80"/>
      <c r="J1835" s="80"/>
      <c r="K1835" s="80"/>
      <c r="L1835" s="2"/>
      <c r="M1835" s="2"/>
      <c r="N1835" s="2"/>
      <c r="O1835" s="2"/>
      <c r="P1835" s="2"/>
      <c r="Q1835" s="2"/>
      <c r="R1835" s="80"/>
      <c r="S1835" s="80"/>
      <c r="T1835" s="80"/>
      <c r="U1835" s="80"/>
      <c r="V1835" s="80"/>
      <c r="W1835" s="80"/>
      <c r="X1835" s="80"/>
      <c r="Y1835" s="80"/>
      <c r="Z1835" s="80"/>
      <c r="AA1835" s="80"/>
      <c r="AB1835" s="80"/>
      <c r="AC1835" s="80"/>
      <c r="AD1835" s="80"/>
      <c r="AE1835" s="80"/>
      <c r="AF1835" s="80"/>
      <c r="AG1835" s="80"/>
    </row>
    <row r="1836" spans="1:33" x14ac:dyDescent="0.2">
      <c r="A1836" s="2"/>
      <c r="B1836" s="80"/>
      <c r="C1836" s="80"/>
      <c r="D1836" s="80"/>
      <c r="E1836" s="80"/>
      <c r="F1836" s="80"/>
      <c r="G1836" s="80"/>
      <c r="H1836" s="80"/>
      <c r="I1836" s="80"/>
      <c r="J1836" s="80"/>
      <c r="K1836" s="80"/>
      <c r="L1836" s="2"/>
      <c r="M1836" s="2"/>
      <c r="N1836" s="2"/>
      <c r="O1836" s="2"/>
      <c r="P1836" s="2"/>
      <c r="Q1836" s="2"/>
      <c r="R1836" s="80"/>
      <c r="S1836" s="80"/>
      <c r="T1836" s="80"/>
      <c r="U1836" s="80"/>
      <c r="V1836" s="80"/>
      <c r="W1836" s="80"/>
      <c r="X1836" s="80"/>
      <c r="Y1836" s="80"/>
      <c r="Z1836" s="80"/>
      <c r="AA1836" s="80"/>
      <c r="AB1836" s="80"/>
      <c r="AC1836" s="80"/>
      <c r="AD1836" s="80"/>
      <c r="AE1836" s="80"/>
      <c r="AF1836" s="80"/>
      <c r="AG1836" s="80"/>
    </row>
    <row r="1837" spans="1:33" x14ac:dyDescent="0.2">
      <c r="A1837" s="2"/>
      <c r="B1837" s="80"/>
      <c r="C1837" s="80"/>
      <c r="D1837" s="80"/>
      <c r="E1837" s="80"/>
      <c r="F1837" s="80"/>
      <c r="G1837" s="80"/>
      <c r="H1837" s="80"/>
      <c r="I1837" s="80"/>
      <c r="J1837" s="80"/>
      <c r="K1837" s="80"/>
      <c r="L1837" s="2"/>
      <c r="M1837" s="2"/>
      <c r="N1837" s="2"/>
      <c r="O1837" s="2"/>
      <c r="P1837" s="2"/>
      <c r="Q1837" s="2"/>
      <c r="R1837" s="80"/>
      <c r="S1837" s="80"/>
      <c r="T1837" s="80"/>
      <c r="U1837" s="80"/>
      <c r="V1837" s="80"/>
      <c r="W1837" s="80"/>
      <c r="X1837" s="80"/>
      <c r="Y1837" s="80"/>
      <c r="Z1837" s="80"/>
      <c r="AA1837" s="80"/>
      <c r="AB1837" s="80"/>
      <c r="AC1837" s="80"/>
      <c r="AD1837" s="80"/>
      <c r="AE1837" s="80"/>
      <c r="AF1837" s="80"/>
      <c r="AG1837" s="80"/>
    </row>
    <row r="1838" spans="1:33" x14ac:dyDescent="0.2">
      <c r="A1838" s="2"/>
      <c r="B1838" s="80"/>
      <c r="C1838" s="80"/>
      <c r="D1838" s="80"/>
      <c r="E1838" s="80"/>
      <c r="F1838" s="80"/>
      <c r="G1838" s="80"/>
      <c r="H1838" s="80"/>
      <c r="I1838" s="80"/>
      <c r="J1838" s="80"/>
      <c r="K1838" s="80"/>
      <c r="L1838" s="2"/>
      <c r="M1838" s="2"/>
      <c r="N1838" s="2"/>
      <c r="O1838" s="2"/>
      <c r="P1838" s="2"/>
      <c r="Q1838" s="2"/>
      <c r="R1838" s="80"/>
      <c r="S1838" s="80"/>
      <c r="T1838" s="80"/>
      <c r="U1838" s="80"/>
      <c r="V1838" s="80"/>
      <c r="W1838" s="80"/>
      <c r="X1838" s="80"/>
      <c r="Y1838" s="80"/>
      <c r="Z1838" s="80"/>
      <c r="AA1838" s="80"/>
      <c r="AB1838" s="80"/>
      <c r="AC1838" s="80"/>
      <c r="AD1838" s="80"/>
      <c r="AE1838" s="80"/>
      <c r="AF1838" s="80"/>
      <c r="AG1838" s="80"/>
    </row>
    <row r="1839" spans="1:33" x14ac:dyDescent="0.2">
      <c r="A1839" s="2"/>
      <c r="B1839" s="80"/>
      <c r="C1839" s="80"/>
      <c r="D1839" s="80"/>
      <c r="E1839" s="80"/>
      <c r="F1839" s="80"/>
      <c r="G1839" s="80"/>
      <c r="H1839" s="80"/>
      <c r="I1839" s="80"/>
      <c r="J1839" s="80"/>
      <c r="K1839" s="80"/>
      <c r="L1839" s="2"/>
      <c r="M1839" s="2"/>
      <c r="N1839" s="2"/>
      <c r="O1839" s="2"/>
      <c r="P1839" s="2"/>
      <c r="Q1839" s="2"/>
      <c r="R1839" s="80"/>
      <c r="S1839" s="80"/>
      <c r="T1839" s="80"/>
      <c r="U1839" s="80"/>
      <c r="V1839" s="80"/>
      <c r="W1839" s="80"/>
      <c r="X1839" s="80"/>
      <c r="Y1839" s="80"/>
      <c r="Z1839" s="80"/>
      <c r="AA1839" s="80"/>
      <c r="AB1839" s="80"/>
      <c r="AC1839" s="80"/>
      <c r="AD1839" s="80"/>
      <c r="AE1839" s="80"/>
      <c r="AF1839" s="80"/>
      <c r="AG1839" s="80"/>
    </row>
    <row r="1840" spans="1:33" x14ac:dyDescent="0.2">
      <c r="A1840" s="2"/>
      <c r="B1840" s="80"/>
      <c r="C1840" s="80"/>
      <c r="D1840" s="80"/>
      <c r="E1840" s="80"/>
      <c r="F1840" s="80"/>
      <c r="G1840" s="80"/>
      <c r="H1840" s="80"/>
      <c r="I1840" s="80"/>
      <c r="J1840" s="80"/>
      <c r="K1840" s="80"/>
      <c r="L1840" s="2"/>
      <c r="M1840" s="2"/>
      <c r="N1840" s="2"/>
      <c r="O1840" s="2"/>
      <c r="P1840" s="2"/>
      <c r="Q1840" s="2"/>
      <c r="R1840" s="80"/>
      <c r="S1840" s="80"/>
      <c r="T1840" s="80"/>
      <c r="U1840" s="80"/>
      <c r="V1840" s="80"/>
      <c r="W1840" s="80"/>
      <c r="X1840" s="80"/>
      <c r="Y1840" s="80"/>
      <c r="Z1840" s="80"/>
      <c r="AA1840" s="80"/>
      <c r="AB1840" s="80"/>
      <c r="AC1840" s="80"/>
      <c r="AD1840" s="80"/>
      <c r="AE1840" s="80"/>
      <c r="AF1840" s="80"/>
      <c r="AG1840" s="80"/>
    </row>
    <row r="1841" spans="1:33" x14ac:dyDescent="0.2">
      <c r="A1841" s="2"/>
      <c r="B1841" s="80"/>
      <c r="C1841" s="80"/>
      <c r="D1841" s="80"/>
      <c r="E1841" s="80"/>
      <c r="F1841" s="80"/>
      <c r="G1841" s="80"/>
      <c r="H1841" s="80"/>
      <c r="I1841" s="80"/>
      <c r="J1841" s="80"/>
      <c r="K1841" s="80"/>
      <c r="L1841" s="2"/>
      <c r="M1841" s="2"/>
      <c r="N1841" s="2"/>
      <c r="O1841" s="2"/>
      <c r="P1841" s="2"/>
      <c r="Q1841" s="2"/>
      <c r="R1841" s="80"/>
      <c r="S1841" s="80"/>
      <c r="T1841" s="80"/>
      <c r="U1841" s="80"/>
      <c r="V1841" s="80"/>
      <c r="W1841" s="80"/>
      <c r="X1841" s="80"/>
      <c r="Y1841" s="80"/>
      <c r="Z1841" s="80"/>
      <c r="AA1841" s="80"/>
      <c r="AB1841" s="80"/>
      <c r="AC1841" s="80"/>
      <c r="AD1841" s="80"/>
      <c r="AE1841" s="80"/>
      <c r="AF1841" s="80"/>
      <c r="AG1841" s="80"/>
    </row>
    <row r="1842" spans="1:33" x14ac:dyDescent="0.2">
      <c r="A1842" s="2"/>
      <c r="B1842" s="80"/>
      <c r="C1842" s="80"/>
      <c r="D1842" s="80"/>
      <c r="E1842" s="80"/>
      <c r="F1842" s="80"/>
      <c r="G1842" s="80"/>
      <c r="H1842" s="80"/>
      <c r="I1842" s="80"/>
      <c r="J1842" s="80"/>
      <c r="K1842" s="80"/>
      <c r="L1842" s="2"/>
      <c r="M1842" s="2"/>
      <c r="N1842" s="2"/>
      <c r="O1842" s="2"/>
      <c r="P1842" s="2"/>
      <c r="Q1842" s="2"/>
      <c r="R1842" s="80"/>
      <c r="S1842" s="80"/>
      <c r="T1842" s="80"/>
      <c r="U1842" s="80"/>
      <c r="V1842" s="80"/>
      <c r="W1842" s="80"/>
      <c r="X1842" s="80"/>
      <c r="Y1842" s="80"/>
      <c r="Z1842" s="80"/>
      <c r="AA1842" s="80"/>
      <c r="AB1842" s="80"/>
      <c r="AC1842" s="80"/>
      <c r="AD1842" s="80"/>
      <c r="AE1842" s="80"/>
      <c r="AF1842" s="80"/>
      <c r="AG1842" s="80"/>
    </row>
    <row r="1843" spans="1:33" x14ac:dyDescent="0.2">
      <c r="A1843" s="2"/>
      <c r="B1843" s="80"/>
      <c r="C1843" s="80"/>
      <c r="D1843" s="80"/>
      <c r="E1843" s="80"/>
      <c r="F1843" s="80"/>
      <c r="G1843" s="80"/>
      <c r="H1843" s="80"/>
      <c r="I1843" s="80"/>
      <c r="J1843" s="80"/>
      <c r="K1843" s="80"/>
      <c r="L1843" s="2"/>
      <c r="M1843" s="2"/>
      <c r="N1843" s="2"/>
      <c r="O1843" s="2"/>
      <c r="P1843" s="2"/>
      <c r="Q1843" s="2"/>
      <c r="R1843" s="80"/>
      <c r="S1843" s="80"/>
      <c r="T1843" s="80"/>
      <c r="U1843" s="80"/>
      <c r="V1843" s="80"/>
      <c r="W1843" s="80"/>
      <c r="X1843" s="80"/>
      <c r="Y1843" s="80"/>
      <c r="Z1843" s="80"/>
      <c r="AA1843" s="80"/>
      <c r="AB1843" s="80"/>
      <c r="AC1843" s="80"/>
      <c r="AD1843" s="80"/>
      <c r="AE1843" s="80"/>
      <c r="AF1843" s="80"/>
      <c r="AG1843" s="80"/>
    </row>
    <row r="1844" spans="1:33" x14ac:dyDescent="0.2">
      <c r="A1844" s="2"/>
      <c r="B1844" s="80"/>
      <c r="C1844" s="80"/>
      <c r="D1844" s="80"/>
      <c r="E1844" s="80"/>
      <c r="F1844" s="80"/>
      <c r="G1844" s="80"/>
      <c r="H1844" s="80"/>
      <c r="I1844" s="80"/>
      <c r="J1844" s="80"/>
      <c r="K1844" s="80"/>
      <c r="L1844" s="2"/>
      <c r="M1844" s="2"/>
      <c r="N1844" s="2"/>
      <c r="O1844" s="2"/>
      <c r="P1844" s="2"/>
      <c r="Q1844" s="2"/>
      <c r="R1844" s="80"/>
      <c r="S1844" s="80"/>
      <c r="T1844" s="80"/>
      <c r="U1844" s="80"/>
      <c r="V1844" s="80"/>
      <c r="W1844" s="80"/>
      <c r="X1844" s="80"/>
      <c r="Y1844" s="80"/>
      <c r="Z1844" s="80"/>
      <c r="AA1844" s="80"/>
      <c r="AB1844" s="80"/>
      <c r="AC1844" s="80"/>
      <c r="AD1844" s="80"/>
      <c r="AE1844" s="80"/>
      <c r="AF1844" s="80"/>
      <c r="AG1844" s="80"/>
    </row>
    <row r="1845" spans="1:33" x14ac:dyDescent="0.2">
      <c r="A1845" s="2"/>
      <c r="B1845" s="80"/>
      <c r="C1845" s="80"/>
      <c r="D1845" s="80"/>
      <c r="E1845" s="80"/>
      <c r="F1845" s="80"/>
      <c r="G1845" s="80"/>
      <c r="H1845" s="80"/>
      <c r="I1845" s="80"/>
      <c r="J1845" s="80"/>
      <c r="K1845" s="80"/>
      <c r="L1845" s="2"/>
      <c r="M1845" s="2"/>
      <c r="N1845" s="2"/>
      <c r="O1845" s="2"/>
      <c r="P1845" s="2"/>
      <c r="Q1845" s="2"/>
      <c r="R1845" s="80"/>
      <c r="S1845" s="80"/>
      <c r="T1845" s="80"/>
      <c r="U1845" s="80"/>
      <c r="V1845" s="80"/>
      <c r="W1845" s="80"/>
      <c r="X1845" s="80"/>
      <c r="Y1845" s="80"/>
      <c r="Z1845" s="80"/>
      <c r="AA1845" s="80"/>
      <c r="AB1845" s="80"/>
      <c r="AC1845" s="80"/>
      <c r="AD1845" s="80"/>
      <c r="AE1845" s="80"/>
      <c r="AF1845" s="80"/>
      <c r="AG1845" s="80"/>
    </row>
    <row r="1846" spans="1:33" x14ac:dyDescent="0.2">
      <c r="A1846" s="2"/>
      <c r="B1846" s="80"/>
      <c r="C1846" s="80"/>
      <c r="D1846" s="80"/>
      <c r="E1846" s="80"/>
      <c r="F1846" s="80"/>
      <c r="G1846" s="80"/>
      <c r="H1846" s="80"/>
      <c r="I1846" s="80"/>
      <c r="J1846" s="80"/>
      <c r="K1846" s="80"/>
      <c r="L1846" s="2"/>
      <c r="M1846" s="2"/>
      <c r="N1846" s="2"/>
      <c r="O1846" s="2"/>
      <c r="P1846" s="2"/>
      <c r="Q1846" s="2"/>
      <c r="R1846" s="80"/>
      <c r="S1846" s="80"/>
      <c r="T1846" s="80"/>
      <c r="U1846" s="80"/>
      <c r="V1846" s="80"/>
      <c r="W1846" s="80"/>
      <c r="X1846" s="80"/>
      <c r="Y1846" s="80"/>
      <c r="Z1846" s="80"/>
      <c r="AA1846" s="80"/>
      <c r="AB1846" s="80"/>
      <c r="AC1846" s="80"/>
      <c r="AD1846" s="80"/>
      <c r="AE1846" s="80"/>
      <c r="AF1846" s="80"/>
      <c r="AG1846" s="80"/>
    </row>
    <row r="1847" spans="1:33" x14ac:dyDescent="0.2">
      <c r="A1847" s="2"/>
      <c r="B1847" s="80"/>
      <c r="C1847" s="80"/>
      <c r="D1847" s="80"/>
      <c r="E1847" s="80"/>
      <c r="F1847" s="80"/>
      <c r="G1847" s="80"/>
      <c r="H1847" s="80"/>
      <c r="I1847" s="80"/>
      <c r="J1847" s="80"/>
      <c r="K1847" s="80"/>
      <c r="L1847" s="2"/>
      <c r="M1847" s="2"/>
      <c r="N1847" s="2"/>
      <c r="O1847" s="2"/>
      <c r="P1847" s="2"/>
      <c r="Q1847" s="2"/>
      <c r="R1847" s="80"/>
      <c r="S1847" s="80"/>
      <c r="T1847" s="80"/>
      <c r="U1847" s="80"/>
      <c r="V1847" s="80"/>
      <c r="W1847" s="80"/>
      <c r="X1847" s="80"/>
      <c r="Y1847" s="80"/>
      <c r="Z1847" s="80"/>
      <c r="AA1847" s="80"/>
      <c r="AB1847" s="80"/>
      <c r="AC1847" s="80"/>
      <c r="AD1847" s="80"/>
      <c r="AE1847" s="80"/>
      <c r="AF1847" s="80"/>
      <c r="AG1847" s="80"/>
    </row>
    <row r="1848" spans="1:33" x14ac:dyDescent="0.2">
      <c r="A1848" s="2"/>
      <c r="B1848" s="80"/>
      <c r="C1848" s="80"/>
      <c r="D1848" s="80"/>
      <c r="E1848" s="80"/>
      <c r="F1848" s="80"/>
      <c r="G1848" s="80"/>
      <c r="H1848" s="80"/>
      <c r="I1848" s="80"/>
      <c r="J1848" s="80"/>
      <c r="K1848" s="80"/>
      <c r="L1848" s="2"/>
      <c r="M1848" s="2"/>
      <c r="N1848" s="2"/>
      <c r="O1848" s="2"/>
      <c r="P1848" s="2"/>
      <c r="Q1848" s="2"/>
      <c r="R1848" s="80"/>
      <c r="S1848" s="80"/>
      <c r="T1848" s="80"/>
      <c r="U1848" s="80"/>
      <c r="V1848" s="80"/>
      <c r="W1848" s="80"/>
      <c r="X1848" s="80"/>
      <c r="Y1848" s="80"/>
      <c r="Z1848" s="80"/>
      <c r="AA1848" s="80"/>
      <c r="AB1848" s="80"/>
      <c r="AC1848" s="80"/>
      <c r="AD1848" s="80"/>
      <c r="AE1848" s="80"/>
      <c r="AF1848" s="80"/>
      <c r="AG1848" s="80"/>
    </row>
    <row r="1849" spans="1:33" x14ac:dyDescent="0.2">
      <c r="A1849" s="2"/>
      <c r="B1849" s="80"/>
      <c r="C1849" s="80"/>
      <c r="D1849" s="80"/>
      <c r="E1849" s="80"/>
      <c r="F1849" s="80"/>
      <c r="G1849" s="80"/>
      <c r="H1849" s="80"/>
      <c r="I1849" s="80"/>
      <c r="J1849" s="80"/>
      <c r="K1849" s="80"/>
      <c r="L1849" s="2"/>
      <c r="M1849" s="2"/>
      <c r="N1849" s="2"/>
      <c r="O1849" s="2"/>
      <c r="P1849" s="2"/>
      <c r="Q1849" s="2"/>
      <c r="R1849" s="80"/>
      <c r="S1849" s="80"/>
      <c r="T1849" s="80"/>
      <c r="U1849" s="80"/>
      <c r="V1849" s="80"/>
      <c r="W1849" s="80"/>
      <c r="X1849" s="80"/>
      <c r="Y1849" s="80"/>
      <c r="Z1849" s="80"/>
      <c r="AA1849" s="80"/>
      <c r="AB1849" s="80"/>
      <c r="AC1849" s="80"/>
      <c r="AD1849" s="80"/>
      <c r="AE1849" s="80"/>
      <c r="AF1849" s="80"/>
      <c r="AG1849" s="80"/>
    </row>
    <row r="1850" spans="1:33" x14ac:dyDescent="0.2">
      <c r="A1850" s="2"/>
      <c r="B1850" s="80"/>
      <c r="C1850" s="80"/>
      <c r="D1850" s="80"/>
      <c r="E1850" s="80"/>
      <c r="F1850" s="80"/>
      <c r="G1850" s="80"/>
      <c r="H1850" s="80"/>
      <c r="I1850" s="80"/>
      <c r="J1850" s="80"/>
      <c r="K1850" s="80"/>
      <c r="L1850" s="2"/>
      <c r="M1850" s="2"/>
      <c r="N1850" s="2"/>
      <c r="O1850" s="2"/>
      <c r="P1850" s="2"/>
      <c r="Q1850" s="2"/>
      <c r="R1850" s="80"/>
      <c r="S1850" s="80"/>
      <c r="T1850" s="80"/>
      <c r="U1850" s="80"/>
      <c r="V1850" s="80"/>
      <c r="W1850" s="80"/>
      <c r="X1850" s="80"/>
      <c r="Y1850" s="80"/>
      <c r="Z1850" s="80"/>
      <c r="AA1850" s="80"/>
      <c r="AB1850" s="80"/>
      <c r="AC1850" s="80"/>
      <c r="AD1850" s="80"/>
      <c r="AE1850" s="80"/>
      <c r="AF1850" s="80"/>
      <c r="AG1850" s="80"/>
    </row>
    <row r="1851" spans="1:33" x14ac:dyDescent="0.2">
      <c r="A1851" s="2"/>
      <c r="B1851" s="80"/>
      <c r="C1851" s="80"/>
      <c r="D1851" s="80"/>
      <c r="E1851" s="80"/>
      <c r="F1851" s="80"/>
      <c r="G1851" s="80"/>
      <c r="H1851" s="80"/>
      <c r="I1851" s="80"/>
      <c r="J1851" s="80"/>
      <c r="K1851" s="80"/>
      <c r="L1851" s="2"/>
      <c r="M1851" s="2"/>
      <c r="N1851" s="2"/>
      <c r="O1851" s="2"/>
      <c r="P1851" s="2"/>
      <c r="Q1851" s="2"/>
      <c r="R1851" s="80"/>
      <c r="S1851" s="80"/>
      <c r="T1851" s="80"/>
      <c r="U1851" s="80"/>
      <c r="V1851" s="80"/>
      <c r="W1851" s="80"/>
      <c r="X1851" s="80"/>
      <c r="Y1851" s="80"/>
      <c r="Z1851" s="80"/>
      <c r="AA1851" s="80"/>
      <c r="AB1851" s="80"/>
      <c r="AC1851" s="80"/>
      <c r="AD1851" s="80"/>
      <c r="AE1851" s="80"/>
      <c r="AF1851" s="80"/>
      <c r="AG1851" s="80"/>
    </row>
    <row r="1852" spans="1:33" x14ac:dyDescent="0.2">
      <c r="A1852" s="2"/>
      <c r="B1852" s="80"/>
      <c r="C1852" s="80"/>
      <c r="D1852" s="80"/>
      <c r="E1852" s="80"/>
      <c r="F1852" s="80"/>
      <c r="G1852" s="80"/>
      <c r="H1852" s="80"/>
      <c r="I1852" s="80"/>
      <c r="J1852" s="80"/>
      <c r="K1852" s="80"/>
      <c r="L1852" s="2"/>
      <c r="M1852" s="2"/>
      <c r="N1852" s="2"/>
      <c r="O1852" s="2"/>
      <c r="P1852" s="2"/>
      <c r="Q1852" s="2"/>
      <c r="R1852" s="80"/>
      <c r="S1852" s="80"/>
      <c r="T1852" s="80"/>
      <c r="U1852" s="80"/>
      <c r="V1852" s="80"/>
      <c r="W1852" s="80"/>
      <c r="X1852" s="80"/>
      <c r="Y1852" s="80"/>
      <c r="Z1852" s="80"/>
      <c r="AA1852" s="80"/>
      <c r="AB1852" s="80"/>
      <c r="AC1852" s="80"/>
      <c r="AD1852" s="80"/>
      <c r="AE1852" s="80"/>
      <c r="AF1852" s="80"/>
      <c r="AG1852" s="80"/>
    </row>
    <row r="1853" spans="1:33" x14ac:dyDescent="0.2">
      <c r="A1853" s="2"/>
      <c r="B1853" s="80"/>
      <c r="C1853" s="80"/>
      <c r="D1853" s="80"/>
      <c r="E1853" s="80"/>
      <c r="F1853" s="80"/>
      <c r="G1853" s="80"/>
      <c r="H1853" s="80"/>
      <c r="I1853" s="80"/>
      <c r="J1853" s="80"/>
      <c r="K1853" s="80"/>
      <c r="L1853" s="2"/>
      <c r="M1853" s="2"/>
      <c r="N1853" s="2"/>
      <c r="O1853" s="2"/>
      <c r="P1853" s="2"/>
      <c r="Q1853" s="2"/>
      <c r="R1853" s="80"/>
      <c r="S1853" s="80"/>
      <c r="T1853" s="80"/>
      <c r="U1853" s="80"/>
      <c r="V1853" s="80"/>
      <c r="W1853" s="80"/>
      <c r="X1853" s="80"/>
      <c r="Y1853" s="80"/>
      <c r="Z1853" s="80"/>
      <c r="AA1853" s="80"/>
      <c r="AB1853" s="80"/>
      <c r="AC1853" s="80"/>
      <c r="AD1853" s="80"/>
      <c r="AE1853" s="80"/>
      <c r="AF1853" s="80"/>
      <c r="AG1853" s="80"/>
    </row>
    <row r="1854" spans="1:33" x14ac:dyDescent="0.2">
      <c r="A1854" s="2"/>
      <c r="B1854" s="80"/>
      <c r="C1854" s="80"/>
      <c r="D1854" s="80"/>
      <c r="E1854" s="80"/>
      <c r="F1854" s="80"/>
      <c r="G1854" s="80"/>
      <c r="H1854" s="80"/>
      <c r="I1854" s="80"/>
      <c r="J1854" s="80"/>
      <c r="K1854" s="80"/>
      <c r="L1854" s="2"/>
      <c r="M1854" s="2"/>
      <c r="N1854" s="2"/>
      <c r="O1854" s="2"/>
      <c r="P1854" s="2"/>
      <c r="Q1854" s="2"/>
      <c r="R1854" s="80"/>
      <c r="S1854" s="80"/>
      <c r="T1854" s="80"/>
      <c r="U1854" s="80"/>
      <c r="V1854" s="80"/>
      <c r="W1854" s="80"/>
      <c r="X1854" s="80"/>
      <c r="Y1854" s="80"/>
      <c r="Z1854" s="80"/>
      <c r="AA1854" s="80"/>
      <c r="AB1854" s="80"/>
      <c r="AC1854" s="80"/>
      <c r="AD1854" s="80"/>
      <c r="AE1854" s="80"/>
      <c r="AF1854" s="80"/>
      <c r="AG1854" s="80"/>
    </row>
    <row r="1855" spans="1:33" x14ac:dyDescent="0.2">
      <c r="A1855" s="2"/>
      <c r="B1855" s="80"/>
      <c r="C1855" s="80"/>
      <c r="D1855" s="80"/>
      <c r="E1855" s="80"/>
      <c r="F1855" s="80"/>
      <c r="G1855" s="80"/>
      <c r="H1855" s="80"/>
      <c r="I1855" s="80"/>
      <c r="J1855" s="80"/>
      <c r="K1855" s="80"/>
      <c r="L1855" s="2"/>
      <c r="M1855" s="2"/>
      <c r="N1855" s="2"/>
      <c r="O1855" s="2"/>
      <c r="P1855" s="2"/>
      <c r="Q1855" s="2"/>
      <c r="R1855" s="80"/>
      <c r="S1855" s="80"/>
      <c r="T1855" s="80"/>
      <c r="U1855" s="80"/>
      <c r="V1855" s="80"/>
      <c r="W1855" s="80"/>
      <c r="X1855" s="80"/>
      <c r="Y1855" s="80"/>
      <c r="Z1855" s="80"/>
      <c r="AA1855" s="80"/>
      <c r="AB1855" s="80"/>
      <c r="AC1855" s="80"/>
      <c r="AD1855" s="80"/>
      <c r="AE1855" s="80"/>
      <c r="AF1855" s="80"/>
      <c r="AG1855" s="80"/>
    </row>
    <row r="1856" spans="1:33" x14ac:dyDescent="0.2">
      <c r="A1856" s="2"/>
      <c r="B1856" s="80"/>
      <c r="C1856" s="80"/>
      <c r="D1856" s="80"/>
      <c r="E1856" s="80"/>
      <c r="F1856" s="80"/>
      <c r="G1856" s="80"/>
      <c r="H1856" s="80"/>
      <c r="I1856" s="80"/>
      <c r="J1856" s="80"/>
      <c r="K1856" s="80"/>
      <c r="L1856" s="2"/>
      <c r="M1856" s="2"/>
      <c r="N1856" s="2"/>
      <c r="O1856" s="2"/>
      <c r="P1856" s="2"/>
      <c r="Q1856" s="2"/>
      <c r="R1856" s="80"/>
      <c r="S1856" s="80"/>
      <c r="T1856" s="80"/>
      <c r="U1856" s="80"/>
      <c r="V1856" s="80"/>
      <c r="W1856" s="80"/>
      <c r="X1856" s="80"/>
      <c r="Y1856" s="80"/>
      <c r="Z1856" s="80"/>
      <c r="AA1856" s="80"/>
      <c r="AB1856" s="80"/>
      <c r="AC1856" s="80"/>
      <c r="AD1856" s="80"/>
      <c r="AE1856" s="80"/>
      <c r="AF1856" s="80"/>
      <c r="AG1856" s="80"/>
    </row>
    <row r="1857" spans="1:33" x14ac:dyDescent="0.2">
      <c r="A1857" s="2"/>
      <c r="B1857" s="80"/>
      <c r="C1857" s="80"/>
      <c r="D1857" s="80"/>
      <c r="E1857" s="80"/>
      <c r="F1857" s="80"/>
      <c r="G1857" s="80"/>
      <c r="H1857" s="80"/>
      <c r="I1857" s="80"/>
      <c r="J1857" s="80"/>
      <c r="K1857" s="80"/>
      <c r="L1857" s="2"/>
      <c r="M1857" s="2"/>
      <c r="N1857" s="2"/>
      <c r="O1857" s="2"/>
      <c r="P1857" s="2"/>
      <c r="Q1857" s="2"/>
      <c r="R1857" s="80"/>
      <c r="S1857" s="80"/>
      <c r="T1857" s="80"/>
      <c r="U1857" s="80"/>
      <c r="V1857" s="80"/>
      <c r="W1857" s="80"/>
      <c r="X1857" s="80"/>
      <c r="Y1857" s="80"/>
      <c r="Z1857" s="80"/>
      <c r="AA1857" s="80"/>
      <c r="AB1857" s="80"/>
      <c r="AC1857" s="80"/>
      <c r="AD1857" s="80"/>
      <c r="AE1857" s="80"/>
      <c r="AF1857" s="80"/>
      <c r="AG1857" s="80"/>
    </row>
    <row r="1858" spans="1:33" x14ac:dyDescent="0.2">
      <c r="A1858" s="2"/>
      <c r="B1858" s="80"/>
      <c r="C1858" s="80"/>
      <c r="D1858" s="80"/>
      <c r="E1858" s="80"/>
      <c r="F1858" s="80"/>
      <c r="G1858" s="80"/>
      <c r="H1858" s="80"/>
      <c r="I1858" s="80"/>
      <c r="J1858" s="80"/>
      <c r="K1858" s="80"/>
      <c r="L1858" s="2"/>
      <c r="M1858" s="2"/>
      <c r="N1858" s="2"/>
      <c r="O1858" s="2"/>
      <c r="P1858" s="2"/>
      <c r="Q1858" s="2"/>
      <c r="R1858" s="80"/>
      <c r="S1858" s="80"/>
      <c r="T1858" s="80"/>
      <c r="U1858" s="80"/>
      <c r="V1858" s="80"/>
      <c r="W1858" s="80"/>
      <c r="X1858" s="80"/>
      <c r="Y1858" s="80"/>
      <c r="Z1858" s="80"/>
      <c r="AA1858" s="80"/>
      <c r="AB1858" s="80"/>
      <c r="AC1858" s="80"/>
      <c r="AD1858" s="80"/>
      <c r="AE1858" s="80"/>
      <c r="AF1858" s="80"/>
      <c r="AG1858" s="80"/>
    </row>
    <row r="1859" spans="1:33" x14ac:dyDescent="0.2">
      <c r="A1859" s="2"/>
      <c r="B1859" s="80"/>
      <c r="C1859" s="80"/>
      <c r="D1859" s="80"/>
      <c r="E1859" s="80"/>
      <c r="F1859" s="80"/>
      <c r="G1859" s="80"/>
      <c r="H1859" s="80"/>
      <c r="I1859" s="80"/>
      <c r="J1859" s="80"/>
      <c r="K1859" s="80"/>
      <c r="L1859" s="2"/>
      <c r="M1859" s="2"/>
      <c r="N1859" s="2"/>
      <c r="O1859" s="2"/>
      <c r="P1859" s="2"/>
      <c r="Q1859" s="2"/>
      <c r="R1859" s="80"/>
      <c r="S1859" s="80"/>
      <c r="T1859" s="80"/>
      <c r="U1859" s="80"/>
      <c r="V1859" s="80"/>
      <c r="W1859" s="80"/>
      <c r="X1859" s="80"/>
      <c r="Y1859" s="80"/>
      <c r="Z1859" s="80"/>
      <c r="AA1859" s="80"/>
      <c r="AB1859" s="80"/>
      <c r="AC1859" s="80"/>
      <c r="AD1859" s="80"/>
      <c r="AE1859" s="80"/>
      <c r="AF1859" s="80"/>
      <c r="AG1859" s="80"/>
    </row>
    <row r="1860" spans="1:33" x14ac:dyDescent="0.2">
      <c r="A1860" s="2"/>
      <c r="B1860" s="80"/>
      <c r="C1860" s="80"/>
      <c r="D1860" s="80"/>
      <c r="E1860" s="80"/>
      <c r="F1860" s="80"/>
      <c r="G1860" s="80"/>
      <c r="H1860" s="80"/>
      <c r="I1860" s="80"/>
      <c r="J1860" s="80"/>
      <c r="K1860" s="80"/>
      <c r="L1860" s="2"/>
      <c r="M1860" s="2"/>
      <c r="N1860" s="2"/>
      <c r="O1860" s="2"/>
      <c r="P1860" s="2"/>
      <c r="Q1860" s="2"/>
      <c r="R1860" s="80"/>
      <c r="S1860" s="80"/>
      <c r="T1860" s="80"/>
      <c r="U1860" s="80"/>
      <c r="V1860" s="80"/>
      <c r="W1860" s="80"/>
      <c r="X1860" s="80"/>
      <c r="Y1860" s="80"/>
      <c r="Z1860" s="80"/>
      <c r="AA1860" s="80"/>
      <c r="AB1860" s="80"/>
      <c r="AC1860" s="80"/>
      <c r="AD1860" s="80"/>
      <c r="AE1860" s="80"/>
      <c r="AF1860" s="80"/>
      <c r="AG1860" s="80"/>
    </row>
    <row r="1861" spans="1:33" x14ac:dyDescent="0.2">
      <c r="A1861" s="2"/>
      <c r="B1861" s="80"/>
      <c r="C1861" s="80"/>
      <c r="D1861" s="80"/>
      <c r="E1861" s="80"/>
      <c r="F1861" s="80"/>
      <c r="G1861" s="80"/>
      <c r="H1861" s="80"/>
      <c r="I1861" s="80"/>
      <c r="J1861" s="80"/>
      <c r="K1861" s="80"/>
      <c r="L1861" s="2"/>
      <c r="M1861" s="2"/>
      <c r="N1861" s="2"/>
      <c r="O1861" s="2"/>
      <c r="P1861" s="2"/>
      <c r="Q1861" s="2"/>
      <c r="R1861" s="80"/>
      <c r="S1861" s="80"/>
      <c r="T1861" s="80"/>
      <c r="U1861" s="80"/>
      <c r="V1861" s="80"/>
      <c r="W1861" s="80"/>
      <c r="X1861" s="80"/>
      <c r="Y1861" s="80"/>
      <c r="Z1861" s="80"/>
      <c r="AA1861" s="80"/>
      <c r="AB1861" s="80"/>
      <c r="AC1861" s="80"/>
      <c r="AD1861" s="80"/>
      <c r="AE1861" s="80"/>
      <c r="AF1861" s="80"/>
      <c r="AG1861" s="80"/>
    </row>
    <row r="1862" spans="1:33" x14ac:dyDescent="0.2">
      <c r="A1862" s="2"/>
      <c r="B1862" s="80"/>
      <c r="C1862" s="80"/>
      <c r="D1862" s="80"/>
      <c r="E1862" s="80"/>
      <c r="F1862" s="80"/>
      <c r="G1862" s="80"/>
      <c r="H1862" s="80"/>
      <c r="I1862" s="80"/>
      <c r="J1862" s="80"/>
      <c r="K1862" s="80"/>
      <c r="L1862" s="2"/>
      <c r="M1862" s="2"/>
      <c r="N1862" s="2"/>
      <c r="O1862" s="2"/>
      <c r="P1862" s="2"/>
      <c r="Q1862" s="2"/>
      <c r="R1862" s="80"/>
      <c r="S1862" s="80"/>
      <c r="T1862" s="80"/>
      <c r="U1862" s="80"/>
      <c r="V1862" s="80"/>
      <c r="W1862" s="80"/>
      <c r="X1862" s="80"/>
      <c r="Y1862" s="80"/>
      <c r="Z1862" s="80"/>
      <c r="AA1862" s="80"/>
      <c r="AB1862" s="80"/>
      <c r="AC1862" s="80"/>
      <c r="AD1862" s="80"/>
      <c r="AE1862" s="80"/>
      <c r="AF1862" s="80"/>
      <c r="AG1862" s="80"/>
    </row>
    <row r="1863" spans="1:33" x14ac:dyDescent="0.2">
      <c r="A1863" s="2"/>
      <c r="B1863" s="80"/>
      <c r="C1863" s="80"/>
      <c r="D1863" s="80"/>
      <c r="E1863" s="80"/>
      <c r="F1863" s="80"/>
      <c r="G1863" s="80"/>
      <c r="H1863" s="80"/>
      <c r="I1863" s="80"/>
      <c r="J1863" s="80"/>
      <c r="K1863" s="80"/>
      <c r="L1863" s="2"/>
      <c r="M1863" s="2"/>
      <c r="N1863" s="2"/>
      <c r="O1863" s="2"/>
      <c r="P1863" s="2"/>
      <c r="Q1863" s="2"/>
      <c r="R1863" s="80"/>
      <c r="S1863" s="80"/>
      <c r="T1863" s="80"/>
      <c r="U1863" s="80"/>
      <c r="V1863" s="80"/>
      <c r="W1863" s="80"/>
      <c r="X1863" s="80"/>
      <c r="Y1863" s="80"/>
      <c r="Z1863" s="80"/>
      <c r="AA1863" s="80"/>
      <c r="AB1863" s="80"/>
      <c r="AC1863" s="80"/>
      <c r="AD1863" s="80"/>
      <c r="AE1863" s="80"/>
      <c r="AF1863" s="80"/>
      <c r="AG1863" s="80"/>
    </row>
    <row r="1864" spans="1:33" x14ac:dyDescent="0.2">
      <c r="A1864" s="2"/>
      <c r="B1864" s="80"/>
      <c r="C1864" s="80"/>
      <c r="D1864" s="80"/>
      <c r="E1864" s="80"/>
      <c r="F1864" s="80"/>
      <c r="G1864" s="80"/>
      <c r="H1864" s="80"/>
      <c r="I1864" s="80"/>
      <c r="J1864" s="80"/>
      <c r="K1864" s="80"/>
      <c r="L1864" s="2"/>
      <c r="M1864" s="2"/>
      <c r="N1864" s="2"/>
      <c r="O1864" s="2"/>
      <c r="P1864" s="2"/>
      <c r="Q1864" s="2"/>
      <c r="R1864" s="80"/>
      <c r="S1864" s="80"/>
      <c r="T1864" s="80"/>
      <c r="U1864" s="80"/>
      <c r="V1864" s="80"/>
      <c r="W1864" s="80"/>
      <c r="X1864" s="80"/>
      <c r="Y1864" s="80"/>
      <c r="Z1864" s="80"/>
      <c r="AA1864" s="80"/>
      <c r="AB1864" s="80"/>
      <c r="AC1864" s="80"/>
      <c r="AD1864" s="80"/>
      <c r="AE1864" s="80"/>
      <c r="AF1864" s="80"/>
      <c r="AG1864" s="80"/>
    </row>
    <row r="1865" spans="1:33" x14ac:dyDescent="0.2">
      <c r="A1865" s="2"/>
      <c r="B1865" s="80"/>
      <c r="C1865" s="80"/>
      <c r="D1865" s="80"/>
      <c r="E1865" s="80"/>
      <c r="F1865" s="80"/>
      <c r="G1865" s="80"/>
      <c r="H1865" s="80"/>
      <c r="I1865" s="80"/>
      <c r="J1865" s="80"/>
      <c r="K1865" s="80"/>
      <c r="L1865" s="2"/>
      <c r="M1865" s="2"/>
      <c r="N1865" s="2"/>
      <c r="O1865" s="2"/>
      <c r="P1865" s="2"/>
      <c r="Q1865" s="2"/>
      <c r="R1865" s="80"/>
      <c r="S1865" s="80"/>
      <c r="T1865" s="80"/>
      <c r="U1865" s="80"/>
      <c r="V1865" s="80"/>
      <c r="W1865" s="80"/>
      <c r="X1865" s="80"/>
      <c r="Y1865" s="80"/>
      <c r="Z1865" s="80"/>
      <c r="AA1865" s="80"/>
      <c r="AB1865" s="80"/>
      <c r="AC1865" s="80"/>
      <c r="AD1865" s="80"/>
      <c r="AE1865" s="80"/>
      <c r="AF1865" s="80"/>
      <c r="AG1865" s="80"/>
    </row>
    <row r="1866" spans="1:33" x14ac:dyDescent="0.2">
      <c r="A1866" s="2"/>
      <c r="B1866" s="80"/>
      <c r="C1866" s="80"/>
      <c r="D1866" s="80"/>
      <c r="E1866" s="80"/>
      <c r="F1866" s="80"/>
      <c r="G1866" s="80"/>
      <c r="H1866" s="80"/>
      <c r="I1866" s="80"/>
      <c r="J1866" s="80"/>
      <c r="K1866" s="80"/>
      <c r="L1866" s="2"/>
      <c r="M1866" s="2"/>
      <c r="N1866" s="2"/>
      <c r="O1866" s="2"/>
      <c r="P1866" s="2"/>
      <c r="Q1866" s="2"/>
      <c r="R1866" s="80"/>
      <c r="S1866" s="80"/>
      <c r="T1866" s="80"/>
      <c r="U1866" s="80"/>
      <c r="V1866" s="80"/>
      <c r="W1866" s="80"/>
      <c r="X1866" s="80"/>
      <c r="Y1866" s="80"/>
      <c r="Z1866" s="80"/>
      <c r="AA1866" s="80"/>
      <c r="AB1866" s="80"/>
      <c r="AC1866" s="80"/>
      <c r="AD1866" s="80"/>
      <c r="AE1866" s="80"/>
      <c r="AF1866" s="80"/>
      <c r="AG1866" s="80"/>
    </row>
    <row r="1867" spans="1:33" x14ac:dyDescent="0.2">
      <c r="A1867" s="2"/>
      <c r="B1867" s="80"/>
      <c r="C1867" s="80"/>
      <c r="D1867" s="80"/>
      <c r="E1867" s="80"/>
      <c r="F1867" s="80"/>
      <c r="G1867" s="80"/>
      <c r="H1867" s="80"/>
      <c r="I1867" s="80"/>
      <c r="J1867" s="80"/>
      <c r="K1867" s="80"/>
      <c r="L1867" s="2"/>
      <c r="M1867" s="2"/>
      <c r="N1867" s="2"/>
      <c r="O1867" s="2"/>
      <c r="P1867" s="2"/>
      <c r="Q1867" s="2"/>
      <c r="R1867" s="80"/>
      <c r="S1867" s="80"/>
      <c r="T1867" s="80"/>
      <c r="U1867" s="80"/>
      <c r="V1867" s="80"/>
      <c r="W1867" s="80"/>
      <c r="X1867" s="80"/>
      <c r="Y1867" s="80"/>
      <c r="Z1867" s="80"/>
      <c r="AA1867" s="80"/>
      <c r="AB1867" s="80"/>
      <c r="AC1867" s="80"/>
      <c r="AD1867" s="80"/>
      <c r="AE1867" s="80"/>
      <c r="AF1867" s="80"/>
      <c r="AG1867" s="80"/>
    </row>
    <row r="1868" spans="1:33" x14ac:dyDescent="0.2">
      <c r="A1868" s="2"/>
      <c r="B1868" s="80"/>
      <c r="C1868" s="80"/>
      <c r="D1868" s="80"/>
      <c r="E1868" s="80"/>
      <c r="F1868" s="80"/>
      <c r="G1868" s="80"/>
      <c r="H1868" s="80"/>
      <c r="I1868" s="80"/>
      <c r="J1868" s="80"/>
      <c r="K1868" s="80"/>
      <c r="L1868" s="2"/>
      <c r="M1868" s="2"/>
      <c r="N1868" s="2"/>
      <c r="O1868" s="2"/>
      <c r="P1868" s="2"/>
      <c r="Q1868" s="2"/>
      <c r="R1868" s="80"/>
      <c r="S1868" s="80"/>
      <c r="T1868" s="80"/>
      <c r="U1868" s="80"/>
      <c r="V1868" s="80"/>
      <c r="W1868" s="80"/>
      <c r="X1868" s="80"/>
      <c r="Y1868" s="80"/>
      <c r="Z1868" s="80"/>
      <c r="AA1868" s="80"/>
      <c r="AB1868" s="80"/>
      <c r="AC1868" s="80"/>
      <c r="AD1868" s="80"/>
      <c r="AE1868" s="80"/>
      <c r="AF1868" s="80"/>
      <c r="AG1868" s="80"/>
    </row>
    <row r="1869" spans="1:33" x14ac:dyDescent="0.2">
      <c r="A1869" s="2"/>
      <c r="B1869" s="80"/>
      <c r="C1869" s="80"/>
      <c r="D1869" s="80"/>
      <c r="E1869" s="80"/>
      <c r="F1869" s="80"/>
      <c r="G1869" s="80"/>
      <c r="H1869" s="80"/>
      <c r="I1869" s="80"/>
      <c r="J1869" s="80"/>
      <c r="K1869" s="80"/>
      <c r="L1869" s="2"/>
      <c r="M1869" s="2"/>
      <c r="N1869" s="2"/>
      <c r="O1869" s="2"/>
      <c r="P1869" s="2"/>
      <c r="Q1869" s="2"/>
      <c r="R1869" s="80"/>
      <c r="S1869" s="80"/>
      <c r="T1869" s="80"/>
      <c r="U1869" s="80"/>
      <c r="V1869" s="80"/>
      <c r="W1869" s="80"/>
      <c r="X1869" s="80"/>
      <c r="Y1869" s="80"/>
      <c r="Z1869" s="80"/>
      <c r="AA1869" s="80"/>
      <c r="AB1869" s="80"/>
      <c r="AC1869" s="80"/>
      <c r="AD1869" s="80"/>
      <c r="AE1869" s="80"/>
      <c r="AF1869" s="80"/>
      <c r="AG1869" s="80"/>
    </row>
    <row r="1870" spans="1:33" x14ac:dyDescent="0.2">
      <c r="A1870" s="2"/>
      <c r="B1870" s="80"/>
      <c r="C1870" s="80"/>
      <c r="D1870" s="80"/>
      <c r="E1870" s="80"/>
      <c r="F1870" s="80"/>
      <c r="G1870" s="80"/>
      <c r="H1870" s="80"/>
      <c r="I1870" s="80"/>
      <c r="J1870" s="80"/>
      <c r="K1870" s="80"/>
      <c r="L1870" s="2"/>
      <c r="M1870" s="2"/>
      <c r="N1870" s="2"/>
      <c r="O1870" s="2"/>
      <c r="P1870" s="2"/>
      <c r="Q1870" s="2"/>
      <c r="R1870" s="80"/>
      <c r="S1870" s="80"/>
      <c r="T1870" s="80"/>
      <c r="U1870" s="80"/>
      <c r="V1870" s="80"/>
      <c r="W1870" s="80"/>
      <c r="X1870" s="80"/>
      <c r="Y1870" s="80"/>
      <c r="Z1870" s="80"/>
      <c r="AA1870" s="80"/>
      <c r="AB1870" s="80"/>
      <c r="AC1870" s="80"/>
      <c r="AD1870" s="80"/>
      <c r="AE1870" s="80"/>
      <c r="AF1870" s="80"/>
      <c r="AG1870" s="80"/>
    </row>
    <row r="1871" spans="1:33" x14ac:dyDescent="0.2">
      <c r="A1871" s="2"/>
      <c r="B1871" s="80"/>
      <c r="C1871" s="80"/>
      <c r="D1871" s="80"/>
      <c r="E1871" s="80"/>
      <c r="F1871" s="80"/>
      <c r="G1871" s="80"/>
      <c r="H1871" s="80"/>
      <c r="I1871" s="80"/>
      <c r="J1871" s="80"/>
      <c r="K1871" s="80"/>
      <c r="L1871" s="2"/>
      <c r="M1871" s="2"/>
      <c r="N1871" s="2"/>
      <c r="O1871" s="2"/>
      <c r="P1871" s="2"/>
      <c r="Q1871" s="2"/>
      <c r="R1871" s="80"/>
      <c r="S1871" s="80"/>
      <c r="T1871" s="80"/>
      <c r="U1871" s="80"/>
      <c r="V1871" s="80"/>
      <c r="W1871" s="80"/>
      <c r="X1871" s="80"/>
      <c r="Y1871" s="80"/>
      <c r="Z1871" s="80"/>
      <c r="AA1871" s="80"/>
      <c r="AB1871" s="80"/>
      <c r="AC1871" s="80"/>
      <c r="AD1871" s="80"/>
      <c r="AE1871" s="80"/>
      <c r="AF1871" s="80"/>
      <c r="AG1871" s="80"/>
    </row>
    <row r="1872" spans="1:33" x14ac:dyDescent="0.2">
      <c r="A1872" s="2"/>
      <c r="B1872" s="80"/>
      <c r="C1872" s="80"/>
      <c r="D1872" s="80"/>
      <c r="E1872" s="80"/>
      <c r="F1872" s="80"/>
      <c r="G1872" s="80"/>
      <c r="H1872" s="80"/>
      <c r="I1872" s="80"/>
      <c r="J1872" s="80"/>
      <c r="K1872" s="80"/>
      <c r="L1872" s="2"/>
      <c r="M1872" s="2"/>
      <c r="N1872" s="2"/>
      <c r="O1872" s="2"/>
      <c r="P1872" s="2"/>
      <c r="Q1872" s="2"/>
      <c r="R1872" s="80"/>
      <c r="S1872" s="80"/>
      <c r="T1872" s="80"/>
      <c r="U1872" s="80"/>
      <c r="V1872" s="80"/>
      <c r="W1872" s="80"/>
      <c r="X1872" s="80"/>
      <c r="Y1872" s="80"/>
      <c r="Z1872" s="80"/>
      <c r="AA1872" s="80"/>
      <c r="AB1872" s="80"/>
      <c r="AC1872" s="80"/>
      <c r="AD1872" s="80"/>
      <c r="AE1872" s="80"/>
      <c r="AF1872" s="80"/>
      <c r="AG1872" s="80"/>
    </row>
    <row r="1873" spans="1:33" x14ac:dyDescent="0.2">
      <c r="A1873" s="2"/>
      <c r="B1873" s="80"/>
      <c r="C1873" s="80"/>
      <c r="D1873" s="80"/>
      <c r="E1873" s="80"/>
      <c r="F1873" s="80"/>
      <c r="G1873" s="80"/>
      <c r="H1873" s="80"/>
      <c r="I1873" s="80"/>
      <c r="J1873" s="80"/>
      <c r="K1873" s="80"/>
      <c r="L1873" s="2"/>
      <c r="M1873" s="2"/>
      <c r="N1873" s="2"/>
      <c r="O1873" s="2"/>
      <c r="P1873" s="2"/>
      <c r="Q1873" s="2"/>
      <c r="R1873" s="80"/>
      <c r="S1873" s="80"/>
      <c r="T1873" s="80"/>
      <c r="U1873" s="80"/>
      <c r="V1873" s="80"/>
      <c r="W1873" s="80"/>
      <c r="X1873" s="80"/>
      <c r="Y1873" s="80"/>
      <c r="Z1873" s="80"/>
      <c r="AA1873" s="80"/>
      <c r="AB1873" s="80"/>
      <c r="AC1873" s="80"/>
      <c r="AD1873" s="80"/>
      <c r="AE1873" s="80"/>
      <c r="AF1873" s="80"/>
      <c r="AG1873" s="80"/>
    </row>
    <row r="1874" spans="1:33" x14ac:dyDescent="0.2">
      <c r="A1874" s="2"/>
      <c r="B1874" s="80"/>
      <c r="C1874" s="80"/>
      <c r="D1874" s="80"/>
      <c r="E1874" s="80"/>
      <c r="F1874" s="80"/>
      <c r="G1874" s="80"/>
      <c r="H1874" s="80"/>
      <c r="I1874" s="80"/>
      <c r="J1874" s="80"/>
      <c r="K1874" s="80"/>
      <c r="L1874" s="2"/>
      <c r="M1874" s="2"/>
      <c r="N1874" s="2"/>
      <c r="O1874" s="2"/>
      <c r="P1874" s="2"/>
      <c r="Q1874" s="2"/>
      <c r="R1874" s="80"/>
      <c r="S1874" s="80"/>
      <c r="T1874" s="80"/>
      <c r="U1874" s="80"/>
      <c r="V1874" s="80"/>
      <c r="W1874" s="80"/>
      <c r="X1874" s="80"/>
      <c r="Y1874" s="80"/>
      <c r="Z1874" s="80"/>
      <c r="AA1874" s="80"/>
      <c r="AB1874" s="80"/>
      <c r="AC1874" s="80"/>
      <c r="AD1874" s="80"/>
      <c r="AE1874" s="80"/>
      <c r="AF1874" s="80"/>
      <c r="AG1874" s="80"/>
    </row>
    <row r="1875" spans="1:33" x14ac:dyDescent="0.2">
      <c r="A1875" s="2"/>
      <c r="B1875" s="80"/>
      <c r="C1875" s="80"/>
      <c r="D1875" s="80"/>
      <c r="E1875" s="80"/>
      <c r="F1875" s="80"/>
      <c r="G1875" s="80"/>
      <c r="H1875" s="80"/>
      <c r="I1875" s="80"/>
      <c r="J1875" s="80"/>
      <c r="K1875" s="80"/>
      <c r="L1875" s="2"/>
      <c r="M1875" s="2"/>
      <c r="N1875" s="2"/>
      <c r="O1875" s="2"/>
      <c r="P1875" s="2"/>
      <c r="Q1875" s="2"/>
      <c r="R1875" s="80"/>
      <c r="S1875" s="80"/>
      <c r="T1875" s="80"/>
      <c r="U1875" s="80"/>
      <c r="V1875" s="80"/>
      <c r="W1875" s="80"/>
      <c r="X1875" s="80"/>
      <c r="Y1875" s="80"/>
      <c r="Z1875" s="80"/>
      <c r="AA1875" s="80"/>
      <c r="AB1875" s="80"/>
      <c r="AC1875" s="80"/>
      <c r="AD1875" s="80"/>
      <c r="AE1875" s="80"/>
      <c r="AF1875" s="80"/>
      <c r="AG1875" s="80"/>
    </row>
    <row r="1876" spans="1:33" x14ac:dyDescent="0.2">
      <c r="A1876" s="2"/>
      <c r="B1876" s="80"/>
      <c r="C1876" s="80"/>
      <c r="D1876" s="80"/>
      <c r="E1876" s="80"/>
      <c r="F1876" s="80"/>
      <c r="G1876" s="80"/>
      <c r="H1876" s="80"/>
      <c r="I1876" s="80"/>
      <c r="J1876" s="80"/>
      <c r="K1876" s="80"/>
      <c r="L1876" s="2"/>
      <c r="M1876" s="2"/>
      <c r="N1876" s="2"/>
      <c r="O1876" s="2"/>
      <c r="P1876" s="2"/>
      <c r="Q1876" s="2"/>
      <c r="R1876" s="80"/>
      <c r="S1876" s="80"/>
      <c r="T1876" s="80"/>
      <c r="U1876" s="80"/>
      <c r="V1876" s="80"/>
      <c r="W1876" s="80"/>
      <c r="X1876" s="80"/>
      <c r="Y1876" s="80"/>
      <c r="Z1876" s="80"/>
      <c r="AA1876" s="80"/>
      <c r="AB1876" s="80"/>
      <c r="AC1876" s="80"/>
      <c r="AD1876" s="80"/>
      <c r="AE1876" s="80"/>
      <c r="AF1876" s="80"/>
      <c r="AG1876" s="80"/>
    </row>
    <row r="1877" spans="1:33" x14ac:dyDescent="0.2">
      <c r="A1877" s="2"/>
      <c r="B1877" s="80"/>
      <c r="C1877" s="80"/>
      <c r="D1877" s="80"/>
      <c r="E1877" s="80"/>
      <c r="F1877" s="80"/>
      <c r="G1877" s="80"/>
      <c r="H1877" s="80"/>
      <c r="I1877" s="80"/>
      <c r="J1877" s="80"/>
      <c r="K1877" s="80"/>
      <c r="L1877" s="2"/>
      <c r="M1877" s="2"/>
      <c r="N1877" s="2"/>
      <c r="O1877" s="2"/>
      <c r="P1877" s="2"/>
      <c r="Q1877" s="2"/>
      <c r="R1877" s="80"/>
      <c r="S1877" s="80"/>
      <c r="T1877" s="80"/>
      <c r="U1877" s="80"/>
      <c r="V1877" s="80"/>
      <c r="W1877" s="80"/>
      <c r="X1877" s="80"/>
      <c r="Y1877" s="80"/>
      <c r="Z1877" s="80"/>
      <c r="AA1877" s="80"/>
      <c r="AB1877" s="80"/>
      <c r="AC1877" s="80"/>
      <c r="AD1877" s="80"/>
      <c r="AE1877" s="80"/>
      <c r="AF1877" s="80"/>
      <c r="AG1877" s="80"/>
    </row>
    <row r="1878" spans="1:33" x14ac:dyDescent="0.2">
      <c r="A1878" s="2"/>
      <c r="B1878" s="80"/>
      <c r="C1878" s="80"/>
      <c r="D1878" s="80"/>
      <c r="E1878" s="80"/>
      <c r="F1878" s="80"/>
      <c r="G1878" s="80"/>
      <c r="H1878" s="80"/>
      <c r="I1878" s="80"/>
      <c r="J1878" s="80"/>
      <c r="K1878" s="80"/>
      <c r="L1878" s="2"/>
      <c r="M1878" s="2"/>
      <c r="N1878" s="2"/>
      <c r="O1878" s="2"/>
      <c r="P1878" s="2"/>
      <c r="Q1878" s="2"/>
      <c r="R1878" s="80"/>
      <c r="S1878" s="80"/>
      <c r="T1878" s="80"/>
      <c r="U1878" s="80"/>
      <c r="V1878" s="80"/>
      <c r="W1878" s="80"/>
      <c r="X1878" s="80"/>
      <c r="Y1878" s="80"/>
      <c r="Z1878" s="80"/>
      <c r="AA1878" s="80"/>
      <c r="AB1878" s="80"/>
      <c r="AC1878" s="80"/>
      <c r="AD1878" s="80"/>
      <c r="AE1878" s="80"/>
      <c r="AF1878" s="80"/>
      <c r="AG1878" s="80"/>
    </row>
    <row r="1879" spans="1:33" x14ac:dyDescent="0.2">
      <c r="A1879" s="2"/>
      <c r="B1879" s="80"/>
      <c r="C1879" s="80"/>
      <c r="D1879" s="80"/>
      <c r="E1879" s="80"/>
      <c r="F1879" s="80"/>
      <c r="G1879" s="80"/>
      <c r="H1879" s="80"/>
      <c r="I1879" s="80"/>
      <c r="J1879" s="80"/>
      <c r="K1879" s="80"/>
      <c r="L1879" s="2"/>
      <c r="M1879" s="2"/>
      <c r="N1879" s="2"/>
      <c r="O1879" s="2"/>
      <c r="P1879" s="2"/>
      <c r="Q1879" s="2"/>
      <c r="R1879" s="80"/>
      <c r="S1879" s="80"/>
      <c r="T1879" s="80"/>
      <c r="U1879" s="80"/>
      <c r="V1879" s="80"/>
      <c r="W1879" s="80"/>
      <c r="X1879" s="80"/>
      <c r="Y1879" s="80"/>
      <c r="Z1879" s="80"/>
      <c r="AA1879" s="80"/>
      <c r="AB1879" s="80"/>
      <c r="AC1879" s="80"/>
      <c r="AD1879" s="80"/>
      <c r="AE1879" s="80"/>
      <c r="AF1879" s="80"/>
      <c r="AG1879" s="80"/>
    </row>
    <row r="1880" spans="1:33" x14ac:dyDescent="0.2">
      <c r="A1880" s="2"/>
      <c r="B1880" s="80"/>
      <c r="C1880" s="80"/>
      <c r="D1880" s="80"/>
      <c r="E1880" s="80"/>
      <c r="F1880" s="80"/>
      <c r="G1880" s="80"/>
      <c r="H1880" s="80"/>
      <c r="I1880" s="80"/>
      <c r="J1880" s="80"/>
      <c r="K1880" s="80"/>
      <c r="L1880" s="2"/>
      <c r="M1880" s="2"/>
      <c r="N1880" s="2"/>
      <c r="O1880" s="2"/>
      <c r="P1880" s="2"/>
      <c r="Q1880" s="2"/>
      <c r="R1880" s="80"/>
      <c r="S1880" s="80"/>
      <c r="T1880" s="80"/>
      <c r="U1880" s="80"/>
      <c r="V1880" s="80"/>
      <c r="W1880" s="80"/>
      <c r="X1880" s="80"/>
      <c r="Y1880" s="80"/>
      <c r="Z1880" s="80"/>
      <c r="AA1880" s="80"/>
      <c r="AB1880" s="80"/>
      <c r="AC1880" s="80"/>
      <c r="AD1880" s="80"/>
      <c r="AE1880" s="80"/>
      <c r="AF1880" s="80"/>
      <c r="AG1880" s="80"/>
    </row>
    <row r="1881" spans="1:33" x14ac:dyDescent="0.2">
      <c r="A1881" s="2"/>
      <c r="B1881" s="80"/>
      <c r="C1881" s="80"/>
      <c r="D1881" s="80"/>
      <c r="E1881" s="80"/>
      <c r="F1881" s="80"/>
      <c r="G1881" s="80"/>
      <c r="H1881" s="80"/>
      <c r="I1881" s="80"/>
      <c r="J1881" s="80"/>
      <c r="K1881" s="80"/>
      <c r="L1881" s="2"/>
      <c r="M1881" s="2"/>
      <c r="N1881" s="2"/>
      <c r="O1881" s="2"/>
      <c r="P1881" s="2"/>
      <c r="Q1881" s="2"/>
      <c r="R1881" s="80"/>
      <c r="S1881" s="80"/>
      <c r="T1881" s="80"/>
      <c r="U1881" s="80"/>
      <c r="V1881" s="80"/>
      <c r="W1881" s="80"/>
      <c r="X1881" s="80"/>
      <c r="Y1881" s="80"/>
      <c r="Z1881" s="80"/>
      <c r="AA1881" s="80"/>
      <c r="AB1881" s="80"/>
      <c r="AC1881" s="80"/>
      <c r="AD1881" s="80"/>
      <c r="AE1881" s="80"/>
      <c r="AF1881" s="80"/>
      <c r="AG1881" s="80"/>
    </row>
    <row r="1882" spans="1:33" x14ac:dyDescent="0.2">
      <c r="A1882" s="2"/>
      <c r="B1882" s="80"/>
      <c r="C1882" s="80"/>
      <c r="D1882" s="80"/>
      <c r="E1882" s="80"/>
      <c r="F1882" s="80"/>
      <c r="G1882" s="80"/>
      <c r="H1882" s="80"/>
      <c r="I1882" s="80"/>
      <c r="J1882" s="80"/>
      <c r="K1882" s="80"/>
      <c r="L1882" s="2"/>
      <c r="M1882" s="2"/>
      <c r="N1882" s="2"/>
      <c r="O1882" s="2"/>
      <c r="P1882" s="2"/>
      <c r="Q1882" s="2"/>
      <c r="R1882" s="80"/>
      <c r="S1882" s="80"/>
      <c r="T1882" s="80"/>
      <c r="U1882" s="80"/>
      <c r="V1882" s="80"/>
      <c r="W1882" s="80"/>
      <c r="X1882" s="80"/>
      <c r="Y1882" s="80"/>
      <c r="Z1882" s="80"/>
      <c r="AA1882" s="80"/>
      <c r="AB1882" s="80"/>
      <c r="AC1882" s="80"/>
      <c r="AD1882" s="80"/>
      <c r="AE1882" s="80"/>
      <c r="AF1882" s="80"/>
      <c r="AG1882" s="80"/>
    </row>
    <row r="1883" spans="1:33" x14ac:dyDescent="0.2">
      <c r="A1883" s="2"/>
      <c r="B1883" s="80"/>
      <c r="C1883" s="80"/>
      <c r="D1883" s="80"/>
      <c r="E1883" s="80"/>
      <c r="F1883" s="80"/>
      <c r="G1883" s="80"/>
      <c r="H1883" s="80"/>
      <c r="I1883" s="80"/>
      <c r="J1883" s="80"/>
      <c r="K1883" s="80"/>
      <c r="L1883" s="2"/>
      <c r="M1883" s="2"/>
      <c r="N1883" s="2"/>
      <c r="O1883" s="2"/>
      <c r="P1883" s="2"/>
      <c r="Q1883" s="2"/>
      <c r="R1883" s="80"/>
      <c r="S1883" s="80"/>
      <c r="T1883" s="80"/>
      <c r="U1883" s="80"/>
      <c r="V1883" s="80"/>
      <c r="W1883" s="80"/>
      <c r="X1883" s="80"/>
      <c r="Y1883" s="80"/>
      <c r="Z1883" s="80"/>
      <c r="AA1883" s="80"/>
      <c r="AB1883" s="80"/>
      <c r="AC1883" s="80"/>
      <c r="AD1883" s="80"/>
      <c r="AE1883" s="80"/>
      <c r="AF1883" s="80"/>
      <c r="AG1883" s="80"/>
    </row>
    <row r="1884" spans="1:33" x14ac:dyDescent="0.2">
      <c r="A1884" s="2"/>
      <c r="B1884" s="80"/>
      <c r="C1884" s="80"/>
      <c r="D1884" s="80"/>
      <c r="E1884" s="80"/>
      <c r="F1884" s="80"/>
      <c r="G1884" s="80"/>
      <c r="H1884" s="80"/>
      <c r="I1884" s="80"/>
      <c r="J1884" s="80"/>
      <c r="K1884" s="80"/>
      <c r="L1884" s="2"/>
      <c r="M1884" s="2"/>
      <c r="N1884" s="2"/>
      <c r="O1884" s="2"/>
      <c r="P1884" s="2"/>
      <c r="Q1884" s="2"/>
      <c r="R1884" s="80"/>
      <c r="S1884" s="80"/>
      <c r="T1884" s="80"/>
      <c r="U1884" s="80"/>
      <c r="V1884" s="80"/>
      <c r="W1884" s="80"/>
      <c r="X1884" s="80"/>
      <c r="Y1884" s="80"/>
      <c r="Z1884" s="80"/>
      <c r="AA1884" s="80"/>
      <c r="AB1884" s="80"/>
      <c r="AC1884" s="80"/>
      <c r="AD1884" s="80"/>
      <c r="AE1884" s="80"/>
      <c r="AF1884" s="80"/>
      <c r="AG1884" s="80"/>
    </row>
    <row r="1885" spans="1:33" x14ac:dyDescent="0.2">
      <c r="A1885" s="2"/>
      <c r="B1885" s="80"/>
      <c r="C1885" s="80"/>
      <c r="D1885" s="80"/>
      <c r="E1885" s="80"/>
      <c r="F1885" s="80"/>
      <c r="G1885" s="80"/>
      <c r="H1885" s="80"/>
      <c r="I1885" s="80"/>
      <c r="J1885" s="80"/>
      <c r="K1885" s="80"/>
      <c r="L1885" s="2"/>
      <c r="M1885" s="2"/>
      <c r="N1885" s="2"/>
      <c r="O1885" s="2"/>
      <c r="P1885" s="2"/>
      <c r="Q1885" s="2"/>
      <c r="R1885" s="80"/>
      <c r="S1885" s="80"/>
      <c r="T1885" s="80"/>
      <c r="U1885" s="80"/>
      <c r="V1885" s="80"/>
      <c r="W1885" s="80"/>
      <c r="X1885" s="80"/>
      <c r="Y1885" s="80"/>
      <c r="Z1885" s="80"/>
      <c r="AA1885" s="80"/>
      <c r="AB1885" s="80"/>
      <c r="AC1885" s="80"/>
      <c r="AD1885" s="80"/>
      <c r="AE1885" s="80"/>
      <c r="AF1885" s="80"/>
      <c r="AG1885" s="80"/>
    </row>
    <row r="1886" spans="1:33" x14ac:dyDescent="0.2">
      <c r="A1886" s="2"/>
      <c r="B1886" s="80"/>
      <c r="C1886" s="80"/>
      <c r="D1886" s="80"/>
      <c r="E1886" s="80"/>
      <c r="F1886" s="80"/>
      <c r="G1886" s="80"/>
      <c r="H1886" s="80"/>
      <c r="I1886" s="80"/>
      <c r="J1886" s="80"/>
      <c r="K1886" s="80"/>
      <c r="L1886" s="2"/>
      <c r="M1886" s="2"/>
      <c r="N1886" s="2"/>
      <c r="O1886" s="2"/>
      <c r="P1886" s="2"/>
      <c r="Q1886" s="2"/>
      <c r="R1886" s="80"/>
      <c r="S1886" s="80"/>
      <c r="T1886" s="80"/>
      <c r="U1886" s="80"/>
      <c r="V1886" s="80"/>
      <c r="W1886" s="80"/>
      <c r="X1886" s="80"/>
      <c r="Y1886" s="80"/>
      <c r="Z1886" s="80"/>
      <c r="AA1886" s="80"/>
      <c r="AB1886" s="80"/>
      <c r="AC1886" s="80"/>
      <c r="AD1886" s="80"/>
      <c r="AE1886" s="80"/>
      <c r="AF1886" s="80"/>
      <c r="AG1886" s="80"/>
    </row>
    <row r="1887" spans="1:33" x14ac:dyDescent="0.2">
      <c r="A1887" s="2"/>
      <c r="B1887" s="80"/>
      <c r="C1887" s="80"/>
      <c r="D1887" s="80"/>
      <c r="E1887" s="80"/>
      <c r="F1887" s="80"/>
      <c r="G1887" s="80"/>
      <c r="H1887" s="80"/>
      <c r="I1887" s="80"/>
      <c r="J1887" s="80"/>
      <c r="K1887" s="80"/>
      <c r="L1887" s="2"/>
      <c r="M1887" s="2"/>
      <c r="N1887" s="2"/>
      <c r="O1887" s="2"/>
      <c r="P1887" s="2"/>
      <c r="Q1887" s="2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E1887" s="80"/>
      <c r="AF1887" s="80"/>
      <c r="AG1887" s="80"/>
    </row>
    <row r="1888" spans="1:33" x14ac:dyDescent="0.2">
      <c r="A1888" s="2"/>
      <c r="B1888" s="80"/>
      <c r="C1888" s="80"/>
      <c r="D1888" s="80"/>
      <c r="E1888" s="80"/>
      <c r="F1888" s="80"/>
      <c r="G1888" s="80"/>
      <c r="H1888" s="80"/>
      <c r="I1888" s="80"/>
      <c r="J1888" s="80"/>
      <c r="K1888" s="80"/>
      <c r="L1888" s="2"/>
      <c r="M1888" s="2"/>
      <c r="N1888" s="2"/>
      <c r="O1888" s="2"/>
      <c r="P1888" s="2"/>
      <c r="Q1888" s="2"/>
      <c r="R1888" s="80"/>
      <c r="S1888" s="80"/>
      <c r="T1888" s="80"/>
      <c r="U1888" s="80"/>
      <c r="V1888" s="80"/>
      <c r="W1888" s="80"/>
      <c r="X1888" s="80"/>
      <c r="Y1888" s="80"/>
      <c r="Z1888" s="80"/>
      <c r="AA1888" s="80"/>
      <c r="AB1888" s="80"/>
      <c r="AC1888" s="80"/>
      <c r="AD1888" s="80"/>
      <c r="AE1888" s="80"/>
      <c r="AF1888" s="80"/>
      <c r="AG1888" s="80"/>
    </row>
    <row r="1889" spans="1:33" x14ac:dyDescent="0.2">
      <c r="A1889" s="2"/>
      <c r="B1889" s="80"/>
      <c r="C1889" s="80"/>
      <c r="D1889" s="80"/>
      <c r="E1889" s="80"/>
      <c r="F1889" s="80"/>
      <c r="G1889" s="80"/>
      <c r="H1889" s="80"/>
      <c r="I1889" s="80"/>
      <c r="J1889" s="80"/>
      <c r="K1889" s="80"/>
      <c r="L1889" s="2"/>
      <c r="M1889" s="2"/>
      <c r="N1889" s="2"/>
      <c r="O1889" s="2"/>
      <c r="P1889" s="2"/>
      <c r="Q1889" s="2"/>
      <c r="R1889" s="80"/>
      <c r="S1889" s="80"/>
      <c r="T1889" s="80"/>
      <c r="U1889" s="80"/>
      <c r="V1889" s="80"/>
      <c r="W1889" s="80"/>
      <c r="X1889" s="80"/>
      <c r="Y1889" s="80"/>
      <c r="Z1889" s="80"/>
      <c r="AA1889" s="80"/>
      <c r="AB1889" s="80"/>
      <c r="AC1889" s="80"/>
      <c r="AD1889" s="80"/>
      <c r="AE1889" s="80"/>
      <c r="AF1889" s="80"/>
      <c r="AG1889" s="80"/>
    </row>
    <row r="1890" spans="1:33" x14ac:dyDescent="0.2">
      <c r="A1890" s="2"/>
      <c r="B1890" s="80"/>
      <c r="C1890" s="80"/>
      <c r="D1890" s="80"/>
      <c r="E1890" s="80"/>
      <c r="F1890" s="80"/>
      <c r="G1890" s="80"/>
      <c r="H1890" s="80"/>
      <c r="I1890" s="80"/>
      <c r="J1890" s="80"/>
      <c r="K1890" s="80"/>
      <c r="L1890" s="2"/>
      <c r="M1890" s="2"/>
      <c r="N1890" s="2"/>
      <c r="O1890" s="2"/>
      <c r="P1890" s="2"/>
      <c r="Q1890" s="2"/>
      <c r="R1890" s="80"/>
      <c r="S1890" s="80"/>
      <c r="T1890" s="80"/>
      <c r="U1890" s="80"/>
      <c r="V1890" s="80"/>
      <c r="W1890" s="80"/>
      <c r="X1890" s="80"/>
      <c r="Y1890" s="80"/>
      <c r="Z1890" s="80"/>
      <c r="AA1890" s="80"/>
      <c r="AB1890" s="80"/>
      <c r="AC1890" s="80"/>
      <c r="AD1890" s="80"/>
      <c r="AE1890" s="80"/>
      <c r="AF1890" s="80"/>
      <c r="AG1890" s="80"/>
    </row>
    <row r="1891" spans="1:33" x14ac:dyDescent="0.2">
      <c r="A1891" s="2"/>
      <c r="B1891" s="80"/>
      <c r="C1891" s="80"/>
      <c r="D1891" s="80"/>
      <c r="E1891" s="80"/>
      <c r="F1891" s="80"/>
      <c r="G1891" s="80"/>
      <c r="H1891" s="80"/>
      <c r="I1891" s="80"/>
      <c r="J1891" s="80"/>
      <c r="K1891" s="80"/>
      <c r="L1891" s="2"/>
      <c r="M1891" s="2"/>
      <c r="N1891" s="2"/>
      <c r="O1891" s="2"/>
      <c r="P1891" s="2"/>
      <c r="Q1891" s="2"/>
      <c r="R1891" s="80"/>
      <c r="S1891" s="80"/>
      <c r="T1891" s="80"/>
      <c r="U1891" s="80"/>
      <c r="V1891" s="80"/>
      <c r="W1891" s="80"/>
      <c r="X1891" s="80"/>
      <c r="Y1891" s="80"/>
      <c r="Z1891" s="80"/>
      <c r="AA1891" s="80"/>
      <c r="AB1891" s="80"/>
      <c r="AC1891" s="80"/>
      <c r="AD1891" s="80"/>
      <c r="AE1891" s="80"/>
      <c r="AF1891" s="80"/>
      <c r="AG1891" s="80"/>
    </row>
    <row r="1892" spans="1:33" x14ac:dyDescent="0.2">
      <c r="A1892" s="2"/>
      <c r="B1892" s="80"/>
      <c r="C1892" s="80"/>
      <c r="D1892" s="80"/>
      <c r="E1892" s="80"/>
      <c r="F1892" s="80"/>
      <c r="G1892" s="80"/>
      <c r="H1892" s="80"/>
      <c r="I1892" s="80"/>
      <c r="J1892" s="80"/>
      <c r="K1892" s="80"/>
      <c r="L1892" s="2"/>
      <c r="M1892" s="2"/>
      <c r="N1892" s="2"/>
      <c r="O1892" s="2"/>
      <c r="P1892" s="2"/>
      <c r="Q1892" s="2"/>
      <c r="R1892" s="80"/>
      <c r="S1892" s="80"/>
      <c r="T1892" s="80"/>
      <c r="U1892" s="80"/>
      <c r="V1892" s="80"/>
      <c r="W1892" s="80"/>
      <c r="X1892" s="80"/>
      <c r="Y1892" s="80"/>
      <c r="Z1892" s="80"/>
      <c r="AA1892" s="80"/>
      <c r="AB1892" s="80"/>
      <c r="AC1892" s="80"/>
      <c r="AD1892" s="80"/>
      <c r="AE1892" s="80"/>
      <c r="AF1892" s="80"/>
      <c r="AG1892" s="80"/>
    </row>
    <row r="1893" spans="1:33" x14ac:dyDescent="0.2">
      <c r="A1893" s="2"/>
      <c r="B1893" s="80"/>
      <c r="C1893" s="80"/>
      <c r="D1893" s="80"/>
      <c r="E1893" s="80"/>
      <c r="F1893" s="80"/>
      <c r="G1893" s="80"/>
      <c r="H1893" s="80"/>
      <c r="I1893" s="80"/>
      <c r="J1893" s="80"/>
      <c r="K1893" s="80"/>
      <c r="L1893" s="2"/>
      <c r="M1893" s="2"/>
      <c r="N1893" s="2"/>
      <c r="O1893" s="2"/>
      <c r="P1893" s="2"/>
      <c r="Q1893" s="2"/>
      <c r="R1893" s="80"/>
      <c r="S1893" s="80"/>
      <c r="T1893" s="80"/>
      <c r="U1893" s="80"/>
      <c r="V1893" s="80"/>
      <c r="W1893" s="80"/>
      <c r="X1893" s="80"/>
      <c r="Y1893" s="80"/>
      <c r="Z1893" s="80"/>
      <c r="AA1893" s="80"/>
      <c r="AB1893" s="80"/>
      <c r="AC1893" s="80"/>
      <c r="AD1893" s="80"/>
      <c r="AE1893" s="80"/>
      <c r="AF1893" s="80"/>
      <c r="AG1893" s="80"/>
    </row>
    <row r="1894" spans="1:33" x14ac:dyDescent="0.2">
      <c r="A1894" s="2"/>
      <c r="B1894" s="80"/>
      <c r="C1894" s="80"/>
      <c r="D1894" s="80"/>
      <c r="E1894" s="80"/>
      <c r="F1894" s="80"/>
      <c r="G1894" s="80"/>
      <c r="H1894" s="80"/>
      <c r="I1894" s="80"/>
      <c r="J1894" s="80"/>
      <c r="K1894" s="80"/>
      <c r="L1894" s="2"/>
      <c r="M1894" s="2"/>
      <c r="N1894" s="2"/>
      <c r="O1894" s="2"/>
      <c r="P1894" s="2"/>
      <c r="Q1894" s="2"/>
      <c r="R1894" s="80"/>
      <c r="S1894" s="80"/>
      <c r="T1894" s="80"/>
      <c r="U1894" s="80"/>
      <c r="V1894" s="80"/>
      <c r="W1894" s="80"/>
      <c r="X1894" s="80"/>
      <c r="Y1894" s="80"/>
      <c r="Z1894" s="80"/>
      <c r="AA1894" s="80"/>
      <c r="AB1894" s="80"/>
      <c r="AC1894" s="80"/>
      <c r="AD1894" s="80"/>
      <c r="AE1894" s="80"/>
      <c r="AF1894" s="80"/>
      <c r="AG1894" s="80"/>
    </row>
    <row r="1895" spans="1:33" x14ac:dyDescent="0.2">
      <c r="A1895" s="2"/>
      <c r="B1895" s="80"/>
      <c r="C1895" s="80"/>
      <c r="D1895" s="80"/>
      <c r="E1895" s="80"/>
      <c r="F1895" s="80"/>
      <c r="G1895" s="80"/>
      <c r="H1895" s="80"/>
      <c r="I1895" s="80"/>
      <c r="J1895" s="80"/>
      <c r="K1895" s="80"/>
      <c r="L1895" s="2"/>
      <c r="M1895" s="2"/>
      <c r="N1895" s="2"/>
      <c r="O1895" s="2"/>
      <c r="P1895" s="2"/>
      <c r="Q1895" s="2"/>
      <c r="R1895" s="80"/>
      <c r="S1895" s="80"/>
      <c r="T1895" s="80"/>
      <c r="U1895" s="80"/>
      <c r="V1895" s="80"/>
      <c r="W1895" s="80"/>
      <c r="X1895" s="80"/>
      <c r="Y1895" s="80"/>
      <c r="Z1895" s="80"/>
      <c r="AA1895" s="80"/>
      <c r="AB1895" s="80"/>
      <c r="AC1895" s="80"/>
      <c r="AD1895" s="80"/>
      <c r="AE1895" s="80"/>
      <c r="AF1895" s="80"/>
      <c r="AG1895" s="80"/>
    </row>
    <row r="1896" spans="1:33" x14ac:dyDescent="0.2">
      <c r="A1896" s="2"/>
      <c r="B1896" s="80"/>
      <c r="C1896" s="80"/>
      <c r="D1896" s="80"/>
      <c r="E1896" s="80"/>
      <c r="F1896" s="80"/>
      <c r="G1896" s="80"/>
      <c r="H1896" s="80"/>
      <c r="I1896" s="80"/>
      <c r="J1896" s="80"/>
      <c r="K1896" s="80"/>
      <c r="L1896" s="2"/>
      <c r="M1896" s="2"/>
      <c r="N1896" s="2"/>
      <c r="O1896" s="2"/>
      <c r="P1896" s="2"/>
      <c r="Q1896" s="2"/>
      <c r="R1896" s="80"/>
      <c r="S1896" s="80"/>
      <c r="T1896" s="80"/>
      <c r="U1896" s="80"/>
      <c r="V1896" s="80"/>
      <c r="W1896" s="80"/>
      <c r="X1896" s="80"/>
      <c r="Y1896" s="80"/>
      <c r="Z1896" s="80"/>
      <c r="AA1896" s="80"/>
      <c r="AB1896" s="80"/>
      <c r="AC1896" s="80"/>
      <c r="AD1896" s="80"/>
      <c r="AE1896" s="80"/>
      <c r="AF1896" s="80"/>
      <c r="AG1896" s="80"/>
    </row>
    <row r="1897" spans="1:33" x14ac:dyDescent="0.2">
      <c r="A1897" s="2"/>
      <c r="B1897" s="80"/>
      <c r="C1897" s="80"/>
      <c r="D1897" s="80"/>
      <c r="E1897" s="80"/>
      <c r="F1897" s="80"/>
      <c r="G1897" s="80"/>
      <c r="H1897" s="80"/>
      <c r="I1897" s="80"/>
      <c r="J1897" s="80"/>
      <c r="K1897" s="80"/>
      <c r="L1897" s="2"/>
      <c r="M1897" s="2"/>
      <c r="N1897" s="2"/>
      <c r="O1897" s="2"/>
      <c r="P1897" s="2"/>
      <c r="Q1897" s="2"/>
      <c r="R1897" s="80"/>
      <c r="S1897" s="80"/>
      <c r="T1897" s="80"/>
      <c r="U1897" s="80"/>
      <c r="V1897" s="80"/>
      <c r="W1897" s="80"/>
      <c r="X1897" s="80"/>
      <c r="Y1897" s="80"/>
      <c r="Z1897" s="80"/>
      <c r="AA1897" s="80"/>
      <c r="AB1897" s="80"/>
      <c r="AC1897" s="80"/>
      <c r="AD1897" s="80"/>
      <c r="AE1897" s="80"/>
      <c r="AF1897" s="80"/>
      <c r="AG1897" s="80"/>
    </row>
    <row r="1898" spans="1:33" x14ac:dyDescent="0.2">
      <c r="A1898" s="2"/>
      <c r="B1898" s="80"/>
      <c r="C1898" s="80"/>
      <c r="D1898" s="80"/>
      <c r="E1898" s="80"/>
      <c r="F1898" s="80"/>
      <c r="G1898" s="80"/>
      <c r="H1898" s="80"/>
      <c r="I1898" s="80"/>
      <c r="J1898" s="80"/>
      <c r="K1898" s="80"/>
      <c r="L1898" s="2"/>
      <c r="M1898" s="2"/>
      <c r="N1898" s="2"/>
      <c r="O1898" s="2"/>
      <c r="P1898" s="2"/>
      <c r="Q1898" s="2"/>
      <c r="R1898" s="80"/>
      <c r="S1898" s="80"/>
      <c r="T1898" s="80"/>
      <c r="U1898" s="80"/>
      <c r="V1898" s="80"/>
      <c r="W1898" s="80"/>
      <c r="X1898" s="80"/>
      <c r="Y1898" s="80"/>
      <c r="Z1898" s="80"/>
      <c r="AA1898" s="80"/>
      <c r="AB1898" s="80"/>
      <c r="AC1898" s="80"/>
      <c r="AD1898" s="80"/>
      <c r="AE1898" s="80"/>
      <c r="AF1898" s="80"/>
      <c r="AG1898" s="80"/>
    </row>
    <row r="1899" spans="1:33" x14ac:dyDescent="0.2">
      <c r="A1899" s="2"/>
      <c r="B1899" s="80"/>
      <c r="C1899" s="80"/>
      <c r="D1899" s="80"/>
      <c r="E1899" s="80"/>
      <c r="F1899" s="80"/>
      <c r="G1899" s="80"/>
      <c r="H1899" s="80"/>
      <c r="I1899" s="80"/>
      <c r="J1899" s="80"/>
      <c r="K1899" s="80"/>
      <c r="L1899" s="2"/>
      <c r="M1899" s="2"/>
      <c r="N1899" s="2"/>
      <c r="O1899" s="2"/>
      <c r="P1899" s="2"/>
      <c r="Q1899" s="2"/>
      <c r="R1899" s="80"/>
      <c r="S1899" s="80"/>
      <c r="T1899" s="80"/>
      <c r="U1899" s="80"/>
      <c r="V1899" s="80"/>
      <c r="W1899" s="80"/>
      <c r="X1899" s="80"/>
      <c r="Y1899" s="80"/>
      <c r="Z1899" s="80"/>
      <c r="AA1899" s="80"/>
      <c r="AB1899" s="80"/>
      <c r="AC1899" s="80"/>
      <c r="AD1899" s="80"/>
      <c r="AE1899" s="80"/>
      <c r="AF1899" s="80"/>
      <c r="AG1899" s="80"/>
    </row>
    <row r="1900" spans="1:33" x14ac:dyDescent="0.2">
      <c r="A1900" s="2"/>
      <c r="B1900" s="80"/>
      <c r="C1900" s="80"/>
      <c r="D1900" s="80"/>
      <c r="E1900" s="80"/>
      <c r="F1900" s="80"/>
      <c r="G1900" s="80"/>
      <c r="H1900" s="80"/>
      <c r="I1900" s="80"/>
      <c r="J1900" s="80"/>
      <c r="K1900" s="80"/>
      <c r="L1900" s="2"/>
      <c r="M1900" s="2"/>
      <c r="N1900" s="2"/>
      <c r="O1900" s="2"/>
      <c r="P1900" s="2"/>
      <c r="Q1900" s="2"/>
      <c r="R1900" s="80"/>
      <c r="S1900" s="80"/>
      <c r="T1900" s="80"/>
      <c r="U1900" s="80"/>
      <c r="V1900" s="80"/>
      <c r="W1900" s="80"/>
      <c r="X1900" s="80"/>
      <c r="Y1900" s="80"/>
      <c r="Z1900" s="80"/>
      <c r="AA1900" s="80"/>
      <c r="AB1900" s="80"/>
      <c r="AC1900" s="80"/>
      <c r="AD1900" s="80"/>
      <c r="AE1900" s="80"/>
      <c r="AF1900" s="80"/>
      <c r="AG1900" s="80"/>
    </row>
    <row r="1901" spans="1:33" x14ac:dyDescent="0.2">
      <c r="A1901" s="2"/>
      <c r="B1901" s="80"/>
      <c r="C1901" s="80"/>
      <c r="D1901" s="80"/>
      <c r="E1901" s="80"/>
      <c r="F1901" s="80"/>
      <c r="G1901" s="80"/>
      <c r="H1901" s="80"/>
      <c r="I1901" s="80"/>
      <c r="J1901" s="80"/>
      <c r="K1901" s="80"/>
      <c r="L1901" s="2"/>
      <c r="M1901" s="2"/>
      <c r="N1901" s="2"/>
      <c r="O1901" s="2"/>
      <c r="P1901" s="2"/>
      <c r="Q1901" s="2"/>
      <c r="R1901" s="80"/>
      <c r="S1901" s="80"/>
      <c r="T1901" s="80"/>
      <c r="U1901" s="80"/>
      <c r="V1901" s="80"/>
      <c r="W1901" s="80"/>
      <c r="X1901" s="80"/>
      <c r="Y1901" s="80"/>
      <c r="Z1901" s="80"/>
      <c r="AA1901" s="80"/>
      <c r="AB1901" s="80"/>
      <c r="AC1901" s="80"/>
      <c r="AD1901" s="80"/>
      <c r="AE1901" s="80"/>
      <c r="AF1901" s="80"/>
      <c r="AG1901" s="80"/>
    </row>
    <row r="1902" spans="1:33" x14ac:dyDescent="0.2">
      <c r="A1902" s="2"/>
      <c r="B1902" s="80"/>
      <c r="C1902" s="80"/>
      <c r="D1902" s="80"/>
      <c r="E1902" s="80"/>
      <c r="F1902" s="80"/>
      <c r="G1902" s="80"/>
      <c r="H1902" s="80"/>
      <c r="I1902" s="80"/>
      <c r="J1902" s="80"/>
      <c r="K1902" s="80"/>
      <c r="L1902" s="2"/>
      <c r="M1902" s="2"/>
      <c r="N1902" s="2"/>
      <c r="O1902" s="2"/>
      <c r="P1902" s="2"/>
      <c r="Q1902" s="2"/>
      <c r="R1902" s="80"/>
      <c r="S1902" s="80"/>
      <c r="T1902" s="80"/>
      <c r="U1902" s="80"/>
      <c r="V1902" s="80"/>
      <c r="W1902" s="80"/>
      <c r="X1902" s="80"/>
      <c r="Y1902" s="80"/>
      <c r="Z1902" s="80"/>
      <c r="AA1902" s="80"/>
      <c r="AB1902" s="80"/>
      <c r="AC1902" s="80"/>
      <c r="AD1902" s="80"/>
      <c r="AE1902" s="80"/>
      <c r="AF1902" s="80"/>
      <c r="AG1902" s="80"/>
    </row>
    <row r="1903" spans="1:33" x14ac:dyDescent="0.2">
      <c r="A1903" s="2"/>
      <c r="B1903" s="80"/>
      <c r="C1903" s="80"/>
      <c r="D1903" s="80"/>
      <c r="E1903" s="80"/>
      <c r="F1903" s="80"/>
      <c r="G1903" s="80"/>
      <c r="H1903" s="80"/>
      <c r="I1903" s="80"/>
      <c r="J1903" s="80"/>
      <c r="K1903" s="80"/>
      <c r="L1903" s="2"/>
      <c r="M1903" s="2"/>
      <c r="N1903" s="2"/>
      <c r="O1903" s="2"/>
      <c r="P1903" s="2"/>
      <c r="Q1903" s="2"/>
      <c r="R1903" s="80"/>
      <c r="S1903" s="80"/>
      <c r="T1903" s="80"/>
      <c r="U1903" s="80"/>
      <c r="V1903" s="80"/>
      <c r="W1903" s="80"/>
      <c r="X1903" s="80"/>
      <c r="Y1903" s="80"/>
      <c r="Z1903" s="80"/>
      <c r="AA1903" s="80"/>
      <c r="AB1903" s="80"/>
      <c r="AC1903" s="80"/>
      <c r="AD1903" s="80"/>
      <c r="AE1903" s="80"/>
      <c r="AF1903" s="80"/>
      <c r="AG1903" s="80"/>
    </row>
    <row r="1904" spans="1:33" x14ac:dyDescent="0.2">
      <c r="A1904" s="2"/>
      <c r="B1904" s="80"/>
      <c r="C1904" s="80"/>
      <c r="D1904" s="80"/>
      <c r="E1904" s="80"/>
      <c r="F1904" s="80"/>
      <c r="G1904" s="80"/>
      <c r="H1904" s="80"/>
      <c r="I1904" s="80"/>
      <c r="J1904" s="80"/>
      <c r="K1904" s="80"/>
      <c r="L1904" s="2"/>
      <c r="M1904" s="2"/>
      <c r="N1904" s="2"/>
      <c r="O1904" s="2"/>
      <c r="P1904" s="2"/>
      <c r="Q1904" s="2"/>
      <c r="R1904" s="80"/>
      <c r="S1904" s="80"/>
      <c r="T1904" s="80"/>
      <c r="U1904" s="80"/>
      <c r="V1904" s="80"/>
      <c r="W1904" s="80"/>
      <c r="X1904" s="80"/>
      <c r="Y1904" s="80"/>
      <c r="Z1904" s="80"/>
      <c r="AA1904" s="80"/>
      <c r="AB1904" s="80"/>
      <c r="AC1904" s="80"/>
      <c r="AD1904" s="80"/>
      <c r="AE1904" s="80"/>
      <c r="AF1904" s="80"/>
      <c r="AG1904" s="80"/>
    </row>
    <row r="1905" spans="1:33" x14ac:dyDescent="0.2">
      <c r="A1905" s="2"/>
      <c r="B1905" s="80"/>
      <c r="C1905" s="80"/>
      <c r="D1905" s="80"/>
      <c r="E1905" s="80"/>
      <c r="F1905" s="80"/>
      <c r="G1905" s="80"/>
      <c r="H1905" s="80"/>
      <c r="I1905" s="80"/>
      <c r="J1905" s="80"/>
      <c r="K1905" s="80"/>
      <c r="L1905" s="2"/>
      <c r="M1905" s="2"/>
      <c r="N1905" s="2"/>
      <c r="O1905" s="2"/>
      <c r="P1905" s="2"/>
      <c r="Q1905" s="2"/>
      <c r="R1905" s="80"/>
      <c r="S1905" s="80"/>
      <c r="T1905" s="80"/>
      <c r="U1905" s="80"/>
      <c r="V1905" s="80"/>
      <c r="W1905" s="80"/>
      <c r="X1905" s="80"/>
      <c r="Y1905" s="80"/>
      <c r="Z1905" s="80"/>
      <c r="AA1905" s="80"/>
      <c r="AB1905" s="80"/>
      <c r="AC1905" s="80"/>
      <c r="AD1905" s="80"/>
      <c r="AE1905" s="80"/>
      <c r="AF1905" s="80"/>
      <c r="AG1905" s="80"/>
    </row>
    <row r="1906" spans="1:33" x14ac:dyDescent="0.2">
      <c r="A1906" s="2"/>
      <c r="B1906" s="80"/>
      <c r="C1906" s="80"/>
      <c r="D1906" s="80"/>
      <c r="E1906" s="80"/>
      <c r="F1906" s="80"/>
      <c r="G1906" s="80"/>
      <c r="H1906" s="80"/>
      <c r="I1906" s="80"/>
      <c r="J1906" s="80"/>
      <c r="K1906" s="80"/>
      <c r="L1906" s="2"/>
      <c r="M1906" s="2"/>
      <c r="N1906" s="2"/>
      <c r="O1906" s="2"/>
      <c r="P1906" s="2"/>
      <c r="Q1906" s="2"/>
      <c r="R1906" s="80"/>
      <c r="S1906" s="80"/>
      <c r="T1906" s="80"/>
      <c r="U1906" s="80"/>
      <c r="V1906" s="80"/>
      <c r="W1906" s="80"/>
      <c r="X1906" s="80"/>
      <c r="Y1906" s="80"/>
      <c r="Z1906" s="80"/>
      <c r="AA1906" s="80"/>
      <c r="AB1906" s="80"/>
      <c r="AC1906" s="80"/>
      <c r="AD1906" s="80"/>
      <c r="AE1906" s="80"/>
      <c r="AF1906" s="80"/>
      <c r="AG1906" s="80"/>
    </row>
    <row r="1907" spans="1:33" x14ac:dyDescent="0.2">
      <c r="A1907" s="2"/>
      <c r="B1907" s="80"/>
      <c r="C1907" s="80"/>
      <c r="D1907" s="80"/>
      <c r="E1907" s="80"/>
      <c r="F1907" s="80"/>
      <c r="G1907" s="80"/>
      <c r="H1907" s="80"/>
      <c r="I1907" s="80"/>
      <c r="J1907" s="80"/>
      <c r="K1907" s="80"/>
      <c r="L1907" s="2"/>
      <c r="M1907" s="2"/>
      <c r="N1907" s="2"/>
      <c r="O1907" s="2"/>
      <c r="P1907" s="2"/>
      <c r="Q1907" s="2"/>
      <c r="R1907" s="80"/>
      <c r="S1907" s="80"/>
      <c r="T1907" s="80"/>
      <c r="U1907" s="80"/>
      <c r="V1907" s="80"/>
      <c r="W1907" s="80"/>
      <c r="X1907" s="80"/>
      <c r="Y1907" s="80"/>
      <c r="Z1907" s="80"/>
      <c r="AA1907" s="80"/>
      <c r="AB1907" s="80"/>
      <c r="AC1907" s="80"/>
      <c r="AD1907" s="80"/>
      <c r="AE1907" s="80"/>
      <c r="AF1907" s="80"/>
      <c r="AG1907" s="80"/>
    </row>
    <row r="1908" spans="1:33" x14ac:dyDescent="0.2">
      <c r="A1908" s="2"/>
      <c r="B1908" s="80"/>
      <c r="C1908" s="80"/>
      <c r="D1908" s="80"/>
      <c r="E1908" s="80"/>
      <c r="F1908" s="80"/>
      <c r="G1908" s="80"/>
      <c r="H1908" s="80"/>
      <c r="I1908" s="80"/>
      <c r="J1908" s="80"/>
      <c r="K1908" s="80"/>
      <c r="L1908" s="2"/>
      <c r="M1908" s="2"/>
      <c r="N1908" s="2"/>
      <c r="O1908" s="2"/>
      <c r="P1908" s="2"/>
      <c r="Q1908" s="2"/>
      <c r="R1908" s="80"/>
      <c r="S1908" s="80"/>
      <c r="T1908" s="80"/>
      <c r="U1908" s="80"/>
      <c r="V1908" s="80"/>
      <c r="W1908" s="80"/>
      <c r="X1908" s="80"/>
      <c r="Y1908" s="80"/>
      <c r="Z1908" s="80"/>
      <c r="AA1908" s="80"/>
      <c r="AB1908" s="80"/>
      <c r="AC1908" s="80"/>
      <c r="AD1908" s="80"/>
      <c r="AE1908" s="80"/>
      <c r="AF1908" s="80"/>
      <c r="AG1908" s="80"/>
    </row>
    <row r="1909" spans="1:33" x14ac:dyDescent="0.2">
      <c r="A1909" s="2"/>
      <c r="B1909" s="80"/>
      <c r="C1909" s="80"/>
      <c r="D1909" s="80"/>
      <c r="E1909" s="80"/>
      <c r="F1909" s="80"/>
      <c r="G1909" s="80"/>
      <c r="H1909" s="80"/>
      <c r="I1909" s="80"/>
      <c r="J1909" s="80"/>
      <c r="K1909" s="80"/>
      <c r="L1909" s="2"/>
      <c r="M1909" s="2"/>
      <c r="N1909" s="2"/>
      <c r="O1909" s="2"/>
      <c r="P1909" s="2"/>
      <c r="Q1909" s="2"/>
      <c r="R1909" s="80"/>
      <c r="S1909" s="80"/>
      <c r="T1909" s="80"/>
      <c r="U1909" s="80"/>
      <c r="V1909" s="80"/>
      <c r="W1909" s="80"/>
      <c r="X1909" s="80"/>
      <c r="Y1909" s="80"/>
      <c r="Z1909" s="80"/>
      <c r="AA1909" s="80"/>
      <c r="AB1909" s="80"/>
      <c r="AC1909" s="80"/>
      <c r="AD1909" s="80"/>
      <c r="AE1909" s="80"/>
      <c r="AF1909" s="80"/>
      <c r="AG1909" s="80"/>
    </row>
    <row r="1910" spans="1:33" x14ac:dyDescent="0.2">
      <c r="A1910" s="2"/>
      <c r="B1910" s="80"/>
      <c r="C1910" s="80"/>
      <c r="D1910" s="80"/>
      <c r="E1910" s="80"/>
      <c r="F1910" s="80"/>
      <c r="G1910" s="80"/>
      <c r="H1910" s="80"/>
      <c r="I1910" s="80"/>
      <c r="J1910" s="80"/>
      <c r="K1910" s="80"/>
      <c r="L1910" s="2"/>
      <c r="M1910" s="2"/>
      <c r="N1910" s="2"/>
      <c r="O1910" s="2"/>
      <c r="P1910" s="2"/>
      <c r="Q1910" s="2"/>
      <c r="R1910" s="80"/>
      <c r="S1910" s="80"/>
      <c r="T1910" s="80"/>
      <c r="U1910" s="80"/>
      <c r="V1910" s="80"/>
      <c r="W1910" s="80"/>
      <c r="X1910" s="80"/>
      <c r="Y1910" s="80"/>
      <c r="Z1910" s="80"/>
      <c r="AA1910" s="80"/>
      <c r="AB1910" s="80"/>
      <c r="AC1910" s="80"/>
      <c r="AD1910" s="80"/>
      <c r="AE1910" s="80"/>
      <c r="AF1910" s="80"/>
      <c r="AG1910" s="80"/>
    </row>
    <row r="1911" spans="1:33" x14ac:dyDescent="0.2">
      <c r="A1911" s="2"/>
      <c r="B1911" s="80"/>
      <c r="C1911" s="80"/>
      <c r="D1911" s="80"/>
      <c r="E1911" s="80"/>
      <c r="F1911" s="80"/>
      <c r="G1911" s="80"/>
      <c r="H1911" s="80"/>
      <c r="I1911" s="80"/>
      <c r="J1911" s="80"/>
      <c r="K1911" s="80"/>
      <c r="L1911" s="2"/>
      <c r="M1911" s="2"/>
      <c r="N1911" s="2"/>
      <c r="O1911" s="2"/>
      <c r="P1911" s="2"/>
      <c r="Q1911" s="2"/>
      <c r="R1911" s="80"/>
      <c r="S1911" s="80"/>
      <c r="T1911" s="80"/>
      <c r="U1911" s="80"/>
      <c r="V1911" s="80"/>
      <c r="W1911" s="80"/>
      <c r="X1911" s="80"/>
      <c r="Y1911" s="80"/>
      <c r="Z1911" s="80"/>
      <c r="AA1911" s="80"/>
      <c r="AB1911" s="80"/>
      <c r="AC1911" s="80"/>
      <c r="AD1911" s="80"/>
      <c r="AE1911" s="80"/>
      <c r="AF1911" s="80"/>
      <c r="AG1911" s="80"/>
    </row>
    <row r="1912" spans="1:33" x14ac:dyDescent="0.2">
      <c r="A1912" s="2"/>
      <c r="B1912" s="80"/>
      <c r="C1912" s="80"/>
      <c r="D1912" s="80"/>
      <c r="E1912" s="80"/>
      <c r="F1912" s="80"/>
      <c r="G1912" s="80"/>
      <c r="H1912" s="80"/>
      <c r="I1912" s="80"/>
      <c r="J1912" s="80"/>
      <c r="K1912" s="80"/>
      <c r="L1912" s="2"/>
      <c r="M1912" s="2"/>
      <c r="N1912" s="2"/>
      <c r="O1912" s="2"/>
      <c r="P1912" s="2"/>
      <c r="Q1912" s="2"/>
      <c r="R1912" s="80"/>
      <c r="S1912" s="80"/>
      <c r="T1912" s="80"/>
      <c r="U1912" s="80"/>
      <c r="V1912" s="80"/>
      <c r="W1912" s="80"/>
      <c r="X1912" s="80"/>
      <c r="Y1912" s="80"/>
      <c r="Z1912" s="80"/>
      <c r="AA1912" s="80"/>
      <c r="AB1912" s="80"/>
      <c r="AC1912" s="80"/>
      <c r="AD1912" s="80"/>
      <c r="AE1912" s="80"/>
      <c r="AF1912" s="80"/>
      <c r="AG1912" s="80"/>
    </row>
    <row r="1913" spans="1:33" x14ac:dyDescent="0.2">
      <c r="A1913" s="2"/>
      <c r="B1913" s="80"/>
      <c r="C1913" s="80"/>
      <c r="D1913" s="80"/>
      <c r="E1913" s="80"/>
      <c r="F1913" s="80"/>
      <c r="G1913" s="80"/>
      <c r="H1913" s="80"/>
      <c r="I1913" s="80"/>
      <c r="J1913" s="80"/>
      <c r="K1913" s="80"/>
      <c r="L1913" s="2"/>
      <c r="M1913" s="2"/>
      <c r="N1913" s="2"/>
      <c r="O1913" s="2"/>
      <c r="P1913" s="2"/>
      <c r="Q1913" s="2"/>
      <c r="R1913" s="80"/>
      <c r="S1913" s="80"/>
      <c r="T1913" s="80"/>
      <c r="U1913" s="80"/>
      <c r="V1913" s="80"/>
      <c r="W1913" s="80"/>
      <c r="X1913" s="80"/>
      <c r="Y1913" s="80"/>
      <c r="Z1913" s="80"/>
      <c r="AA1913" s="80"/>
      <c r="AB1913" s="80"/>
      <c r="AC1913" s="80"/>
      <c r="AD1913" s="80"/>
      <c r="AE1913" s="80"/>
      <c r="AF1913" s="80"/>
      <c r="AG1913" s="80"/>
    </row>
    <row r="1914" spans="1:33" x14ac:dyDescent="0.2">
      <c r="A1914" s="2"/>
      <c r="B1914" s="80"/>
      <c r="C1914" s="80"/>
      <c r="D1914" s="80"/>
      <c r="E1914" s="80"/>
      <c r="F1914" s="80"/>
      <c r="G1914" s="80"/>
      <c r="H1914" s="80"/>
      <c r="I1914" s="80"/>
      <c r="J1914" s="80"/>
      <c r="K1914" s="80"/>
      <c r="L1914" s="2"/>
      <c r="M1914" s="2"/>
      <c r="N1914" s="2"/>
      <c r="O1914" s="2"/>
      <c r="P1914" s="2"/>
      <c r="Q1914" s="2"/>
      <c r="R1914" s="80"/>
      <c r="S1914" s="80"/>
      <c r="T1914" s="80"/>
      <c r="U1914" s="80"/>
      <c r="V1914" s="80"/>
      <c r="W1914" s="80"/>
      <c r="X1914" s="80"/>
      <c r="Y1914" s="80"/>
      <c r="Z1914" s="80"/>
      <c r="AA1914" s="80"/>
      <c r="AB1914" s="80"/>
      <c r="AC1914" s="80"/>
      <c r="AD1914" s="80"/>
      <c r="AE1914" s="80"/>
      <c r="AF1914" s="80"/>
      <c r="AG1914" s="80"/>
    </row>
    <row r="1915" spans="1:33" x14ac:dyDescent="0.2">
      <c r="A1915" s="2"/>
      <c r="B1915" s="80"/>
      <c r="C1915" s="80"/>
      <c r="D1915" s="80"/>
      <c r="E1915" s="80"/>
      <c r="F1915" s="80"/>
      <c r="G1915" s="80"/>
      <c r="H1915" s="80"/>
      <c r="I1915" s="80"/>
      <c r="J1915" s="80"/>
      <c r="K1915" s="80"/>
      <c r="L1915" s="2"/>
      <c r="M1915" s="2"/>
      <c r="N1915" s="2"/>
      <c r="O1915" s="2"/>
      <c r="P1915" s="2"/>
      <c r="Q1915" s="2"/>
      <c r="R1915" s="80"/>
      <c r="S1915" s="80"/>
      <c r="T1915" s="80"/>
      <c r="U1915" s="80"/>
      <c r="V1915" s="80"/>
      <c r="W1915" s="80"/>
      <c r="X1915" s="80"/>
      <c r="Y1915" s="80"/>
      <c r="Z1915" s="80"/>
      <c r="AA1915" s="80"/>
      <c r="AB1915" s="80"/>
      <c r="AC1915" s="80"/>
      <c r="AD1915" s="80"/>
      <c r="AE1915" s="80"/>
      <c r="AF1915" s="80"/>
      <c r="AG1915" s="80"/>
    </row>
    <row r="1916" spans="1:33" x14ac:dyDescent="0.2">
      <c r="A1916" s="2"/>
      <c r="B1916" s="80"/>
      <c r="C1916" s="80"/>
      <c r="D1916" s="80"/>
      <c r="E1916" s="80"/>
      <c r="F1916" s="80"/>
      <c r="G1916" s="80"/>
      <c r="H1916" s="80"/>
      <c r="I1916" s="80"/>
      <c r="J1916" s="80"/>
      <c r="K1916" s="80"/>
      <c r="L1916" s="2"/>
      <c r="M1916" s="2"/>
      <c r="N1916" s="2"/>
      <c r="O1916" s="2"/>
      <c r="P1916" s="2"/>
      <c r="Q1916" s="2"/>
      <c r="R1916" s="80"/>
      <c r="S1916" s="80"/>
      <c r="T1916" s="80"/>
      <c r="U1916" s="80"/>
      <c r="V1916" s="80"/>
      <c r="W1916" s="80"/>
      <c r="X1916" s="80"/>
      <c r="Y1916" s="80"/>
      <c r="Z1916" s="80"/>
      <c r="AA1916" s="80"/>
      <c r="AB1916" s="80"/>
      <c r="AC1916" s="80"/>
      <c r="AD1916" s="80"/>
      <c r="AE1916" s="80"/>
      <c r="AF1916" s="80"/>
      <c r="AG1916" s="80"/>
    </row>
    <row r="1917" spans="1:33" x14ac:dyDescent="0.2">
      <c r="A1917" s="2"/>
      <c r="B1917" s="80"/>
      <c r="C1917" s="80"/>
      <c r="D1917" s="80"/>
      <c r="E1917" s="80"/>
      <c r="F1917" s="80"/>
      <c r="G1917" s="80"/>
      <c r="H1917" s="80"/>
      <c r="I1917" s="80"/>
      <c r="J1917" s="80"/>
      <c r="K1917" s="80"/>
      <c r="L1917" s="2"/>
      <c r="M1917" s="2"/>
      <c r="N1917" s="2"/>
      <c r="O1917" s="2"/>
      <c r="P1917" s="2"/>
      <c r="Q1917" s="2"/>
      <c r="R1917" s="80"/>
      <c r="S1917" s="80"/>
      <c r="T1917" s="80"/>
      <c r="U1917" s="80"/>
      <c r="V1917" s="80"/>
      <c r="W1917" s="80"/>
      <c r="X1917" s="80"/>
      <c r="Y1917" s="80"/>
      <c r="Z1917" s="80"/>
      <c r="AA1917" s="80"/>
      <c r="AB1917" s="80"/>
      <c r="AC1917" s="80"/>
      <c r="AD1917" s="80"/>
      <c r="AE1917" s="80"/>
      <c r="AF1917" s="80"/>
      <c r="AG1917" s="80"/>
    </row>
    <row r="1918" spans="1:33" x14ac:dyDescent="0.2">
      <c r="A1918" s="2"/>
      <c r="B1918" s="80"/>
      <c r="C1918" s="80"/>
      <c r="D1918" s="80"/>
      <c r="E1918" s="80"/>
      <c r="F1918" s="80"/>
      <c r="G1918" s="80"/>
      <c r="H1918" s="80"/>
      <c r="I1918" s="80"/>
      <c r="J1918" s="80"/>
      <c r="K1918" s="80"/>
      <c r="L1918" s="2"/>
      <c r="M1918" s="2"/>
      <c r="N1918" s="2"/>
      <c r="O1918" s="2"/>
      <c r="P1918" s="2"/>
      <c r="Q1918" s="2"/>
      <c r="R1918" s="80"/>
      <c r="S1918" s="80"/>
      <c r="T1918" s="80"/>
      <c r="U1918" s="80"/>
      <c r="V1918" s="80"/>
      <c r="W1918" s="80"/>
      <c r="X1918" s="80"/>
      <c r="Y1918" s="80"/>
      <c r="Z1918" s="80"/>
      <c r="AA1918" s="80"/>
      <c r="AB1918" s="80"/>
      <c r="AC1918" s="80"/>
      <c r="AD1918" s="80"/>
      <c r="AE1918" s="80"/>
      <c r="AF1918" s="80"/>
      <c r="AG1918" s="80"/>
    </row>
    <row r="1919" spans="1:33" x14ac:dyDescent="0.2">
      <c r="A1919" s="2"/>
      <c r="B1919" s="80"/>
      <c r="C1919" s="80"/>
      <c r="D1919" s="80"/>
      <c r="E1919" s="80"/>
      <c r="F1919" s="80"/>
      <c r="G1919" s="80"/>
      <c r="H1919" s="80"/>
      <c r="I1919" s="80"/>
      <c r="J1919" s="80"/>
      <c r="K1919" s="80"/>
      <c r="L1919" s="2"/>
      <c r="M1919" s="2"/>
      <c r="N1919" s="2"/>
      <c r="O1919" s="2"/>
      <c r="P1919" s="2"/>
      <c r="Q1919" s="2"/>
      <c r="R1919" s="80"/>
      <c r="S1919" s="80"/>
      <c r="T1919" s="80"/>
      <c r="U1919" s="80"/>
      <c r="V1919" s="80"/>
      <c r="W1919" s="80"/>
      <c r="X1919" s="80"/>
      <c r="Y1919" s="80"/>
      <c r="Z1919" s="80"/>
      <c r="AA1919" s="80"/>
      <c r="AB1919" s="80"/>
      <c r="AC1919" s="80"/>
      <c r="AD1919" s="80"/>
      <c r="AE1919" s="80"/>
      <c r="AF1919" s="80"/>
      <c r="AG1919" s="80"/>
    </row>
    <row r="1920" spans="1:33" x14ac:dyDescent="0.2">
      <c r="A1920" s="2"/>
      <c r="B1920" s="80"/>
      <c r="C1920" s="80"/>
      <c r="D1920" s="80"/>
      <c r="E1920" s="80"/>
      <c r="F1920" s="80"/>
      <c r="G1920" s="80"/>
      <c r="H1920" s="80"/>
      <c r="I1920" s="80"/>
      <c r="J1920" s="80"/>
      <c r="K1920" s="80"/>
      <c r="L1920" s="2"/>
      <c r="M1920" s="2"/>
      <c r="N1920" s="2"/>
      <c r="O1920" s="2"/>
      <c r="P1920" s="2"/>
      <c r="Q1920" s="2"/>
      <c r="R1920" s="80"/>
      <c r="S1920" s="80"/>
      <c r="T1920" s="80"/>
      <c r="U1920" s="80"/>
      <c r="V1920" s="80"/>
      <c r="W1920" s="80"/>
      <c r="X1920" s="80"/>
      <c r="Y1920" s="80"/>
      <c r="Z1920" s="80"/>
      <c r="AA1920" s="80"/>
      <c r="AB1920" s="80"/>
      <c r="AC1920" s="80"/>
      <c r="AD1920" s="80"/>
      <c r="AE1920" s="80"/>
      <c r="AF1920" s="80"/>
      <c r="AG1920" s="80"/>
    </row>
    <row r="1921" spans="1:33" x14ac:dyDescent="0.2">
      <c r="A1921" s="2"/>
      <c r="B1921" s="80"/>
      <c r="C1921" s="80"/>
      <c r="D1921" s="80"/>
      <c r="E1921" s="80"/>
      <c r="F1921" s="80"/>
      <c r="G1921" s="80"/>
      <c r="H1921" s="80"/>
      <c r="I1921" s="80"/>
      <c r="J1921" s="80"/>
      <c r="K1921" s="80"/>
      <c r="L1921" s="2"/>
      <c r="M1921" s="2"/>
      <c r="N1921" s="2"/>
      <c r="O1921" s="2"/>
      <c r="P1921" s="2"/>
      <c r="Q1921" s="2"/>
      <c r="R1921" s="80"/>
      <c r="S1921" s="80"/>
      <c r="T1921" s="80"/>
      <c r="U1921" s="80"/>
      <c r="V1921" s="80"/>
      <c r="W1921" s="80"/>
      <c r="X1921" s="80"/>
      <c r="Y1921" s="80"/>
      <c r="Z1921" s="80"/>
      <c r="AA1921" s="80"/>
      <c r="AB1921" s="80"/>
      <c r="AC1921" s="80"/>
      <c r="AD1921" s="80"/>
      <c r="AE1921" s="80"/>
      <c r="AF1921" s="80"/>
      <c r="AG1921" s="80"/>
    </row>
    <row r="1922" spans="1:33" x14ac:dyDescent="0.2">
      <c r="A1922" s="2"/>
      <c r="B1922" s="80"/>
      <c r="C1922" s="80"/>
      <c r="D1922" s="80"/>
      <c r="E1922" s="80"/>
      <c r="F1922" s="80"/>
      <c r="G1922" s="80"/>
      <c r="H1922" s="80"/>
      <c r="I1922" s="80"/>
      <c r="J1922" s="80"/>
      <c r="K1922" s="80"/>
      <c r="L1922" s="2"/>
      <c r="M1922" s="2"/>
      <c r="N1922" s="2"/>
      <c r="O1922" s="2"/>
      <c r="P1922" s="2"/>
      <c r="Q1922" s="2"/>
      <c r="R1922" s="80"/>
      <c r="S1922" s="80"/>
      <c r="T1922" s="80"/>
      <c r="U1922" s="80"/>
      <c r="V1922" s="80"/>
      <c r="W1922" s="80"/>
      <c r="X1922" s="80"/>
      <c r="Y1922" s="80"/>
      <c r="Z1922" s="80"/>
      <c r="AA1922" s="80"/>
      <c r="AB1922" s="80"/>
      <c r="AC1922" s="80"/>
      <c r="AD1922" s="80"/>
      <c r="AE1922" s="80"/>
      <c r="AF1922" s="80"/>
      <c r="AG1922" s="80"/>
    </row>
    <row r="1923" spans="1:33" x14ac:dyDescent="0.2">
      <c r="A1923" s="2"/>
      <c r="B1923" s="80"/>
      <c r="C1923" s="80"/>
      <c r="D1923" s="80"/>
      <c r="E1923" s="80"/>
      <c r="F1923" s="80"/>
      <c r="G1923" s="80"/>
      <c r="H1923" s="80"/>
      <c r="I1923" s="80"/>
      <c r="J1923" s="80"/>
      <c r="K1923" s="80"/>
      <c r="L1923" s="2"/>
      <c r="M1923" s="2"/>
      <c r="N1923" s="2"/>
      <c r="O1923" s="2"/>
      <c r="P1923" s="2"/>
      <c r="Q1923" s="2"/>
      <c r="R1923" s="80"/>
      <c r="S1923" s="80"/>
      <c r="T1923" s="80"/>
      <c r="U1923" s="80"/>
      <c r="V1923" s="80"/>
      <c r="W1923" s="80"/>
      <c r="X1923" s="80"/>
      <c r="Y1923" s="80"/>
      <c r="Z1923" s="80"/>
      <c r="AA1923" s="80"/>
      <c r="AB1923" s="80"/>
      <c r="AC1923" s="80"/>
      <c r="AD1923" s="80"/>
      <c r="AE1923" s="80"/>
      <c r="AF1923" s="80"/>
      <c r="AG1923" s="80"/>
    </row>
    <row r="1924" spans="1:33" x14ac:dyDescent="0.2">
      <c r="A1924" s="2"/>
      <c r="B1924" s="80"/>
      <c r="C1924" s="80"/>
      <c r="D1924" s="80"/>
      <c r="E1924" s="80"/>
      <c r="F1924" s="80"/>
      <c r="G1924" s="80"/>
      <c r="H1924" s="80"/>
      <c r="I1924" s="80"/>
      <c r="J1924" s="80"/>
      <c r="K1924" s="80"/>
      <c r="L1924" s="2"/>
      <c r="M1924" s="2"/>
      <c r="N1924" s="2"/>
      <c r="O1924" s="2"/>
      <c r="P1924" s="2"/>
      <c r="Q1924" s="2"/>
      <c r="R1924" s="80"/>
      <c r="S1924" s="80"/>
      <c r="T1924" s="80"/>
      <c r="U1924" s="80"/>
      <c r="V1924" s="80"/>
      <c r="W1924" s="80"/>
      <c r="X1924" s="80"/>
      <c r="Y1924" s="80"/>
      <c r="Z1924" s="80"/>
      <c r="AA1924" s="80"/>
      <c r="AB1924" s="80"/>
      <c r="AC1924" s="80"/>
      <c r="AD1924" s="80"/>
      <c r="AE1924" s="80"/>
      <c r="AF1924" s="80"/>
      <c r="AG1924" s="80"/>
    </row>
    <row r="1925" spans="1:33" x14ac:dyDescent="0.2">
      <c r="A1925" s="2"/>
      <c r="B1925" s="80"/>
      <c r="C1925" s="80"/>
      <c r="D1925" s="80"/>
      <c r="E1925" s="80"/>
      <c r="F1925" s="80"/>
      <c r="G1925" s="80"/>
      <c r="H1925" s="80"/>
      <c r="I1925" s="80"/>
      <c r="J1925" s="80"/>
      <c r="K1925" s="80"/>
      <c r="L1925" s="2"/>
      <c r="M1925" s="2"/>
      <c r="N1925" s="2"/>
      <c r="O1925" s="2"/>
      <c r="P1925" s="2"/>
      <c r="Q1925" s="2"/>
      <c r="R1925" s="80"/>
      <c r="S1925" s="80"/>
      <c r="T1925" s="80"/>
      <c r="U1925" s="80"/>
      <c r="V1925" s="80"/>
      <c r="W1925" s="80"/>
      <c r="X1925" s="80"/>
      <c r="Y1925" s="80"/>
      <c r="Z1925" s="80"/>
      <c r="AA1925" s="80"/>
      <c r="AB1925" s="80"/>
      <c r="AC1925" s="80"/>
      <c r="AD1925" s="80"/>
      <c r="AE1925" s="80"/>
      <c r="AF1925" s="80"/>
      <c r="AG1925" s="80"/>
    </row>
    <row r="1926" spans="1:33" x14ac:dyDescent="0.2">
      <c r="A1926" s="2"/>
      <c r="B1926" s="80"/>
      <c r="C1926" s="80"/>
      <c r="D1926" s="80"/>
      <c r="E1926" s="80"/>
      <c r="F1926" s="80"/>
      <c r="G1926" s="80"/>
      <c r="H1926" s="80"/>
      <c r="I1926" s="80"/>
      <c r="J1926" s="80"/>
      <c r="K1926" s="80"/>
      <c r="L1926" s="2"/>
      <c r="M1926" s="2"/>
      <c r="N1926" s="2"/>
      <c r="O1926" s="2"/>
      <c r="P1926" s="2"/>
      <c r="Q1926" s="2"/>
      <c r="R1926" s="80"/>
      <c r="S1926" s="80"/>
      <c r="T1926" s="80"/>
      <c r="U1926" s="80"/>
      <c r="V1926" s="80"/>
      <c r="W1926" s="80"/>
      <c r="X1926" s="80"/>
      <c r="Y1926" s="80"/>
      <c r="Z1926" s="80"/>
      <c r="AA1926" s="80"/>
      <c r="AB1926" s="80"/>
      <c r="AC1926" s="80"/>
      <c r="AD1926" s="80"/>
      <c r="AE1926" s="80"/>
      <c r="AF1926" s="80"/>
      <c r="AG1926" s="80"/>
    </row>
    <row r="1927" spans="1:33" x14ac:dyDescent="0.2">
      <c r="A1927" s="2"/>
      <c r="B1927" s="80"/>
      <c r="C1927" s="80"/>
      <c r="D1927" s="80"/>
      <c r="E1927" s="80"/>
      <c r="F1927" s="80"/>
      <c r="G1927" s="80"/>
      <c r="H1927" s="80"/>
      <c r="I1927" s="80"/>
      <c r="J1927" s="80"/>
      <c r="K1927" s="80"/>
      <c r="L1927" s="2"/>
      <c r="M1927" s="2"/>
      <c r="N1927" s="2"/>
      <c r="O1927" s="2"/>
      <c r="P1927" s="2"/>
      <c r="Q1927" s="2"/>
      <c r="R1927" s="80"/>
      <c r="S1927" s="80"/>
      <c r="T1927" s="80"/>
      <c r="U1927" s="80"/>
      <c r="V1927" s="80"/>
      <c r="W1927" s="80"/>
      <c r="X1927" s="80"/>
      <c r="Y1927" s="80"/>
      <c r="Z1927" s="80"/>
      <c r="AA1927" s="80"/>
      <c r="AB1927" s="80"/>
      <c r="AC1927" s="80"/>
      <c r="AD1927" s="80"/>
      <c r="AE1927" s="80"/>
      <c r="AF1927" s="80"/>
      <c r="AG1927" s="80"/>
    </row>
    <row r="1928" spans="1:33" x14ac:dyDescent="0.2">
      <c r="A1928" s="2"/>
      <c r="B1928" s="80"/>
      <c r="C1928" s="80"/>
      <c r="D1928" s="80"/>
      <c r="E1928" s="80"/>
      <c r="F1928" s="80"/>
      <c r="G1928" s="80"/>
      <c r="H1928" s="80"/>
      <c r="I1928" s="80"/>
      <c r="J1928" s="80"/>
      <c r="K1928" s="80"/>
      <c r="L1928" s="2"/>
      <c r="M1928" s="2"/>
      <c r="N1928" s="2"/>
      <c r="O1928" s="2"/>
      <c r="P1928" s="2"/>
      <c r="Q1928" s="2"/>
      <c r="R1928" s="80"/>
      <c r="S1928" s="80"/>
      <c r="T1928" s="80"/>
      <c r="U1928" s="80"/>
      <c r="V1928" s="80"/>
      <c r="W1928" s="80"/>
      <c r="X1928" s="80"/>
      <c r="Y1928" s="80"/>
      <c r="Z1928" s="80"/>
      <c r="AA1928" s="80"/>
      <c r="AB1928" s="80"/>
      <c r="AC1928" s="80"/>
      <c r="AD1928" s="80"/>
      <c r="AE1928" s="80"/>
      <c r="AF1928" s="80"/>
      <c r="AG1928" s="80"/>
    </row>
    <row r="1929" spans="1:33" x14ac:dyDescent="0.2">
      <c r="A1929" s="2"/>
      <c r="B1929" s="80"/>
      <c r="C1929" s="80"/>
      <c r="D1929" s="80"/>
      <c r="E1929" s="80"/>
      <c r="F1929" s="80"/>
      <c r="G1929" s="80"/>
      <c r="H1929" s="80"/>
      <c r="I1929" s="80"/>
      <c r="J1929" s="80"/>
      <c r="K1929" s="80"/>
      <c r="L1929" s="2"/>
      <c r="M1929" s="2"/>
      <c r="N1929" s="2"/>
      <c r="O1929" s="2"/>
      <c r="P1929" s="2"/>
      <c r="Q1929" s="2"/>
      <c r="R1929" s="80"/>
      <c r="S1929" s="80"/>
      <c r="T1929" s="80"/>
      <c r="U1929" s="80"/>
      <c r="V1929" s="80"/>
      <c r="W1929" s="80"/>
      <c r="X1929" s="80"/>
      <c r="Y1929" s="80"/>
      <c r="Z1929" s="80"/>
      <c r="AA1929" s="80"/>
      <c r="AB1929" s="80"/>
      <c r="AC1929" s="80"/>
      <c r="AD1929" s="80"/>
      <c r="AE1929" s="80"/>
      <c r="AF1929" s="80"/>
      <c r="AG1929" s="80"/>
    </row>
    <row r="1930" spans="1:33" x14ac:dyDescent="0.2">
      <c r="A1930" s="2"/>
      <c r="B1930" s="80"/>
      <c r="C1930" s="80"/>
      <c r="D1930" s="80"/>
      <c r="E1930" s="80"/>
      <c r="F1930" s="80"/>
      <c r="G1930" s="80"/>
      <c r="H1930" s="80"/>
      <c r="I1930" s="80"/>
      <c r="J1930" s="80"/>
      <c r="K1930" s="80"/>
      <c r="L1930" s="2"/>
      <c r="M1930" s="2"/>
      <c r="N1930" s="2"/>
      <c r="O1930" s="2"/>
      <c r="P1930" s="2"/>
      <c r="Q1930" s="2"/>
      <c r="R1930" s="80"/>
      <c r="S1930" s="80"/>
      <c r="T1930" s="80"/>
      <c r="U1930" s="80"/>
      <c r="V1930" s="80"/>
      <c r="W1930" s="80"/>
      <c r="X1930" s="80"/>
      <c r="Y1930" s="80"/>
      <c r="Z1930" s="80"/>
      <c r="AA1930" s="80"/>
      <c r="AB1930" s="80"/>
      <c r="AC1930" s="80"/>
      <c r="AD1930" s="80"/>
      <c r="AE1930" s="80"/>
      <c r="AF1930" s="80"/>
      <c r="AG1930" s="80"/>
    </row>
    <row r="1931" spans="1:33" x14ac:dyDescent="0.2">
      <c r="A1931" s="2"/>
      <c r="B1931" s="80"/>
      <c r="C1931" s="80"/>
      <c r="D1931" s="80"/>
      <c r="E1931" s="80"/>
      <c r="F1931" s="80"/>
      <c r="G1931" s="80"/>
      <c r="H1931" s="80"/>
      <c r="I1931" s="80"/>
      <c r="J1931" s="80"/>
      <c r="K1931" s="80"/>
      <c r="L1931" s="2"/>
      <c r="M1931" s="2"/>
      <c r="N1931" s="2"/>
      <c r="O1931" s="2"/>
      <c r="P1931" s="2"/>
      <c r="Q1931" s="2"/>
      <c r="R1931" s="80"/>
      <c r="S1931" s="80"/>
      <c r="T1931" s="80"/>
      <c r="U1931" s="80"/>
      <c r="V1931" s="80"/>
      <c r="W1931" s="80"/>
      <c r="X1931" s="80"/>
      <c r="Y1931" s="80"/>
      <c r="Z1931" s="80"/>
      <c r="AA1931" s="80"/>
      <c r="AB1931" s="80"/>
      <c r="AC1931" s="80"/>
      <c r="AD1931" s="80"/>
      <c r="AE1931" s="80"/>
      <c r="AF1931" s="80"/>
      <c r="AG1931" s="80"/>
    </row>
    <row r="1932" spans="1:33" x14ac:dyDescent="0.2">
      <c r="A1932" s="2"/>
      <c r="B1932" s="80"/>
      <c r="C1932" s="80"/>
      <c r="D1932" s="80"/>
      <c r="E1932" s="80"/>
      <c r="F1932" s="80"/>
      <c r="G1932" s="80"/>
      <c r="H1932" s="80"/>
      <c r="I1932" s="80"/>
      <c r="J1932" s="80"/>
      <c r="K1932" s="80"/>
      <c r="L1932" s="2"/>
      <c r="M1932" s="2"/>
      <c r="N1932" s="2"/>
      <c r="O1932" s="2"/>
      <c r="P1932" s="2"/>
      <c r="Q1932" s="2"/>
      <c r="R1932" s="80"/>
      <c r="S1932" s="80"/>
      <c r="T1932" s="80"/>
      <c r="U1932" s="80"/>
      <c r="V1932" s="80"/>
      <c r="W1932" s="80"/>
      <c r="X1932" s="80"/>
      <c r="Y1932" s="80"/>
      <c r="Z1932" s="80"/>
      <c r="AA1932" s="80"/>
      <c r="AB1932" s="80"/>
      <c r="AC1932" s="80"/>
      <c r="AD1932" s="80"/>
      <c r="AE1932" s="80"/>
      <c r="AF1932" s="80"/>
      <c r="AG1932" s="80"/>
    </row>
    <row r="1933" spans="1:33" x14ac:dyDescent="0.2">
      <c r="A1933" s="2"/>
      <c r="B1933" s="80"/>
      <c r="C1933" s="80"/>
      <c r="D1933" s="80"/>
      <c r="E1933" s="80"/>
      <c r="F1933" s="80"/>
      <c r="G1933" s="80"/>
      <c r="H1933" s="80"/>
      <c r="I1933" s="80"/>
      <c r="J1933" s="80"/>
      <c r="K1933" s="80"/>
      <c r="L1933" s="2"/>
      <c r="M1933" s="2"/>
      <c r="N1933" s="2"/>
      <c r="O1933" s="2"/>
      <c r="P1933" s="2"/>
      <c r="Q1933" s="2"/>
      <c r="R1933" s="80"/>
      <c r="S1933" s="80"/>
      <c r="T1933" s="80"/>
      <c r="U1933" s="80"/>
      <c r="V1933" s="80"/>
      <c r="W1933" s="80"/>
      <c r="X1933" s="80"/>
      <c r="Y1933" s="80"/>
      <c r="Z1933" s="80"/>
      <c r="AA1933" s="80"/>
      <c r="AB1933" s="80"/>
      <c r="AC1933" s="80"/>
      <c r="AD1933" s="80"/>
      <c r="AE1933" s="80"/>
      <c r="AF1933" s="80"/>
      <c r="AG1933" s="80"/>
    </row>
    <row r="1934" spans="1:33" x14ac:dyDescent="0.2">
      <c r="A1934" s="2"/>
      <c r="B1934" s="80"/>
      <c r="C1934" s="80"/>
      <c r="D1934" s="80"/>
      <c r="E1934" s="80"/>
      <c r="F1934" s="80"/>
      <c r="G1934" s="80"/>
      <c r="H1934" s="80"/>
      <c r="I1934" s="80"/>
      <c r="J1934" s="80"/>
      <c r="K1934" s="80"/>
      <c r="L1934" s="2"/>
      <c r="M1934" s="2"/>
      <c r="N1934" s="2"/>
      <c r="O1934" s="2"/>
      <c r="P1934" s="2"/>
      <c r="Q1934" s="2"/>
      <c r="R1934" s="80"/>
      <c r="S1934" s="80"/>
      <c r="T1934" s="80"/>
      <c r="U1934" s="80"/>
      <c r="V1934" s="80"/>
      <c r="W1934" s="80"/>
      <c r="X1934" s="80"/>
      <c r="Y1934" s="80"/>
      <c r="Z1934" s="80"/>
      <c r="AA1934" s="80"/>
      <c r="AB1934" s="80"/>
      <c r="AC1934" s="80"/>
      <c r="AD1934" s="80"/>
      <c r="AE1934" s="80"/>
      <c r="AF1934" s="80"/>
      <c r="AG1934" s="80"/>
    </row>
    <row r="1935" spans="1:33" x14ac:dyDescent="0.2">
      <c r="A1935" s="2"/>
      <c r="B1935" s="80"/>
      <c r="C1935" s="80"/>
      <c r="D1935" s="80"/>
      <c r="E1935" s="80"/>
      <c r="F1935" s="80"/>
      <c r="G1935" s="80"/>
      <c r="H1935" s="80"/>
      <c r="I1935" s="80"/>
      <c r="J1935" s="80"/>
      <c r="K1935" s="80"/>
      <c r="L1935" s="2"/>
      <c r="M1935" s="2"/>
      <c r="N1935" s="2"/>
      <c r="O1935" s="2"/>
      <c r="P1935" s="2"/>
      <c r="Q1935" s="2"/>
      <c r="R1935" s="80"/>
      <c r="S1935" s="80"/>
      <c r="T1935" s="80"/>
      <c r="U1935" s="80"/>
      <c r="V1935" s="80"/>
      <c r="W1935" s="80"/>
      <c r="X1935" s="80"/>
      <c r="Y1935" s="80"/>
      <c r="Z1935" s="80"/>
      <c r="AA1935" s="80"/>
      <c r="AB1935" s="80"/>
      <c r="AC1935" s="80"/>
      <c r="AD1935" s="80"/>
      <c r="AE1935" s="80"/>
      <c r="AF1935" s="80"/>
      <c r="AG1935" s="80"/>
    </row>
    <row r="1936" spans="1:33" x14ac:dyDescent="0.2">
      <c r="A1936" s="2"/>
      <c r="B1936" s="80"/>
      <c r="C1936" s="80"/>
      <c r="D1936" s="80"/>
      <c r="E1936" s="80"/>
      <c r="F1936" s="80"/>
      <c r="G1936" s="80"/>
      <c r="H1936" s="80"/>
      <c r="I1936" s="80"/>
      <c r="J1936" s="80"/>
      <c r="K1936" s="80"/>
      <c r="L1936" s="2"/>
      <c r="M1936" s="2"/>
      <c r="N1936" s="2"/>
      <c r="O1936" s="2"/>
      <c r="P1936" s="2"/>
      <c r="Q1936" s="2"/>
      <c r="R1936" s="80"/>
      <c r="S1936" s="80"/>
      <c r="T1936" s="80"/>
      <c r="U1936" s="80"/>
      <c r="V1936" s="80"/>
      <c r="W1936" s="80"/>
      <c r="X1936" s="80"/>
      <c r="Y1936" s="80"/>
      <c r="Z1936" s="80"/>
      <c r="AA1936" s="80"/>
      <c r="AB1936" s="80"/>
      <c r="AC1936" s="80"/>
      <c r="AD1936" s="80"/>
      <c r="AE1936" s="80"/>
      <c r="AF1936" s="80"/>
      <c r="AG1936" s="80"/>
    </row>
    <row r="1937" spans="1:33" x14ac:dyDescent="0.2">
      <c r="A1937" s="2"/>
      <c r="B1937" s="80"/>
      <c r="C1937" s="80"/>
      <c r="D1937" s="80"/>
      <c r="E1937" s="80"/>
      <c r="F1937" s="80"/>
      <c r="G1937" s="80"/>
      <c r="H1937" s="80"/>
      <c r="I1937" s="80"/>
      <c r="J1937" s="80"/>
      <c r="K1937" s="80"/>
      <c r="L1937" s="2"/>
      <c r="M1937" s="2"/>
      <c r="N1937" s="2"/>
      <c r="O1937" s="2"/>
      <c r="P1937" s="2"/>
      <c r="Q1937" s="2"/>
      <c r="R1937" s="80"/>
      <c r="S1937" s="80"/>
      <c r="T1937" s="80"/>
      <c r="U1937" s="80"/>
      <c r="V1937" s="80"/>
      <c r="W1937" s="80"/>
      <c r="X1937" s="80"/>
      <c r="Y1937" s="80"/>
      <c r="Z1937" s="80"/>
      <c r="AA1937" s="80"/>
      <c r="AB1937" s="80"/>
      <c r="AC1937" s="80"/>
      <c r="AD1937" s="80"/>
      <c r="AE1937" s="80"/>
      <c r="AF1937" s="80"/>
      <c r="AG1937" s="80"/>
    </row>
    <row r="1938" spans="1:33" x14ac:dyDescent="0.2">
      <c r="A1938" s="2"/>
      <c r="B1938" s="80"/>
      <c r="C1938" s="80"/>
      <c r="D1938" s="80"/>
      <c r="E1938" s="80"/>
      <c r="F1938" s="80"/>
      <c r="G1938" s="80"/>
      <c r="H1938" s="80"/>
      <c r="I1938" s="80"/>
      <c r="J1938" s="80"/>
      <c r="K1938" s="80"/>
      <c r="L1938" s="2"/>
      <c r="M1938" s="2"/>
      <c r="N1938" s="2"/>
      <c r="O1938" s="2"/>
      <c r="P1938" s="2"/>
      <c r="Q1938" s="2"/>
      <c r="R1938" s="80"/>
      <c r="S1938" s="80"/>
      <c r="T1938" s="80"/>
      <c r="U1938" s="80"/>
      <c r="V1938" s="80"/>
      <c r="W1938" s="80"/>
      <c r="X1938" s="80"/>
      <c r="Y1938" s="80"/>
      <c r="Z1938" s="80"/>
      <c r="AA1938" s="80"/>
      <c r="AB1938" s="80"/>
      <c r="AC1938" s="80"/>
      <c r="AD1938" s="80"/>
      <c r="AE1938" s="80"/>
      <c r="AF1938" s="80"/>
      <c r="AG1938" s="80"/>
    </row>
    <row r="1939" spans="1:33" x14ac:dyDescent="0.2">
      <c r="A1939" s="2"/>
      <c r="B1939" s="80"/>
      <c r="C1939" s="80"/>
      <c r="D1939" s="80"/>
      <c r="E1939" s="80"/>
      <c r="F1939" s="80"/>
      <c r="G1939" s="80"/>
      <c r="H1939" s="80"/>
      <c r="I1939" s="80"/>
      <c r="J1939" s="80"/>
      <c r="K1939" s="80"/>
      <c r="L1939" s="2"/>
      <c r="M1939" s="2"/>
      <c r="N1939" s="2"/>
      <c r="O1939" s="2"/>
      <c r="P1939" s="2"/>
      <c r="Q1939" s="2"/>
      <c r="R1939" s="80"/>
      <c r="S1939" s="80"/>
      <c r="T1939" s="80"/>
      <c r="U1939" s="80"/>
      <c r="V1939" s="80"/>
      <c r="W1939" s="80"/>
      <c r="X1939" s="80"/>
      <c r="Y1939" s="80"/>
      <c r="Z1939" s="80"/>
      <c r="AA1939" s="80"/>
      <c r="AB1939" s="80"/>
      <c r="AC1939" s="80"/>
      <c r="AD1939" s="80"/>
      <c r="AE1939" s="80"/>
      <c r="AF1939" s="80"/>
      <c r="AG1939" s="80"/>
    </row>
    <row r="1940" spans="1:33" x14ac:dyDescent="0.2">
      <c r="A1940" s="2"/>
      <c r="B1940" s="80"/>
      <c r="C1940" s="80"/>
      <c r="D1940" s="80"/>
      <c r="E1940" s="80"/>
      <c r="F1940" s="80"/>
      <c r="G1940" s="80"/>
      <c r="H1940" s="80"/>
      <c r="I1940" s="80"/>
      <c r="J1940" s="80"/>
      <c r="K1940" s="80"/>
      <c r="L1940" s="2"/>
      <c r="M1940" s="2"/>
      <c r="N1940" s="2"/>
      <c r="O1940" s="2"/>
      <c r="P1940" s="2"/>
      <c r="Q1940" s="2"/>
      <c r="R1940" s="80"/>
      <c r="S1940" s="80"/>
      <c r="T1940" s="80"/>
      <c r="U1940" s="80"/>
      <c r="V1940" s="80"/>
      <c r="W1940" s="80"/>
      <c r="X1940" s="80"/>
      <c r="Y1940" s="80"/>
      <c r="Z1940" s="80"/>
      <c r="AA1940" s="80"/>
      <c r="AB1940" s="80"/>
      <c r="AC1940" s="80"/>
      <c r="AD1940" s="80"/>
      <c r="AE1940" s="80"/>
      <c r="AF1940" s="80"/>
      <c r="AG1940" s="80"/>
    </row>
    <row r="1941" spans="1:33" x14ac:dyDescent="0.2">
      <c r="A1941" s="2"/>
      <c r="B1941" s="80"/>
      <c r="C1941" s="80"/>
      <c r="D1941" s="80"/>
      <c r="E1941" s="80"/>
      <c r="F1941" s="80"/>
      <c r="G1941" s="80"/>
      <c r="H1941" s="80"/>
      <c r="I1941" s="80"/>
      <c r="J1941" s="80"/>
      <c r="K1941" s="80"/>
      <c r="L1941" s="2"/>
      <c r="M1941" s="2"/>
      <c r="N1941" s="2"/>
      <c r="O1941" s="2"/>
      <c r="P1941" s="2"/>
      <c r="Q1941" s="2"/>
      <c r="R1941" s="80"/>
      <c r="S1941" s="80"/>
      <c r="T1941" s="80"/>
      <c r="U1941" s="80"/>
      <c r="V1941" s="80"/>
      <c r="W1941" s="80"/>
      <c r="X1941" s="80"/>
      <c r="Y1941" s="80"/>
      <c r="Z1941" s="80"/>
      <c r="AA1941" s="80"/>
      <c r="AB1941" s="80"/>
      <c r="AC1941" s="80"/>
      <c r="AD1941" s="80"/>
      <c r="AE1941" s="80"/>
      <c r="AF1941" s="80"/>
      <c r="AG1941" s="80"/>
    </row>
    <row r="1942" spans="1:33" x14ac:dyDescent="0.2">
      <c r="A1942" s="2"/>
      <c r="B1942" s="80"/>
      <c r="C1942" s="80"/>
      <c r="D1942" s="80"/>
      <c r="E1942" s="80"/>
      <c r="F1942" s="80"/>
      <c r="G1942" s="80"/>
      <c r="H1942" s="80"/>
      <c r="I1942" s="80"/>
      <c r="J1942" s="80"/>
      <c r="K1942" s="80"/>
      <c r="L1942" s="2"/>
      <c r="M1942" s="2"/>
      <c r="N1942" s="2"/>
      <c r="O1942" s="2"/>
      <c r="P1942" s="2"/>
      <c r="Q1942" s="2"/>
      <c r="R1942" s="80"/>
      <c r="S1942" s="80"/>
      <c r="T1942" s="80"/>
      <c r="U1942" s="80"/>
      <c r="V1942" s="80"/>
      <c r="W1942" s="80"/>
      <c r="X1942" s="80"/>
      <c r="Y1942" s="80"/>
      <c r="Z1942" s="80"/>
      <c r="AA1942" s="80"/>
      <c r="AB1942" s="80"/>
      <c r="AC1942" s="80"/>
      <c r="AD1942" s="80"/>
      <c r="AE1942" s="80"/>
      <c r="AF1942" s="80"/>
      <c r="AG1942" s="80"/>
    </row>
    <row r="1943" spans="1:33" x14ac:dyDescent="0.2">
      <c r="A1943" s="2"/>
      <c r="B1943" s="80"/>
      <c r="C1943" s="80"/>
      <c r="D1943" s="80"/>
      <c r="E1943" s="80"/>
      <c r="F1943" s="80"/>
      <c r="G1943" s="80"/>
      <c r="H1943" s="80"/>
      <c r="I1943" s="80"/>
      <c r="J1943" s="80"/>
      <c r="K1943" s="80"/>
      <c r="L1943" s="2"/>
      <c r="M1943" s="2"/>
      <c r="N1943" s="2"/>
      <c r="O1943" s="2"/>
      <c r="P1943" s="2"/>
      <c r="Q1943" s="2"/>
      <c r="R1943" s="80"/>
      <c r="S1943" s="80"/>
      <c r="T1943" s="80"/>
      <c r="U1943" s="80"/>
      <c r="V1943" s="80"/>
      <c r="W1943" s="80"/>
      <c r="X1943" s="80"/>
      <c r="Y1943" s="80"/>
      <c r="Z1943" s="80"/>
      <c r="AA1943" s="80"/>
      <c r="AB1943" s="80"/>
      <c r="AC1943" s="80"/>
      <c r="AD1943" s="80"/>
      <c r="AE1943" s="80"/>
      <c r="AF1943" s="80"/>
      <c r="AG1943" s="80"/>
    </row>
    <row r="1944" spans="1:33" x14ac:dyDescent="0.2">
      <c r="A1944" s="2"/>
      <c r="B1944" s="80"/>
      <c r="C1944" s="80"/>
      <c r="D1944" s="80"/>
      <c r="E1944" s="80"/>
      <c r="F1944" s="80"/>
      <c r="G1944" s="80"/>
      <c r="H1944" s="80"/>
      <c r="I1944" s="80"/>
      <c r="J1944" s="80"/>
      <c r="K1944" s="80"/>
      <c r="L1944" s="2"/>
      <c r="M1944" s="2"/>
      <c r="N1944" s="2"/>
      <c r="O1944" s="2"/>
      <c r="P1944" s="2"/>
      <c r="Q1944" s="2"/>
      <c r="R1944" s="80"/>
      <c r="S1944" s="80"/>
      <c r="T1944" s="80"/>
      <c r="U1944" s="80"/>
      <c r="V1944" s="80"/>
      <c r="W1944" s="80"/>
      <c r="X1944" s="80"/>
      <c r="Y1944" s="80"/>
      <c r="Z1944" s="80"/>
      <c r="AA1944" s="80"/>
      <c r="AB1944" s="80"/>
      <c r="AC1944" s="80"/>
      <c r="AD1944" s="80"/>
      <c r="AE1944" s="80"/>
      <c r="AF1944" s="80"/>
      <c r="AG1944" s="80"/>
    </row>
    <row r="1945" spans="1:33" x14ac:dyDescent="0.2">
      <c r="A1945" s="2"/>
      <c r="B1945" s="80"/>
      <c r="C1945" s="80"/>
      <c r="D1945" s="80"/>
      <c r="E1945" s="80"/>
      <c r="F1945" s="80"/>
      <c r="G1945" s="80"/>
      <c r="H1945" s="80"/>
      <c r="I1945" s="80"/>
      <c r="J1945" s="80"/>
      <c r="K1945" s="80"/>
      <c r="L1945" s="2"/>
      <c r="M1945" s="2"/>
      <c r="N1945" s="2"/>
      <c r="O1945" s="2"/>
      <c r="P1945" s="2"/>
      <c r="Q1945" s="2"/>
      <c r="R1945" s="80"/>
      <c r="S1945" s="80"/>
      <c r="T1945" s="80"/>
      <c r="U1945" s="80"/>
      <c r="V1945" s="80"/>
      <c r="W1945" s="80"/>
      <c r="X1945" s="80"/>
      <c r="Y1945" s="80"/>
      <c r="Z1945" s="80"/>
      <c r="AA1945" s="80"/>
      <c r="AB1945" s="80"/>
      <c r="AC1945" s="80"/>
      <c r="AD1945" s="80"/>
      <c r="AE1945" s="80"/>
      <c r="AF1945" s="80"/>
      <c r="AG1945" s="80"/>
    </row>
    <row r="1946" spans="1:33" x14ac:dyDescent="0.2">
      <c r="A1946" s="2"/>
      <c r="B1946" s="80"/>
      <c r="C1946" s="80"/>
      <c r="D1946" s="80"/>
      <c r="E1946" s="80"/>
      <c r="F1946" s="80"/>
      <c r="G1946" s="80"/>
      <c r="H1946" s="80"/>
      <c r="I1946" s="80"/>
      <c r="J1946" s="80"/>
      <c r="K1946" s="80"/>
      <c r="L1946" s="2"/>
      <c r="M1946" s="2"/>
      <c r="N1946" s="2"/>
      <c r="O1946" s="2"/>
      <c r="P1946" s="2"/>
      <c r="Q1946" s="2"/>
      <c r="R1946" s="80"/>
      <c r="S1946" s="80"/>
      <c r="T1946" s="80"/>
      <c r="U1946" s="80"/>
      <c r="V1946" s="80"/>
      <c r="W1946" s="80"/>
      <c r="X1946" s="80"/>
      <c r="Y1946" s="80"/>
      <c r="Z1946" s="80"/>
      <c r="AA1946" s="80"/>
      <c r="AB1946" s="80"/>
      <c r="AC1946" s="80"/>
      <c r="AD1946" s="80"/>
      <c r="AE1946" s="80"/>
      <c r="AF1946" s="80"/>
      <c r="AG1946" s="80"/>
    </row>
    <row r="1947" spans="1:33" x14ac:dyDescent="0.2">
      <c r="A1947" s="2"/>
      <c r="B1947" s="80"/>
      <c r="C1947" s="80"/>
      <c r="D1947" s="80"/>
      <c r="E1947" s="80"/>
      <c r="F1947" s="80"/>
      <c r="G1947" s="80"/>
      <c r="H1947" s="80"/>
      <c r="I1947" s="80"/>
      <c r="J1947" s="80"/>
      <c r="K1947" s="80"/>
      <c r="L1947" s="2"/>
      <c r="M1947" s="2"/>
      <c r="N1947" s="2"/>
      <c r="O1947" s="2"/>
      <c r="P1947" s="2"/>
      <c r="Q1947" s="2"/>
      <c r="R1947" s="80"/>
      <c r="S1947" s="80"/>
      <c r="T1947" s="80"/>
      <c r="U1947" s="80"/>
      <c r="V1947" s="80"/>
      <c r="W1947" s="80"/>
      <c r="X1947" s="80"/>
      <c r="Y1947" s="80"/>
      <c r="Z1947" s="80"/>
      <c r="AA1947" s="80"/>
      <c r="AB1947" s="80"/>
      <c r="AC1947" s="80"/>
      <c r="AD1947" s="80"/>
      <c r="AE1947" s="80"/>
      <c r="AF1947" s="80"/>
      <c r="AG1947" s="80"/>
    </row>
    <row r="1948" spans="1:33" x14ac:dyDescent="0.2">
      <c r="A1948" s="2"/>
      <c r="B1948" s="80"/>
      <c r="C1948" s="80"/>
      <c r="D1948" s="80"/>
      <c r="E1948" s="80"/>
      <c r="F1948" s="80"/>
      <c r="G1948" s="80"/>
      <c r="H1948" s="80"/>
      <c r="I1948" s="80"/>
      <c r="J1948" s="80"/>
      <c r="K1948" s="80"/>
      <c r="L1948" s="2"/>
      <c r="M1948" s="2"/>
      <c r="N1948" s="2"/>
      <c r="O1948" s="2"/>
      <c r="P1948" s="2"/>
      <c r="Q1948" s="2"/>
      <c r="R1948" s="80"/>
      <c r="S1948" s="80"/>
      <c r="T1948" s="80"/>
      <c r="U1948" s="80"/>
      <c r="V1948" s="80"/>
      <c r="W1948" s="80"/>
      <c r="X1948" s="80"/>
      <c r="Y1948" s="80"/>
      <c r="Z1948" s="80"/>
      <c r="AA1948" s="80"/>
      <c r="AB1948" s="80"/>
      <c r="AC1948" s="80"/>
      <c r="AD1948" s="80"/>
      <c r="AE1948" s="80"/>
      <c r="AF1948" s="80"/>
      <c r="AG1948" s="80"/>
    </row>
    <row r="1949" spans="1:33" x14ac:dyDescent="0.2">
      <c r="A1949" s="2"/>
      <c r="B1949" s="80"/>
      <c r="C1949" s="80"/>
      <c r="D1949" s="80"/>
      <c r="E1949" s="80"/>
      <c r="F1949" s="80"/>
      <c r="G1949" s="80"/>
      <c r="H1949" s="80"/>
      <c r="I1949" s="80"/>
      <c r="J1949" s="80"/>
      <c r="K1949" s="80"/>
      <c r="L1949" s="2"/>
      <c r="M1949" s="2"/>
      <c r="N1949" s="2"/>
      <c r="O1949" s="2"/>
      <c r="P1949" s="2"/>
      <c r="Q1949" s="2"/>
      <c r="R1949" s="80"/>
      <c r="S1949" s="80"/>
      <c r="T1949" s="80"/>
      <c r="U1949" s="80"/>
      <c r="V1949" s="80"/>
      <c r="W1949" s="80"/>
      <c r="X1949" s="80"/>
      <c r="Y1949" s="80"/>
      <c r="Z1949" s="80"/>
      <c r="AA1949" s="80"/>
      <c r="AB1949" s="80"/>
      <c r="AC1949" s="80"/>
      <c r="AD1949" s="80"/>
      <c r="AE1949" s="80"/>
      <c r="AF1949" s="80"/>
      <c r="AG1949" s="80"/>
    </row>
    <row r="1950" spans="1:33" x14ac:dyDescent="0.2">
      <c r="A1950" s="2"/>
      <c r="B1950" s="80"/>
      <c r="C1950" s="80"/>
      <c r="D1950" s="80"/>
      <c r="E1950" s="80"/>
      <c r="F1950" s="80"/>
      <c r="G1950" s="80"/>
      <c r="H1950" s="80"/>
      <c r="I1950" s="80"/>
      <c r="J1950" s="80"/>
      <c r="K1950" s="80"/>
      <c r="L1950" s="2"/>
      <c r="M1950" s="2"/>
      <c r="N1950" s="2"/>
      <c r="O1950" s="2"/>
      <c r="P1950" s="2"/>
      <c r="Q1950" s="2"/>
      <c r="R1950" s="80"/>
      <c r="S1950" s="80"/>
      <c r="T1950" s="80"/>
      <c r="U1950" s="80"/>
      <c r="V1950" s="80"/>
      <c r="W1950" s="80"/>
      <c r="X1950" s="80"/>
      <c r="Y1950" s="80"/>
      <c r="Z1950" s="80"/>
      <c r="AA1950" s="80"/>
      <c r="AB1950" s="80"/>
      <c r="AC1950" s="80"/>
      <c r="AD1950" s="80"/>
      <c r="AE1950" s="80"/>
      <c r="AF1950" s="80"/>
      <c r="AG1950" s="80"/>
    </row>
    <row r="1951" spans="1:33" x14ac:dyDescent="0.2">
      <c r="A1951" s="2"/>
      <c r="B1951" s="80"/>
      <c r="C1951" s="80"/>
      <c r="D1951" s="80"/>
      <c r="E1951" s="80"/>
      <c r="F1951" s="80"/>
      <c r="G1951" s="80"/>
      <c r="H1951" s="80"/>
      <c r="I1951" s="80"/>
      <c r="J1951" s="80"/>
      <c r="K1951" s="80"/>
      <c r="L1951" s="2"/>
      <c r="M1951" s="2"/>
      <c r="N1951" s="2"/>
      <c r="O1951" s="2"/>
      <c r="P1951" s="2"/>
      <c r="Q1951" s="2"/>
      <c r="R1951" s="80"/>
      <c r="S1951" s="80"/>
      <c r="T1951" s="80"/>
      <c r="U1951" s="80"/>
      <c r="V1951" s="80"/>
      <c r="W1951" s="80"/>
      <c r="X1951" s="80"/>
      <c r="Y1951" s="80"/>
      <c r="Z1951" s="80"/>
      <c r="AA1951" s="80"/>
      <c r="AB1951" s="80"/>
      <c r="AC1951" s="80"/>
      <c r="AD1951" s="80"/>
      <c r="AE1951" s="80"/>
      <c r="AF1951" s="80"/>
      <c r="AG1951" s="80"/>
    </row>
    <row r="1952" spans="1:33" x14ac:dyDescent="0.2">
      <c r="A1952" s="2"/>
      <c r="B1952" s="80"/>
      <c r="C1952" s="80"/>
      <c r="D1952" s="80"/>
      <c r="E1952" s="80"/>
      <c r="F1952" s="80"/>
      <c r="G1952" s="80"/>
      <c r="H1952" s="80"/>
      <c r="I1952" s="80"/>
      <c r="J1952" s="80"/>
      <c r="K1952" s="80"/>
      <c r="L1952" s="2"/>
      <c r="M1952" s="2"/>
      <c r="N1952" s="2"/>
      <c r="O1952" s="2"/>
      <c r="P1952" s="2"/>
      <c r="Q1952" s="2"/>
      <c r="R1952" s="80"/>
      <c r="S1952" s="80"/>
      <c r="T1952" s="80"/>
      <c r="U1952" s="80"/>
      <c r="V1952" s="80"/>
      <c r="W1952" s="80"/>
      <c r="X1952" s="80"/>
      <c r="Y1952" s="80"/>
      <c r="Z1952" s="80"/>
      <c r="AA1952" s="80"/>
      <c r="AB1952" s="80"/>
      <c r="AC1952" s="80"/>
      <c r="AD1952" s="80"/>
      <c r="AE1952" s="80"/>
      <c r="AF1952" s="80"/>
      <c r="AG1952" s="80"/>
    </row>
    <row r="1953" spans="1:33" x14ac:dyDescent="0.2">
      <c r="A1953" s="2"/>
      <c r="B1953" s="80"/>
      <c r="C1953" s="80"/>
      <c r="D1953" s="80"/>
      <c r="E1953" s="80"/>
      <c r="F1953" s="80"/>
      <c r="G1953" s="80"/>
      <c r="H1953" s="80"/>
      <c r="I1953" s="80"/>
      <c r="J1953" s="80"/>
      <c r="K1953" s="80"/>
      <c r="L1953" s="2"/>
      <c r="M1953" s="2"/>
      <c r="N1953" s="2"/>
      <c r="O1953" s="2"/>
      <c r="P1953" s="2"/>
      <c r="Q1953" s="2"/>
      <c r="R1953" s="80"/>
      <c r="S1953" s="80"/>
      <c r="T1953" s="80"/>
      <c r="U1953" s="80"/>
      <c r="V1953" s="80"/>
      <c r="W1953" s="80"/>
      <c r="X1953" s="80"/>
      <c r="Y1953" s="80"/>
      <c r="Z1953" s="80"/>
      <c r="AA1953" s="80"/>
      <c r="AB1953" s="80"/>
      <c r="AC1953" s="80"/>
      <c r="AD1953" s="80"/>
      <c r="AE1953" s="80"/>
      <c r="AF1953" s="80"/>
      <c r="AG1953" s="80"/>
    </row>
    <row r="1954" spans="1:33" x14ac:dyDescent="0.2">
      <c r="A1954" s="2"/>
      <c r="B1954" s="80"/>
      <c r="C1954" s="80"/>
      <c r="D1954" s="80"/>
      <c r="E1954" s="80"/>
      <c r="F1954" s="80"/>
      <c r="G1954" s="80"/>
      <c r="H1954" s="80"/>
      <c r="I1954" s="80"/>
      <c r="J1954" s="80"/>
      <c r="K1954" s="80"/>
      <c r="L1954" s="2"/>
      <c r="M1954" s="2"/>
      <c r="N1954" s="2"/>
      <c r="O1954" s="2"/>
      <c r="P1954" s="2"/>
      <c r="Q1954" s="2"/>
      <c r="R1954" s="80"/>
      <c r="S1954" s="80"/>
      <c r="T1954" s="80"/>
      <c r="U1954" s="80"/>
      <c r="V1954" s="80"/>
      <c r="W1954" s="80"/>
      <c r="X1954" s="80"/>
      <c r="Y1954" s="80"/>
      <c r="Z1954" s="80"/>
      <c r="AA1954" s="80"/>
      <c r="AB1954" s="80"/>
      <c r="AC1954" s="80"/>
      <c r="AD1954" s="80"/>
      <c r="AE1954" s="80"/>
      <c r="AF1954" s="80"/>
      <c r="AG1954" s="80"/>
    </row>
    <row r="1955" spans="1:33" x14ac:dyDescent="0.2">
      <c r="A1955" s="2"/>
      <c r="B1955" s="80"/>
      <c r="C1955" s="80"/>
      <c r="D1955" s="80"/>
      <c r="E1955" s="80"/>
      <c r="F1955" s="80"/>
      <c r="G1955" s="80"/>
      <c r="H1955" s="80"/>
      <c r="I1955" s="80"/>
      <c r="J1955" s="80"/>
      <c r="K1955" s="80"/>
      <c r="L1955" s="2"/>
      <c r="M1955" s="2"/>
      <c r="N1955" s="2"/>
      <c r="O1955" s="2"/>
      <c r="P1955" s="2"/>
      <c r="Q1955" s="2"/>
      <c r="R1955" s="80"/>
      <c r="S1955" s="80"/>
      <c r="T1955" s="80"/>
      <c r="U1955" s="80"/>
      <c r="V1955" s="80"/>
      <c r="W1955" s="80"/>
      <c r="X1955" s="80"/>
      <c r="Y1955" s="80"/>
      <c r="Z1955" s="80"/>
      <c r="AA1955" s="80"/>
      <c r="AB1955" s="80"/>
      <c r="AC1955" s="80"/>
      <c r="AD1955" s="80"/>
      <c r="AE1955" s="80"/>
      <c r="AF1955" s="80"/>
      <c r="AG1955" s="80"/>
    </row>
    <row r="1956" spans="1:33" x14ac:dyDescent="0.2">
      <c r="A1956" s="2"/>
      <c r="B1956" s="80"/>
      <c r="C1956" s="80"/>
      <c r="D1956" s="80"/>
      <c r="E1956" s="80"/>
      <c r="F1956" s="80"/>
      <c r="G1956" s="80"/>
      <c r="H1956" s="80"/>
      <c r="I1956" s="80"/>
      <c r="J1956" s="80"/>
      <c r="K1956" s="80"/>
      <c r="L1956" s="2"/>
      <c r="M1956" s="2"/>
      <c r="N1956" s="2"/>
      <c r="O1956" s="2"/>
      <c r="P1956" s="2"/>
      <c r="Q1956" s="2"/>
      <c r="R1956" s="80"/>
      <c r="S1956" s="80"/>
      <c r="T1956" s="80"/>
      <c r="U1956" s="80"/>
      <c r="V1956" s="80"/>
      <c r="W1956" s="80"/>
      <c r="X1956" s="80"/>
      <c r="Y1956" s="80"/>
      <c r="Z1956" s="80"/>
      <c r="AA1956" s="80"/>
      <c r="AB1956" s="80"/>
      <c r="AC1956" s="80"/>
      <c r="AD1956" s="80"/>
      <c r="AE1956" s="80"/>
      <c r="AF1956" s="80"/>
      <c r="AG1956" s="80"/>
    </row>
    <row r="1957" spans="1:33" x14ac:dyDescent="0.2">
      <c r="A1957" s="2"/>
      <c r="B1957" s="80"/>
      <c r="C1957" s="80"/>
      <c r="D1957" s="80"/>
      <c r="E1957" s="80"/>
      <c r="F1957" s="80"/>
      <c r="G1957" s="80"/>
      <c r="H1957" s="80"/>
      <c r="I1957" s="80"/>
      <c r="J1957" s="80"/>
      <c r="K1957" s="80"/>
      <c r="L1957" s="2"/>
      <c r="M1957" s="2"/>
      <c r="N1957" s="2"/>
      <c r="O1957" s="2"/>
      <c r="P1957" s="2"/>
      <c r="Q1957" s="2"/>
      <c r="R1957" s="80"/>
      <c r="S1957" s="80"/>
      <c r="T1957" s="80"/>
      <c r="U1957" s="80"/>
      <c r="V1957" s="80"/>
      <c r="W1957" s="80"/>
      <c r="X1957" s="80"/>
      <c r="Y1957" s="80"/>
      <c r="Z1957" s="80"/>
      <c r="AA1957" s="80"/>
      <c r="AB1957" s="80"/>
      <c r="AC1957" s="80"/>
      <c r="AD1957" s="80"/>
      <c r="AE1957" s="80"/>
      <c r="AF1957" s="80"/>
      <c r="AG1957" s="80"/>
    </row>
    <row r="1958" spans="1:33" x14ac:dyDescent="0.2">
      <c r="A1958" s="2"/>
      <c r="B1958" s="80"/>
      <c r="C1958" s="80"/>
      <c r="D1958" s="80"/>
      <c r="E1958" s="80"/>
      <c r="F1958" s="80"/>
      <c r="G1958" s="80"/>
      <c r="H1958" s="80"/>
      <c r="I1958" s="80"/>
      <c r="J1958" s="80"/>
      <c r="K1958" s="80"/>
      <c r="L1958" s="2"/>
      <c r="M1958" s="2"/>
      <c r="N1958" s="2"/>
      <c r="O1958" s="2"/>
      <c r="P1958" s="2"/>
      <c r="Q1958" s="2"/>
      <c r="R1958" s="80"/>
      <c r="S1958" s="80"/>
      <c r="T1958" s="80"/>
      <c r="U1958" s="80"/>
      <c r="V1958" s="80"/>
      <c r="W1958" s="80"/>
      <c r="X1958" s="80"/>
      <c r="Y1958" s="80"/>
      <c r="Z1958" s="80"/>
      <c r="AA1958" s="80"/>
      <c r="AB1958" s="80"/>
      <c r="AC1958" s="80"/>
      <c r="AD1958" s="80"/>
      <c r="AE1958" s="80"/>
      <c r="AF1958" s="80"/>
      <c r="AG1958" s="80"/>
    </row>
    <row r="1959" spans="1:33" x14ac:dyDescent="0.2">
      <c r="A1959" s="2"/>
      <c r="B1959" s="80"/>
      <c r="C1959" s="80"/>
      <c r="D1959" s="80"/>
      <c r="E1959" s="80"/>
      <c r="F1959" s="80"/>
      <c r="G1959" s="80"/>
      <c r="H1959" s="80"/>
      <c r="I1959" s="80"/>
      <c r="J1959" s="80"/>
      <c r="K1959" s="80"/>
      <c r="L1959" s="2"/>
      <c r="M1959" s="2"/>
      <c r="N1959" s="2"/>
      <c r="O1959" s="2"/>
      <c r="P1959" s="2"/>
      <c r="Q1959" s="2"/>
      <c r="R1959" s="80"/>
      <c r="S1959" s="80"/>
      <c r="T1959" s="80"/>
      <c r="U1959" s="80"/>
      <c r="V1959" s="80"/>
      <c r="W1959" s="80"/>
      <c r="X1959" s="80"/>
      <c r="Y1959" s="80"/>
      <c r="Z1959" s="80"/>
      <c r="AA1959" s="80"/>
      <c r="AB1959" s="80"/>
      <c r="AC1959" s="80"/>
      <c r="AD1959" s="80"/>
      <c r="AE1959" s="80"/>
      <c r="AF1959" s="80"/>
      <c r="AG1959" s="80"/>
    </row>
    <row r="1960" spans="1:33" x14ac:dyDescent="0.2">
      <c r="A1960" s="2"/>
      <c r="B1960" s="80"/>
      <c r="C1960" s="80"/>
      <c r="D1960" s="80"/>
      <c r="E1960" s="80"/>
      <c r="F1960" s="80"/>
      <c r="G1960" s="80"/>
      <c r="H1960" s="80"/>
      <c r="I1960" s="80"/>
      <c r="J1960" s="80"/>
      <c r="K1960" s="80"/>
      <c r="L1960" s="2"/>
      <c r="M1960" s="2"/>
      <c r="N1960" s="2"/>
      <c r="O1960" s="2"/>
      <c r="P1960" s="2"/>
      <c r="Q1960" s="2"/>
      <c r="R1960" s="80"/>
      <c r="S1960" s="80"/>
      <c r="T1960" s="80"/>
      <c r="U1960" s="80"/>
      <c r="V1960" s="80"/>
      <c r="W1960" s="80"/>
      <c r="X1960" s="80"/>
      <c r="Y1960" s="80"/>
      <c r="Z1960" s="80"/>
      <c r="AA1960" s="80"/>
      <c r="AB1960" s="80"/>
      <c r="AC1960" s="80"/>
      <c r="AD1960" s="80"/>
      <c r="AE1960" s="80"/>
      <c r="AF1960" s="80"/>
      <c r="AG1960" s="80"/>
    </row>
    <row r="1961" spans="1:33" x14ac:dyDescent="0.2">
      <c r="A1961" s="2"/>
      <c r="B1961" s="80"/>
      <c r="C1961" s="80"/>
      <c r="D1961" s="80"/>
      <c r="E1961" s="80"/>
      <c r="F1961" s="80"/>
      <c r="G1961" s="80"/>
      <c r="H1961" s="80"/>
      <c r="I1961" s="80"/>
      <c r="J1961" s="80"/>
      <c r="K1961" s="80"/>
      <c r="L1961" s="2"/>
      <c r="M1961" s="2"/>
      <c r="N1961" s="2"/>
      <c r="O1961" s="2"/>
      <c r="P1961" s="2"/>
      <c r="Q1961" s="2"/>
      <c r="R1961" s="80"/>
      <c r="S1961" s="80"/>
      <c r="T1961" s="80"/>
      <c r="U1961" s="80"/>
      <c r="V1961" s="80"/>
      <c r="W1961" s="80"/>
      <c r="X1961" s="80"/>
      <c r="Y1961" s="80"/>
      <c r="Z1961" s="80"/>
      <c r="AA1961" s="80"/>
      <c r="AB1961" s="80"/>
      <c r="AC1961" s="80"/>
      <c r="AD1961" s="80"/>
      <c r="AE1961" s="80"/>
      <c r="AF1961" s="80"/>
      <c r="AG1961" s="80"/>
    </row>
    <row r="1962" spans="1:33" x14ac:dyDescent="0.2">
      <c r="A1962" s="2"/>
      <c r="B1962" s="80"/>
      <c r="C1962" s="80"/>
      <c r="D1962" s="80"/>
      <c r="E1962" s="80"/>
      <c r="F1962" s="80"/>
      <c r="G1962" s="80"/>
      <c r="H1962" s="80"/>
      <c r="I1962" s="80"/>
      <c r="J1962" s="80"/>
      <c r="K1962" s="80"/>
      <c r="L1962" s="2"/>
      <c r="M1962" s="2"/>
      <c r="N1962" s="2"/>
      <c r="O1962" s="2"/>
      <c r="P1962" s="2"/>
      <c r="Q1962" s="2"/>
      <c r="R1962" s="80"/>
      <c r="S1962" s="80"/>
      <c r="T1962" s="80"/>
      <c r="U1962" s="80"/>
      <c r="V1962" s="80"/>
      <c r="W1962" s="80"/>
      <c r="X1962" s="80"/>
      <c r="Y1962" s="80"/>
      <c r="Z1962" s="80"/>
      <c r="AA1962" s="80"/>
      <c r="AB1962" s="80"/>
      <c r="AC1962" s="80"/>
      <c r="AD1962" s="80"/>
      <c r="AE1962" s="80"/>
      <c r="AF1962" s="80"/>
      <c r="AG1962" s="80"/>
    </row>
    <row r="1963" spans="1:33" x14ac:dyDescent="0.2">
      <c r="A1963" s="2"/>
      <c r="B1963" s="80"/>
      <c r="C1963" s="80"/>
      <c r="D1963" s="80"/>
      <c r="E1963" s="80"/>
      <c r="F1963" s="80"/>
      <c r="G1963" s="80"/>
      <c r="H1963" s="80"/>
      <c r="I1963" s="80"/>
      <c r="J1963" s="80"/>
      <c r="K1963" s="80"/>
      <c r="L1963" s="2"/>
      <c r="M1963" s="2"/>
      <c r="N1963" s="2"/>
      <c r="O1963" s="2"/>
      <c r="P1963" s="2"/>
      <c r="Q1963" s="2"/>
      <c r="R1963" s="80"/>
      <c r="S1963" s="80"/>
      <c r="T1963" s="80"/>
      <c r="U1963" s="80"/>
      <c r="V1963" s="80"/>
      <c r="W1963" s="80"/>
      <c r="X1963" s="80"/>
      <c r="Y1963" s="80"/>
      <c r="Z1963" s="80"/>
      <c r="AA1963" s="80"/>
      <c r="AB1963" s="80"/>
      <c r="AC1963" s="80"/>
      <c r="AD1963" s="80"/>
      <c r="AE1963" s="80"/>
      <c r="AF1963" s="80"/>
      <c r="AG1963" s="80"/>
    </row>
    <row r="1964" spans="1:33" x14ac:dyDescent="0.2">
      <c r="A1964" s="2"/>
      <c r="B1964" s="80"/>
      <c r="C1964" s="80"/>
      <c r="D1964" s="80"/>
      <c r="E1964" s="80"/>
      <c r="F1964" s="80"/>
      <c r="G1964" s="80"/>
      <c r="H1964" s="80"/>
      <c r="I1964" s="80"/>
      <c r="J1964" s="80"/>
      <c r="K1964" s="80"/>
      <c r="L1964" s="2"/>
      <c r="M1964" s="2"/>
      <c r="N1964" s="2"/>
      <c r="O1964" s="2"/>
      <c r="P1964" s="2"/>
      <c r="Q1964" s="2"/>
      <c r="R1964" s="80"/>
      <c r="S1964" s="80"/>
      <c r="T1964" s="80"/>
      <c r="U1964" s="80"/>
      <c r="V1964" s="80"/>
      <c r="W1964" s="80"/>
      <c r="X1964" s="80"/>
      <c r="Y1964" s="80"/>
      <c r="Z1964" s="80"/>
      <c r="AA1964" s="80"/>
      <c r="AB1964" s="80"/>
      <c r="AC1964" s="80"/>
      <c r="AD1964" s="80"/>
      <c r="AE1964" s="80"/>
      <c r="AF1964" s="80"/>
      <c r="AG1964" s="80"/>
    </row>
    <row r="1965" spans="1:33" x14ac:dyDescent="0.2">
      <c r="A1965" s="2"/>
      <c r="B1965" s="80"/>
      <c r="C1965" s="80"/>
      <c r="D1965" s="80"/>
      <c r="E1965" s="80"/>
      <c r="F1965" s="80"/>
      <c r="G1965" s="80"/>
      <c r="H1965" s="80"/>
      <c r="I1965" s="80"/>
      <c r="J1965" s="80"/>
      <c r="K1965" s="80"/>
      <c r="L1965" s="2"/>
      <c r="M1965" s="2"/>
      <c r="N1965" s="2"/>
      <c r="O1965" s="2"/>
      <c r="P1965" s="2"/>
      <c r="Q1965" s="2"/>
      <c r="R1965" s="80"/>
      <c r="S1965" s="80"/>
      <c r="T1965" s="80"/>
      <c r="U1965" s="80"/>
      <c r="V1965" s="80"/>
      <c r="W1965" s="80"/>
      <c r="X1965" s="80"/>
      <c r="Y1965" s="80"/>
      <c r="Z1965" s="80"/>
      <c r="AA1965" s="80"/>
      <c r="AB1965" s="80"/>
      <c r="AC1965" s="80"/>
      <c r="AD1965" s="80"/>
      <c r="AE1965" s="80"/>
      <c r="AF1965" s="80"/>
      <c r="AG1965" s="80"/>
    </row>
    <row r="1966" spans="1:33" x14ac:dyDescent="0.2">
      <c r="A1966" s="2"/>
      <c r="B1966" s="80"/>
      <c r="C1966" s="80"/>
      <c r="D1966" s="80"/>
      <c r="E1966" s="80"/>
      <c r="F1966" s="80"/>
      <c r="G1966" s="80"/>
      <c r="H1966" s="80"/>
      <c r="I1966" s="80"/>
      <c r="J1966" s="80"/>
      <c r="K1966" s="80"/>
      <c r="L1966" s="2"/>
      <c r="M1966" s="2"/>
      <c r="N1966" s="2"/>
      <c r="O1966" s="2"/>
      <c r="P1966" s="2"/>
      <c r="Q1966" s="2"/>
      <c r="R1966" s="80"/>
      <c r="S1966" s="80"/>
      <c r="T1966" s="80"/>
      <c r="U1966" s="80"/>
      <c r="V1966" s="80"/>
      <c r="W1966" s="80"/>
      <c r="X1966" s="80"/>
      <c r="Y1966" s="80"/>
      <c r="Z1966" s="80"/>
      <c r="AA1966" s="80"/>
      <c r="AB1966" s="80"/>
      <c r="AC1966" s="80"/>
      <c r="AD1966" s="80"/>
      <c r="AE1966" s="80"/>
      <c r="AF1966" s="80"/>
      <c r="AG1966" s="80"/>
    </row>
    <row r="1967" spans="1:33" x14ac:dyDescent="0.2">
      <c r="A1967" s="2"/>
      <c r="B1967" s="80"/>
      <c r="C1967" s="80"/>
      <c r="D1967" s="80"/>
      <c r="E1967" s="80"/>
      <c r="F1967" s="80"/>
      <c r="G1967" s="80"/>
      <c r="H1967" s="80"/>
      <c r="I1967" s="80"/>
      <c r="J1967" s="80"/>
      <c r="K1967" s="80"/>
      <c r="L1967" s="2"/>
      <c r="M1967" s="2"/>
      <c r="N1967" s="2"/>
      <c r="O1967" s="2"/>
      <c r="P1967" s="2"/>
      <c r="Q1967" s="2"/>
      <c r="R1967" s="80"/>
      <c r="S1967" s="80"/>
      <c r="T1967" s="80"/>
      <c r="U1967" s="80"/>
      <c r="V1967" s="80"/>
      <c r="W1967" s="80"/>
      <c r="X1967" s="80"/>
      <c r="Y1967" s="80"/>
      <c r="Z1967" s="80"/>
      <c r="AA1967" s="80"/>
      <c r="AB1967" s="80"/>
      <c r="AC1967" s="80"/>
      <c r="AD1967" s="80"/>
      <c r="AE1967" s="80"/>
      <c r="AF1967" s="80"/>
      <c r="AG1967" s="80"/>
    </row>
    <row r="1968" spans="1:33" x14ac:dyDescent="0.2">
      <c r="A1968" s="2"/>
      <c r="B1968" s="80"/>
      <c r="C1968" s="80"/>
      <c r="D1968" s="80"/>
      <c r="E1968" s="80"/>
      <c r="F1968" s="80"/>
      <c r="G1968" s="80"/>
      <c r="H1968" s="80"/>
      <c r="I1968" s="80"/>
      <c r="J1968" s="80"/>
      <c r="K1968" s="80"/>
      <c r="L1968" s="2"/>
      <c r="M1968" s="2"/>
      <c r="N1968" s="2"/>
      <c r="O1968" s="2"/>
      <c r="P1968" s="2"/>
      <c r="Q1968" s="2"/>
      <c r="R1968" s="80"/>
      <c r="S1968" s="80"/>
      <c r="T1968" s="80"/>
      <c r="U1968" s="80"/>
      <c r="V1968" s="80"/>
      <c r="W1968" s="80"/>
      <c r="X1968" s="80"/>
      <c r="Y1968" s="80"/>
      <c r="Z1968" s="80"/>
      <c r="AA1968" s="80"/>
      <c r="AB1968" s="80"/>
      <c r="AC1968" s="80"/>
      <c r="AD1968" s="80"/>
      <c r="AE1968" s="80"/>
      <c r="AF1968" s="80"/>
      <c r="AG1968" s="80"/>
    </row>
    <row r="1969" spans="1:33" x14ac:dyDescent="0.2">
      <c r="A1969" s="2"/>
      <c r="B1969" s="80"/>
      <c r="C1969" s="80"/>
      <c r="D1969" s="80"/>
      <c r="E1969" s="80"/>
      <c r="F1969" s="80"/>
      <c r="G1969" s="80"/>
      <c r="H1969" s="80"/>
      <c r="I1969" s="80"/>
      <c r="J1969" s="80"/>
      <c r="K1969" s="80"/>
      <c r="L1969" s="2"/>
      <c r="M1969" s="2"/>
      <c r="N1969" s="2"/>
      <c r="O1969" s="2"/>
      <c r="P1969" s="2"/>
      <c r="Q1969" s="2"/>
      <c r="R1969" s="80"/>
      <c r="S1969" s="80"/>
      <c r="T1969" s="80"/>
      <c r="U1969" s="80"/>
      <c r="V1969" s="80"/>
      <c r="W1969" s="80"/>
      <c r="X1969" s="80"/>
      <c r="Y1969" s="80"/>
      <c r="Z1969" s="80"/>
      <c r="AA1969" s="80"/>
      <c r="AB1969" s="80"/>
      <c r="AC1969" s="80"/>
      <c r="AD1969" s="80"/>
      <c r="AE1969" s="80"/>
      <c r="AF1969" s="80"/>
      <c r="AG1969" s="80"/>
    </row>
    <row r="1970" spans="1:33" x14ac:dyDescent="0.2">
      <c r="A1970" s="2"/>
      <c r="B1970" s="80"/>
      <c r="C1970" s="80"/>
      <c r="D1970" s="80"/>
      <c r="E1970" s="80"/>
      <c r="F1970" s="80"/>
      <c r="G1970" s="80"/>
      <c r="H1970" s="80"/>
      <c r="I1970" s="80"/>
      <c r="J1970" s="80"/>
      <c r="K1970" s="80"/>
      <c r="L1970" s="2"/>
      <c r="M1970" s="2"/>
      <c r="N1970" s="2"/>
      <c r="O1970" s="2"/>
      <c r="P1970" s="2"/>
      <c r="Q1970" s="2"/>
      <c r="R1970" s="80"/>
      <c r="S1970" s="80"/>
      <c r="T1970" s="80"/>
      <c r="U1970" s="80"/>
      <c r="V1970" s="80"/>
      <c r="W1970" s="80"/>
      <c r="X1970" s="80"/>
      <c r="Y1970" s="80"/>
      <c r="Z1970" s="80"/>
      <c r="AA1970" s="80"/>
      <c r="AB1970" s="80"/>
      <c r="AC1970" s="80"/>
      <c r="AD1970" s="80"/>
      <c r="AE1970" s="80"/>
      <c r="AF1970" s="80"/>
      <c r="AG1970" s="80"/>
    </row>
    <row r="1971" spans="1:33" x14ac:dyDescent="0.2">
      <c r="A1971" s="2"/>
      <c r="B1971" s="80"/>
      <c r="C1971" s="80"/>
      <c r="D1971" s="80"/>
      <c r="E1971" s="80"/>
      <c r="F1971" s="80"/>
      <c r="G1971" s="80"/>
      <c r="H1971" s="80"/>
      <c r="I1971" s="80"/>
      <c r="J1971" s="80"/>
      <c r="K1971" s="80"/>
      <c r="L1971" s="2"/>
      <c r="M1971" s="2"/>
      <c r="N1971" s="2"/>
      <c r="O1971" s="2"/>
      <c r="P1971" s="2"/>
      <c r="Q1971" s="2"/>
      <c r="R1971" s="80"/>
      <c r="S1971" s="80"/>
      <c r="T1971" s="80"/>
      <c r="U1971" s="80"/>
      <c r="V1971" s="80"/>
      <c r="W1971" s="80"/>
      <c r="X1971" s="80"/>
      <c r="Y1971" s="80"/>
      <c r="Z1971" s="80"/>
      <c r="AA1971" s="80"/>
      <c r="AB1971" s="80"/>
      <c r="AC1971" s="80"/>
      <c r="AD1971" s="80"/>
      <c r="AE1971" s="80"/>
      <c r="AF1971" s="80"/>
      <c r="AG1971" s="80"/>
    </row>
    <row r="1972" spans="1:33" x14ac:dyDescent="0.2">
      <c r="A1972" s="2"/>
      <c r="B1972" s="80"/>
      <c r="C1972" s="80"/>
      <c r="D1972" s="80"/>
      <c r="E1972" s="80"/>
      <c r="F1972" s="80"/>
      <c r="G1972" s="80"/>
      <c r="H1972" s="80"/>
      <c r="I1972" s="80"/>
      <c r="J1972" s="80"/>
      <c r="K1972" s="80"/>
      <c r="L1972" s="2"/>
      <c r="M1972" s="2"/>
      <c r="N1972" s="2"/>
      <c r="O1972" s="2"/>
      <c r="P1972" s="2"/>
      <c r="Q1972" s="2"/>
      <c r="R1972" s="80"/>
      <c r="S1972" s="80"/>
      <c r="T1972" s="80"/>
      <c r="U1972" s="80"/>
      <c r="V1972" s="80"/>
      <c r="W1972" s="80"/>
      <c r="X1972" s="80"/>
      <c r="Y1972" s="80"/>
      <c r="Z1972" s="80"/>
      <c r="AA1972" s="80"/>
      <c r="AB1972" s="80"/>
      <c r="AC1972" s="80"/>
      <c r="AD1972" s="80"/>
      <c r="AE1972" s="80"/>
      <c r="AF1972" s="80"/>
      <c r="AG1972" s="80"/>
    </row>
    <row r="1973" spans="1:33" x14ac:dyDescent="0.2">
      <c r="A1973" s="2"/>
      <c r="B1973" s="80"/>
      <c r="C1973" s="80"/>
      <c r="D1973" s="80"/>
      <c r="E1973" s="80"/>
      <c r="F1973" s="80"/>
      <c r="G1973" s="80"/>
      <c r="H1973" s="80"/>
      <c r="I1973" s="80"/>
      <c r="J1973" s="80"/>
      <c r="K1973" s="80"/>
      <c r="L1973" s="2"/>
      <c r="M1973" s="2"/>
      <c r="N1973" s="2"/>
      <c r="O1973" s="2"/>
      <c r="P1973" s="2"/>
      <c r="Q1973" s="2"/>
      <c r="R1973" s="80"/>
      <c r="S1973" s="80"/>
      <c r="T1973" s="80"/>
      <c r="U1973" s="80"/>
      <c r="V1973" s="80"/>
      <c r="W1973" s="80"/>
      <c r="X1973" s="80"/>
      <c r="Y1973" s="80"/>
      <c r="Z1973" s="80"/>
      <c r="AA1973" s="80"/>
      <c r="AB1973" s="80"/>
      <c r="AC1973" s="80"/>
      <c r="AD1973" s="80"/>
      <c r="AE1973" s="80"/>
      <c r="AF1973" s="80"/>
      <c r="AG1973" s="80"/>
    </row>
    <row r="1974" spans="1:33" x14ac:dyDescent="0.2">
      <c r="A1974" s="2"/>
      <c r="B1974" s="80"/>
      <c r="C1974" s="80"/>
      <c r="D1974" s="80"/>
      <c r="E1974" s="80"/>
      <c r="F1974" s="80"/>
      <c r="G1974" s="80"/>
      <c r="H1974" s="80"/>
      <c r="I1974" s="80"/>
      <c r="J1974" s="80"/>
      <c r="K1974" s="80"/>
      <c r="L1974" s="2"/>
      <c r="M1974" s="2"/>
      <c r="N1974" s="2"/>
      <c r="O1974" s="2"/>
      <c r="P1974" s="2"/>
      <c r="Q1974" s="2"/>
      <c r="R1974" s="80"/>
      <c r="S1974" s="80"/>
      <c r="T1974" s="80"/>
      <c r="U1974" s="80"/>
      <c r="V1974" s="80"/>
      <c r="W1974" s="80"/>
      <c r="X1974" s="80"/>
      <c r="Y1974" s="80"/>
      <c r="Z1974" s="80"/>
      <c r="AA1974" s="80"/>
      <c r="AB1974" s="80"/>
      <c r="AC1974" s="80"/>
      <c r="AD1974" s="80"/>
      <c r="AE1974" s="80"/>
      <c r="AF1974" s="80"/>
      <c r="AG1974" s="80"/>
    </row>
    <row r="1975" spans="1:33" x14ac:dyDescent="0.2">
      <c r="A1975" s="2"/>
      <c r="B1975" s="80"/>
      <c r="C1975" s="80"/>
      <c r="D1975" s="80"/>
      <c r="E1975" s="80"/>
      <c r="F1975" s="80"/>
      <c r="G1975" s="80"/>
      <c r="H1975" s="80"/>
      <c r="I1975" s="80"/>
      <c r="J1975" s="80"/>
      <c r="K1975" s="80"/>
      <c r="L1975" s="2"/>
      <c r="M1975" s="2"/>
      <c r="N1975" s="2"/>
      <c r="O1975" s="2"/>
      <c r="P1975" s="2"/>
      <c r="Q1975" s="2"/>
      <c r="R1975" s="80"/>
      <c r="S1975" s="80"/>
      <c r="T1975" s="80"/>
      <c r="U1975" s="80"/>
      <c r="V1975" s="80"/>
      <c r="W1975" s="80"/>
      <c r="X1975" s="80"/>
      <c r="Y1975" s="80"/>
      <c r="Z1975" s="80"/>
      <c r="AA1975" s="80"/>
      <c r="AB1975" s="80"/>
      <c r="AC1975" s="80"/>
      <c r="AD1975" s="80"/>
      <c r="AE1975" s="80"/>
      <c r="AF1975" s="80"/>
      <c r="AG1975" s="80"/>
    </row>
    <row r="1976" spans="1:33" x14ac:dyDescent="0.2">
      <c r="A1976" s="2"/>
      <c r="B1976" s="80"/>
      <c r="C1976" s="80"/>
      <c r="D1976" s="80"/>
      <c r="E1976" s="80"/>
      <c r="F1976" s="80"/>
      <c r="G1976" s="80"/>
      <c r="H1976" s="80"/>
      <c r="I1976" s="80"/>
      <c r="J1976" s="80"/>
      <c r="K1976" s="80"/>
      <c r="L1976" s="2"/>
      <c r="M1976" s="2"/>
      <c r="N1976" s="2"/>
      <c r="O1976" s="2"/>
      <c r="P1976" s="2"/>
      <c r="Q1976" s="2"/>
      <c r="R1976" s="80"/>
      <c r="S1976" s="80"/>
      <c r="T1976" s="80"/>
      <c r="U1976" s="80"/>
      <c r="V1976" s="80"/>
      <c r="W1976" s="80"/>
      <c r="X1976" s="80"/>
      <c r="Y1976" s="80"/>
      <c r="Z1976" s="80"/>
      <c r="AA1976" s="80"/>
      <c r="AB1976" s="80"/>
      <c r="AC1976" s="80"/>
      <c r="AD1976" s="80"/>
      <c r="AE1976" s="80"/>
      <c r="AF1976" s="80"/>
      <c r="AG1976" s="80"/>
    </row>
    <row r="1977" spans="1:33" x14ac:dyDescent="0.2">
      <c r="A1977" s="2"/>
      <c r="B1977" s="80"/>
      <c r="C1977" s="80"/>
      <c r="D1977" s="80"/>
      <c r="E1977" s="80"/>
      <c r="F1977" s="80"/>
      <c r="G1977" s="80"/>
      <c r="H1977" s="80"/>
      <c r="I1977" s="80"/>
      <c r="J1977" s="80"/>
      <c r="K1977" s="80"/>
      <c r="L1977" s="2"/>
      <c r="M1977" s="2"/>
      <c r="N1977" s="2"/>
      <c r="O1977" s="2"/>
      <c r="P1977" s="2"/>
      <c r="Q1977" s="2"/>
      <c r="R1977" s="80"/>
      <c r="S1977" s="80"/>
      <c r="T1977" s="80"/>
      <c r="U1977" s="80"/>
      <c r="V1977" s="80"/>
      <c r="W1977" s="80"/>
      <c r="X1977" s="80"/>
      <c r="Y1977" s="80"/>
      <c r="Z1977" s="80"/>
      <c r="AA1977" s="80"/>
      <c r="AB1977" s="80"/>
      <c r="AC1977" s="80"/>
      <c r="AD1977" s="80"/>
      <c r="AE1977" s="80"/>
      <c r="AF1977" s="80"/>
      <c r="AG1977" s="80"/>
    </row>
    <row r="1978" spans="1:33" x14ac:dyDescent="0.2">
      <c r="A1978" s="2"/>
      <c r="B1978" s="80"/>
      <c r="C1978" s="80"/>
      <c r="D1978" s="80"/>
      <c r="E1978" s="80"/>
      <c r="F1978" s="80"/>
      <c r="G1978" s="80"/>
      <c r="H1978" s="80"/>
      <c r="I1978" s="80"/>
      <c r="J1978" s="80"/>
      <c r="K1978" s="80"/>
      <c r="L1978" s="2"/>
      <c r="M1978" s="2"/>
      <c r="N1978" s="2"/>
      <c r="O1978" s="2"/>
      <c r="P1978" s="2"/>
      <c r="Q1978" s="2"/>
      <c r="R1978" s="80"/>
      <c r="S1978" s="80"/>
      <c r="T1978" s="80"/>
      <c r="U1978" s="80"/>
      <c r="V1978" s="80"/>
      <c r="W1978" s="80"/>
      <c r="X1978" s="80"/>
      <c r="Y1978" s="80"/>
      <c r="Z1978" s="80"/>
      <c r="AA1978" s="80"/>
      <c r="AB1978" s="80"/>
      <c r="AC1978" s="80"/>
      <c r="AD1978" s="80"/>
      <c r="AE1978" s="80"/>
      <c r="AF1978" s="80"/>
      <c r="AG1978" s="80"/>
    </row>
    <row r="1979" spans="1:33" x14ac:dyDescent="0.2">
      <c r="A1979" s="2"/>
      <c r="B1979" s="80"/>
      <c r="C1979" s="80"/>
      <c r="D1979" s="80"/>
      <c r="E1979" s="80"/>
      <c r="F1979" s="80"/>
      <c r="G1979" s="80"/>
      <c r="H1979" s="80"/>
      <c r="I1979" s="80"/>
      <c r="J1979" s="80"/>
      <c r="K1979" s="80"/>
      <c r="L1979" s="2"/>
      <c r="M1979" s="2"/>
      <c r="N1979" s="2"/>
      <c r="O1979" s="2"/>
      <c r="P1979" s="2"/>
      <c r="Q1979" s="2"/>
      <c r="R1979" s="80"/>
      <c r="S1979" s="80"/>
      <c r="T1979" s="80"/>
      <c r="U1979" s="80"/>
      <c r="V1979" s="80"/>
      <c r="W1979" s="80"/>
      <c r="X1979" s="80"/>
      <c r="Y1979" s="80"/>
      <c r="Z1979" s="80"/>
      <c r="AA1979" s="80"/>
      <c r="AB1979" s="80"/>
      <c r="AC1979" s="80"/>
      <c r="AD1979" s="80"/>
      <c r="AE1979" s="80"/>
      <c r="AF1979" s="80"/>
      <c r="AG1979" s="80"/>
    </row>
    <row r="1980" spans="1:33" x14ac:dyDescent="0.2">
      <c r="A1980" s="2"/>
      <c r="B1980" s="80"/>
      <c r="C1980" s="80"/>
      <c r="D1980" s="80"/>
      <c r="E1980" s="80"/>
      <c r="F1980" s="80"/>
      <c r="G1980" s="80"/>
      <c r="H1980" s="80"/>
      <c r="I1980" s="80"/>
      <c r="J1980" s="80"/>
      <c r="K1980" s="80"/>
      <c r="L1980" s="2"/>
      <c r="M1980" s="2"/>
      <c r="N1980" s="2"/>
      <c r="O1980" s="2"/>
      <c r="P1980" s="2"/>
      <c r="Q1980" s="2"/>
      <c r="R1980" s="80"/>
      <c r="S1980" s="80"/>
      <c r="T1980" s="80"/>
      <c r="U1980" s="80"/>
      <c r="V1980" s="80"/>
      <c r="W1980" s="80"/>
      <c r="X1980" s="80"/>
      <c r="Y1980" s="80"/>
      <c r="Z1980" s="80"/>
      <c r="AA1980" s="80"/>
      <c r="AB1980" s="80"/>
      <c r="AC1980" s="80"/>
      <c r="AD1980" s="80"/>
      <c r="AE1980" s="80"/>
      <c r="AF1980" s="80"/>
      <c r="AG1980" s="80"/>
    </row>
    <row r="1981" spans="1:33" x14ac:dyDescent="0.2">
      <c r="A1981" s="2"/>
      <c r="B1981" s="80"/>
      <c r="C1981" s="80"/>
      <c r="D1981" s="80"/>
      <c r="E1981" s="80"/>
      <c r="F1981" s="80"/>
      <c r="G1981" s="80"/>
      <c r="H1981" s="80"/>
      <c r="I1981" s="80"/>
      <c r="J1981" s="80"/>
      <c r="K1981" s="80"/>
      <c r="L1981" s="2"/>
      <c r="M1981" s="2"/>
      <c r="N1981" s="2"/>
      <c r="O1981" s="2"/>
      <c r="P1981" s="2"/>
      <c r="Q1981" s="2"/>
      <c r="R1981" s="80"/>
      <c r="S1981" s="80"/>
      <c r="T1981" s="80"/>
      <c r="U1981" s="80"/>
      <c r="V1981" s="80"/>
      <c r="W1981" s="80"/>
      <c r="X1981" s="80"/>
      <c r="Y1981" s="80"/>
      <c r="Z1981" s="80"/>
      <c r="AA1981" s="80"/>
      <c r="AB1981" s="80"/>
      <c r="AC1981" s="80"/>
      <c r="AD1981" s="80"/>
      <c r="AE1981" s="80"/>
      <c r="AF1981" s="80"/>
      <c r="AG1981" s="80"/>
    </row>
    <row r="1982" spans="1:33" x14ac:dyDescent="0.2">
      <c r="A1982" s="2"/>
      <c r="B1982" s="80"/>
      <c r="C1982" s="80"/>
      <c r="D1982" s="80"/>
      <c r="E1982" s="80"/>
      <c r="F1982" s="80"/>
      <c r="G1982" s="80"/>
      <c r="H1982" s="80"/>
      <c r="I1982" s="80"/>
      <c r="J1982" s="80"/>
      <c r="K1982" s="80"/>
      <c r="L1982" s="2"/>
      <c r="M1982" s="2"/>
      <c r="N1982" s="2"/>
      <c r="O1982" s="2"/>
      <c r="P1982" s="2"/>
      <c r="Q1982" s="2"/>
      <c r="R1982" s="80"/>
      <c r="S1982" s="80"/>
      <c r="T1982" s="80"/>
      <c r="U1982" s="80"/>
      <c r="V1982" s="80"/>
      <c r="W1982" s="80"/>
      <c r="X1982" s="80"/>
      <c r="Y1982" s="80"/>
      <c r="Z1982" s="80"/>
      <c r="AA1982" s="80"/>
      <c r="AB1982" s="80"/>
      <c r="AC1982" s="80"/>
      <c r="AD1982" s="80"/>
      <c r="AE1982" s="80"/>
      <c r="AF1982" s="80"/>
      <c r="AG1982" s="80"/>
    </row>
    <row r="1983" spans="1:33" x14ac:dyDescent="0.2">
      <c r="A1983" s="2"/>
      <c r="B1983" s="80"/>
      <c r="C1983" s="80"/>
      <c r="D1983" s="80"/>
      <c r="E1983" s="80"/>
      <c r="F1983" s="80"/>
      <c r="G1983" s="80"/>
      <c r="H1983" s="80"/>
      <c r="I1983" s="80"/>
      <c r="J1983" s="80"/>
      <c r="K1983" s="80"/>
      <c r="L1983" s="2"/>
      <c r="M1983" s="2"/>
      <c r="N1983" s="2"/>
      <c r="O1983" s="2"/>
      <c r="P1983" s="2"/>
      <c r="Q1983" s="2"/>
      <c r="R1983" s="80"/>
      <c r="S1983" s="80"/>
      <c r="T1983" s="80"/>
      <c r="U1983" s="80"/>
      <c r="V1983" s="80"/>
      <c r="W1983" s="80"/>
      <c r="X1983" s="80"/>
      <c r="Y1983" s="80"/>
      <c r="Z1983" s="80"/>
      <c r="AA1983" s="80"/>
      <c r="AB1983" s="80"/>
      <c r="AC1983" s="80"/>
      <c r="AD1983" s="80"/>
      <c r="AE1983" s="80"/>
      <c r="AF1983" s="80"/>
      <c r="AG1983" s="80"/>
    </row>
    <row r="1984" spans="1:33" x14ac:dyDescent="0.2">
      <c r="A1984" s="2"/>
      <c r="B1984" s="80"/>
      <c r="C1984" s="80"/>
      <c r="D1984" s="80"/>
      <c r="E1984" s="80"/>
      <c r="F1984" s="80"/>
      <c r="G1984" s="80"/>
      <c r="H1984" s="80"/>
      <c r="I1984" s="80"/>
      <c r="J1984" s="80"/>
      <c r="K1984" s="80"/>
      <c r="L1984" s="2"/>
      <c r="M1984" s="2"/>
      <c r="N1984" s="2"/>
      <c r="O1984" s="2"/>
      <c r="P1984" s="2"/>
      <c r="Q1984" s="2"/>
      <c r="R1984" s="80"/>
      <c r="S1984" s="80"/>
      <c r="T1984" s="80"/>
      <c r="U1984" s="80"/>
      <c r="V1984" s="80"/>
      <c r="W1984" s="80"/>
      <c r="X1984" s="80"/>
      <c r="Y1984" s="80"/>
      <c r="Z1984" s="80"/>
      <c r="AA1984" s="80"/>
      <c r="AB1984" s="80"/>
      <c r="AC1984" s="80"/>
      <c r="AD1984" s="80"/>
      <c r="AE1984" s="80"/>
      <c r="AF1984" s="80"/>
      <c r="AG1984" s="80"/>
    </row>
    <row r="1985" spans="1:33" x14ac:dyDescent="0.2">
      <c r="A1985" s="2"/>
      <c r="B1985" s="80"/>
      <c r="C1985" s="80"/>
      <c r="D1985" s="80"/>
      <c r="E1985" s="80"/>
      <c r="F1985" s="80"/>
      <c r="G1985" s="80"/>
      <c r="H1985" s="80"/>
      <c r="I1985" s="80"/>
      <c r="J1985" s="80"/>
      <c r="K1985" s="80"/>
      <c r="L1985" s="2"/>
      <c r="M1985" s="2"/>
      <c r="N1985" s="2"/>
      <c r="O1985" s="2"/>
      <c r="P1985" s="2"/>
      <c r="Q1985" s="2"/>
      <c r="R1985" s="80"/>
      <c r="S1985" s="80"/>
      <c r="T1985" s="80"/>
      <c r="U1985" s="80"/>
      <c r="V1985" s="80"/>
      <c r="W1985" s="80"/>
      <c r="X1985" s="80"/>
      <c r="Y1985" s="80"/>
      <c r="Z1985" s="80"/>
      <c r="AA1985" s="80"/>
      <c r="AB1985" s="80"/>
      <c r="AC1985" s="80"/>
      <c r="AD1985" s="80"/>
      <c r="AE1985" s="80"/>
      <c r="AF1985" s="80"/>
      <c r="AG1985" s="80"/>
    </row>
    <row r="1986" spans="1:33" x14ac:dyDescent="0.2">
      <c r="A1986" s="2"/>
      <c r="B1986" s="80"/>
      <c r="C1986" s="80"/>
      <c r="D1986" s="80"/>
      <c r="E1986" s="80"/>
      <c r="F1986" s="80"/>
      <c r="G1986" s="80"/>
      <c r="H1986" s="80"/>
      <c r="I1986" s="80"/>
      <c r="J1986" s="80"/>
      <c r="K1986" s="80"/>
      <c r="L1986" s="2"/>
      <c r="M1986" s="2"/>
      <c r="N1986" s="2"/>
      <c r="O1986" s="2"/>
      <c r="P1986" s="2"/>
      <c r="Q1986" s="2"/>
      <c r="R1986" s="80"/>
      <c r="S1986" s="80"/>
      <c r="T1986" s="80"/>
      <c r="U1986" s="80"/>
      <c r="V1986" s="80"/>
      <c r="W1986" s="80"/>
      <c r="X1986" s="80"/>
      <c r="Y1986" s="80"/>
      <c r="Z1986" s="80"/>
      <c r="AA1986" s="80"/>
      <c r="AB1986" s="80"/>
      <c r="AC1986" s="80"/>
      <c r="AD1986" s="80"/>
      <c r="AE1986" s="80"/>
      <c r="AF1986" s="80"/>
      <c r="AG1986" s="80"/>
    </row>
    <row r="1987" spans="1:33" x14ac:dyDescent="0.2">
      <c r="A1987" s="2"/>
      <c r="B1987" s="80"/>
      <c r="C1987" s="80"/>
      <c r="D1987" s="80"/>
      <c r="E1987" s="80"/>
      <c r="F1987" s="80"/>
      <c r="G1987" s="80"/>
      <c r="H1987" s="80"/>
      <c r="I1987" s="80"/>
      <c r="J1987" s="80"/>
      <c r="K1987" s="80"/>
      <c r="L1987" s="2"/>
      <c r="M1987" s="2"/>
      <c r="N1987" s="2"/>
      <c r="O1987" s="2"/>
      <c r="P1987" s="2"/>
      <c r="Q1987" s="2"/>
      <c r="R1987" s="80"/>
      <c r="S1987" s="80"/>
      <c r="T1987" s="80"/>
      <c r="U1987" s="80"/>
      <c r="V1987" s="80"/>
      <c r="W1987" s="80"/>
      <c r="X1987" s="80"/>
      <c r="Y1987" s="80"/>
      <c r="Z1987" s="80"/>
      <c r="AA1987" s="80"/>
      <c r="AB1987" s="80"/>
      <c r="AC1987" s="80"/>
      <c r="AD1987" s="80"/>
      <c r="AE1987" s="80"/>
      <c r="AF1987" s="80"/>
      <c r="AG1987" s="80"/>
    </row>
    <row r="1988" spans="1:33" x14ac:dyDescent="0.2">
      <c r="A1988" s="2"/>
      <c r="B1988" s="80"/>
      <c r="C1988" s="80"/>
      <c r="D1988" s="80"/>
      <c r="E1988" s="80"/>
      <c r="F1988" s="80"/>
      <c r="G1988" s="80"/>
      <c r="H1988" s="80"/>
      <c r="I1988" s="80"/>
      <c r="J1988" s="80"/>
      <c r="K1988" s="80"/>
      <c r="L1988" s="2"/>
      <c r="M1988" s="2"/>
      <c r="N1988" s="2"/>
      <c r="O1988" s="2"/>
      <c r="P1988" s="2"/>
      <c r="Q1988" s="2"/>
      <c r="R1988" s="80"/>
      <c r="S1988" s="80"/>
      <c r="T1988" s="80"/>
      <c r="U1988" s="80"/>
      <c r="V1988" s="80"/>
      <c r="W1988" s="80"/>
      <c r="X1988" s="80"/>
      <c r="Y1988" s="80"/>
      <c r="Z1988" s="80"/>
      <c r="AA1988" s="80"/>
      <c r="AB1988" s="80"/>
      <c r="AC1988" s="80"/>
      <c r="AD1988" s="80"/>
      <c r="AE1988" s="80"/>
      <c r="AF1988" s="80"/>
      <c r="AG1988" s="80"/>
    </row>
    <row r="1989" spans="1:33" x14ac:dyDescent="0.2">
      <c r="A1989" s="2"/>
      <c r="B1989" s="80"/>
      <c r="C1989" s="80"/>
      <c r="D1989" s="80"/>
      <c r="E1989" s="80"/>
      <c r="F1989" s="80"/>
      <c r="G1989" s="80"/>
      <c r="H1989" s="80"/>
      <c r="I1989" s="80"/>
      <c r="J1989" s="80"/>
      <c r="K1989" s="80"/>
      <c r="L1989" s="2"/>
      <c r="M1989" s="2"/>
      <c r="N1989" s="2"/>
      <c r="O1989" s="2"/>
      <c r="P1989" s="2"/>
      <c r="Q1989" s="2"/>
      <c r="R1989" s="80"/>
      <c r="S1989" s="80"/>
      <c r="T1989" s="80"/>
      <c r="U1989" s="80"/>
      <c r="V1989" s="80"/>
      <c r="W1989" s="80"/>
      <c r="X1989" s="80"/>
      <c r="Y1989" s="80"/>
      <c r="Z1989" s="80"/>
      <c r="AA1989" s="80"/>
      <c r="AB1989" s="80"/>
      <c r="AC1989" s="80"/>
      <c r="AD1989" s="80"/>
      <c r="AE1989" s="80"/>
      <c r="AF1989" s="80"/>
      <c r="AG1989" s="80"/>
    </row>
    <row r="1990" spans="1:33" x14ac:dyDescent="0.2">
      <c r="A1990" s="2"/>
      <c r="B1990" s="80"/>
      <c r="C1990" s="80"/>
      <c r="D1990" s="80"/>
      <c r="E1990" s="80"/>
      <c r="F1990" s="80"/>
      <c r="G1990" s="80"/>
      <c r="H1990" s="80"/>
      <c r="I1990" s="80"/>
      <c r="J1990" s="80"/>
      <c r="K1990" s="80"/>
      <c r="L1990" s="2"/>
      <c r="M1990" s="2"/>
      <c r="N1990" s="2"/>
      <c r="O1990" s="2"/>
      <c r="P1990" s="2"/>
      <c r="Q1990" s="2"/>
      <c r="R1990" s="80"/>
      <c r="S1990" s="80"/>
      <c r="T1990" s="80"/>
      <c r="U1990" s="80"/>
      <c r="V1990" s="80"/>
      <c r="W1990" s="80"/>
      <c r="X1990" s="80"/>
      <c r="Y1990" s="80"/>
      <c r="Z1990" s="80"/>
      <c r="AA1990" s="80"/>
      <c r="AB1990" s="80"/>
      <c r="AC1990" s="80"/>
      <c r="AD1990" s="80"/>
      <c r="AE1990" s="80"/>
      <c r="AF1990" s="80"/>
      <c r="AG1990" s="80"/>
    </row>
    <row r="1991" spans="1:33" x14ac:dyDescent="0.2">
      <c r="A1991" s="2"/>
      <c r="B1991" s="80"/>
      <c r="C1991" s="80"/>
      <c r="D1991" s="80"/>
      <c r="E1991" s="80"/>
      <c r="F1991" s="80"/>
      <c r="G1991" s="80"/>
      <c r="H1991" s="80"/>
      <c r="I1991" s="80"/>
      <c r="J1991" s="80"/>
      <c r="K1991" s="80"/>
      <c r="L1991" s="2"/>
      <c r="M1991" s="2"/>
      <c r="N1991" s="2"/>
      <c r="O1991" s="2"/>
      <c r="P1991" s="2"/>
      <c r="Q1991" s="2"/>
      <c r="R1991" s="80"/>
      <c r="S1991" s="80"/>
      <c r="T1991" s="80"/>
      <c r="U1991" s="80"/>
      <c r="V1991" s="80"/>
      <c r="W1991" s="80"/>
      <c r="X1991" s="80"/>
      <c r="Y1991" s="80"/>
      <c r="Z1991" s="80"/>
      <c r="AA1991" s="80"/>
      <c r="AB1991" s="80"/>
      <c r="AC1991" s="80"/>
      <c r="AD1991" s="80"/>
      <c r="AE1991" s="80"/>
      <c r="AF1991" s="80"/>
      <c r="AG1991" s="80"/>
    </row>
    <row r="1992" spans="1:33" x14ac:dyDescent="0.2">
      <c r="A1992" s="2"/>
      <c r="B1992" s="80"/>
      <c r="C1992" s="80"/>
      <c r="D1992" s="80"/>
      <c r="E1992" s="80"/>
      <c r="F1992" s="80"/>
      <c r="G1992" s="80"/>
      <c r="H1992" s="80"/>
      <c r="I1992" s="80"/>
      <c r="J1992" s="80"/>
      <c r="K1992" s="80"/>
      <c r="L1992" s="2"/>
      <c r="M1992" s="2"/>
      <c r="N1992" s="2"/>
      <c r="O1992" s="2"/>
      <c r="P1992" s="2"/>
      <c r="Q1992" s="2"/>
      <c r="R1992" s="80"/>
      <c r="S1992" s="80"/>
      <c r="T1992" s="80"/>
      <c r="U1992" s="80"/>
      <c r="V1992" s="80"/>
      <c r="W1992" s="80"/>
      <c r="X1992" s="80"/>
      <c r="Y1992" s="80"/>
      <c r="Z1992" s="80"/>
      <c r="AA1992" s="80"/>
      <c r="AB1992" s="80"/>
      <c r="AC1992" s="80"/>
      <c r="AD1992" s="80"/>
      <c r="AE1992" s="80"/>
      <c r="AF1992" s="80"/>
      <c r="AG1992" s="80"/>
    </row>
    <row r="1993" spans="1:33" x14ac:dyDescent="0.2">
      <c r="A1993" s="2"/>
      <c r="B1993" s="80"/>
      <c r="C1993" s="80"/>
      <c r="D1993" s="80"/>
      <c r="E1993" s="80"/>
      <c r="F1993" s="80"/>
      <c r="G1993" s="80"/>
      <c r="H1993" s="80"/>
      <c r="I1993" s="80"/>
      <c r="J1993" s="80"/>
      <c r="K1993" s="80"/>
      <c r="L1993" s="2"/>
      <c r="M1993" s="2"/>
      <c r="N1993" s="2"/>
      <c r="O1993" s="2"/>
      <c r="P1993" s="2"/>
      <c r="Q1993" s="2"/>
      <c r="R1993" s="80"/>
      <c r="S1993" s="80"/>
      <c r="T1993" s="80"/>
      <c r="U1993" s="80"/>
      <c r="V1993" s="80"/>
      <c r="W1993" s="80"/>
      <c r="X1993" s="80"/>
      <c r="Y1993" s="80"/>
      <c r="Z1993" s="80"/>
      <c r="AA1993" s="80"/>
      <c r="AB1993" s="80"/>
      <c r="AC1993" s="80"/>
      <c r="AD1993" s="80"/>
      <c r="AE1993" s="80"/>
      <c r="AF1993" s="80"/>
      <c r="AG1993" s="80"/>
    </row>
    <row r="1994" spans="1:33" x14ac:dyDescent="0.2">
      <c r="A1994" s="2"/>
      <c r="B1994" s="80"/>
      <c r="C1994" s="80"/>
      <c r="D1994" s="80"/>
      <c r="E1994" s="80"/>
      <c r="F1994" s="80"/>
      <c r="G1994" s="80"/>
      <c r="H1994" s="80"/>
      <c r="I1994" s="80"/>
      <c r="J1994" s="80"/>
      <c r="K1994" s="80"/>
      <c r="L1994" s="2"/>
      <c r="M1994" s="2"/>
      <c r="N1994" s="2"/>
      <c r="O1994" s="2"/>
      <c r="P1994" s="2"/>
      <c r="Q1994" s="2"/>
      <c r="R1994" s="80"/>
      <c r="S1994" s="80"/>
      <c r="T1994" s="80"/>
      <c r="U1994" s="80"/>
      <c r="V1994" s="80"/>
      <c r="W1994" s="80"/>
      <c r="X1994" s="80"/>
      <c r="Y1994" s="80"/>
      <c r="Z1994" s="80"/>
      <c r="AA1994" s="80"/>
      <c r="AB1994" s="80"/>
      <c r="AC1994" s="80"/>
      <c r="AD1994" s="80"/>
      <c r="AE1994" s="80"/>
      <c r="AF1994" s="80"/>
      <c r="AG1994" s="80"/>
    </row>
    <row r="1995" spans="1:33" x14ac:dyDescent="0.2">
      <c r="A1995" s="2"/>
      <c r="B1995" s="80"/>
      <c r="C1995" s="80"/>
      <c r="D1995" s="80"/>
      <c r="E1995" s="80"/>
      <c r="F1995" s="80"/>
      <c r="G1995" s="80"/>
      <c r="H1995" s="80"/>
      <c r="I1995" s="80"/>
      <c r="J1995" s="80"/>
      <c r="K1995" s="80"/>
      <c r="L1995" s="2"/>
      <c r="M1995" s="2"/>
      <c r="N1995" s="2"/>
      <c r="O1995" s="2"/>
      <c r="P1995" s="2"/>
      <c r="Q1995" s="2"/>
      <c r="R1995" s="80"/>
      <c r="S1995" s="80"/>
      <c r="T1995" s="80"/>
      <c r="U1995" s="80"/>
      <c r="V1995" s="80"/>
      <c r="W1995" s="80"/>
      <c r="X1995" s="80"/>
      <c r="Y1995" s="80"/>
      <c r="Z1995" s="80"/>
      <c r="AA1995" s="80"/>
      <c r="AB1995" s="80"/>
      <c r="AC1995" s="80"/>
      <c r="AD1995" s="80"/>
      <c r="AE1995" s="80"/>
      <c r="AF1995" s="80"/>
      <c r="AG1995" s="80"/>
    </row>
    <row r="1996" spans="1:33" x14ac:dyDescent="0.2">
      <c r="A1996" s="2"/>
      <c r="B1996" s="80"/>
      <c r="C1996" s="80"/>
      <c r="D1996" s="80"/>
      <c r="E1996" s="80"/>
      <c r="F1996" s="80"/>
      <c r="G1996" s="80"/>
      <c r="H1996" s="80"/>
      <c r="I1996" s="80"/>
      <c r="J1996" s="80"/>
      <c r="K1996" s="80"/>
      <c r="L1996" s="2"/>
      <c r="M1996" s="2"/>
      <c r="N1996" s="2"/>
      <c r="O1996" s="2"/>
      <c r="P1996" s="2"/>
      <c r="Q1996" s="2"/>
      <c r="R1996" s="80"/>
      <c r="S1996" s="80"/>
      <c r="T1996" s="80"/>
      <c r="U1996" s="80"/>
      <c r="V1996" s="80"/>
      <c r="W1996" s="80"/>
      <c r="X1996" s="80"/>
      <c r="Y1996" s="80"/>
      <c r="Z1996" s="80"/>
      <c r="AA1996" s="80"/>
      <c r="AB1996" s="80"/>
      <c r="AC1996" s="80"/>
      <c r="AD1996" s="80"/>
      <c r="AE1996" s="80"/>
      <c r="AF1996" s="80"/>
      <c r="AG1996" s="80"/>
    </row>
    <row r="1997" spans="1:33" x14ac:dyDescent="0.2">
      <c r="A1997" s="2"/>
      <c r="B1997" s="80"/>
      <c r="C1997" s="80"/>
      <c r="D1997" s="80"/>
      <c r="E1997" s="80"/>
      <c r="F1997" s="80"/>
      <c r="G1997" s="80"/>
      <c r="H1997" s="80"/>
      <c r="I1997" s="80"/>
      <c r="J1997" s="80"/>
      <c r="K1997" s="80"/>
      <c r="L1997" s="2"/>
      <c r="M1997" s="2"/>
      <c r="N1997" s="2"/>
      <c r="O1997" s="2"/>
      <c r="P1997" s="2"/>
      <c r="Q1997" s="2"/>
      <c r="R1997" s="80"/>
      <c r="S1997" s="80"/>
      <c r="T1997" s="80"/>
      <c r="U1997" s="80"/>
      <c r="V1997" s="80"/>
      <c r="W1997" s="80"/>
      <c r="X1997" s="80"/>
      <c r="Y1997" s="80"/>
      <c r="Z1997" s="80"/>
      <c r="AA1997" s="80"/>
      <c r="AB1997" s="80"/>
      <c r="AC1997" s="80"/>
      <c r="AD1997" s="80"/>
      <c r="AE1997" s="80"/>
      <c r="AF1997" s="80"/>
      <c r="AG1997" s="80"/>
    </row>
    <row r="1998" spans="1:33" x14ac:dyDescent="0.2">
      <c r="A1998" s="2"/>
      <c r="B1998" s="80"/>
      <c r="C1998" s="80"/>
      <c r="D1998" s="80"/>
      <c r="E1998" s="80"/>
      <c r="F1998" s="80"/>
      <c r="G1998" s="80"/>
      <c r="H1998" s="80"/>
      <c r="I1998" s="80"/>
      <c r="J1998" s="80"/>
      <c r="K1998" s="80"/>
      <c r="L1998" s="2"/>
      <c r="M1998" s="2"/>
      <c r="N1998" s="2"/>
      <c r="O1998" s="2"/>
      <c r="P1998" s="2"/>
      <c r="Q1998" s="2"/>
      <c r="R1998" s="80"/>
      <c r="S1998" s="80"/>
      <c r="T1998" s="80"/>
      <c r="U1998" s="80"/>
      <c r="V1998" s="80"/>
      <c r="W1998" s="80"/>
      <c r="X1998" s="80"/>
      <c r="Y1998" s="80"/>
      <c r="Z1998" s="80"/>
      <c r="AA1998" s="80"/>
      <c r="AB1998" s="80"/>
      <c r="AC1998" s="80"/>
      <c r="AD1998" s="80"/>
      <c r="AE1998" s="80"/>
      <c r="AF1998" s="80"/>
      <c r="AG1998" s="80"/>
    </row>
    <row r="1999" spans="1:33" x14ac:dyDescent="0.2">
      <c r="A1999" s="2"/>
      <c r="B1999" s="80"/>
      <c r="C1999" s="80"/>
      <c r="D1999" s="80"/>
      <c r="E1999" s="80"/>
      <c r="F1999" s="80"/>
      <c r="G1999" s="80"/>
      <c r="H1999" s="80"/>
      <c r="I1999" s="80"/>
      <c r="J1999" s="80"/>
      <c r="K1999" s="80"/>
      <c r="L1999" s="2"/>
      <c r="M1999" s="2"/>
      <c r="N1999" s="2"/>
      <c r="O1999" s="2"/>
      <c r="P1999" s="2"/>
      <c r="Q1999" s="2"/>
      <c r="R1999" s="80"/>
      <c r="S1999" s="80"/>
      <c r="T1999" s="80"/>
      <c r="U1999" s="80"/>
      <c r="V1999" s="80"/>
      <c r="W1999" s="80"/>
      <c r="X1999" s="80"/>
      <c r="Y1999" s="80"/>
      <c r="Z1999" s="80"/>
      <c r="AA1999" s="80"/>
      <c r="AB1999" s="80"/>
      <c r="AC1999" s="80"/>
      <c r="AD1999" s="80"/>
      <c r="AE1999" s="80"/>
      <c r="AF1999" s="80"/>
      <c r="AG1999" s="80"/>
    </row>
    <row r="2000" spans="1:33" x14ac:dyDescent="0.2">
      <c r="A2000" s="2"/>
      <c r="B2000" s="80"/>
      <c r="C2000" s="80"/>
      <c r="D2000" s="80"/>
      <c r="E2000" s="80"/>
      <c r="F2000" s="80"/>
      <c r="G2000" s="80"/>
      <c r="H2000" s="80"/>
      <c r="I2000" s="80"/>
      <c r="J2000" s="80"/>
      <c r="K2000" s="80"/>
      <c r="L2000" s="2"/>
      <c r="M2000" s="2"/>
      <c r="N2000" s="2"/>
      <c r="O2000" s="2"/>
      <c r="P2000" s="2"/>
      <c r="Q2000" s="2"/>
      <c r="R2000" s="80"/>
      <c r="S2000" s="80"/>
      <c r="T2000" s="80"/>
      <c r="U2000" s="80"/>
      <c r="V2000" s="80"/>
      <c r="W2000" s="80"/>
      <c r="X2000" s="80"/>
      <c r="Y2000" s="80"/>
      <c r="Z2000" s="80"/>
      <c r="AA2000" s="80"/>
      <c r="AB2000" s="80"/>
      <c r="AC2000" s="80"/>
      <c r="AD2000" s="80"/>
      <c r="AE2000" s="80"/>
      <c r="AF2000" s="80"/>
      <c r="AG2000" s="80"/>
    </row>
    <row r="2001" spans="1:33" x14ac:dyDescent="0.2">
      <c r="A2001" s="2"/>
      <c r="B2001" s="80"/>
      <c r="C2001" s="80"/>
      <c r="D2001" s="80"/>
      <c r="E2001" s="80"/>
      <c r="F2001" s="80"/>
      <c r="G2001" s="80"/>
      <c r="H2001" s="80"/>
      <c r="I2001" s="80"/>
      <c r="J2001" s="80"/>
      <c r="K2001" s="80"/>
      <c r="L2001" s="2"/>
      <c r="M2001" s="2"/>
      <c r="N2001" s="2"/>
      <c r="O2001" s="2"/>
      <c r="P2001" s="2"/>
      <c r="Q2001" s="2"/>
      <c r="R2001" s="80"/>
      <c r="S2001" s="80"/>
      <c r="T2001" s="80"/>
      <c r="U2001" s="80"/>
      <c r="V2001" s="80"/>
      <c r="W2001" s="80"/>
      <c r="X2001" s="80"/>
      <c r="Y2001" s="80"/>
      <c r="Z2001" s="80"/>
      <c r="AA2001" s="80"/>
      <c r="AB2001" s="80"/>
      <c r="AC2001" s="80"/>
      <c r="AD2001" s="80"/>
      <c r="AE2001" s="80"/>
      <c r="AF2001" s="80"/>
      <c r="AG2001" s="80"/>
    </row>
    <row r="2002" spans="1:33" x14ac:dyDescent="0.2">
      <c r="A2002" s="2"/>
      <c r="B2002" s="80"/>
      <c r="C2002" s="80"/>
      <c r="D2002" s="80"/>
      <c r="E2002" s="80"/>
      <c r="F2002" s="80"/>
      <c r="G2002" s="80"/>
      <c r="H2002" s="80"/>
      <c r="I2002" s="80"/>
      <c r="J2002" s="80"/>
      <c r="K2002" s="80"/>
      <c r="L2002" s="2"/>
      <c r="M2002" s="2"/>
      <c r="N2002" s="2"/>
      <c r="O2002" s="2"/>
      <c r="P2002" s="2"/>
      <c r="Q2002" s="2"/>
      <c r="R2002" s="80"/>
      <c r="S2002" s="80"/>
      <c r="T2002" s="80"/>
      <c r="U2002" s="80"/>
      <c r="V2002" s="80"/>
      <c r="W2002" s="80"/>
      <c r="X2002" s="80"/>
      <c r="Y2002" s="80"/>
      <c r="Z2002" s="80"/>
      <c r="AA2002" s="80"/>
      <c r="AB2002" s="80"/>
      <c r="AC2002" s="80"/>
      <c r="AD2002" s="80"/>
      <c r="AE2002" s="80"/>
      <c r="AF2002" s="80"/>
      <c r="AG2002" s="80"/>
    </row>
    <row r="2003" spans="1:33" x14ac:dyDescent="0.2">
      <c r="A2003" s="2"/>
      <c r="B2003" s="80"/>
      <c r="C2003" s="80"/>
      <c r="D2003" s="80"/>
      <c r="E2003" s="80"/>
      <c r="F2003" s="80"/>
      <c r="G2003" s="80"/>
      <c r="H2003" s="80"/>
      <c r="I2003" s="80"/>
      <c r="J2003" s="80"/>
      <c r="K2003" s="80"/>
      <c r="L2003" s="2"/>
      <c r="M2003" s="2"/>
      <c r="N2003" s="2"/>
      <c r="O2003" s="2"/>
      <c r="P2003" s="2"/>
      <c r="Q2003" s="2"/>
      <c r="R2003" s="80"/>
      <c r="S2003" s="80"/>
      <c r="T2003" s="80"/>
      <c r="U2003" s="80"/>
      <c r="V2003" s="80"/>
      <c r="W2003" s="80"/>
      <c r="X2003" s="80"/>
      <c r="Y2003" s="80"/>
      <c r="Z2003" s="80"/>
      <c r="AA2003" s="80"/>
      <c r="AB2003" s="80"/>
      <c r="AC2003" s="80"/>
      <c r="AD2003" s="80"/>
      <c r="AE2003" s="80"/>
      <c r="AF2003" s="80"/>
      <c r="AG2003" s="80"/>
    </row>
    <row r="2004" spans="1:33" x14ac:dyDescent="0.2">
      <c r="A2004" s="2"/>
      <c r="B2004" s="80"/>
      <c r="C2004" s="80"/>
      <c r="D2004" s="80"/>
      <c r="E2004" s="80"/>
      <c r="F2004" s="80"/>
      <c r="G2004" s="80"/>
      <c r="H2004" s="80"/>
      <c r="I2004" s="80"/>
      <c r="J2004" s="80"/>
      <c r="K2004" s="80"/>
      <c r="L2004" s="2"/>
      <c r="M2004" s="2"/>
      <c r="N2004" s="2"/>
      <c r="O2004" s="2"/>
      <c r="P2004" s="2"/>
      <c r="Q2004" s="2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E2004" s="80"/>
      <c r="AF2004" s="80"/>
      <c r="AG2004" s="80"/>
    </row>
    <row r="2005" spans="1:33" x14ac:dyDescent="0.2">
      <c r="A2005" s="2"/>
      <c r="B2005" s="80"/>
      <c r="C2005" s="80"/>
      <c r="D2005" s="80"/>
      <c r="E2005" s="80"/>
      <c r="F2005" s="80"/>
      <c r="G2005" s="80"/>
      <c r="H2005" s="80"/>
      <c r="I2005" s="80"/>
      <c r="J2005" s="80"/>
      <c r="K2005" s="80"/>
      <c r="L2005" s="2"/>
      <c r="M2005" s="2"/>
      <c r="N2005" s="2"/>
      <c r="O2005" s="2"/>
      <c r="P2005" s="2"/>
      <c r="Q2005" s="2"/>
      <c r="R2005" s="80"/>
      <c r="S2005" s="80"/>
      <c r="T2005" s="80"/>
      <c r="U2005" s="80"/>
      <c r="V2005" s="80"/>
      <c r="W2005" s="80"/>
      <c r="X2005" s="80"/>
      <c r="Y2005" s="80"/>
      <c r="Z2005" s="80"/>
      <c r="AA2005" s="80"/>
      <c r="AB2005" s="80"/>
      <c r="AC2005" s="80"/>
      <c r="AD2005" s="80"/>
      <c r="AE2005" s="80"/>
      <c r="AF2005" s="80"/>
      <c r="AG2005" s="80"/>
    </row>
    <row r="2006" spans="1:33" x14ac:dyDescent="0.2">
      <c r="A2006" s="2"/>
      <c r="B2006" s="80"/>
      <c r="C2006" s="80"/>
      <c r="D2006" s="80"/>
      <c r="E2006" s="80"/>
      <c r="F2006" s="80"/>
      <c r="G2006" s="80"/>
      <c r="H2006" s="80"/>
      <c r="I2006" s="80"/>
      <c r="J2006" s="80"/>
      <c r="K2006" s="80"/>
      <c r="L2006" s="2"/>
      <c r="M2006" s="2"/>
      <c r="N2006" s="2"/>
      <c r="O2006" s="2"/>
      <c r="P2006" s="2"/>
      <c r="Q2006" s="2"/>
      <c r="R2006" s="80"/>
      <c r="S2006" s="80"/>
      <c r="T2006" s="80"/>
      <c r="U2006" s="80"/>
      <c r="V2006" s="80"/>
      <c r="W2006" s="80"/>
      <c r="X2006" s="80"/>
      <c r="Y2006" s="80"/>
      <c r="Z2006" s="80"/>
      <c r="AA2006" s="80"/>
      <c r="AB2006" s="80"/>
      <c r="AC2006" s="80"/>
      <c r="AD2006" s="80"/>
      <c r="AE2006" s="80"/>
      <c r="AF2006" s="80"/>
      <c r="AG2006" s="80"/>
    </row>
    <row r="2007" spans="1:33" x14ac:dyDescent="0.2">
      <c r="A2007" s="2"/>
      <c r="B2007" s="80"/>
      <c r="C2007" s="80"/>
      <c r="D2007" s="80"/>
      <c r="E2007" s="80"/>
      <c r="F2007" s="80"/>
      <c r="G2007" s="80"/>
      <c r="H2007" s="80"/>
      <c r="I2007" s="80"/>
      <c r="J2007" s="80"/>
      <c r="K2007" s="80"/>
      <c r="L2007" s="2"/>
      <c r="M2007" s="2"/>
      <c r="N2007" s="2"/>
      <c r="O2007" s="2"/>
      <c r="P2007" s="2"/>
      <c r="Q2007" s="2"/>
      <c r="R2007" s="80"/>
      <c r="S2007" s="80"/>
      <c r="T2007" s="80"/>
      <c r="U2007" s="80"/>
      <c r="V2007" s="80"/>
      <c r="W2007" s="80"/>
      <c r="X2007" s="80"/>
      <c r="Y2007" s="80"/>
      <c r="Z2007" s="80"/>
      <c r="AA2007" s="80"/>
      <c r="AB2007" s="80"/>
      <c r="AC2007" s="80"/>
      <c r="AD2007" s="80"/>
      <c r="AE2007" s="80"/>
      <c r="AF2007" s="80"/>
      <c r="AG2007" s="80"/>
    </row>
    <row r="2008" spans="1:33" x14ac:dyDescent="0.2">
      <c r="A2008" s="2"/>
      <c r="B2008" s="80"/>
      <c r="C2008" s="80"/>
      <c r="D2008" s="80"/>
      <c r="E2008" s="80"/>
      <c r="F2008" s="80"/>
      <c r="G2008" s="80"/>
      <c r="H2008" s="80"/>
      <c r="I2008" s="80"/>
      <c r="J2008" s="80"/>
      <c r="K2008" s="80"/>
      <c r="L2008" s="2"/>
      <c r="M2008" s="2"/>
      <c r="N2008" s="2"/>
      <c r="O2008" s="2"/>
      <c r="P2008" s="2"/>
      <c r="Q2008" s="2"/>
      <c r="R2008" s="80"/>
      <c r="S2008" s="80"/>
      <c r="T2008" s="80"/>
      <c r="U2008" s="80"/>
      <c r="V2008" s="80"/>
      <c r="W2008" s="80"/>
      <c r="X2008" s="80"/>
      <c r="Y2008" s="80"/>
      <c r="Z2008" s="80"/>
      <c r="AA2008" s="80"/>
      <c r="AB2008" s="80"/>
      <c r="AC2008" s="80"/>
      <c r="AD2008" s="80"/>
      <c r="AE2008" s="80"/>
      <c r="AF2008" s="80"/>
      <c r="AG2008" s="80"/>
    </row>
    <row r="2009" spans="1:33" x14ac:dyDescent="0.2">
      <c r="A2009" s="2"/>
      <c r="B2009" s="80"/>
      <c r="C2009" s="80"/>
      <c r="D2009" s="80"/>
      <c r="E2009" s="80"/>
      <c r="F2009" s="80"/>
      <c r="G2009" s="80"/>
      <c r="H2009" s="80"/>
      <c r="I2009" s="80"/>
      <c r="J2009" s="80"/>
      <c r="K2009" s="80"/>
      <c r="L2009" s="2"/>
      <c r="M2009" s="2"/>
      <c r="N2009" s="2"/>
      <c r="O2009" s="2"/>
      <c r="P2009" s="2"/>
      <c r="Q2009" s="2"/>
      <c r="R2009" s="80"/>
      <c r="S2009" s="80"/>
      <c r="T2009" s="80"/>
      <c r="U2009" s="80"/>
      <c r="V2009" s="80"/>
      <c r="W2009" s="80"/>
      <c r="X2009" s="80"/>
      <c r="Y2009" s="80"/>
      <c r="Z2009" s="80"/>
      <c r="AA2009" s="80"/>
      <c r="AB2009" s="80"/>
      <c r="AC2009" s="80"/>
      <c r="AD2009" s="80"/>
      <c r="AE2009" s="80"/>
      <c r="AF2009" s="80"/>
      <c r="AG2009" s="80"/>
    </row>
    <row r="2010" spans="1:33" x14ac:dyDescent="0.2">
      <c r="A2010" s="2"/>
      <c r="B2010" s="80"/>
      <c r="C2010" s="80"/>
      <c r="D2010" s="80"/>
      <c r="E2010" s="80"/>
      <c r="F2010" s="80"/>
      <c r="G2010" s="80"/>
      <c r="H2010" s="80"/>
      <c r="I2010" s="80"/>
      <c r="J2010" s="80"/>
      <c r="K2010" s="80"/>
      <c r="L2010" s="2"/>
      <c r="M2010" s="2"/>
      <c r="N2010" s="2"/>
      <c r="O2010" s="2"/>
      <c r="P2010" s="2"/>
      <c r="Q2010" s="2"/>
      <c r="R2010" s="80"/>
      <c r="S2010" s="80"/>
      <c r="T2010" s="80"/>
      <c r="U2010" s="80"/>
      <c r="V2010" s="80"/>
      <c r="W2010" s="80"/>
      <c r="X2010" s="80"/>
      <c r="Y2010" s="80"/>
      <c r="Z2010" s="80"/>
      <c r="AA2010" s="80"/>
      <c r="AB2010" s="80"/>
      <c r="AC2010" s="80"/>
      <c r="AD2010" s="80"/>
      <c r="AE2010" s="80"/>
      <c r="AF2010" s="80"/>
      <c r="AG2010" s="80"/>
    </row>
    <row r="2011" spans="1:33" x14ac:dyDescent="0.2">
      <c r="A2011" s="2"/>
      <c r="B2011" s="80"/>
      <c r="C2011" s="80"/>
      <c r="D2011" s="80"/>
      <c r="E2011" s="80"/>
      <c r="F2011" s="80"/>
      <c r="G2011" s="80"/>
      <c r="H2011" s="80"/>
      <c r="I2011" s="80"/>
      <c r="J2011" s="80"/>
      <c r="K2011" s="80"/>
      <c r="L2011" s="2"/>
      <c r="M2011" s="2"/>
      <c r="N2011" s="2"/>
      <c r="O2011" s="2"/>
      <c r="P2011" s="2"/>
      <c r="Q2011" s="2"/>
      <c r="R2011" s="80"/>
      <c r="S2011" s="80"/>
      <c r="T2011" s="80"/>
      <c r="U2011" s="80"/>
      <c r="V2011" s="80"/>
      <c r="W2011" s="80"/>
      <c r="X2011" s="80"/>
      <c r="Y2011" s="80"/>
      <c r="Z2011" s="80"/>
      <c r="AA2011" s="80"/>
      <c r="AB2011" s="80"/>
      <c r="AC2011" s="80"/>
      <c r="AD2011" s="80"/>
      <c r="AE2011" s="80"/>
      <c r="AF2011" s="80"/>
      <c r="AG2011" s="80"/>
    </row>
    <row r="2012" spans="1:33" x14ac:dyDescent="0.2">
      <c r="A2012" s="2"/>
      <c r="B2012" s="80"/>
      <c r="C2012" s="80"/>
      <c r="D2012" s="80"/>
      <c r="E2012" s="80"/>
      <c r="F2012" s="80"/>
      <c r="G2012" s="80"/>
      <c r="H2012" s="80"/>
      <c r="I2012" s="80"/>
      <c r="J2012" s="80"/>
      <c r="K2012" s="80"/>
      <c r="L2012" s="2"/>
      <c r="M2012" s="2"/>
      <c r="N2012" s="2"/>
      <c r="O2012" s="2"/>
      <c r="P2012" s="2"/>
      <c r="Q2012" s="2"/>
      <c r="R2012" s="80"/>
      <c r="S2012" s="80"/>
      <c r="T2012" s="80"/>
      <c r="U2012" s="80"/>
      <c r="V2012" s="80"/>
      <c r="W2012" s="80"/>
      <c r="X2012" s="80"/>
      <c r="Y2012" s="80"/>
      <c r="Z2012" s="80"/>
      <c r="AA2012" s="80"/>
      <c r="AB2012" s="80"/>
      <c r="AC2012" s="80"/>
      <c r="AD2012" s="80"/>
      <c r="AE2012" s="80"/>
      <c r="AF2012" s="80"/>
      <c r="AG2012" s="80"/>
    </row>
    <row r="2013" spans="1:33" x14ac:dyDescent="0.2">
      <c r="A2013" s="2"/>
      <c r="B2013" s="80"/>
      <c r="C2013" s="80"/>
      <c r="D2013" s="80"/>
      <c r="E2013" s="80"/>
      <c r="F2013" s="80"/>
      <c r="G2013" s="80"/>
      <c r="H2013" s="80"/>
      <c r="I2013" s="80"/>
      <c r="J2013" s="80"/>
      <c r="K2013" s="80"/>
      <c r="L2013" s="2"/>
      <c r="M2013" s="2"/>
      <c r="N2013" s="2"/>
      <c r="O2013" s="2"/>
      <c r="P2013" s="2"/>
      <c r="Q2013" s="2"/>
      <c r="R2013" s="80"/>
      <c r="S2013" s="80"/>
      <c r="T2013" s="80"/>
      <c r="U2013" s="80"/>
      <c r="V2013" s="80"/>
      <c r="W2013" s="80"/>
      <c r="X2013" s="80"/>
      <c r="Y2013" s="80"/>
      <c r="Z2013" s="80"/>
      <c r="AA2013" s="80"/>
      <c r="AB2013" s="80"/>
      <c r="AC2013" s="80"/>
      <c r="AD2013" s="80"/>
      <c r="AE2013" s="80"/>
      <c r="AF2013" s="80"/>
      <c r="AG2013" s="80"/>
    </row>
    <row r="2014" spans="1:33" x14ac:dyDescent="0.2">
      <c r="A2014" s="2"/>
      <c r="B2014" s="80"/>
      <c r="C2014" s="80"/>
      <c r="D2014" s="80"/>
      <c r="E2014" s="80"/>
      <c r="F2014" s="80"/>
      <c r="G2014" s="80"/>
      <c r="H2014" s="80"/>
      <c r="I2014" s="80"/>
      <c r="J2014" s="80"/>
      <c r="K2014" s="80"/>
      <c r="L2014" s="2"/>
      <c r="M2014" s="2"/>
      <c r="N2014" s="2"/>
      <c r="O2014" s="2"/>
      <c r="P2014" s="2"/>
      <c r="Q2014" s="2"/>
      <c r="R2014" s="80"/>
      <c r="S2014" s="80"/>
      <c r="T2014" s="80"/>
      <c r="U2014" s="80"/>
      <c r="V2014" s="80"/>
      <c r="W2014" s="80"/>
      <c r="X2014" s="80"/>
      <c r="Y2014" s="80"/>
      <c r="Z2014" s="80"/>
      <c r="AA2014" s="80"/>
      <c r="AB2014" s="80"/>
      <c r="AC2014" s="80"/>
      <c r="AD2014" s="80"/>
      <c r="AE2014" s="80"/>
      <c r="AF2014" s="80"/>
      <c r="AG2014" s="80"/>
    </row>
    <row r="2015" spans="1:33" x14ac:dyDescent="0.2">
      <c r="A2015" s="2"/>
      <c r="B2015" s="80"/>
      <c r="C2015" s="80"/>
      <c r="D2015" s="80"/>
      <c r="E2015" s="80"/>
      <c r="F2015" s="80"/>
      <c r="G2015" s="80"/>
      <c r="H2015" s="80"/>
      <c r="I2015" s="80"/>
      <c r="J2015" s="80"/>
      <c r="K2015" s="80"/>
      <c r="L2015" s="2"/>
      <c r="M2015" s="2"/>
      <c r="N2015" s="2"/>
      <c r="O2015" s="2"/>
      <c r="P2015" s="2"/>
      <c r="Q2015" s="2"/>
      <c r="R2015" s="80"/>
      <c r="S2015" s="80"/>
      <c r="T2015" s="80"/>
      <c r="U2015" s="80"/>
      <c r="V2015" s="80"/>
      <c r="W2015" s="80"/>
      <c r="X2015" s="80"/>
      <c r="Y2015" s="80"/>
      <c r="Z2015" s="80"/>
      <c r="AA2015" s="80"/>
      <c r="AB2015" s="80"/>
      <c r="AC2015" s="80"/>
      <c r="AD2015" s="80"/>
      <c r="AE2015" s="80"/>
      <c r="AF2015" s="80"/>
      <c r="AG2015" s="80"/>
    </row>
    <row r="2016" spans="1:33" x14ac:dyDescent="0.2">
      <c r="A2016" s="2"/>
      <c r="B2016" s="80"/>
      <c r="C2016" s="80"/>
      <c r="D2016" s="80"/>
      <c r="E2016" s="80"/>
      <c r="F2016" s="80"/>
      <c r="G2016" s="80"/>
      <c r="H2016" s="80"/>
      <c r="I2016" s="80"/>
      <c r="J2016" s="80"/>
      <c r="K2016" s="80"/>
      <c r="L2016" s="2"/>
      <c r="M2016" s="2"/>
      <c r="N2016" s="2"/>
      <c r="O2016" s="2"/>
      <c r="P2016" s="2"/>
      <c r="Q2016" s="2"/>
      <c r="R2016" s="80"/>
      <c r="S2016" s="80"/>
      <c r="T2016" s="80"/>
      <c r="U2016" s="80"/>
      <c r="V2016" s="80"/>
      <c r="W2016" s="80"/>
      <c r="X2016" s="80"/>
      <c r="Y2016" s="80"/>
      <c r="Z2016" s="80"/>
      <c r="AA2016" s="80"/>
      <c r="AB2016" s="80"/>
      <c r="AC2016" s="80"/>
      <c r="AD2016" s="80"/>
      <c r="AE2016" s="80"/>
      <c r="AF2016" s="80"/>
      <c r="AG2016" s="80"/>
    </row>
    <row r="2017" spans="1:33" x14ac:dyDescent="0.2">
      <c r="A2017" s="2"/>
      <c r="B2017" s="80"/>
      <c r="C2017" s="80"/>
      <c r="D2017" s="80"/>
      <c r="E2017" s="80"/>
      <c r="F2017" s="80"/>
      <c r="G2017" s="80"/>
      <c r="H2017" s="80"/>
      <c r="I2017" s="80"/>
      <c r="J2017" s="80"/>
      <c r="K2017" s="80"/>
      <c r="L2017" s="2"/>
      <c r="M2017" s="2"/>
      <c r="N2017" s="2"/>
      <c r="O2017" s="2"/>
      <c r="P2017" s="2"/>
      <c r="Q2017" s="2"/>
      <c r="R2017" s="80"/>
      <c r="S2017" s="80"/>
      <c r="T2017" s="80"/>
      <c r="U2017" s="80"/>
      <c r="V2017" s="80"/>
      <c r="W2017" s="80"/>
      <c r="X2017" s="80"/>
      <c r="Y2017" s="80"/>
      <c r="Z2017" s="80"/>
      <c r="AA2017" s="80"/>
      <c r="AB2017" s="80"/>
      <c r="AC2017" s="80"/>
      <c r="AD2017" s="80"/>
      <c r="AE2017" s="80"/>
      <c r="AF2017" s="80"/>
      <c r="AG2017" s="80"/>
    </row>
    <row r="2018" spans="1:33" x14ac:dyDescent="0.2">
      <c r="A2018" s="2"/>
      <c r="B2018" s="80"/>
      <c r="C2018" s="80"/>
      <c r="D2018" s="80"/>
      <c r="E2018" s="80"/>
      <c r="F2018" s="80"/>
      <c r="G2018" s="80"/>
      <c r="H2018" s="80"/>
      <c r="I2018" s="80"/>
      <c r="J2018" s="80"/>
      <c r="K2018" s="80"/>
      <c r="L2018" s="2"/>
      <c r="M2018" s="2"/>
      <c r="N2018" s="2"/>
      <c r="O2018" s="2"/>
      <c r="P2018" s="2"/>
      <c r="Q2018" s="2"/>
      <c r="R2018" s="80"/>
      <c r="S2018" s="80"/>
      <c r="T2018" s="80"/>
      <c r="U2018" s="80"/>
      <c r="V2018" s="80"/>
      <c r="W2018" s="80"/>
      <c r="X2018" s="80"/>
      <c r="Y2018" s="80"/>
      <c r="Z2018" s="80"/>
      <c r="AA2018" s="80"/>
      <c r="AB2018" s="80"/>
      <c r="AC2018" s="80"/>
      <c r="AD2018" s="80"/>
      <c r="AE2018" s="80"/>
      <c r="AF2018" s="80"/>
      <c r="AG2018" s="80"/>
    </row>
    <row r="2019" spans="1:33" x14ac:dyDescent="0.2">
      <c r="A2019" s="2"/>
      <c r="B2019" s="80"/>
      <c r="C2019" s="80"/>
      <c r="D2019" s="80"/>
      <c r="E2019" s="80"/>
      <c r="F2019" s="80"/>
      <c r="G2019" s="80"/>
      <c r="H2019" s="80"/>
      <c r="I2019" s="80"/>
      <c r="J2019" s="80"/>
      <c r="K2019" s="80"/>
      <c r="L2019" s="2"/>
      <c r="M2019" s="2"/>
      <c r="N2019" s="2"/>
      <c r="O2019" s="2"/>
      <c r="P2019" s="2"/>
      <c r="Q2019" s="2"/>
      <c r="R2019" s="80"/>
      <c r="S2019" s="80"/>
      <c r="T2019" s="80"/>
      <c r="U2019" s="80"/>
      <c r="V2019" s="80"/>
      <c r="W2019" s="80"/>
      <c r="X2019" s="80"/>
      <c r="Y2019" s="80"/>
      <c r="Z2019" s="80"/>
      <c r="AA2019" s="80"/>
      <c r="AB2019" s="80"/>
      <c r="AC2019" s="80"/>
      <c r="AD2019" s="80"/>
      <c r="AE2019" s="80"/>
      <c r="AF2019" s="80"/>
      <c r="AG2019" s="80"/>
    </row>
    <row r="2020" spans="1:33" x14ac:dyDescent="0.2">
      <c r="A2020" s="2"/>
      <c r="B2020" s="80"/>
      <c r="C2020" s="80"/>
      <c r="D2020" s="80"/>
      <c r="E2020" s="80"/>
      <c r="F2020" s="80"/>
      <c r="G2020" s="80"/>
      <c r="H2020" s="80"/>
      <c r="I2020" s="80"/>
      <c r="J2020" s="80"/>
      <c r="K2020" s="80"/>
      <c r="L2020" s="2"/>
      <c r="M2020" s="2"/>
      <c r="N2020" s="2"/>
      <c r="O2020" s="2"/>
      <c r="P2020" s="2"/>
      <c r="Q2020" s="2"/>
      <c r="R2020" s="80"/>
      <c r="S2020" s="80"/>
      <c r="T2020" s="80"/>
      <c r="U2020" s="80"/>
      <c r="V2020" s="80"/>
      <c r="W2020" s="80"/>
      <c r="X2020" s="80"/>
      <c r="Y2020" s="80"/>
      <c r="Z2020" s="80"/>
      <c r="AA2020" s="80"/>
      <c r="AB2020" s="80"/>
      <c r="AC2020" s="80"/>
      <c r="AD2020" s="80"/>
      <c r="AE2020" s="80"/>
      <c r="AF2020" s="80"/>
      <c r="AG2020" s="80"/>
    </row>
    <row r="2021" spans="1:33" x14ac:dyDescent="0.2">
      <c r="A2021" s="2"/>
      <c r="B2021" s="80"/>
      <c r="C2021" s="80"/>
      <c r="D2021" s="80"/>
      <c r="E2021" s="80"/>
      <c r="F2021" s="80"/>
      <c r="G2021" s="80"/>
      <c r="H2021" s="80"/>
      <c r="I2021" s="80"/>
      <c r="J2021" s="80"/>
      <c r="K2021" s="80"/>
      <c r="L2021" s="2"/>
      <c r="M2021" s="2"/>
      <c r="N2021" s="2"/>
      <c r="O2021" s="2"/>
      <c r="P2021" s="2"/>
      <c r="Q2021" s="2"/>
      <c r="R2021" s="80"/>
      <c r="S2021" s="80"/>
      <c r="T2021" s="80"/>
      <c r="U2021" s="80"/>
      <c r="V2021" s="80"/>
      <c r="W2021" s="80"/>
      <c r="X2021" s="80"/>
      <c r="Y2021" s="80"/>
      <c r="Z2021" s="80"/>
      <c r="AA2021" s="80"/>
      <c r="AB2021" s="80"/>
      <c r="AC2021" s="80"/>
      <c r="AD2021" s="80"/>
      <c r="AE2021" s="80"/>
      <c r="AF2021" s="80"/>
      <c r="AG2021" s="80"/>
    </row>
    <row r="2022" spans="1:33" x14ac:dyDescent="0.2">
      <c r="A2022" s="2"/>
      <c r="B2022" s="80"/>
      <c r="C2022" s="80"/>
      <c r="D2022" s="80"/>
      <c r="E2022" s="80"/>
      <c r="F2022" s="80"/>
      <c r="G2022" s="80"/>
      <c r="H2022" s="80"/>
      <c r="I2022" s="80"/>
      <c r="J2022" s="80"/>
      <c r="K2022" s="80"/>
      <c r="L2022" s="2"/>
      <c r="M2022" s="2"/>
      <c r="N2022" s="2"/>
      <c r="O2022" s="2"/>
      <c r="P2022" s="2"/>
      <c r="Q2022" s="2"/>
      <c r="R2022" s="80"/>
      <c r="S2022" s="80"/>
      <c r="T2022" s="80"/>
      <c r="U2022" s="80"/>
      <c r="V2022" s="80"/>
      <c r="W2022" s="80"/>
      <c r="X2022" s="80"/>
      <c r="Y2022" s="80"/>
      <c r="Z2022" s="80"/>
      <c r="AA2022" s="80"/>
      <c r="AB2022" s="80"/>
      <c r="AC2022" s="80"/>
      <c r="AD2022" s="80"/>
      <c r="AE2022" s="80"/>
      <c r="AF2022" s="80"/>
      <c r="AG2022" s="80"/>
    </row>
    <row r="2023" spans="1:33" x14ac:dyDescent="0.2">
      <c r="A2023" s="2"/>
      <c r="B2023" s="80"/>
      <c r="C2023" s="80"/>
      <c r="D2023" s="80"/>
      <c r="E2023" s="80"/>
      <c r="F2023" s="80"/>
      <c r="G2023" s="80"/>
      <c r="H2023" s="80"/>
      <c r="I2023" s="80"/>
      <c r="J2023" s="80"/>
      <c r="K2023" s="80"/>
      <c r="L2023" s="2"/>
      <c r="M2023" s="2"/>
      <c r="N2023" s="2"/>
      <c r="O2023" s="2"/>
      <c r="P2023" s="2"/>
      <c r="Q2023" s="2"/>
      <c r="R2023" s="80"/>
      <c r="S2023" s="80"/>
      <c r="T2023" s="80"/>
      <c r="U2023" s="80"/>
      <c r="V2023" s="80"/>
      <c r="W2023" s="80"/>
      <c r="X2023" s="80"/>
      <c r="Y2023" s="80"/>
      <c r="Z2023" s="80"/>
      <c r="AA2023" s="80"/>
      <c r="AB2023" s="80"/>
      <c r="AC2023" s="80"/>
      <c r="AD2023" s="80"/>
      <c r="AE2023" s="80"/>
      <c r="AF2023" s="80"/>
      <c r="AG2023" s="80"/>
    </row>
    <row r="2024" spans="1:33" x14ac:dyDescent="0.2">
      <c r="A2024" s="2"/>
      <c r="B2024" s="80"/>
      <c r="C2024" s="80"/>
      <c r="D2024" s="80"/>
      <c r="E2024" s="80"/>
      <c r="F2024" s="80"/>
      <c r="G2024" s="80"/>
      <c r="H2024" s="80"/>
      <c r="I2024" s="80"/>
      <c r="J2024" s="80"/>
      <c r="K2024" s="80"/>
      <c r="L2024" s="2"/>
      <c r="M2024" s="2"/>
      <c r="N2024" s="2"/>
      <c r="O2024" s="2"/>
      <c r="P2024" s="2"/>
      <c r="Q2024" s="2"/>
      <c r="R2024" s="80"/>
      <c r="S2024" s="80"/>
      <c r="T2024" s="80"/>
      <c r="U2024" s="80"/>
      <c r="V2024" s="80"/>
      <c r="W2024" s="80"/>
      <c r="X2024" s="80"/>
      <c r="Y2024" s="80"/>
      <c r="Z2024" s="80"/>
      <c r="AA2024" s="80"/>
      <c r="AB2024" s="80"/>
      <c r="AC2024" s="80"/>
      <c r="AD2024" s="80"/>
      <c r="AE2024" s="80"/>
      <c r="AF2024" s="80"/>
      <c r="AG2024" s="80"/>
    </row>
    <row r="2025" spans="1:33" x14ac:dyDescent="0.2">
      <c r="A2025" s="2"/>
      <c r="B2025" s="80"/>
      <c r="C2025" s="80"/>
      <c r="D2025" s="80"/>
      <c r="E2025" s="80"/>
      <c r="F2025" s="80"/>
      <c r="G2025" s="80"/>
      <c r="H2025" s="80"/>
      <c r="I2025" s="80"/>
      <c r="J2025" s="80"/>
      <c r="K2025" s="80"/>
      <c r="L2025" s="2"/>
      <c r="M2025" s="2"/>
      <c r="N2025" s="2"/>
      <c r="O2025" s="2"/>
      <c r="P2025" s="2"/>
      <c r="Q2025" s="2"/>
      <c r="R2025" s="80"/>
      <c r="S2025" s="80"/>
      <c r="T2025" s="80"/>
      <c r="U2025" s="80"/>
      <c r="V2025" s="80"/>
      <c r="W2025" s="80"/>
      <c r="X2025" s="80"/>
      <c r="Y2025" s="80"/>
      <c r="Z2025" s="80"/>
      <c r="AA2025" s="80"/>
      <c r="AB2025" s="80"/>
      <c r="AC2025" s="80"/>
      <c r="AD2025" s="80"/>
      <c r="AE2025" s="80"/>
      <c r="AF2025" s="80"/>
      <c r="AG2025" s="80"/>
    </row>
    <row r="2026" spans="1:33" x14ac:dyDescent="0.2">
      <c r="A2026" s="2"/>
      <c r="B2026" s="80"/>
      <c r="C2026" s="80"/>
      <c r="D2026" s="80"/>
      <c r="E2026" s="80"/>
      <c r="F2026" s="80"/>
      <c r="G2026" s="80"/>
      <c r="H2026" s="80"/>
      <c r="I2026" s="80"/>
      <c r="J2026" s="80"/>
      <c r="K2026" s="80"/>
      <c r="L2026" s="2"/>
      <c r="M2026" s="2"/>
      <c r="N2026" s="2"/>
      <c r="O2026" s="2"/>
      <c r="P2026" s="2"/>
      <c r="Q2026" s="2"/>
      <c r="R2026" s="80"/>
      <c r="S2026" s="80"/>
      <c r="T2026" s="80"/>
      <c r="U2026" s="80"/>
      <c r="V2026" s="80"/>
      <c r="W2026" s="80"/>
      <c r="X2026" s="80"/>
      <c r="Y2026" s="80"/>
      <c r="Z2026" s="80"/>
      <c r="AA2026" s="80"/>
      <c r="AB2026" s="80"/>
      <c r="AC2026" s="80"/>
      <c r="AD2026" s="80"/>
      <c r="AE2026" s="80"/>
      <c r="AF2026" s="80"/>
      <c r="AG2026" s="80"/>
    </row>
    <row r="2027" spans="1:33" x14ac:dyDescent="0.2">
      <c r="A2027" s="2"/>
      <c r="B2027" s="80"/>
      <c r="C2027" s="80"/>
      <c r="D2027" s="80"/>
      <c r="E2027" s="80"/>
      <c r="F2027" s="80"/>
      <c r="G2027" s="80"/>
      <c r="H2027" s="80"/>
      <c r="I2027" s="80"/>
      <c r="J2027" s="80"/>
      <c r="K2027" s="80"/>
      <c r="L2027" s="2"/>
      <c r="M2027" s="2"/>
      <c r="N2027" s="2"/>
      <c r="O2027" s="2"/>
      <c r="P2027" s="2"/>
      <c r="Q2027" s="2"/>
      <c r="R2027" s="80"/>
      <c r="S2027" s="80"/>
      <c r="T2027" s="80"/>
      <c r="U2027" s="80"/>
      <c r="V2027" s="80"/>
      <c r="W2027" s="80"/>
      <c r="X2027" s="80"/>
      <c r="Y2027" s="80"/>
      <c r="Z2027" s="80"/>
      <c r="AA2027" s="80"/>
      <c r="AB2027" s="80"/>
      <c r="AC2027" s="80"/>
      <c r="AD2027" s="80"/>
      <c r="AE2027" s="80"/>
      <c r="AF2027" s="80"/>
      <c r="AG2027" s="80"/>
    </row>
    <row r="2028" spans="1:33" x14ac:dyDescent="0.2">
      <c r="A2028" s="2"/>
      <c r="B2028" s="80"/>
      <c r="C2028" s="80"/>
      <c r="D2028" s="80"/>
      <c r="E2028" s="80"/>
      <c r="F2028" s="80"/>
      <c r="G2028" s="80"/>
      <c r="H2028" s="80"/>
      <c r="I2028" s="80"/>
      <c r="J2028" s="80"/>
      <c r="K2028" s="80"/>
      <c r="L2028" s="2"/>
      <c r="M2028" s="2"/>
      <c r="N2028" s="2"/>
      <c r="O2028" s="2"/>
      <c r="P2028" s="2"/>
      <c r="Q2028" s="2"/>
      <c r="R2028" s="80"/>
      <c r="S2028" s="80"/>
      <c r="T2028" s="80"/>
      <c r="U2028" s="80"/>
      <c r="V2028" s="80"/>
      <c r="W2028" s="80"/>
      <c r="X2028" s="80"/>
      <c r="Y2028" s="80"/>
      <c r="Z2028" s="80"/>
      <c r="AA2028" s="80"/>
      <c r="AB2028" s="80"/>
      <c r="AC2028" s="80"/>
      <c r="AD2028" s="80"/>
      <c r="AE2028" s="80"/>
      <c r="AF2028" s="80"/>
      <c r="AG2028" s="80"/>
    </row>
    <row r="2029" spans="1:33" x14ac:dyDescent="0.2">
      <c r="A2029" s="2"/>
      <c r="B2029" s="80"/>
      <c r="C2029" s="80"/>
      <c r="D2029" s="80"/>
      <c r="E2029" s="80"/>
      <c r="F2029" s="80"/>
      <c r="G2029" s="80"/>
      <c r="H2029" s="80"/>
      <c r="I2029" s="80"/>
      <c r="J2029" s="80"/>
      <c r="K2029" s="80"/>
      <c r="L2029" s="2"/>
      <c r="M2029" s="2"/>
      <c r="N2029" s="2"/>
      <c r="O2029" s="2"/>
      <c r="P2029" s="2"/>
      <c r="Q2029" s="2"/>
      <c r="R2029" s="80"/>
      <c r="S2029" s="80"/>
      <c r="T2029" s="80"/>
      <c r="U2029" s="80"/>
      <c r="V2029" s="80"/>
      <c r="W2029" s="80"/>
      <c r="X2029" s="80"/>
      <c r="Y2029" s="80"/>
      <c r="Z2029" s="80"/>
      <c r="AA2029" s="80"/>
      <c r="AB2029" s="80"/>
      <c r="AC2029" s="80"/>
      <c r="AD2029" s="80"/>
      <c r="AE2029" s="80"/>
      <c r="AF2029" s="80"/>
      <c r="AG2029" s="80"/>
    </row>
    <row r="2030" spans="1:33" x14ac:dyDescent="0.2">
      <c r="A2030" s="2"/>
      <c r="B2030" s="80"/>
      <c r="C2030" s="80"/>
      <c r="D2030" s="80"/>
      <c r="E2030" s="80"/>
      <c r="F2030" s="80"/>
      <c r="G2030" s="80"/>
      <c r="H2030" s="80"/>
      <c r="I2030" s="80"/>
      <c r="J2030" s="80"/>
      <c r="K2030" s="80"/>
      <c r="L2030" s="2"/>
      <c r="M2030" s="2"/>
      <c r="N2030" s="2"/>
      <c r="O2030" s="2"/>
      <c r="P2030" s="2"/>
      <c r="Q2030" s="2"/>
      <c r="R2030" s="80"/>
      <c r="S2030" s="80"/>
      <c r="T2030" s="80"/>
      <c r="U2030" s="80"/>
      <c r="V2030" s="80"/>
      <c r="W2030" s="80"/>
      <c r="X2030" s="80"/>
      <c r="Y2030" s="80"/>
      <c r="Z2030" s="80"/>
      <c r="AA2030" s="80"/>
      <c r="AB2030" s="80"/>
      <c r="AC2030" s="80"/>
      <c r="AD2030" s="80"/>
      <c r="AE2030" s="80"/>
      <c r="AF2030" s="80"/>
      <c r="AG2030" s="80"/>
    </row>
    <row r="2031" spans="1:33" x14ac:dyDescent="0.2">
      <c r="A2031" s="2"/>
      <c r="B2031" s="80"/>
      <c r="C2031" s="80"/>
      <c r="D2031" s="80"/>
      <c r="E2031" s="80"/>
      <c r="F2031" s="80"/>
      <c r="G2031" s="80"/>
      <c r="H2031" s="80"/>
      <c r="I2031" s="80"/>
      <c r="J2031" s="80"/>
      <c r="K2031" s="80"/>
      <c r="L2031" s="2"/>
      <c r="M2031" s="2"/>
      <c r="N2031" s="2"/>
      <c r="O2031" s="2"/>
      <c r="P2031" s="2"/>
      <c r="Q2031" s="2"/>
      <c r="R2031" s="80"/>
      <c r="S2031" s="80"/>
      <c r="T2031" s="80"/>
      <c r="U2031" s="80"/>
      <c r="V2031" s="80"/>
      <c r="W2031" s="80"/>
      <c r="X2031" s="80"/>
      <c r="Y2031" s="80"/>
      <c r="Z2031" s="80"/>
      <c r="AA2031" s="80"/>
      <c r="AB2031" s="80"/>
      <c r="AC2031" s="80"/>
      <c r="AD2031" s="80"/>
      <c r="AE2031" s="80"/>
      <c r="AF2031" s="80"/>
      <c r="AG2031" s="80"/>
    </row>
    <row r="2032" spans="1:33" x14ac:dyDescent="0.2">
      <c r="A2032" s="2"/>
      <c r="B2032" s="80"/>
      <c r="C2032" s="80"/>
      <c r="D2032" s="80"/>
      <c r="E2032" s="80"/>
      <c r="F2032" s="80"/>
      <c r="G2032" s="80"/>
      <c r="H2032" s="80"/>
      <c r="I2032" s="80"/>
      <c r="J2032" s="80"/>
      <c r="K2032" s="80"/>
      <c r="L2032" s="2"/>
      <c r="M2032" s="2"/>
      <c r="N2032" s="2"/>
      <c r="O2032" s="2"/>
      <c r="P2032" s="2"/>
      <c r="Q2032" s="2"/>
      <c r="R2032" s="80"/>
      <c r="S2032" s="80"/>
      <c r="T2032" s="80"/>
      <c r="U2032" s="80"/>
      <c r="V2032" s="80"/>
      <c r="W2032" s="80"/>
      <c r="X2032" s="80"/>
      <c r="Y2032" s="80"/>
      <c r="Z2032" s="80"/>
      <c r="AA2032" s="80"/>
      <c r="AB2032" s="80"/>
      <c r="AC2032" s="80"/>
      <c r="AD2032" s="80"/>
      <c r="AE2032" s="80"/>
      <c r="AF2032" s="80"/>
      <c r="AG2032" s="80"/>
    </row>
    <row r="2033" spans="1:33" x14ac:dyDescent="0.2">
      <c r="A2033" s="2"/>
      <c r="B2033" s="80"/>
      <c r="C2033" s="80"/>
      <c r="D2033" s="80"/>
      <c r="E2033" s="80"/>
      <c r="F2033" s="80"/>
      <c r="G2033" s="80"/>
      <c r="H2033" s="80"/>
      <c r="I2033" s="80"/>
      <c r="J2033" s="80"/>
      <c r="K2033" s="80"/>
      <c r="L2033" s="2"/>
      <c r="M2033" s="2"/>
      <c r="N2033" s="2"/>
      <c r="O2033" s="2"/>
      <c r="P2033" s="2"/>
      <c r="Q2033" s="2"/>
      <c r="R2033" s="80"/>
      <c r="S2033" s="80"/>
      <c r="T2033" s="80"/>
      <c r="U2033" s="80"/>
      <c r="V2033" s="80"/>
      <c r="W2033" s="80"/>
      <c r="X2033" s="80"/>
      <c r="Y2033" s="80"/>
      <c r="Z2033" s="80"/>
      <c r="AA2033" s="80"/>
      <c r="AB2033" s="80"/>
      <c r="AC2033" s="80"/>
      <c r="AD2033" s="80"/>
      <c r="AE2033" s="80"/>
      <c r="AF2033" s="80"/>
      <c r="AG2033" s="80"/>
    </row>
    <row r="2034" spans="1:33" x14ac:dyDescent="0.2">
      <c r="A2034" s="2"/>
      <c r="B2034" s="80"/>
      <c r="C2034" s="80"/>
      <c r="D2034" s="80"/>
      <c r="E2034" s="80"/>
      <c r="F2034" s="80"/>
      <c r="G2034" s="80"/>
      <c r="H2034" s="80"/>
      <c r="I2034" s="80"/>
      <c r="J2034" s="80"/>
      <c r="K2034" s="80"/>
      <c r="L2034" s="2"/>
      <c r="M2034" s="2"/>
      <c r="N2034" s="2"/>
      <c r="O2034" s="2"/>
      <c r="P2034" s="2"/>
      <c r="Q2034" s="2"/>
      <c r="R2034" s="80"/>
      <c r="S2034" s="80"/>
      <c r="T2034" s="80"/>
      <c r="U2034" s="80"/>
      <c r="V2034" s="80"/>
      <c r="W2034" s="80"/>
      <c r="X2034" s="80"/>
      <c r="Y2034" s="80"/>
      <c r="Z2034" s="80"/>
      <c r="AA2034" s="80"/>
      <c r="AB2034" s="80"/>
      <c r="AC2034" s="80"/>
      <c r="AD2034" s="80"/>
      <c r="AE2034" s="80"/>
      <c r="AF2034" s="80"/>
      <c r="AG2034" s="80"/>
    </row>
    <row r="2035" spans="1:33" x14ac:dyDescent="0.2">
      <c r="A2035" s="2"/>
      <c r="B2035" s="80"/>
      <c r="C2035" s="80"/>
      <c r="D2035" s="80"/>
      <c r="E2035" s="80"/>
      <c r="F2035" s="80"/>
      <c r="G2035" s="80"/>
      <c r="H2035" s="80"/>
      <c r="I2035" s="80"/>
      <c r="J2035" s="80"/>
      <c r="K2035" s="80"/>
      <c r="L2035" s="2"/>
      <c r="M2035" s="2"/>
      <c r="N2035" s="2"/>
      <c r="O2035" s="2"/>
      <c r="P2035" s="2"/>
      <c r="Q2035" s="2"/>
      <c r="R2035" s="80"/>
      <c r="S2035" s="80"/>
      <c r="T2035" s="80"/>
      <c r="U2035" s="80"/>
      <c r="V2035" s="80"/>
      <c r="W2035" s="80"/>
      <c r="X2035" s="80"/>
      <c r="Y2035" s="80"/>
      <c r="Z2035" s="80"/>
      <c r="AA2035" s="80"/>
      <c r="AB2035" s="80"/>
      <c r="AC2035" s="80"/>
      <c r="AD2035" s="80"/>
      <c r="AE2035" s="80"/>
      <c r="AF2035" s="80"/>
      <c r="AG2035" s="80"/>
    </row>
    <row r="2036" spans="1:33" x14ac:dyDescent="0.2">
      <c r="A2036" s="2"/>
      <c r="B2036" s="80"/>
      <c r="C2036" s="80"/>
      <c r="D2036" s="80"/>
      <c r="E2036" s="80"/>
      <c r="F2036" s="80"/>
      <c r="G2036" s="80"/>
      <c r="H2036" s="80"/>
      <c r="I2036" s="80"/>
      <c r="J2036" s="80"/>
      <c r="K2036" s="80"/>
      <c r="L2036" s="2"/>
      <c r="M2036" s="2"/>
      <c r="N2036" s="2"/>
      <c r="O2036" s="2"/>
      <c r="P2036" s="2"/>
      <c r="Q2036" s="2"/>
      <c r="R2036" s="80"/>
      <c r="S2036" s="80"/>
      <c r="T2036" s="80"/>
      <c r="U2036" s="80"/>
      <c r="V2036" s="80"/>
      <c r="W2036" s="80"/>
      <c r="X2036" s="80"/>
      <c r="Y2036" s="80"/>
      <c r="Z2036" s="80"/>
      <c r="AA2036" s="80"/>
      <c r="AB2036" s="80"/>
      <c r="AC2036" s="80"/>
      <c r="AD2036" s="80"/>
      <c r="AE2036" s="80"/>
      <c r="AF2036" s="80"/>
      <c r="AG2036" s="80"/>
    </row>
    <row r="2037" spans="1:33" x14ac:dyDescent="0.2">
      <c r="A2037" s="2"/>
      <c r="B2037" s="80"/>
      <c r="C2037" s="80"/>
      <c r="D2037" s="80"/>
      <c r="E2037" s="80"/>
      <c r="F2037" s="80"/>
      <c r="G2037" s="80"/>
      <c r="H2037" s="80"/>
      <c r="I2037" s="80"/>
      <c r="J2037" s="80"/>
      <c r="K2037" s="80"/>
      <c r="L2037" s="2"/>
      <c r="M2037" s="2"/>
      <c r="N2037" s="2"/>
      <c r="O2037" s="2"/>
      <c r="P2037" s="2"/>
      <c r="Q2037" s="2"/>
      <c r="R2037" s="80"/>
      <c r="S2037" s="80"/>
      <c r="T2037" s="80"/>
      <c r="U2037" s="80"/>
      <c r="V2037" s="80"/>
      <c r="W2037" s="80"/>
      <c r="X2037" s="80"/>
      <c r="Y2037" s="80"/>
      <c r="Z2037" s="80"/>
      <c r="AA2037" s="80"/>
      <c r="AB2037" s="80"/>
      <c r="AC2037" s="80"/>
      <c r="AD2037" s="80"/>
      <c r="AE2037" s="80"/>
      <c r="AF2037" s="80"/>
      <c r="AG2037" s="80"/>
    </row>
    <row r="2038" spans="1:33" x14ac:dyDescent="0.2">
      <c r="A2038" s="2"/>
      <c r="B2038" s="80"/>
      <c r="C2038" s="80"/>
      <c r="D2038" s="80"/>
      <c r="E2038" s="80"/>
      <c r="F2038" s="80"/>
      <c r="G2038" s="80"/>
      <c r="H2038" s="80"/>
      <c r="I2038" s="80"/>
      <c r="J2038" s="80"/>
      <c r="K2038" s="80"/>
      <c r="L2038" s="2"/>
      <c r="M2038" s="2"/>
      <c r="N2038" s="2"/>
      <c r="O2038" s="2"/>
      <c r="P2038" s="2"/>
      <c r="Q2038" s="2"/>
      <c r="R2038" s="80"/>
      <c r="S2038" s="80"/>
      <c r="T2038" s="80"/>
      <c r="U2038" s="80"/>
      <c r="V2038" s="80"/>
      <c r="W2038" s="80"/>
      <c r="X2038" s="80"/>
      <c r="Y2038" s="80"/>
      <c r="Z2038" s="80"/>
      <c r="AA2038" s="80"/>
      <c r="AB2038" s="80"/>
      <c r="AC2038" s="80"/>
      <c r="AD2038" s="80"/>
      <c r="AE2038" s="80"/>
      <c r="AF2038" s="80"/>
      <c r="AG2038" s="80"/>
    </row>
    <row r="2039" spans="1:33" x14ac:dyDescent="0.2">
      <c r="A2039" s="2"/>
      <c r="B2039" s="80"/>
      <c r="C2039" s="80"/>
      <c r="D2039" s="80"/>
      <c r="E2039" s="80"/>
      <c r="F2039" s="80"/>
      <c r="G2039" s="80"/>
      <c r="H2039" s="80"/>
      <c r="I2039" s="80"/>
      <c r="J2039" s="80"/>
      <c r="K2039" s="80"/>
      <c r="L2039" s="2"/>
      <c r="M2039" s="2"/>
      <c r="N2039" s="2"/>
      <c r="O2039" s="2"/>
      <c r="P2039" s="2"/>
      <c r="Q2039" s="2"/>
      <c r="R2039" s="80"/>
      <c r="S2039" s="80"/>
      <c r="T2039" s="80"/>
      <c r="U2039" s="80"/>
      <c r="V2039" s="80"/>
      <c r="W2039" s="80"/>
      <c r="X2039" s="80"/>
      <c r="Y2039" s="80"/>
      <c r="Z2039" s="80"/>
      <c r="AA2039" s="80"/>
      <c r="AB2039" s="80"/>
      <c r="AC2039" s="80"/>
      <c r="AD2039" s="80"/>
      <c r="AE2039" s="80"/>
      <c r="AF2039" s="80"/>
      <c r="AG2039" s="80"/>
    </row>
    <row r="2040" spans="1:33" x14ac:dyDescent="0.2">
      <c r="A2040" s="2"/>
      <c r="B2040" s="80"/>
      <c r="C2040" s="80"/>
      <c r="D2040" s="80"/>
      <c r="E2040" s="80"/>
      <c r="F2040" s="80"/>
      <c r="G2040" s="80"/>
      <c r="H2040" s="80"/>
      <c r="I2040" s="80"/>
      <c r="J2040" s="80"/>
      <c r="K2040" s="80"/>
      <c r="L2040" s="2"/>
      <c r="M2040" s="2"/>
      <c r="N2040" s="2"/>
      <c r="O2040" s="2"/>
      <c r="P2040" s="2"/>
      <c r="Q2040" s="2"/>
      <c r="R2040" s="80"/>
      <c r="S2040" s="80"/>
      <c r="T2040" s="80"/>
      <c r="U2040" s="80"/>
      <c r="V2040" s="80"/>
      <c r="W2040" s="80"/>
      <c r="X2040" s="80"/>
      <c r="Y2040" s="80"/>
      <c r="Z2040" s="80"/>
      <c r="AA2040" s="80"/>
      <c r="AB2040" s="80"/>
      <c r="AC2040" s="80"/>
      <c r="AD2040" s="80"/>
      <c r="AE2040" s="80"/>
      <c r="AF2040" s="80"/>
      <c r="AG2040" s="80"/>
    </row>
    <row r="2041" spans="1:33" x14ac:dyDescent="0.2">
      <c r="A2041" s="2"/>
      <c r="B2041" s="80"/>
      <c r="C2041" s="80"/>
      <c r="D2041" s="80"/>
      <c r="E2041" s="80"/>
      <c r="F2041" s="80"/>
      <c r="G2041" s="80"/>
      <c r="H2041" s="80"/>
      <c r="I2041" s="80"/>
      <c r="J2041" s="80"/>
      <c r="K2041" s="80"/>
      <c r="L2041" s="2"/>
      <c r="M2041" s="2"/>
      <c r="N2041" s="2"/>
      <c r="O2041" s="2"/>
      <c r="P2041" s="2"/>
      <c r="Q2041" s="2"/>
      <c r="R2041" s="80"/>
      <c r="S2041" s="80"/>
      <c r="T2041" s="80"/>
      <c r="U2041" s="80"/>
      <c r="V2041" s="80"/>
      <c r="W2041" s="80"/>
      <c r="X2041" s="80"/>
      <c r="Y2041" s="80"/>
      <c r="Z2041" s="80"/>
      <c r="AA2041" s="80"/>
      <c r="AB2041" s="80"/>
      <c r="AC2041" s="80"/>
      <c r="AD2041" s="80"/>
      <c r="AE2041" s="80"/>
      <c r="AF2041" s="80"/>
      <c r="AG2041" s="80"/>
    </row>
    <row r="2042" spans="1:33" x14ac:dyDescent="0.2">
      <c r="A2042" s="2"/>
      <c r="B2042" s="80"/>
      <c r="C2042" s="80"/>
      <c r="D2042" s="80"/>
      <c r="E2042" s="80"/>
      <c r="F2042" s="80"/>
      <c r="G2042" s="80"/>
      <c r="H2042" s="80"/>
      <c r="I2042" s="80"/>
      <c r="J2042" s="80"/>
      <c r="K2042" s="80"/>
      <c r="L2042" s="2"/>
      <c r="M2042" s="2"/>
      <c r="N2042" s="2"/>
      <c r="O2042" s="2"/>
      <c r="P2042" s="2"/>
      <c r="Q2042" s="2"/>
      <c r="R2042" s="80"/>
      <c r="S2042" s="80"/>
      <c r="T2042" s="80"/>
      <c r="U2042" s="80"/>
      <c r="V2042" s="80"/>
      <c r="W2042" s="80"/>
      <c r="X2042" s="80"/>
      <c r="Y2042" s="80"/>
      <c r="Z2042" s="80"/>
      <c r="AA2042" s="80"/>
      <c r="AB2042" s="80"/>
      <c r="AC2042" s="80"/>
      <c r="AD2042" s="80"/>
      <c r="AE2042" s="80"/>
      <c r="AF2042" s="80"/>
      <c r="AG2042" s="80"/>
    </row>
    <row r="2043" spans="1:33" x14ac:dyDescent="0.2">
      <c r="A2043" s="2"/>
      <c r="B2043" s="80"/>
      <c r="C2043" s="80"/>
      <c r="D2043" s="80"/>
      <c r="E2043" s="80"/>
      <c r="F2043" s="80"/>
      <c r="G2043" s="80"/>
      <c r="H2043" s="80"/>
      <c r="I2043" s="80"/>
      <c r="J2043" s="80"/>
      <c r="K2043" s="80"/>
      <c r="L2043" s="2"/>
      <c r="M2043" s="2"/>
      <c r="N2043" s="2"/>
      <c r="O2043" s="2"/>
      <c r="P2043" s="2"/>
      <c r="Q2043" s="2"/>
      <c r="R2043" s="80"/>
      <c r="S2043" s="80"/>
      <c r="T2043" s="80"/>
      <c r="U2043" s="80"/>
      <c r="V2043" s="80"/>
      <c r="W2043" s="80"/>
      <c r="X2043" s="80"/>
      <c r="Y2043" s="80"/>
      <c r="Z2043" s="80"/>
      <c r="AA2043" s="80"/>
      <c r="AB2043" s="80"/>
      <c r="AC2043" s="80"/>
      <c r="AD2043" s="80"/>
      <c r="AE2043" s="80"/>
      <c r="AF2043" s="80"/>
      <c r="AG2043" s="80"/>
    </row>
    <row r="2044" spans="1:33" x14ac:dyDescent="0.2">
      <c r="A2044" s="2"/>
      <c r="B2044" s="80"/>
      <c r="C2044" s="80"/>
      <c r="D2044" s="80"/>
      <c r="E2044" s="80"/>
      <c r="F2044" s="80"/>
      <c r="G2044" s="80"/>
      <c r="H2044" s="80"/>
      <c r="I2044" s="80"/>
      <c r="J2044" s="80"/>
      <c r="K2044" s="80"/>
      <c r="L2044" s="2"/>
      <c r="M2044" s="2"/>
      <c r="N2044" s="2"/>
      <c r="O2044" s="2"/>
      <c r="P2044" s="2"/>
      <c r="Q2044" s="2"/>
      <c r="R2044" s="80"/>
      <c r="S2044" s="80"/>
      <c r="T2044" s="80"/>
      <c r="U2044" s="80"/>
      <c r="V2044" s="80"/>
      <c r="W2044" s="80"/>
      <c r="X2044" s="80"/>
      <c r="Y2044" s="80"/>
      <c r="Z2044" s="80"/>
      <c r="AA2044" s="80"/>
      <c r="AB2044" s="80"/>
      <c r="AC2044" s="80"/>
      <c r="AD2044" s="80"/>
      <c r="AE2044" s="80"/>
      <c r="AF2044" s="80"/>
      <c r="AG2044" s="80"/>
    </row>
    <row r="2045" spans="1:33" x14ac:dyDescent="0.2">
      <c r="A2045" s="2"/>
      <c r="B2045" s="80"/>
      <c r="C2045" s="80"/>
      <c r="D2045" s="80"/>
      <c r="E2045" s="80"/>
      <c r="F2045" s="80"/>
      <c r="G2045" s="80"/>
      <c r="H2045" s="80"/>
      <c r="I2045" s="80"/>
      <c r="J2045" s="80"/>
      <c r="K2045" s="80"/>
      <c r="L2045" s="2"/>
      <c r="M2045" s="2"/>
      <c r="N2045" s="2"/>
      <c r="O2045" s="2"/>
      <c r="P2045" s="2"/>
      <c r="Q2045" s="2"/>
      <c r="R2045" s="80"/>
      <c r="S2045" s="80"/>
      <c r="T2045" s="80"/>
      <c r="U2045" s="80"/>
      <c r="V2045" s="80"/>
      <c r="W2045" s="80"/>
      <c r="X2045" s="80"/>
      <c r="Y2045" s="80"/>
      <c r="Z2045" s="80"/>
      <c r="AA2045" s="80"/>
      <c r="AB2045" s="80"/>
      <c r="AC2045" s="80"/>
      <c r="AD2045" s="80"/>
      <c r="AE2045" s="80"/>
      <c r="AF2045" s="80"/>
      <c r="AG2045" s="80"/>
    </row>
    <row r="2046" spans="1:33" x14ac:dyDescent="0.2">
      <c r="A2046" s="2"/>
      <c r="B2046" s="80"/>
      <c r="C2046" s="80"/>
      <c r="D2046" s="80"/>
      <c r="E2046" s="80"/>
      <c r="F2046" s="80"/>
      <c r="G2046" s="80"/>
      <c r="H2046" s="80"/>
      <c r="I2046" s="80"/>
      <c r="J2046" s="80"/>
      <c r="K2046" s="80"/>
      <c r="L2046" s="2"/>
      <c r="M2046" s="2"/>
      <c r="N2046" s="2"/>
      <c r="O2046" s="2"/>
      <c r="P2046" s="2"/>
      <c r="Q2046" s="2"/>
      <c r="R2046" s="80"/>
      <c r="S2046" s="80"/>
      <c r="T2046" s="80"/>
      <c r="U2046" s="80"/>
      <c r="V2046" s="80"/>
      <c r="W2046" s="80"/>
      <c r="X2046" s="80"/>
      <c r="Y2046" s="80"/>
      <c r="Z2046" s="80"/>
      <c r="AA2046" s="80"/>
      <c r="AB2046" s="80"/>
      <c r="AC2046" s="80"/>
      <c r="AD2046" s="80"/>
      <c r="AE2046" s="80"/>
      <c r="AF2046" s="80"/>
      <c r="AG2046" s="80"/>
    </row>
    <row r="2047" spans="1:33" x14ac:dyDescent="0.2">
      <c r="A2047" s="2"/>
      <c r="B2047" s="80"/>
      <c r="C2047" s="80"/>
      <c r="D2047" s="80"/>
      <c r="E2047" s="80"/>
      <c r="F2047" s="80"/>
      <c r="G2047" s="80"/>
      <c r="H2047" s="80"/>
      <c r="I2047" s="80"/>
      <c r="J2047" s="80"/>
      <c r="K2047" s="80"/>
      <c r="L2047" s="2"/>
      <c r="M2047" s="2"/>
      <c r="N2047" s="2"/>
      <c r="O2047" s="2"/>
      <c r="P2047" s="2"/>
      <c r="Q2047" s="2"/>
      <c r="R2047" s="80"/>
      <c r="S2047" s="80"/>
      <c r="T2047" s="80"/>
      <c r="U2047" s="80"/>
      <c r="V2047" s="80"/>
      <c r="W2047" s="80"/>
      <c r="X2047" s="80"/>
      <c r="Y2047" s="80"/>
      <c r="Z2047" s="80"/>
      <c r="AA2047" s="80"/>
      <c r="AB2047" s="80"/>
      <c r="AC2047" s="80"/>
      <c r="AD2047" s="80"/>
      <c r="AE2047" s="80"/>
      <c r="AF2047" s="80"/>
      <c r="AG2047" s="80"/>
    </row>
    <row r="2048" spans="1:33" x14ac:dyDescent="0.2">
      <c r="A2048" s="2"/>
      <c r="B2048" s="80"/>
      <c r="C2048" s="80"/>
      <c r="D2048" s="80"/>
      <c r="E2048" s="80"/>
      <c r="F2048" s="80"/>
      <c r="G2048" s="80"/>
      <c r="H2048" s="80"/>
      <c r="I2048" s="80"/>
      <c r="J2048" s="80"/>
      <c r="K2048" s="80"/>
      <c r="L2048" s="2"/>
      <c r="M2048" s="2"/>
      <c r="N2048" s="2"/>
      <c r="O2048" s="2"/>
      <c r="P2048" s="2"/>
      <c r="Q2048" s="2"/>
      <c r="R2048" s="80"/>
      <c r="S2048" s="80"/>
      <c r="T2048" s="80"/>
      <c r="U2048" s="80"/>
      <c r="V2048" s="80"/>
      <c r="W2048" s="80"/>
      <c r="X2048" s="80"/>
      <c r="Y2048" s="80"/>
      <c r="Z2048" s="80"/>
      <c r="AA2048" s="80"/>
      <c r="AB2048" s="80"/>
      <c r="AC2048" s="80"/>
      <c r="AD2048" s="80"/>
      <c r="AE2048" s="80"/>
      <c r="AF2048" s="80"/>
      <c r="AG2048" s="80"/>
    </row>
    <row r="2049" spans="1:33" x14ac:dyDescent="0.2">
      <c r="A2049" s="2"/>
      <c r="B2049" s="80"/>
      <c r="C2049" s="80"/>
      <c r="D2049" s="80"/>
      <c r="E2049" s="80"/>
      <c r="F2049" s="80"/>
      <c r="G2049" s="80"/>
      <c r="H2049" s="80"/>
      <c r="I2049" s="80"/>
      <c r="J2049" s="80"/>
      <c r="K2049" s="80"/>
      <c r="L2049" s="2"/>
      <c r="M2049" s="2"/>
      <c r="N2049" s="2"/>
      <c r="O2049" s="2"/>
      <c r="P2049" s="2"/>
      <c r="Q2049" s="2"/>
      <c r="R2049" s="80"/>
      <c r="S2049" s="80"/>
      <c r="T2049" s="80"/>
      <c r="U2049" s="80"/>
      <c r="V2049" s="80"/>
      <c r="W2049" s="80"/>
      <c r="X2049" s="80"/>
      <c r="Y2049" s="80"/>
      <c r="Z2049" s="80"/>
      <c r="AA2049" s="80"/>
      <c r="AB2049" s="80"/>
      <c r="AC2049" s="80"/>
      <c r="AD2049" s="80"/>
      <c r="AE2049" s="80"/>
      <c r="AF2049" s="80"/>
      <c r="AG2049" s="80"/>
    </row>
    <row r="2050" spans="1:33" x14ac:dyDescent="0.2">
      <c r="A2050" s="2"/>
      <c r="B2050" s="80"/>
      <c r="C2050" s="80"/>
      <c r="D2050" s="80"/>
      <c r="E2050" s="80"/>
      <c r="F2050" s="80"/>
      <c r="G2050" s="80"/>
      <c r="H2050" s="80"/>
      <c r="I2050" s="80"/>
      <c r="J2050" s="80"/>
      <c r="K2050" s="80"/>
      <c r="L2050" s="2"/>
      <c r="M2050" s="2"/>
      <c r="N2050" s="2"/>
      <c r="O2050" s="2"/>
      <c r="P2050" s="2"/>
      <c r="Q2050" s="2"/>
      <c r="R2050" s="80"/>
      <c r="S2050" s="80"/>
      <c r="T2050" s="80"/>
      <c r="U2050" s="80"/>
      <c r="V2050" s="80"/>
      <c r="W2050" s="80"/>
      <c r="X2050" s="80"/>
      <c r="Y2050" s="80"/>
      <c r="Z2050" s="80"/>
      <c r="AA2050" s="80"/>
      <c r="AB2050" s="80"/>
      <c r="AC2050" s="80"/>
      <c r="AD2050" s="80"/>
      <c r="AE2050" s="80"/>
      <c r="AF2050" s="80"/>
      <c r="AG2050" s="80"/>
    </row>
    <row r="2051" spans="1:33" x14ac:dyDescent="0.2">
      <c r="A2051" s="2"/>
      <c r="B2051" s="80"/>
      <c r="C2051" s="80"/>
      <c r="D2051" s="80"/>
      <c r="E2051" s="80"/>
      <c r="F2051" s="80"/>
      <c r="G2051" s="80"/>
      <c r="H2051" s="80"/>
      <c r="I2051" s="80"/>
      <c r="J2051" s="80"/>
      <c r="K2051" s="80"/>
      <c r="L2051" s="2"/>
      <c r="M2051" s="2"/>
      <c r="N2051" s="2"/>
      <c r="O2051" s="2"/>
      <c r="P2051" s="2"/>
      <c r="Q2051" s="2"/>
      <c r="R2051" s="80"/>
      <c r="S2051" s="80"/>
      <c r="T2051" s="80"/>
      <c r="U2051" s="80"/>
      <c r="V2051" s="80"/>
      <c r="W2051" s="80"/>
      <c r="X2051" s="80"/>
      <c r="Y2051" s="80"/>
      <c r="Z2051" s="80"/>
      <c r="AA2051" s="80"/>
      <c r="AB2051" s="80"/>
      <c r="AC2051" s="80"/>
      <c r="AD2051" s="80"/>
      <c r="AE2051" s="80"/>
      <c r="AF2051" s="80"/>
      <c r="AG2051" s="80"/>
    </row>
    <row r="2052" spans="1:33" x14ac:dyDescent="0.2">
      <c r="A2052" s="2"/>
      <c r="B2052" s="80"/>
      <c r="C2052" s="80"/>
      <c r="D2052" s="80"/>
      <c r="E2052" s="80"/>
      <c r="F2052" s="80"/>
      <c r="G2052" s="80"/>
      <c r="H2052" s="80"/>
      <c r="I2052" s="80"/>
      <c r="J2052" s="80"/>
      <c r="K2052" s="80"/>
      <c r="L2052" s="2"/>
      <c r="M2052" s="2"/>
      <c r="N2052" s="2"/>
      <c r="O2052" s="2"/>
      <c r="P2052" s="2"/>
      <c r="Q2052" s="2"/>
      <c r="R2052" s="80"/>
      <c r="S2052" s="80"/>
      <c r="T2052" s="80"/>
      <c r="U2052" s="80"/>
      <c r="V2052" s="80"/>
      <c r="W2052" s="80"/>
      <c r="X2052" s="80"/>
      <c r="Y2052" s="80"/>
      <c r="Z2052" s="80"/>
      <c r="AA2052" s="80"/>
      <c r="AB2052" s="80"/>
      <c r="AC2052" s="80"/>
      <c r="AD2052" s="80"/>
      <c r="AE2052" s="80"/>
      <c r="AF2052" s="80"/>
      <c r="AG2052" s="80"/>
    </row>
    <row r="2053" spans="1:33" x14ac:dyDescent="0.2">
      <c r="A2053" s="2"/>
      <c r="B2053" s="80"/>
      <c r="C2053" s="80"/>
      <c r="D2053" s="80"/>
      <c r="E2053" s="80"/>
      <c r="F2053" s="80"/>
      <c r="G2053" s="80"/>
      <c r="H2053" s="80"/>
      <c r="I2053" s="80"/>
      <c r="J2053" s="80"/>
      <c r="K2053" s="80"/>
      <c r="L2053" s="2"/>
      <c r="M2053" s="2"/>
      <c r="N2053" s="2"/>
      <c r="O2053" s="2"/>
      <c r="P2053" s="2"/>
      <c r="Q2053" s="2"/>
      <c r="R2053" s="80"/>
      <c r="S2053" s="80"/>
      <c r="T2053" s="80"/>
      <c r="U2053" s="80"/>
      <c r="V2053" s="80"/>
      <c r="W2053" s="80"/>
      <c r="X2053" s="80"/>
      <c r="Y2053" s="80"/>
      <c r="Z2053" s="80"/>
      <c r="AA2053" s="80"/>
      <c r="AB2053" s="80"/>
      <c r="AC2053" s="80"/>
      <c r="AD2053" s="80"/>
      <c r="AE2053" s="80"/>
      <c r="AF2053" s="80"/>
      <c r="AG2053" s="80"/>
    </row>
    <row r="2054" spans="1:33" x14ac:dyDescent="0.2">
      <c r="A2054" s="2"/>
      <c r="B2054" s="80"/>
      <c r="C2054" s="80"/>
      <c r="D2054" s="80"/>
      <c r="E2054" s="80"/>
      <c r="F2054" s="80"/>
      <c r="G2054" s="80"/>
      <c r="H2054" s="80"/>
      <c r="I2054" s="80"/>
      <c r="J2054" s="80"/>
      <c r="K2054" s="80"/>
      <c r="L2054" s="2"/>
      <c r="M2054" s="2"/>
      <c r="N2054" s="2"/>
      <c r="O2054" s="2"/>
      <c r="P2054" s="2"/>
      <c r="Q2054" s="2"/>
      <c r="R2054" s="80"/>
      <c r="S2054" s="80"/>
      <c r="T2054" s="80"/>
      <c r="U2054" s="80"/>
      <c r="V2054" s="80"/>
      <c r="W2054" s="80"/>
      <c r="X2054" s="80"/>
      <c r="Y2054" s="80"/>
      <c r="Z2054" s="80"/>
      <c r="AA2054" s="80"/>
      <c r="AB2054" s="80"/>
      <c r="AC2054" s="80"/>
      <c r="AD2054" s="80"/>
      <c r="AE2054" s="80"/>
      <c r="AF2054" s="80"/>
      <c r="AG2054" s="80"/>
    </row>
    <row r="2055" spans="1:33" x14ac:dyDescent="0.2">
      <c r="A2055" s="2"/>
      <c r="B2055" s="80"/>
      <c r="C2055" s="80"/>
      <c r="D2055" s="80"/>
      <c r="E2055" s="80"/>
      <c r="F2055" s="80"/>
      <c r="G2055" s="80"/>
      <c r="H2055" s="80"/>
      <c r="I2055" s="80"/>
      <c r="J2055" s="80"/>
      <c r="K2055" s="80"/>
      <c r="L2055" s="2"/>
      <c r="M2055" s="2"/>
      <c r="N2055" s="2"/>
      <c r="O2055" s="2"/>
      <c r="P2055" s="2"/>
      <c r="Q2055" s="2"/>
      <c r="R2055" s="80"/>
      <c r="S2055" s="80"/>
      <c r="T2055" s="80"/>
      <c r="U2055" s="80"/>
      <c r="V2055" s="80"/>
      <c r="W2055" s="80"/>
      <c r="X2055" s="80"/>
      <c r="Y2055" s="80"/>
      <c r="Z2055" s="80"/>
      <c r="AA2055" s="80"/>
      <c r="AB2055" s="80"/>
      <c r="AC2055" s="80"/>
      <c r="AD2055" s="80"/>
      <c r="AE2055" s="80"/>
      <c r="AF2055" s="80"/>
      <c r="AG2055" s="80"/>
    </row>
    <row r="2056" spans="1:33" x14ac:dyDescent="0.2">
      <c r="A2056" s="2"/>
      <c r="B2056" s="80"/>
      <c r="C2056" s="80"/>
      <c r="D2056" s="80"/>
      <c r="E2056" s="80"/>
      <c r="F2056" s="80"/>
      <c r="G2056" s="80"/>
      <c r="H2056" s="80"/>
      <c r="I2056" s="80"/>
      <c r="J2056" s="80"/>
      <c r="K2056" s="80"/>
      <c r="L2056" s="2"/>
      <c r="M2056" s="2"/>
      <c r="N2056" s="2"/>
      <c r="O2056" s="2"/>
      <c r="P2056" s="2"/>
      <c r="Q2056" s="2"/>
      <c r="R2056" s="80"/>
      <c r="S2056" s="80"/>
      <c r="T2056" s="80"/>
      <c r="U2056" s="80"/>
      <c r="V2056" s="80"/>
      <c r="W2056" s="80"/>
      <c r="X2056" s="80"/>
      <c r="Y2056" s="80"/>
      <c r="Z2056" s="80"/>
      <c r="AA2056" s="80"/>
      <c r="AB2056" s="80"/>
      <c r="AC2056" s="80"/>
      <c r="AD2056" s="80"/>
      <c r="AE2056" s="80"/>
      <c r="AF2056" s="80"/>
      <c r="AG2056" s="80"/>
    </row>
    <row r="2057" spans="1:33" x14ac:dyDescent="0.2">
      <c r="A2057" s="2"/>
      <c r="B2057" s="80"/>
      <c r="C2057" s="80"/>
      <c r="D2057" s="80"/>
      <c r="E2057" s="80"/>
      <c r="F2057" s="80"/>
      <c r="G2057" s="80"/>
      <c r="H2057" s="80"/>
      <c r="I2057" s="80"/>
      <c r="J2057" s="80"/>
      <c r="K2057" s="80"/>
      <c r="L2057" s="2"/>
      <c r="M2057" s="2"/>
      <c r="N2057" s="2"/>
      <c r="O2057" s="2"/>
      <c r="P2057" s="2"/>
      <c r="Q2057" s="2"/>
      <c r="R2057" s="80"/>
      <c r="S2057" s="80"/>
      <c r="T2057" s="80"/>
      <c r="U2057" s="80"/>
      <c r="V2057" s="80"/>
      <c r="W2057" s="80"/>
      <c r="X2057" s="80"/>
      <c r="Y2057" s="80"/>
      <c r="Z2057" s="80"/>
      <c r="AA2057" s="80"/>
      <c r="AB2057" s="80"/>
      <c r="AC2057" s="80"/>
      <c r="AD2057" s="80"/>
      <c r="AE2057" s="80"/>
      <c r="AF2057" s="80"/>
      <c r="AG2057" s="80"/>
    </row>
    <row r="2058" spans="1:33" x14ac:dyDescent="0.2">
      <c r="A2058" s="2"/>
      <c r="B2058" s="80"/>
      <c r="C2058" s="80"/>
      <c r="D2058" s="80"/>
      <c r="E2058" s="80"/>
      <c r="F2058" s="80"/>
      <c r="G2058" s="80"/>
      <c r="H2058" s="80"/>
      <c r="I2058" s="80"/>
      <c r="J2058" s="80"/>
      <c r="K2058" s="80"/>
      <c r="L2058" s="2"/>
      <c r="M2058" s="2"/>
      <c r="N2058" s="2"/>
      <c r="O2058" s="2"/>
      <c r="P2058" s="2"/>
      <c r="Q2058" s="2"/>
      <c r="R2058" s="80"/>
      <c r="S2058" s="80"/>
      <c r="T2058" s="80"/>
      <c r="U2058" s="80"/>
      <c r="V2058" s="80"/>
      <c r="W2058" s="80"/>
      <c r="X2058" s="80"/>
      <c r="Y2058" s="80"/>
      <c r="Z2058" s="80"/>
      <c r="AA2058" s="80"/>
      <c r="AB2058" s="80"/>
      <c r="AC2058" s="80"/>
      <c r="AD2058" s="80"/>
      <c r="AE2058" s="80"/>
      <c r="AF2058" s="80"/>
      <c r="AG2058" s="80"/>
    </row>
    <row r="2059" spans="1:33" x14ac:dyDescent="0.2">
      <c r="A2059" s="2"/>
      <c r="B2059" s="80"/>
      <c r="C2059" s="80"/>
      <c r="D2059" s="80"/>
      <c r="E2059" s="80"/>
      <c r="F2059" s="80"/>
      <c r="G2059" s="80"/>
      <c r="H2059" s="80"/>
      <c r="I2059" s="80"/>
      <c r="J2059" s="80"/>
      <c r="K2059" s="80"/>
      <c r="L2059" s="2"/>
      <c r="M2059" s="2"/>
      <c r="N2059" s="2"/>
      <c r="O2059" s="2"/>
      <c r="P2059" s="2"/>
      <c r="Q2059" s="2"/>
      <c r="R2059" s="80"/>
      <c r="S2059" s="80"/>
      <c r="T2059" s="80"/>
      <c r="U2059" s="80"/>
      <c r="V2059" s="80"/>
      <c r="W2059" s="80"/>
      <c r="X2059" s="80"/>
      <c r="Y2059" s="80"/>
      <c r="Z2059" s="80"/>
      <c r="AA2059" s="80"/>
      <c r="AB2059" s="80"/>
      <c r="AC2059" s="80"/>
      <c r="AD2059" s="80"/>
      <c r="AE2059" s="80"/>
      <c r="AF2059" s="80"/>
      <c r="AG2059" s="80"/>
    </row>
    <row r="2060" spans="1:33" x14ac:dyDescent="0.2">
      <c r="A2060" s="2"/>
      <c r="B2060" s="80"/>
      <c r="C2060" s="80"/>
      <c r="D2060" s="80"/>
      <c r="E2060" s="80"/>
      <c r="F2060" s="80"/>
      <c r="G2060" s="80"/>
      <c r="H2060" s="80"/>
      <c r="I2060" s="80"/>
      <c r="J2060" s="80"/>
      <c r="K2060" s="80"/>
      <c r="L2060" s="2"/>
      <c r="M2060" s="2"/>
      <c r="N2060" s="2"/>
      <c r="O2060" s="2"/>
      <c r="P2060" s="2"/>
      <c r="Q2060" s="2"/>
      <c r="R2060" s="80"/>
      <c r="S2060" s="80"/>
      <c r="T2060" s="80"/>
      <c r="U2060" s="80"/>
      <c r="V2060" s="80"/>
      <c r="W2060" s="80"/>
      <c r="X2060" s="80"/>
      <c r="Y2060" s="80"/>
      <c r="Z2060" s="80"/>
      <c r="AA2060" s="80"/>
      <c r="AB2060" s="80"/>
      <c r="AC2060" s="80"/>
      <c r="AD2060" s="80"/>
      <c r="AE2060" s="80"/>
      <c r="AF2060" s="80"/>
      <c r="AG2060" s="80"/>
    </row>
    <row r="2061" spans="1:33" x14ac:dyDescent="0.2">
      <c r="A2061" s="2"/>
      <c r="B2061" s="80"/>
      <c r="C2061" s="80"/>
      <c r="D2061" s="80"/>
      <c r="E2061" s="80"/>
      <c r="F2061" s="80"/>
      <c r="G2061" s="80"/>
      <c r="H2061" s="80"/>
      <c r="I2061" s="80"/>
      <c r="J2061" s="80"/>
      <c r="K2061" s="80"/>
      <c r="L2061" s="2"/>
      <c r="M2061" s="2"/>
      <c r="N2061" s="2"/>
      <c r="O2061" s="2"/>
      <c r="P2061" s="2"/>
      <c r="Q2061" s="2"/>
      <c r="R2061" s="80"/>
      <c r="S2061" s="80"/>
      <c r="T2061" s="80"/>
      <c r="U2061" s="80"/>
      <c r="V2061" s="80"/>
      <c r="W2061" s="80"/>
      <c r="X2061" s="80"/>
      <c r="Y2061" s="80"/>
      <c r="Z2061" s="80"/>
      <c r="AA2061" s="80"/>
      <c r="AB2061" s="80"/>
      <c r="AC2061" s="80"/>
      <c r="AD2061" s="80"/>
      <c r="AE2061" s="80"/>
      <c r="AF2061" s="80"/>
      <c r="AG2061" s="80"/>
    </row>
    <row r="2062" spans="1:33" x14ac:dyDescent="0.2">
      <c r="A2062" s="2"/>
      <c r="B2062" s="80"/>
      <c r="C2062" s="80"/>
      <c r="D2062" s="80"/>
      <c r="E2062" s="80"/>
      <c r="F2062" s="80"/>
      <c r="G2062" s="80"/>
      <c r="H2062" s="80"/>
      <c r="I2062" s="80"/>
      <c r="J2062" s="80"/>
      <c r="K2062" s="80"/>
      <c r="L2062" s="2"/>
      <c r="M2062" s="2"/>
      <c r="N2062" s="2"/>
      <c r="O2062" s="2"/>
      <c r="P2062" s="2"/>
      <c r="Q2062" s="2"/>
      <c r="R2062" s="80"/>
      <c r="S2062" s="80"/>
      <c r="T2062" s="80"/>
      <c r="U2062" s="80"/>
      <c r="V2062" s="80"/>
      <c r="W2062" s="80"/>
      <c r="X2062" s="80"/>
      <c r="Y2062" s="80"/>
      <c r="Z2062" s="80"/>
      <c r="AA2062" s="80"/>
      <c r="AB2062" s="80"/>
      <c r="AC2062" s="80"/>
      <c r="AD2062" s="80"/>
      <c r="AE2062" s="80"/>
      <c r="AF2062" s="80"/>
      <c r="AG2062" s="80"/>
    </row>
    <row r="2063" spans="1:33" x14ac:dyDescent="0.2">
      <c r="A2063" s="2"/>
      <c r="B2063" s="80"/>
      <c r="C2063" s="80"/>
      <c r="D2063" s="80"/>
      <c r="E2063" s="80"/>
      <c r="F2063" s="80"/>
      <c r="G2063" s="80"/>
      <c r="H2063" s="80"/>
      <c r="I2063" s="80"/>
      <c r="J2063" s="80"/>
      <c r="K2063" s="80"/>
      <c r="L2063" s="2"/>
      <c r="M2063" s="2"/>
      <c r="N2063" s="2"/>
      <c r="O2063" s="2"/>
      <c r="P2063" s="2"/>
      <c r="Q2063" s="2"/>
      <c r="R2063" s="80"/>
      <c r="S2063" s="80"/>
      <c r="T2063" s="80"/>
      <c r="U2063" s="80"/>
      <c r="V2063" s="80"/>
      <c r="W2063" s="80"/>
      <c r="X2063" s="80"/>
      <c r="Y2063" s="80"/>
      <c r="Z2063" s="80"/>
      <c r="AA2063" s="80"/>
      <c r="AB2063" s="80"/>
      <c r="AC2063" s="80"/>
      <c r="AD2063" s="80"/>
      <c r="AE2063" s="80"/>
      <c r="AF2063" s="80"/>
      <c r="AG2063" s="80"/>
    </row>
    <row r="2064" spans="1:33" x14ac:dyDescent="0.2">
      <c r="A2064" s="2"/>
      <c r="B2064" s="80"/>
      <c r="C2064" s="80"/>
      <c r="D2064" s="80"/>
      <c r="E2064" s="80"/>
      <c r="F2064" s="80"/>
      <c r="G2064" s="80"/>
      <c r="H2064" s="80"/>
      <c r="I2064" s="80"/>
      <c r="J2064" s="80"/>
      <c r="K2064" s="80"/>
      <c r="L2064" s="2"/>
      <c r="M2064" s="2"/>
      <c r="N2064" s="2"/>
      <c r="O2064" s="2"/>
      <c r="P2064" s="2"/>
      <c r="Q2064" s="2"/>
      <c r="R2064" s="80"/>
      <c r="S2064" s="80"/>
      <c r="T2064" s="80"/>
      <c r="U2064" s="80"/>
      <c r="V2064" s="80"/>
      <c r="W2064" s="80"/>
      <c r="X2064" s="80"/>
      <c r="Y2064" s="80"/>
      <c r="Z2064" s="80"/>
      <c r="AA2064" s="80"/>
      <c r="AB2064" s="80"/>
      <c r="AC2064" s="80"/>
      <c r="AD2064" s="80"/>
      <c r="AE2064" s="80"/>
      <c r="AF2064" s="80"/>
      <c r="AG2064" s="80"/>
    </row>
    <row r="2065" spans="1:33" x14ac:dyDescent="0.2">
      <c r="A2065" s="2"/>
      <c r="B2065" s="80"/>
      <c r="C2065" s="80"/>
      <c r="D2065" s="80"/>
      <c r="E2065" s="80"/>
      <c r="F2065" s="80"/>
      <c r="G2065" s="80"/>
      <c r="H2065" s="80"/>
      <c r="I2065" s="80"/>
      <c r="J2065" s="80"/>
      <c r="K2065" s="80"/>
      <c r="L2065" s="2"/>
      <c r="M2065" s="2"/>
      <c r="N2065" s="2"/>
      <c r="O2065" s="2"/>
      <c r="P2065" s="2"/>
      <c r="Q2065" s="2"/>
      <c r="R2065" s="80"/>
      <c r="S2065" s="80"/>
      <c r="T2065" s="80"/>
      <c r="U2065" s="80"/>
      <c r="V2065" s="80"/>
      <c r="W2065" s="80"/>
      <c r="X2065" s="80"/>
      <c r="Y2065" s="80"/>
      <c r="Z2065" s="80"/>
      <c r="AA2065" s="80"/>
      <c r="AB2065" s="80"/>
      <c r="AC2065" s="80"/>
      <c r="AD2065" s="80"/>
      <c r="AE2065" s="80"/>
      <c r="AF2065" s="80"/>
      <c r="AG2065" s="80"/>
    </row>
    <row r="2066" spans="1:33" x14ac:dyDescent="0.2">
      <c r="A2066" s="2"/>
      <c r="B2066" s="80"/>
      <c r="C2066" s="80"/>
      <c r="D2066" s="80"/>
      <c r="E2066" s="80"/>
      <c r="F2066" s="80"/>
      <c r="G2066" s="80"/>
      <c r="H2066" s="80"/>
      <c r="I2066" s="80"/>
      <c r="J2066" s="80"/>
      <c r="K2066" s="80"/>
      <c r="L2066" s="2"/>
      <c r="M2066" s="2"/>
      <c r="N2066" s="2"/>
      <c r="O2066" s="2"/>
      <c r="P2066" s="2"/>
      <c r="Q2066" s="2"/>
      <c r="R2066" s="80"/>
      <c r="S2066" s="80"/>
      <c r="T2066" s="80"/>
      <c r="U2066" s="80"/>
      <c r="V2066" s="80"/>
      <c r="W2066" s="80"/>
      <c r="X2066" s="80"/>
      <c r="Y2066" s="80"/>
      <c r="Z2066" s="80"/>
      <c r="AA2066" s="80"/>
      <c r="AB2066" s="80"/>
      <c r="AC2066" s="80"/>
      <c r="AD2066" s="80"/>
      <c r="AE2066" s="80"/>
      <c r="AF2066" s="80"/>
      <c r="AG2066" s="80"/>
    </row>
    <row r="2067" spans="1:33" x14ac:dyDescent="0.2">
      <c r="A2067" s="2"/>
      <c r="B2067" s="80"/>
      <c r="C2067" s="80"/>
      <c r="D2067" s="80"/>
      <c r="E2067" s="80"/>
      <c r="F2067" s="80"/>
      <c r="G2067" s="80"/>
      <c r="H2067" s="80"/>
      <c r="I2067" s="80"/>
      <c r="J2067" s="80"/>
      <c r="K2067" s="80"/>
      <c r="L2067" s="2"/>
      <c r="M2067" s="2"/>
      <c r="N2067" s="2"/>
      <c r="O2067" s="2"/>
      <c r="P2067" s="2"/>
      <c r="Q2067" s="2"/>
      <c r="R2067" s="80"/>
      <c r="S2067" s="80"/>
      <c r="T2067" s="80"/>
      <c r="U2067" s="80"/>
      <c r="V2067" s="80"/>
      <c r="W2067" s="80"/>
      <c r="X2067" s="80"/>
      <c r="Y2067" s="80"/>
      <c r="Z2067" s="80"/>
      <c r="AA2067" s="80"/>
      <c r="AB2067" s="80"/>
      <c r="AC2067" s="80"/>
      <c r="AD2067" s="80"/>
      <c r="AE2067" s="80"/>
      <c r="AF2067" s="80"/>
      <c r="AG2067" s="80"/>
    </row>
    <row r="2068" spans="1:33" x14ac:dyDescent="0.2">
      <c r="A2068" s="2"/>
      <c r="B2068" s="80"/>
      <c r="C2068" s="80"/>
      <c r="D2068" s="80"/>
      <c r="E2068" s="80"/>
      <c r="F2068" s="80"/>
      <c r="G2068" s="80"/>
      <c r="H2068" s="80"/>
      <c r="I2068" s="80"/>
      <c r="J2068" s="80"/>
      <c r="K2068" s="80"/>
      <c r="L2068" s="2"/>
      <c r="M2068" s="2"/>
      <c r="N2068" s="2"/>
      <c r="O2068" s="2"/>
      <c r="P2068" s="2"/>
      <c r="Q2068" s="2"/>
      <c r="R2068" s="80"/>
      <c r="S2068" s="80"/>
      <c r="T2068" s="80"/>
      <c r="U2068" s="80"/>
      <c r="V2068" s="80"/>
      <c r="W2068" s="80"/>
      <c r="X2068" s="80"/>
      <c r="Y2068" s="80"/>
      <c r="Z2068" s="80"/>
      <c r="AA2068" s="80"/>
      <c r="AB2068" s="80"/>
      <c r="AC2068" s="80"/>
      <c r="AD2068" s="80"/>
      <c r="AE2068" s="80"/>
      <c r="AF2068" s="80"/>
      <c r="AG2068" s="80"/>
    </row>
    <row r="2069" spans="1:33" x14ac:dyDescent="0.2">
      <c r="A2069" s="2"/>
      <c r="B2069" s="80"/>
      <c r="C2069" s="80"/>
      <c r="D2069" s="80"/>
      <c r="E2069" s="80"/>
      <c r="F2069" s="80"/>
      <c r="G2069" s="80"/>
      <c r="H2069" s="80"/>
      <c r="I2069" s="80"/>
      <c r="J2069" s="80"/>
      <c r="K2069" s="80"/>
      <c r="L2069" s="2"/>
      <c r="M2069" s="2"/>
      <c r="N2069" s="2"/>
      <c r="O2069" s="2"/>
      <c r="P2069" s="2"/>
      <c r="Q2069" s="2"/>
      <c r="R2069" s="80"/>
      <c r="S2069" s="80"/>
      <c r="T2069" s="80"/>
      <c r="U2069" s="80"/>
      <c r="V2069" s="80"/>
      <c r="W2069" s="80"/>
      <c r="X2069" s="80"/>
      <c r="Y2069" s="80"/>
      <c r="Z2069" s="80"/>
      <c r="AA2069" s="80"/>
      <c r="AB2069" s="80"/>
      <c r="AC2069" s="80"/>
      <c r="AD2069" s="80"/>
      <c r="AE2069" s="80"/>
      <c r="AF2069" s="80"/>
      <c r="AG2069" s="80"/>
    </row>
    <row r="2070" spans="1:33" x14ac:dyDescent="0.2">
      <c r="A2070" s="2"/>
      <c r="B2070" s="80"/>
      <c r="C2070" s="80"/>
      <c r="D2070" s="80"/>
      <c r="E2070" s="80"/>
      <c r="F2070" s="80"/>
      <c r="G2070" s="80"/>
      <c r="H2070" s="80"/>
      <c r="I2070" s="80"/>
      <c r="J2070" s="80"/>
      <c r="K2070" s="80"/>
      <c r="L2070" s="2"/>
      <c r="M2070" s="2"/>
      <c r="N2070" s="2"/>
      <c r="O2070" s="2"/>
      <c r="P2070" s="2"/>
      <c r="Q2070" s="2"/>
      <c r="R2070" s="80"/>
      <c r="S2070" s="80"/>
      <c r="T2070" s="80"/>
      <c r="U2070" s="80"/>
      <c r="V2070" s="80"/>
      <c r="W2070" s="80"/>
      <c r="X2070" s="80"/>
      <c r="Y2070" s="80"/>
      <c r="Z2070" s="80"/>
      <c r="AA2070" s="80"/>
      <c r="AB2070" s="80"/>
      <c r="AC2070" s="80"/>
      <c r="AD2070" s="80"/>
      <c r="AE2070" s="80"/>
      <c r="AF2070" s="80"/>
      <c r="AG2070" s="80"/>
    </row>
    <row r="2071" spans="1:33" x14ac:dyDescent="0.2">
      <c r="A2071" s="2"/>
      <c r="B2071" s="80"/>
      <c r="C2071" s="80"/>
      <c r="D2071" s="80"/>
      <c r="E2071" s="80"/>
      <c r="F2071" s="80"/>
      <c r="G2071" s="80"/>
      <c r="H2071" s="80"/>
      <c r="I2071" s="80"/>
      <c r="J2071" s="80"/>
      <c r="K2071" s="80"/>
      <c r="L2071" s="2"/>
      <c r="M2071" s="2"/>
      <c r="N2071" s="2"/>
      <c r="O2071" s="2"/>
      <c r="P2071" s="2"/>
      <c r="Q2071" s="2"/>
      <c r="R2071" s="80"/>
      <c r="S2071" s="80"/>
      <c r="T2071" s="80"/>
      <c r="U2071" s="80"/>
      <c r="V2071" s="80"/>
      <c r="W2071" s="80"/>
      <c r="X2071" s="80"/>
      <c r="Y2071" s="80"/>
      <c r="Z2071" s="80"/>
      <c r="AA2071" s="80"/>
      <c r="AB2071" s="80"/>
      <c r="AC2071" s="80"/>
      <c r="AD2071" s="80"/>
      <c r="AE2071" s="80"/>
      <c r="AF2071" s="80"/>
      <c r="AG2071" s="80"/>
    </row>
    <row r="2072" spans="1:33" x14ac:dyDescent="0.2">
      <c r="A2072" s="2"/>
      <c r="B2072" s="80"/>
      <c r="C2072" s="80"/>
      <c r="D2072" s="80"/>
      <c r="E2072" s="80"/>
      <c r="F2072" s="80"/>
      <c r="G2072" s="80"/>
      <c r="H2072" s="80"/>
      <c r="I2072" s="80"/>
      <c r="J2072" s="80"/>
      <c r="K2072" s="80"/>
      <c r="L2072" s="2"/>
      <c r="M2072" s="2"/>
      <c r="N2072" s="2"/>
      <c r="O2072" s="2"/>
      <c r="P2072" s="2"/>
      <c r="Q2072" s="2"/>
      <c r="R2072" s="80"/>
      <c r="S2072" s="80"/>
      <c r="T2072" s="80"/>
      <c r="U2072" s="80"/>
      <c r="V2072" s="80"/>
      <c r="W2072" s="80"/>
      <c r="X2072" s="80"/>
      <c r="Y2072" s="80"/>
      <c r="Z2072" s="80"/>
      <c r="AA2072" s="80"/>
      <c r="AB2072" s="80"/>
      <c r="AC2072" s="80"/>
      <c r="AD2072" s="80"/>
      <c r="AE2072" s="80"/>
      <c r="AF2072" s="80"/>
      <c r="AG2072" s="80"/>
    </row>
    <row r="2073" spans="1:33" x14ac:dyDescent="0.2">
      <c r="A2073" s="2"/>
      <c r="B2073" s="80"/>
      <c r="C2073" s="80"/>
      <c r="D2073" s="80"/>
      <c r="E2073" s="80"/>
      <c r="F2073" s="80"/>
      <c r="G2073" s="80"/>
      <c r="H2073" s="80"/>
      <c r="I2073" s="80"/>
      <c r="J2073" s="80"/>
      <c r="K2073" s="80"/>
      <c r="L2073" s="2"/>
      <c r="M2073" s="2"/>
      <c r="N2073" s="2"/>
      <c r="O2073" s="2"/>
      <c r="P2073" s="2"/>
      <c r="Q2073" s="2"/>
      <c r="R2073" s="80"/>
      <c r="S2073" s="80"/>
      <c r="T2073" s="80"/>
      <c r="U2073" s="80"/>
      <c r="V2073" s="80"/>
      <c r="W2073" s="80"/>
      <c r="X2073" s="80"/>
      <c r="Y2073" s="80"/>
      <c r="Z2073" s="80"/>
      <c r="AA2073" s="80"/>
      <c r="AB2073" s="80"/>
      <c r="AC2073" s="80"/>
      <c r="AD2073" s="80"/>
      <c r="AE2073" s="80"/>
      <c r="AF2073" s="80"/>
      <c r="AG2073" s="80"/>
    </row>
    <row r="2074" spans="1:33" x14ac:dyDescent="0.2">
      <c r="A2074" s="2"/>
      <c r="B2074" s="80"/>
      <c r="C2074" s="80"/>
      <c r="D2074" s="80"/>
      <c r="E2074" s="80"/>
      <c r="F2074" s="80"/>
      <c r="G2074" s="80"/>
      <c r="H2074" s="80"/>
      <c r="I2074" s="80"/>
      <c r="J2074" s="80"/>
      <c r="K2074" s="80"/>
      <c r="L2074" s="2"/>
      <c r="M2074" s="2"/>
      <c r="N2074" s="2"/>
      <c r="O2074" s="2"/>
      <c r="P2074" s="2"/>
      <c r="Q2074" s="2"/>
      <c r="R2074" s="80"/>
      <c r="S2074" s="80"/>
      <c r="T2074" s="80"/>
      <c r="U2074" s="80"/>
      <c r="V2074" s="80"/>
      <c r="W2074" s="80"/>
      <c r="X2074" s="80"/>
      <c r="Y2074" s="80"/>
      <c r="Z2074" s="80"/>
      <c r="AA2074" s="80"/>
      <c r="AB2074" s="80"/>
      <c r="AC2074" s="80"/>
      <c r="AD2074" s="80"/>
      <c r="AE2074" s="80"/>
      <c r="AF2074" s="80"/>
      <c r="AG2074" s="80"/>
    </row>
    <row r="2075" spans="1:33" x14ac:dyDescent="0.2">
      <c r="A2075" s="2"/>
      <c r="B2075" s="80"/>
      <c r="C2075" s="80"/>
      <c r="D2075" s="80"/>
      <c r="E2075" s="80"/>
      <c r="F2075" s="80"/>
      <c r="G2075" s="80"/>
      <c r="H2075" s="80"/>
      <c r="I2075" s="80"/>
      <c r="J2075" s="80"/>
      <c r="K2075" s="80"/>
      <c r="L2075" s="2"/>
      <c r="M2075" s="2"/>
      <c r="N2075" s="2"/>
      <c r="O2075" s="2"/>
      <c r="P2075" s="2"/>
      <c r="Q2075" s="2"/>
      <c r="R2075" s="80"/>
      <c r="S2075" s="80"/>
      <c r="T2075" s="80"/>
      <c r="U2075" s="80"/>
      <c r="V2075" s="80"/>
      <c r="W2075" s="80"/>
      <c r="X2075" s="80"/>
      <c r="Y2075" s="80"/>
      <c r="Z2075" s="80"/>
      <c r="AA2075" s="80"/>
      <c r="AB2075" s="80"/>
      <c r="AC2075" s="80"/>
      <c r="AD2075" s="80"/>
      <c r="AE2075" s="80"/>
      <c r="AF2075" s="80"/>
      <c r="AG2075" s="80"/>
    </row>
    <row r="2076" spans="1:33" x14ac:dyDescent="0.2">
      <c r="A2076" s="2"/>
      <c r="B2076" s="80"/>
      <c r="C2076" s="80"/>
      <c r="D2076" s="80"/>
      <c r="E2076" s="80"/>
      <c r="F2076" s="80"/>
      <c r="G2076" s="80"/>
      <c r="H2076" s="80"/>
      <c r="I2076" s="80"/>
      <c r="J2076" s="80"/>
      <c r="K2076" s="80"/>
      <c r="L2076" s="2"/>
      <c r="M2076" s="2"/>
      <c r="N2076" s="2"/>
      <c r="O2076" s="2"/>
      <c r="P2076" s="2"/>
      <c r="Q2076" s="2"/>
      <c r="R2076" s="80"/>
      <c r="S2076" s="80"/>
      <c r="T2076" s="80"/>
      <c r="U2076" s="80"/>
      <c r="V2076" s="80"/>
      <c r="W2076" s="80"/>
      <c r="X2076" s="80"/>
      <c r="Y2076" s="80"/>
      <c r="Z2076" s="80"/>
      <c r="AA2076" s="80"/>
      <c r="AB2076" s="80"/>
      <c r="AC2076" s="80"/>
      <c r="AD2076" s="80"/>
      <c r="AE2076" s="80"/>
      <c r="AF2076" s="80"/>
      <c r="AG2076" s="80"/>
    </row>
    <row r="2077" spans="1:33" x14ac:dyDescent="0.2">
      <c r="A2077" s="2"/>
      <c r="B2077" s="80"/>
      <c r="C2077" s="80"/>
      <c r="D2077" s="80"/>
      <c r="E2077" s="80"/>
      <c r="F2077" s="80"/>
      <c r="G2077" s="80"/>
      <c r="H2077" s="80"/>
      <c r="I2077" s="80"/>
      <c r="J2077" s="80"/>
      <c r="K2077" s="80"/>
      <c r="L2077" s="2"/>
      <c r="M2077" s="2"/>
      <c r="N2077" s="2"/>
      <c r="O2077" s="2"/>
      <c r="P2077" s="2"/>
      <c r="Q2077" s="2"/>
      <c r="R2077" s="80"/>
      <c r="S2077" s="80"/>
      <c r="T2077" s="80"/>
      <c r="U2077" s="80"/>
      <c r="V2077" s="80"/>
      <c r="W2077" s="80"/>
      <c r="X2077" s="80"/>
      <c r="Y2077" s="80"/>
      <c r="Z2077" s="80"/>
      <c r="AA2077" s="80"/>
      <c r="AB2077" s="80"/>
      <c r="AC2077" s="80"/>
      <c r="AD2077" s="80"/>
      <c r="AE2077" s="80"/>
      <c r="AF2077" s="80"/>
      <c r="AG2077" s="80"/>
    </row>
    <row r="2078" spans="1:33" x14ac:dyDescent="0.2">
      <c r="A2078" s="2"/>
      <c r="B2078" s="80"/>
      <c r="C2078" s="80"/>
      <c r="D2078" s="80"/>
      <c r="E2078" s="80"/>
      <c r="F2078" s="80"/>
      <c r="G2078" s="80"/>
      <c r="H2078" s="80"/>
      <c r="I2078" s="80"/>
      <c r="J2078" s="80"/>
      <c r="K2078" s="80"/>
      <c r="L2078" s="2"/>
      <c r="M2078" s="2"/>
      <c r="N2078" s="2"/>
      <c r="O2078" s="2"/>
      <c r="P2078" s="2"/>
      <c r="Q2078" s="2"/>
      <c r="R2078" s="80"/>
      <c r="S2078" s="80"/>
      <c r="T2078" s="80"/>
      <c r="U2078" s="80"/>
      <c r="V2078" s="80"/>
      <c r="W2078" s="80"/>
      <c r="X2078" s="80"/>
      <c r="Y2078" s="80"/>
      <c r="Z2078" s="80"/>
      <c r="AA2078" s="80"/>
      <c r="AB2078" s="80"/>
      <c r="AC2078" s="80"/>
      <c r="AD2078" s="80"/>
      <c r="AE2078" s="80"/>
      <c r="AF2078" s="80"/>
      <c r="AG2078" s="80"/>
    </row>
    <row r="2079" spans="1:33" x14ac:dyDescent="0.2">
      <c r="A2079" s="2"/>
      <c r="B2079" s="80"/>
      <c r="C2079" s="80"/>
      <c r="D2079" s="80"/>
      <c r="E2079" s="80"/>
      <c r="F2079" s="80"/>
      <c r="G2079" s="80"/>
      <c r="H2079" s="80"/>
      <c r="I2079" s="80"/>
      <c r="J2079" s="80"/>
      <c r="K2079" s="80"/>
      <c r="L2079" s="2"/>
      <c r="M2079" s="2"/>
      <c r="N2079" s="2"/>
      <c r="O2079" s="2"/>
      <c r="P2079" s="2"/>
      <c r="Q2079" s="2"/>
      <c r="R2079" s="80"/>
      <c r="S2079" s="80"/>
      <c r="T2079" s="80"/>
      <c r="U2079" s="80"/>
      <c r="V2079" s="80"/>
      <c r="W2079" s="80"/>
      <c r="X2079" s="80"/>
      <c r="Y2079" s="80"/>
      <c r="Z2079" s="80"/>
      <c r="AA2079" s="80"/>
      <c r="AB2079" s="80"/>
      <c r="AC2079" s="80"/>
      <c r="AD2079" s="80"/>
      <c r="AE2079" s="80"/>
      <c r="AF2079" s="80"/>
      <c r="AG2079" s="80"/>
    </row>
    <row r="2080" spans="1:33" x14ac:dyDescent="0.2">
      <c r="A2080" s="2"/>
      <c r="B2080" s="80"/>
      <c r="C2080" s="80"/>
      <c r="D2080" s="80"/>
      <c r="E2080" s="80"/>
      <c r="F2080" s="80"/>
      <c r="G2080" s="80"/>
      <c r="H2080" s="80"/>
      <c r="I2080" s="80"/>
      <c r="J2080" s="80"/>
      <c r="K2080" s="80"/>
      <c r="L2080" s="2"/>
      <c r="M2080" s="2"/>
      <c r="N2080" s="2"/>
      <c r="O2080" s="2"/>
      <c r="P2080" s="2"/>
      <c r="Q2080" s="2"/>
      <c r="R2080" s="80"/>
      <c r="S2080" s="80"/>
      <c r="T2080" s="80"/>
      <c r="U2080" s="80"/>
      <c r="V2080" s="80"/>
      <c r="W2080" s="80"/>
      <c r="X2080" s="80"/>
      <c r="Y2080" s="80"/>
      <c r="Z2080" s="80"/>
      <c r="AA2080" s="80"/>
      <c r="AB2080" s="80"/>
      <c r="AC2080" s="80"/>
      <c r="AD2080" s="80"/>
      <c r="AE2080" s="80"/>
      <c r="AF2080" s="80"/>
      <c r="AG2080" s="80"/>
    </row>
    <row r="2081" spans="1:33" x14ac:dyDescent="0.2">
      <c r="A2081" s="2"/>
      <c r="B2081" s="80"/>
      <c r="C2081" s="80"/>
      <c r="D2081" s="80"/>
      <c r="E2081" s="80"/>
      <c r="F2081" s="80"/>
      <c r="G2081" s="80"/>
      <c r="H2081" s="80"/>
      <c r="I2081" s="80"/>
      <c r="J2081" s="80"/>
      <c r="K2081" s="80"/>
      <c r="L2081" s="2"/>
      <c r="M2081" s="2"/>
      <c r="N2081" s="2"/>
      <c r="O2081" s="2"/>
      <c r="P2081" s="2"/>
      <c r="Q2081" s="2"/>
      <c r="R2081" s="80"/>
      <c r="S2081" s="80"/>
      <c r="T2081" s="80"/>
      <c r="U2081" s="80"/>
      <c r="V2081" s="80"/>
      <c r="W2081" s="80"/>
      <c r="X2081" s="80"/>
      <c r="Y2081" s="80"/>
      <c r="Z2081" s="80"/>
      <c r="AA2081" s="80"/>
      <c r="AB2081" s="80"/>
      <c r="AC2081" s="80"/>
      <c r="AD2081" s="80"/>
      <c r="AE2081" s="80"/>
      <c r="AF2081" s="80"/>
      <c r="AG2081" s="80"/>
    </row>
    <row r="2082" spans="1:33" x14ac:dyDescent="0.2">
      <c r="A2082" s="2"/>
      <c r="B2082" s="80"/>
      <c r="C2082" s="80"/>
      <c r="D2082" s="80"/>
      <c r="E2082" s="80"/>
      <c r="F2082" s="80"/>
      <c r="G2082" s="80"/>
      <c r="H2082" s="80"/>
      <c r="I2082" s="80"/>
      <c r="J2082" s="80"/>
      <c r="K2082" s="80"/>
      <c r="L2082" s="2"/>
      <c r="M2082" s="2"/>
      <c r="N2082" s="2"/>
      <c r="O2082" s="2"/>
      <c r="P2082" s="2"/>
      <c r="Q2082" s="2"/>
      <c r="R2082" s="80"/>
      <c r="S2082" s="80"/>
      <c r="T2082" s="80"/>
      <c r="U2082" s="80"/>
      <c r="V2082" s="80"/>
      <c r="W2082" s="80"/>
      <c r="X2082" s="80"/>
      <c r="Y2082" s="80"/>
      <c r="Z2082" s="80"/>
      <c r="AA2082" s="80"/>
      <c r="AB2082" s="80"/>
      <c r="AC2082" s="80"/>
      <c r="AD2082" s="80"/>
      <c r="AE2082" s="80"/>
      <c r="AF2082" s="80"/>
      <c r="AG2082" s="80"/>
    </row>
    <row r="2083" spans="1:33" x14ac:dyDescent="0.2">
      <c r="A2083" s="2"/>
      <c r="B2083" s="80"/>
      <c r="C2083" s="80"/>
      <c r="D2083" s="80"/>
      <c r="E2083" s="80"/>
      <c r="F2083" s="80"/>
      <c r="G2083" s="80"/>
      <c r="H2083" s="80"/>
      <c r="I2083" s="80"/>
      <c r="J2083" s="80"/>
      <c r="K2083" s="80"/>
      <c r="L2083" s="2"/>
      <c r="M2083" s="2"/>
      <c r="N2083" s="2"/>
      <c r="O2083" s="2"/>
      <c r="P2083" s="2"/>
      <c r="Q2083" s="2"/>
      <c r="R2083" s="80"/>
      <c r="S2083" s="80"/>
      <c r="T2083" s="80"/>
      <c r="U2083" s="80"/>
      <c r="V2083" s="80"/>
      <c r="W2083" s="80"/>
      <c r="X2083" s="80"/>
      <c r="Y2083" s="80"/>
      <c r="Z2083" s="80"/>
      <c r="AA2083" s="80"/>
      <c r="AB2083" s="80"/>
      <c r="AC2083" s="80"/>
      <c r="AD2083" s="80"/>
      <c r="AE2083" s="80"/>
      <c r="AF2083" s="80"/>
      <c r="AG2083" s="80"/>
    </row>
    <row r="2084" spans="1:33" x14ac:dyDescent="0.2">
      <c r="A2084" s="2"/>
      <c r="B2084" s="80"/>
      <c r="C2084" s="80"/>
      <c r="D2084" s="80"/>
      <c r="E2084" s="80"/>
      <c r="F2084" s="80"/>
      <c r="G2084" s="80"/>
      <c r="H2084" s="80"/>
      <c r="I2084" s="80"/>
      <c r="J2084" s="80"/>
      <c r="K2084" s="80"/>
      <c r="L2084" s="2"/>
      <c r="M2084" s="2"/>
      <c r="N2084" s="2"/>
      <c r="O2084" s="2"/>
      <c r="P2084" s="2"/>
      <c r="Q2084" s="2"/>
      <c r="R2084" s="80"/>
      <c r="S2084" s="80"/>
      <c r="T2084" s="80"/>
      <c r="U2084" s="80"/>
      <c r="V2084" s="80"/>
      <c r="W2084" s="80"/>
      <c r="X2084" s="80"/>
      <c r="Y2084" s="80"/>
      <c r="Z2084" s="80"/>
      <c r="AA2084" s="80"/>
      <c r="AB2084" s="80"/>
      <c r="AC2084" s="80"/>
      <c r="AD2084" s="80"/>
      <c r="AE2084" s="80"/>
      <c r="AF2084" s="80"/>
      <c r="AG2084" s="80"/>
    </row>
    <row r="2085" spans="1:33" x14ac:dyDescent="0.2">
      <c r="A2085" s="2"/>
      <c r="B2085" s="80"/>
      <c r="C2085" s="80"/>
      <c r="D2085" s="80"/>
      <c r="E2085" s="80"/>
      <c r="F2085" s="80"/>
      <c r="G2085" s="80"/>
      <c r="H2085" s="80"/>
      <c r="I2085" s="80"/>
      <c r="J2085" s="80"/>
      <c r="K2085" s="80"/>
      <c r="L2085" s="2"/>
      <c r="M2085" s="2"/>
      <c r="N2085" s="2"/>
      <c r="O2085" s="2"/>
      <c r="P2085" s="2"/>
      <c r="Q2085" s="2"/>
      <c r="R2085" s="80"/>
      <c r="S2085" s="80"/>
      <c r="T2085" s="80"/>
      <c r="U2085" s="80"/>
      <c r="V2085" s="80"/>
      <c r="W2085" s="80"/>
      <c r="X2085" s="80"/>
      <c r="Y2085" s="80"/>
      <c r="Z2085" s="80"/>
      <c r="AA2085" s="80"/>
      <c r="AB2085" s="80"/>
      <c r="AC2085" s="80"/>
      <c r="AD2085" s="80"/>
      <c r="AE2085" s="80"/>
      <c r="AF2085" s="80"/>
      <c r="AG2085" s="80"/>
    </row>
    <row r="2086" spans="1:33" x14ac:dyDescent="0.2">
      <c r="A2086" s="2"/>
      <c r="B2086" s="80"/>
      <c r="C2086" s="80"/>
      <c r="D2086" s="80"/>
      <c r="E2086" s="80"/>
      <c r="F2086" s="80"/>
      <c r="G2086" s="80"/>
      <c r="H2086" s="80"/>
      <c r="I2086" s="80"/>
      <c r="J2086" s="80"/>
      <c r="K2086" s="80"/>
      <c r="L2086" s="2"/>
      <c r="M2086" s="2"/>
      <c r="N2086" s="2"/>
      <c r="O2086" s="2"/>
      <c r="P2086" s="2"/>
      <c r="Q2086" s="2"/>
      <c r="R2086" s="80"/>
      <c r="S2086" s="80"/>
      <c r="T2086" s="80"/>
      <c r="U2086" s="80"/>
      <c r="V2086" s="80"/>
      <c r="W2086" s="80"/>
      <c r="X2086" s="80"/>
      <c r="Y2086" s="80"/>
      <c r="Z2086" s="80"/>
      <c r="AA2086" s="80"/>
      <c r="AB2086" s="80"/>
      <c r="AC2086" s="80"/>
      <c r="AD2086" s="80"/>
      <c r="AE2086" s="80"/>
      <c r="AF2086" s="80"/>
      <c r="AG2086" s="80"/>
    </row>
    <row r="2087" spans="1:33" x14ac:dyDescent="0.2">
      <c r="A2087" s="2"/>
      <c r="B2087" s="80"/>
      <c r="C2087" s="80"/>
      <c r="D2087" s="80"/>
      <c r="E2087" s="80"/>
      <c r="F2087" s="80"/>
      <c r="G2087" s="80"/>
      <c r="H2087" s="80"/>
      <c r="I2087" s="80"/>
      <c r="J2087" s="80"/>
      <c r="K2087" s="80"/>
      <c r="L2087" s="2"/>
      <c r="M2087" s="2"/>
      <c r="N2087" s="2"/>
      <c r="O2087" s="2"/>
      <c r="P2087" s="2"/>
      <c r="Q2087" s="2"/>
      <c r="R2087" s="80"/>
      <c r="S2087" s="80"/>
      <c r="T2087" s="80"/>
      <c r="U2087" s="80"/>
      <c r="V2087" s="80"/>
      <c r="W2087" s="80"/>
      <c r="X2087" s="80"/>
      <c r="Y2087" s="80"/>
      <c r="Z2087" s="80"/>
      <c r="AA2087" s="80"/>
      <c r="AB2087" s="80"/>
      <c r="AC2087" s="80"/>
      <c r="AD2087" s="80"/>
      <c r="AE2087" s="80"/>
      <c r="AF2087" s="80"/>
      <c r="AG2087" s="80"/>
    </row>
    <row r="2088" spans="1:33" x14ac:dyDescent="0.2">
      <c r="A2088" s="2"/>
      <c r="B2088" s="80"/>
      <c r="C2088" s="80"/>
      <c r="D2088" s="80"/>
      <c r="E2088" s="80"/>
      <c r="F2088" s="80"/>
      <c r="G2088" s="80"/>
      <c r="H2088" s="80"/>
      <c r="I2088" s="80"/>
      <c r="J2088" s="80"/>
      <c r="K2088" s="80"/>
      <c r="L2088" s="2"/>
      <c r="M2088" s="2"/>
      <c r="N2088" s="2"/>
      <c r="O2088" s="2"/>
      <c r="P2088" s="2"/>
      <c r="Q2088" s="2"/>
      <c r="R2088" s="80"/>
      <c r="S2088" s="80"/>
      <c r="T2088" s="80"/>
      <c r="U2088" s="80"/>
      <c r="V2088" s="80"/>
      <c r="W2088" s="80"/>
      <c r="X2088" s="80"/>
      <c r="Y2088" s="80"/>
      <c r="Z2088" s="80"/>
      <c r="AA2088" s="80"/>
      <c r="AB2088" s="80"/>
      <c r="AC2088" s="80"/>
      <c r="AD2088" s="80"/>
      <c r="AE2088" s="80"/>
      <c r="AF2088" s="80"/>
      <c r="AG2088" s="80"/>
    </row>
    <row r="2089" spans="1:33" x14ac:dyDescent="0.2">
      <c r="A2089" s="2"/>
      <c r="B2089" s="80"/>
      <c r="C2089" s="80"/>
      <c r="D2089" s="80"/>
      <c r="E2089" s="80"/>
      <c r="F2089" s="80"/>
      <c r="G2089" s="80"/>
      <c r="H2089" s="80"/>
      <c r="I2089" s="80"/>
      <c r="J2089" s="80"/>
      <c r="K2089" s="80"/>
      <c r="L2089" s="2"/>
      <c r="M2089" s="2"/>
      <c r="N2089" s="2"/>
      <c r="O2089" s="2"/>
      <c r="P2089" s="2"/>
      <c r="Q2089" s="2"/>
      <c r="R2089" s="80"/>
      <c r="S2089" s="80"/>
      <c r="T2089" s="80"/>
      <c r="U2089" s="80"/>
      <c r="V2089" s="80"/>
      <c r="W2089" s="80"/>
      <c r="X2089" s="80"/>
      <c r="Y2089" s="80"/>
      <c r="Z2089" s="80"/>
      <c r="AA2089" s="80"/>
      <c r="AB2089" s="80"/>
      <c r="AC2089" s="80"/>
      <c r="AD2089" s="80"/>
      <c r="AE2089" s="80"/>
      <c r="AF2089" s="80"/>
      <c r="AG2089" s="80"/>
    </row>
    <row r="2090" spans="1:33" x14ac:dyDescent="0.2">
      <c r="A2090" s="2"/>
      <c r="B2090" s="80"/>
      <c r="C2090" s="80"/>
      <c r="D2090" s="80"/>
      <c r="E2090" s="80"/>
      <c r="F2090" s="80"/>
      <c r="G2090" s="80"/>
      <c r="H2090" s="80"/>
      <c r="I2090" s="80"/>
      <c r="J2090" s="80"/>
      <c r="K2090" s="80"/>
      <c r="L2090" s="2"/>
      <c r="M2090" s="2"/>
      <c r="N2090" s="2"/>
      <c r="O2090" s="2"/>
      <c r="P2090" s="2"/>
      <c r="Q2090" s="2"/>
      <c r="R2090" s="80"/>
      <c r="S2090" s="80"/>
      <c r="T2090" s="80"/>
      <c r="U2090" s="80"/>
      <c r="V2090" s="80"/>
      <c r="W2090" s="80"/>
      <c r="X2090" s="80"/>
      <c r="Y2090" s="80"/>
      <c r="Z2090" s="80"/>
      <c r="AA2090" s="80"/>
      <c r="AB2090" s="80"/>
      <c r="AC2090" s="80"/>
      <c r="AD2090" s="80"/>
      <c r="AE2090" s="80"/>
      <c r="AF2090" s="80"/>
      <c r="AG2090" s="80"/>
    </row>
    <row r="2091" spans="1:33" x14ac:dyDescent="0.2">
      <c r="A2091" s="2"/>
      <c r="B2091" s="80"/>
      <c r="C2091" s="80"/>
      <c r="D2091" s="80"/>
      <c r="E2091" s="80"/>
      <c r="F2091" s="80"/>
      <c r="G2091" s="80"/>
      <c r="H2091" s="80"/>
      <c r="I2091" s="80"/>
      <c r="J2091" s="80"/>
      <c r="K2091" s="80"/>
      <c r="L2091" s="2"/>
      <c r="M2091" s="2"/>
      <c r="N2091" s="2"/>
      <c r="O2091" s="2"/>
      <c r="P2091" s="2"/>
      <c r="Q2091" s="2"/>
      <c r="R2091" s="80"/>
      <c r="S2091" s="80"/>
      <c r="T2091" s="80"/>
      <c r="U2091" s="80"/>
      <c r="V2091" s="80"/>
      <c r="W2091" s="80"/>
      <c r="X2091" s="80"/>
      <c r="Y2091" s="80"/>
      <c r="Z2091" s="80"/>
      <c r="AA2091" s="80"/>
      <c r="AB2091" s="80"/>
      <c r="AC2091" s="80"/>
      <c r="AD2091" s="80"/>
      <c r="AE2091" s="80"/>
      <c r="AF2091" s="80"/>
      <c r="AG2091" s="80"/>
    </row>
    <row r="2092" spans="1:33" x14ac:dyDescent="0.2">
      <c r="A2092" s="2"/>
      <c r="B2092" s="80"/>
      <c r="C2092" s="80"/>
      <c r="D2092" s="80"/>
      <c r="E2092" s="80"/>
      <c r="F2092" s="80"/>
      <c r="G2092" s="80"/>
      <c r="H2092" s="80"/>
      <c r="I2092" s="80"/>
      <c r="J2092" s="80"/>
      <c r="K2092" s="80"/>
      <c r="L2092" s="2"/>
      <c r="M2092" s="2"/>
      <c r="N2092" s="2"/>
      <c r="O2092" s="2"/>
      <c r="P2092" s="2"/>
      <c r="Q2092" s="2"/>
      <c r="R2092" s="80"/>
      <c r="S2092" s="80"/>
      <c r="T2092" s="80"/>
      <c r="U2092" s="80"/>
      <c r="V2092" s="80"/>
      <c r="W2092" s="80"/>
      <c r="X2092" s="80"/>
      <c r="Y2092" s="80"/>
      <c r="Z2092" s="80"/>
      <c r="AA2092" s="80"/>
      <c r="AB2092" s="80"/>
      <c r="AC2092" s="80"/>
      <c r="AD2092" s="80"/>
      <c r="AE2092" s="80"/>
      <c r="AF2092" s="80"/>
      <c r="AG2092" s="80"/>
    </row>
    <row r="2093" spans="1:33" x14ac:dyDescent="0.2">
      <c r="A2093" s="2"/>
      <c r="B2093" s="80"/>
      <c r="C2093" s="80"/>
      <c r="D2093" s="80"/>
      <c r="E2093" s="80"/>
      <c r="F2093" s="80"/>
      <c r="G2093" s="80"/>
      <c r="H2093" s="80"/>
      <c r="I2093" s="80"/>
      <c r="J2093" s="80"/>
      <c r="K2093" s="80"/>
      <c r="L2093" s="2"/>
      <c r="M2093" s="2"/>
      <c r="N2093" s="2"/>
      <c r="O2093" s="2"/>
      <c r="P2093" s="2"/>
      <c r="Q2093" s="2"/>
      <c r="R2093" s="80"/>
      <c r="S2093" s="80"/>
      <c r="T2093" s="80"/>
      <c r="U2093" s="80"/>
      <c r="V2093" s="80"/>
      <c r="W2093" s="80"/>
      <c r="X2093" s="80"/>
      <c r="Y2093" s="80"/>
      <c r="Z2093" s="80"/>
      <c r="AA2093" s="80"/>
      <c r="AB2093" s="80"/>
      <c r="AC2093" s="80"/>
      <c r="AD2093" s="80"/>
      <c r="AE2093" s="80"/>
      <c r="AF2093" s="80"/>
      <c r="AG2093" s="80"/>
    </row>
    <row r="2094" spans="1:33" x14ac:dyDescent="0.2">
      <c r="A2094" s="2"/>
      <c r="B2094" s="80"/>
      <c r="C2094" s="80"/>
      <c r="D2094" s="80"/>
      <c r="E2094" s="80"/>
      <c r="F2094" s="80"/>
      <c r="G2094" s="80"/>
      <c r="H2094" s="80"/>
      <c r="I2094" s="80"/>
      <c r="J2094" s="80"/>
      <c r="K2094" s="80"/>
      <c r="L2094" s="2"/>
      <c r="M2094" s="2"/>
      <c r="N2094" s="2"/>
      <c r="O2094" s="2"/>
      <c r="P2094" s="2"/>
      <c r="Q2094" s="2"/>
      <c r="R2094" s="80"/>
      <c r="S2094" s="80"/>
      <c r="T2094" s="80"/>
      <c r="U2094" s="80"/>
      <c r="V2094" s="80"/>
      <c r="W2094" s="80"/>
      <c r="X2094" s="80"/>
      <c r="Y2094" s="80"/>
      <c r="Z2094" s="80"/>
      <c r="AA2094" s="80"/>
      <c r="AB2094" s="80"/>
      <c r="AC2094" s="80"/>
      <c r="AD2094" s="80"/>
      <c r="AE2094" s="80"/>
      <c r="AF2094" s="80"/>
      <c r="AG2094" s="80"/>
    </row>
    <row r="2095" spans="1:33" x14ac:dyDescent="0.2">
      <c r="A2095" s="2"/>
      <c r="B2095" s="80"/>
      <c r="C2095" s="80"/>
      <c r="D2095" s="80"/>
      <c r="E2095" s="80"/>
      <c r="F2095" s="80"/>
      <c r="G2095" s="80"/>
      <c r="H2095" s="80"/>
      <c r="I2095" s="80"/>
      <c r="J2095" s="80"/>
      <c r="K2095" s="80"/>
      <c r="L2095" s="2"/>
      <c r="M2095" s="2"/>
      <c r="N2095" s="2"/>
      <c r="O2095" s="2"/>
      <c r="P2095" s="2"/>
      <c r="Q2095" s="2"/>
      <c r="R2095" s="80"/>
      <c r="S2095" s="80"/>
      <c r="T2095" s="80"/>
      <c r="U2095" s="80"/>
      <c r="V2095" s="80"/>
      <c r="W2095" s="80"/>
      <c r="X2095" s="80"/>
      <c r="Y2095" s="80"/>
      <c r="Z2095" s="80"/>
      <c r="AA2095" s="80"/>
      <c r="AB2095" s="80"/>
      <c r="AC2095" s="80"/>
      <c r="AD2095" s="80"/>
      <c r="AE2095" s="80"/>
      <c r="AF2095" s="80"/>
      <c r="AG2095" s="80"/>
    </row>
    <row r="2096" spans="1:33" x14ac:dyDescent="0.2">
      <c r="A2096" s="2"/>
      <c r="B2096" s="80"/>
      <c r="C2096" s="80"/>
      <c r="D2096" s="80"/>
      <c r="E2096" s="80"/>
      <c r="F2096" s="80"/>
      <c r="G2096" s="80"/>
      <c r="H2096" s="80"/>
      <c r="I2096" s="80"/>
      <c r="J2096" s="80"/>
      <c r="K2096" s="80"/>
      <c r="L2096" s="2"/>
      <c r="M2096" s="2"/>
      <c r="N2096" s="2"/>
      <c r="O2096" s="2"/>
      <c r="P2096" s="2"/>
      <c r="Q2096" s="2"/>
      <c r="R2096" s="80"/>
      <c r="S2096" s="80"/>
      <c r="T2096" s="80"/>
      <c r="U2096" s="80"/>
      <c r="V2096" s="80"/>
      <c r="W2096" s="80"/>
      <c r="X2096" s="80"/>
      <c r="Y2096" s="80"/>
      <c r="Z2096" s="80"/>
      <c r="AA2096" s="80"/>
      <c r="AB2096" s="80"/>
      <c r="AC2096" s="80"/>
      <c r="AD2096" s="80"/>
      <c r="AE2096" s="80"/>
      <c r="AF2096" s="80"/>
      <c r="AG2096" s="80"/>
    </row>
    <row r="2097" spans="1:33" x14ac:dyDescent="0.2">
      <c r="A2097" s="2"/>
      <c r="B2097" s="80"/>
      <c r="C2097" s="80"/>
      <c r="D2097" s="80"/>
      <c r="E2097" s="80"/>
      <c r="F2097" s="80"/>
      <c r="G2097" s="80"/>
      <c r="H2097" s="80"/>
      <c r="I2097" s="80"/>
      <c r="J2097" s="80"/>
      <c r="K2097" s="80"/>
      <c r="L2097" s="2"/>
      <c r="M2097" s="2"/>
      <c r="N2097" s="2"/>
      <c r="O2097" s="2"/>
      <c r="P2097" s="2"/>
      <c r="Q2097" s="2"/>
      <c r="R2097" s="80"/>
      <c r="S2097" s="80"/>
      <c r="T2097" s="80"/>
      <c r="U2097" s="80"/>
      <c r="V2097" s="80"/>
      <c r="W2097" s="80"/>
      <c r="X2097" s="80"/>
      <c r="Y2097" s="80"/>
      <c r="Z2097" s="80"/>
      <c r="AA2097" s="80"/>
      <c r="AB2097" s="80"/>
      <c r="AC2097" s="80"/>
      <c r="AD2097" s="80"/>
      <c r="AE2097" s="80"/>
      <c r="AF2097" s="80"/>
      <c r="AG2097" s="80"/>
    </row>
    <row r="2098" spans="1:33" x14ac:dyDescent="0.2">
      <c r="A2098" s="2"/>
      <c r="B2098" s="80"/>
      <c r="C2098" s="80"/>
      <c r="D2098" s="80"/>
      <c r="E2098" s="80"/>
      <c r="F2098" s="80"/>
      <c r="G2098" s="80"/>
      <c r="H2098" s="80"/>
      <c r="I2098" s="80"/>
      <c r="J2098" s="80"/>
      <c r="K2098" s="80"/>
      <c r="L2098" s="2"/>
      <c r="M2098" s="2"/>
      <c r="N2098" s="2"/>
      <c r="O2098" s="2"/>
      <c r="P2098" s="2"/>
      <c r="Q2098" s="2"/>
      <c r="R2098" s="80"/>
      <c r="S2098" s="80"/>
      <c r="T2098" s="80"/>
      <c r="U2098" s="80"/>
      <c r="V2098" s="80"/>
      <c r="W2098" s="80"/>
      <c r="X2098" s="80"/>
      <c r="Y2098" s="80"/>
      <c r="Z2098" s="80"/>
      <c r="AA2098" s="80"/>
      <c r="AB2098" s="80"/>
      <c r="AC2098" s="80"/>
      <c r="AD2098" s="80"/>
      <c r="AE2098" s="80"/>
      <c r="AF2098" s="80"/>
      <c r="AG2098" s="80"/>
    </row>
    <row r="2099" spans="1:33" x14ac:dyDescent="0.2">
      <c r="A2099" s="2"/>
      <c r="B2099" s="80"/>
      <c r="C2099" s="80"/>
      <c r="D2099" s="80"/>
      <c r="E2099" s="80"/>
      <c r="F2099" s="80"/>
      <c r="G2099" s="80"/>
      <c r="H2099" s="80"/>
      <c r="I2099" s="80"/>
      <c r="J2099" s="80"/>
      <c r="K2099" s="80"/>
      <c r="L2099" s="2"/>
      <c r="M2099" s="2"/>
      <c r="N2099" s="2"/>
      <c r="O2099" s="2"/>
      <c r="P2099" s="2"/>
      <c r="Q2099" s="2"/>
      <c r="R2099" s="80"/>
      <c r="S2099" s="80"/>
      <c r="T2099" s="80"/>
      <c r="U2099" s="80"/>
      <c r="V2099" s="80"/>
      <c r="W2099" s="80"/>
      <c r="X2099" s="80"/>
      <c r="Y2099" s="80"/>
      <c r="Z2099" s="80"/>
      <c r="AA2099" s="80"/>
      <c r="AB2099" s="80"/>
      <c r="AC2099" s="80"/>
      <c r="AD2099" s="80"/>
      <c r="AE2099" s="80"/>
      <c r="AF2099" s="80"/>
      <c r="AG2099" s="80"/>
    </row>
    <row r="2100" spans="1:33" x14ac:dyDescent="0.2">
      <c r="A2100" s="2"/>
      <c r="B2100" s="80"/>
      <c r="C2100" s="80"/>
      <c r="D2100" s="80"/>
      <c r="E2100" s="80"/>
      <c r="F2100" s="80"/>
      <c r="G2100" s="80"/>
      <c r="H2100" s="80"/>
      <c r="I2100" s="80"/>
      <c r="J2100" s="80"/>
      <c r="K2100" s="80"/>
      <c r="L2100" s="2"/>
      <c r="M2100" s="2"/>
      <c r="N2100" s="2"/>
      <c r="O2100" s="2"/>
      <c r="P2100" s="2"/>
      <c r="Q2100" s="2"/>
      <c r="R2100" s="80"/>
      <c r="S2100" s="80"/>
      <c r="T2100" s="80"/>
      <c r="U2100" s="80"/>
      <c r="V2100" s="80"/>
      <c r="W2100" s="80"/>
      <c r="X2100" s="80"/>
      <c r="Y2100" s="80"/>
      <c r="Z2100" s="80"/>
      <c r="AA2100" s="80"/>
      <c r="AB2100" s="80"/>
      <c r="AC2100" s="80"/>
      <c r="AD2100" s="80"/>
      <c r="AE2100" s="80"/>
      <c r="AF2100" s="80"/>
      <c r="AG2100" s="80"/>
    </row>
    <row r="2101" spans="1:33" x14ac:dyDescent="0.2">
      <c r="A2101" s="2"/>
      <c r="B2101" s="80"/>
      <c r="C2101" s="80"/>
      <c r="D2101" s="80"/>
      <c r="E2101" s="80"/>
      <c r="F2101" s="80"/>
      <c r="G2101" s="80"/>
      <c r="H2101" s="80"/>
      <c r="I2101" s="80"/>
      <c r="J2101" s="80"/>
      <c r="K2101" s="80"/>
      <c r="L2101" s="2"/>
      <c r="M2101" s="2"/>
      <c r="N2101" s="2"/>
      <c r="O2101" s="2"/>
      <c r="P2101" s="2"/>
      <c r="Q2101" s="2"/>
      <c r="R2101" s="80"/>
      <c r="S2101" s="80"/>
      <c r="T2101" s="80"/>
      <c r="U2101" s="80"/>
      <c r="V2101" s="80"/>
      <c r="W2101" s="80"/>
      <c r="X2101" s="80"/>
      <c r="Y2101" s="80"/>
      <c r="Z2101" s="80"/>
      <c r="AA2101" s="80"/>
      <c r="AB2101" s="80"/>
      <c r="AC2101" s="80"/>
      <c r="AD2101" s="80"/>
      <c r="AE2101" s="80"/>
      <c r="AF2101" s="80"/>
      <c r="AG2101" s="80"/>
    </row>
    <row r="2102" spans="1:33" x14ac:dyDescent="0.2">
      <c r="A2102" s="2"/>
      <c r="B2102" s="80"/>
      <c r="C2102" s="80"/>
      <c r="D2102" s="80"/>
      <c r="E2102" s="80"/>
      <c r="F2102" s="80"/>
      <c r="G2102" s="80"/>
      <c r="H2102" s="80"/>
      <c r="I2102" s="80"/>
      <c r="J2102" s="80"/>
      <c r="K2102" s="80"/>
      <c r="L2102" s="2"/>
      <c r="M2102" s="2"/>
      <c r="N2102" s="2"/>
      <c r="O2102" s="2"/>
      <c r="P2102" s="2"/>
      <c r="Q2102" s="2"/>
      <c r="R2102" s="80"/>
      <c r="S2102" s="80"/>
      <c r="T2102" s="80"/>
      <c r="U2102" s="80"/>
      <c r="V2102" s="80"/>
      <c r="W2102" s="80"/>
      <c r="X2102" s="80"/>
      <c r="Y2102" s="80"/>
      <c r="Z2102" s="80"/>
      <c r="AA2102" s="80"/>
      <c r="AB2102" s="80"/>
      <c r="AC2102" s="80"/>
      <c r="AD2102" s="80"/>
      <c r="AE2102" s="80"/>
      <c r="AF2102" s="80"/>
      <c r="AG2102" s="80"/>
    </row>
    <row r="2103" spans="1:33" x14ac:dyDescent="0.2">
      <c r="A2103" s="2"/>
      <c r="B2103" s="80"/>
      <c r="C2103" s="80"/>
      <c r="D2103" s="80"/>
      <c r="E2103" s="80"/>
      <c r="F2103" s="80"/>
      <c r="G2103" s="80"/>
      <c r="H2103" s="80"/>
      <c r="I2103" s="80"/>
      <c r="J2103" s="80"/>
      <c r="K2103" s="80"/>
      <c r="L2103" s="2"/>
      <c r="M2103" s="2"/>
      <c r="N2103" s="2"/>
      <c r="O2103" s="2"/>
      <c r="P2103" s="2"/>
      <c r="Q2103" s="2"/>
      <c r="R2103" s="80"/>
      <c r="S2103" s="80"/>
      <c r="T2103" s="80"/>
      <c r="U2103" s="80"/>
      <c r="V2103" s="80"/>
      <c r="W2103" s="80"/>
      <c r="X2103" s="80"/>
      <c r="Y2103" s="80"/>
      <c r="Z2103" s="80"/>
      <c r="AA2103" s="80"/>
      <c r="AB2103" s="80"/>
      <c r="AC2103" s="80"/>
      <c r="AD2103" s="80"/>
      <c r="AE2103" s="80"/>
      <c r="AF2103" s="80"/>
      <c r="AG2103" s="80"/>
    </row>
    <row r="2104" spans="1:33" x14ac:dyDescent="0.2">
      <c r="A2104" s="2"/>
      <c r="B2104" s="80"/>
      <c r="C2104" s="80"/>
      <c r="D2104" s="80"/>
      <c r="E2104" s="80"/>
      <c r="F2104" s="80"/>
      <c r="G2104" s="80"/>
      <c r="H2104" s="80"/>
      <c r="I2104" s="80"/>
      <c r="J2104" s="80"/>
      <c r="K2104" s="80"/>
      <c r="L2104" s="2"/>
      <c r="M2104" s="2"/>
      <c r="N2104" s="2"/>
      <c r="O2104" s="2"/>
      <c r="P2104" s="2"/>
      <c r="Q2104" s="2"/>
      <c r="R2104" s="80"/>
      <c r="S2104" s="80"/>
      <c r="T2104" s="80"/>
      <c r="U2104" s="80"/>
      <c r="V2104" s="80"/>
      <c r="W2104" s="80"/>
      <c r="X2104" s="80"/>
      <c r="Y2104" s="80"/>
      <c r="Z2104" s="80"/>
      <c r="AA2104" s="80"/>
      <c r="AB2104" s="80"/>
      <c r="AC2104" s="80"/>
      <c r="AD2104" s="80"/>
      <c r="AE2104" s="80"/>
      <c r="AF2104" s="80"/>
      <c r="AG2104" s="80"/>
    </row>
    <row r="2105" spans="1:33" x14ac:dyDescent="0.2">
      <c r="A2105" s="2"/>
      <c r="B2105" s="80"/>
      <c r="C2105" s="80"/>
      <c r="D2105" s="80"/>
      <c r="E2105" s="80"/>
      <c r="F2105" s="80"/>
      <c r="G2105" s="80"/>
      <c r="H2105" s="80"/>
      <c r="I2105" s="80"/>
      <c r="J2105" s="80"/>
      <c r="K2105" s="80"/>
      <c r="L2105" s="2"/>
      <c r="M2105" s="2"/>
      <c r="N2105" s="2"/>
      <c r="O2105" s="2"/>
      <c r="P2105" s="2"/>
      <c r="Q2105" s="2"/>
      <c r="R2105" s="80"/>
      <c r="S2105" s="80"/>
      <c r="T2105" s="80"/>
      <c r="U2105" s="80"/>
      <c r="V2105" s="80"/>
      <c r="W2105" s="80"/>
      <c r="X2105" s="80"/>
      <c r="Y2105" s="80"/>
      <c r="Z2105" s="80"/>
      <c r="AA2105" s="80"/>
      <c r="AB2105" s="80"/>
      <c r="AC2105" s="80"/>
      <c r="AD2105" s="80"/>
      <c r="AE2105" s="80"/>
      <c r="AF2105" s="80"/>
      <c r="AG2105" s="80"/>
    </row>
    <row r="2106" spans="1:33" x14ac:dyDescent="0.2">
      <c r="A2106" s="2"/>
      <c r="B2106" s="80"/>
      <c r="C2106" s="80"/>
      <c r="D2106" s="80"/>
      <c r="E2106" s="80"/>
      <c r="F2106" s="80"/>
      <c r="G2106" s="80"/>
      <c r="H2106" s="80"/>
      <c r="I2106" s="80"/>
      <c r="J2106" s="80"/>
      <c r="K2106" s="80"/>
      <c r="L2106" s="2"/>
      <c r="M2106" s="2"/>
      <c r="N2106" s="2"/>
      <c r="O2106" s="2"/>
      <c r="P2106" s="2"/>
      <c r="Q2106" s="2"/>
      <c r="R2106" s="80"/>
      <c r="S2106" s="80"/>
      <c r="T2106" s="80"/>
      <c r="U2106" s="80"/>
      <c r="V2106" s="80"/>
      <c r="W2106" s="80"/>
      <c r="X2106" s="80"/>
      <c r="Y2106" s="80"/>
      <c r="Z2106" s="80"/>
      <c r="AA2106" s="80"/>
      <c r="AB2106" s="80"/>
      <c r="AC2106" s="80"/>
      <c r="AD2106" s="80"/>
      <c r="AE2106" s="80"/>
      <c r="AF2106" s="80"/>
      <c r="AG2106" s="80"/>
    </row>
    <row r="2107" spans="1:33" x14ac:dyDescent="0.2">
      <c r="A2107" s="2"/>
      <c r="B2107" s="80"/>
      <c r="C2107" s="80"/>
      <c r="D2107" s="80"/>
      <c r="E2107" s="80"/>
      <c r="F2107" s="80"/>
      <c r="G2107" s="80"/>
      <c r="H2107" s="80"/>
      <c r="I2107" s="80"/>
      <c r="J2107" s="80"/>
      <c r="K2107" s="80"/>
      <c r="L2107" s="2"/>
      <c r="M2107" s="2"/>
      <c r="N2107" s="2"/>
      <c r="O2107" s="2"/>
      <c r="P2107" s="2"/>
      <c r="Q2107" s="2"/>
      <c r="R2107" s="80"/>
      <c r="S2107" s="80"/>
      <c r="T2107" s="80"/>
      <c r="U2107" s="80"/>
      <c r="V2107" s="80"/>
      <c r="W2107" s="80"/>
      <c r="X2107" s="80"/>
      <c r="Y2107" s="80"/>
      <c r="Z2107" s="80"/>
      <c r="AA2107" s="80"/>
      <c r="AB2107" s="80"/>
      <c r="AC2107" s="80"/>
      <c r="AD2107" s="80"/>
      <c r="AE2107" s="80"/>
      <c r="AF2107" s="80"/>
      <c r="AG2107" s="80"/>
    </row>
    <row r="2108" spans="1:33" x14ac:dyDescent="0.2">
      <c r="A2108" s="2"/>
      <c r="B2108" s="80"/>
      <c r="C2108" s="80"/>
      <c r="D2108" s="80"/>
      <c r="E2108" s="80"/>
      <c r="F2108" s="80"/>
      <c r="G2108" s="80"/>
      <c r="H2108" s="80"/>
      <c r="I2108" s="80"/>
      <c r="J2108" s="80"/>
      <c r="K2108" s="80"/>
      <c r="L2108" s="2"/>
      <c r="M2108" s="2"/>
      <c r="N2108" s="2"/>
      <c r="O2108" s="2"/>
      <c r="P2108" s="2"/>
      <c r="Q2108" s="2"/>
      <c r="R2108" s="80"/>
      <c r="S2108" s="80"/>
      <c r="T2108" s="80"/>
      <c r="U2108" s="80"/>
      <c r="V2108" s="80"/>
      <c r="W2108" s="80"/>
      <c r="X2108" s="80"/>
      <c r="Y2108" s="80"/>
      <c r="Z2108" s="80"/>
      <c r="AA2108" s="80"/>
      <c r="AB2108" s="80"/>
      <c r="AC2108" s="80"/>
      <c r="AD2108" s="80"/>
      <c r="AE2108" s="80"/>
      <c r="AF2108" s="80"/>
      <c r="AG2108" s="80"/>
    </row>
    <row r="2109" spans="1:33" x14ac:dyDescent="0.2">
      <c r="A2109" s="2"/>
      <c r="B2109" s="80"/>
      <c r="C2109" s="80"/>
      <c r="D2109" s="80"/>
      <c r="E2109" s="80"/>
      <c r="F2109" s="80"/>
      <c r="G2109" s="80"/>
      <c r="H2109" s="80"/>
      <c r="I2109" s="80"/>
      <c r="J2109" s="80"/>
      <c r="K2109" s="80"/>
      <c r="L2109" s="2"/>
      <c r="M2109" s="2"/>
      <c r="N2109" s="2"/>
      <c r="O2109" s="2"/>
      <c r="P2109" s="2"/>
      <c r="Q2109" s="2"/>
      <c r="R2109" s="80"/>
      <c r="S2109" s="80"/>
      <c r="T2109" s="80"/>
      <c r="U2109" s="80"/>
      <c r="V2109" s="80"/>
      <c r="W2109" s="80"/>
      <c r="X2109" s="80"/>
      <c r="Y2109" s="80"/>
      <c r="Z2109" s="80"/>
      <c r="AA2109" s="80"/>
      <c r="AB2109" s="80"/>
      <c r="AC2109" s="80"/>
      <c r="AD2109" s="80"/>
      <c r="AE2109" s="80"/>
      <c r="AF2109" s="80"/>
      <c r="AG2109" s="80"/>
    </row>
    <row r="2110" spans="1:33" x14ac:dyDescent="0.2">
      <c r="A2110" s="2"/>
      <c r="B2110" s="80"/>
      <c r="C2110" s="80"/>
      <c r="D2110" s="80"/>
      <c r="E2110" s="80"/>
      <c r="F2110" s="80"/>
      <c r="G2110" s="80"/>
      <c r="H2110" s="80"/>
      <c r="I2110" s="80"/>
      <c r="J2110" s="80"/>
      <c r="K2110" s="80"/>
      <c r="L2110" s="2"/>
      <c r="M2110" s="2"/>
      <c r="N2110" s="2"/>
      <c r="O2110" s="2"/>
      <c r="P2110" s="2"/>
      <c r="Q2110" s="2"/>
      <c r="R2110" s="80"/>
      <c r="S2110" s="80"/>
      <c r="T2110" s="80"/>
      <c r="U2110" s="80"/>
      <c r="V2110" s="80"/>
      <c r="W2110" s="80"/>
      <c r="X2110" s="80"/>
      <c r="Y2110" s="80"/>
      <c r="Z2110" s="80"/>
      <c r="AA2110" s="80"/>
      <c r="AB2110" s="80"/>
      <c r="AC2110" s="80"/>
      <c r="AD2110" s="80"/>
      <c r="AE2110" s="80"/>
      <c r="AF2110" s="80"/>
      <c r="AG2110" s="80"/>
    </row>
    <row r="2111" spans="1:33" x14ac:dyDescent="0.2">
      <c r="A2111" s="2"/>
      <c r="B2111" s="80"/>
      <c r="C2111" s="80"/>
      <c r="D2111" s="80"/>
      <c r="E2111" s="80"/>
      <c r="F2111" s="80"/>
      <c r="G2111" s="80"/>
      <c r="H2111" s="80"/>
      <c r="I2111" s="80"/>
      <c r="J2111" s="80"/>
      <c r="K2111" s="80"/>
      <c r="L2111" s="2"/>
      <c r="M2111" s="2"/>
      <c r="N2111" s="2"/>
      <c r="O2111" s="2"/>
      <c r="P2111" s="2"/>
      <c r="Q2111" s="2"/>
      <c r="R2111" s="80"/>
      <c r="S2111" s="80"/>
      <c r="T2111" s="80"/>
      <c r="U2111" s="80"/>
      <c r="V2111" s="80"/>
      <c r="W2111" s="80"/>
      <c r="X2111" s="80"/>
      <c r="Y2111" s="80"/>
      <c r="Z2111" s="80"/>
      <c r="AA2111" s="80"/>
      <c r="AB2111" s="80"/>
      <c r="AC2111" s="80"/>
      <c r="AD2111" s="80"/>
      <c r="AE2111" s="80"/>
      <c r="AF2111" s="80"/>
      <c r="AG2111" s="80"/>
    </row>
    <row r="2112" spans="1:33" x14ac:dyDescent="0.2">
      <c r="A2112" s="2"/>
      <c r="B2112" s="80"/>
      <c r="C2112" s="80"/>
      <c r="D2112" s="80"/>
      <c r="E2112" s="80"/>
      <c r="F2112" s="80"/>
      <c r="G2112" s="80"/>
      <c r="H2112" s="80"/>
      <c r="I2112" s="80"/>
      <c r="J2112" s="80"/>
      <c r="K2112" s="80"/>
      <c r="L2112" s="2"/>
      <c r="M2112" s="2"/>
      <c r="N2112" s="2"/>
      <c r="O2112" s="2"/>
      <c r="P2112" s="2"/>
      <c r="Q2112" s="2"/>
      <c r="R2112" s="80"/>
      <c r="S2112" s="80"/>
      <c r="T2112" s="80"/>
      <c r="U2112" s="80"/>
      <c r="V2112" s="80"/>
      <c r="W2112" s="80"/>
      <c r="X2112" s="80"/>
      <c r="Y2112" s="80"/>
      <c r="Z2112" s="80"/>
      <c r="AA2112" s="80"/>
      <c r="AB2112" s="80"/>
      <c r="AC2112" s="80"/>
      <c r="AD2112" s="80"/>
      <c r="AE2112" s="80"/>
      <c r="AF2112" s="80"/>
      <c r="AG2112" s="80"/>
    </row>
    <row r="2113" spans="1:33" x14ac:dyDescent="0.2">
      <c r="A2113" s="2"/>
      <c r="B2113" s="80"/>
      <c r="C2113" s="80"/>
      <c r="D2113" s="80"/>
      <c r="E2113" s="80"/>
      <c r="F2113" s="80"/>
      <c r="G2113" s="80"/>
      <c r="H2113" s="80"/>
      <c r="I2113" s="80"/>
      <c r="J2113" s="80"/>
      <c r="K2113" s="80"/>
      <c r="L2113" s="2"/>
      <c r="M2113" s="2"/>
      <c r="N2113" s="2"/>
      <c r="O2113" s="2"/>
      <c r="P2113" s="2"/>
      <c r="Q2113" s="2"/>
      <c r="R2113" s="80"/>
      <c r="S2113" s="80"/>
      <c r="T2113" s="80"/>
      <c r="U2113" s="80"/>
      <c r="V2113" s="80"/>
      <c r="W2113" s="80"/>
      <c r="X2113" s="80"/>
      <c r="Y2113" s="80"/>
      <c r="Z2113" s="80"/>
      <c r="AA2113" s="80"/>
      <c r="AB2113" s="80"/>
      <c r="AC2113" s="80"/>
      <c r="AD2113" s="80"/>
      <c r="AE2113" s="80"/>
      <c r="AF2113" s="80"/>
      <c r="AG2113" s="80"/>
    </row>
    <row r="2114" spans="1:33" x14ac:dyDescent="0.2">
      <c r="A2114" s="2"/>
      <c r="B2114" s="80"/>
      <c r="C2114" s="80"/>
      <c r="D2114" s="80"/>
      <c r="E2114" s="80"/>
      <c r="F2114" s="80"/>
      <c r="G2114" s="80"/>
      <c r="H2114" s="80"/>
      <c r="I2114" s="80"/>
      <c r="J2114" s="80"/>
      <c r="K2114" s="80"/>
      <c r="L2114" s="2"/>
      <c r="M2114" s="2"/>
      <c r="N2114" s="2"/>
      <c r="O2114" s="2"/>
      <c r="P2114" s="2"/>
      <c r="Q2114" s="2"/>
      <c r="R2114" s="80"/>
      <c r="S2114" s="80"/>
      <c r="T2114" s="80"/>
      <c r="U2114" s="80"/>
      <c r="V2114" s="80"/>
      <c r="W2114" s="80"/>
      <c r="X2114" s="80"/>
      <c r="Y2114" s="80"/>
      <c r="Z2114" s="80"/>
      <c r="AA2114" s="80"/>
      <c r="AB2114" s="80"/>
      <c r="AC2114" s="80"/>
      <c r="AD2114" s="80"/>
      <c r="AE2114" s="80"/>
      <c r="AF2114" s="80"/>
      <c r="AG2114" s="80"/>
    </row>
    <row r="2115" spans="1:33" x14ac:dyDescent="0.2">
      <c r="A2115" s="2"/>
      <c r="B2115" s="80"/>
      <c r="C2115" s="80"/>
      <c r="D2115" s="80"/>
      <c r="E2115" s="80"/>
      <c r="F2115" s="80"/>
      <c r="G2115" s="80"/>
      <c r="H2115" s="80"/>
      <c r="I2115" s="80"/>
      <c r="J2115" s="80"/>
      <c r="K2115" s="80"/>
      <c r="L2115" s="2"/>
      <c r="M2115" s="2"/>
      <c r="N2115" s="2"/>
      <c r="O2115" s="2"/>
      <c r="P2115" s="2"/>
      <c r="Q2115" s="2"/>
      <c r="R2115" s="80"/>
      <c r="S2115" s="80"/>
      <c r="T2115" s="80"/>
      <c r="U2115" s="80"/>
      <c r="V2115" s="80"/>
      <c r="W2115" s="80"/>
      <c r="X2115" s="80"/>
      <c r="Y2115" s="80"/>
      <c r="Z2115" s="80"/>
      <c r="AA2115" s="80"/>
      <c r="AB2115" s="80"/>
      <c r="AC2115" s="80"/>
      <c r="AD2115" s="80"/>
      <c r="AE2115" s="80"/>
      <c r="AF2115" s="80"/>
      <c r="AG2115" s="80"/>
    </row>
    <row r="2116" spans="1:33" x14ac:dyDescent="0.2">
      <c r="A2116" s="2"/>
      <c r="B2116" s="80"/>
      <c r="C2116" s="80"/>
      <c r="D2116" s="80"/>
      <c r="E2116" s="80"/>
      <c r="F2116" s="80"/>
      <c r="G2116" s="80"/>
      <c r="H2116" s="80"/>
      <c r="I2116" s="80"/>
      <c r="J2116" s="80"/>
      <c r="K2116" s="80"/>
      <c r="L2116" s="2"/>
      <c r="M2116" s="2"/>
      <c r="N2116" s="2"/>
      <c r="O2116" s="2"/>
      <c r="P2116" s="2"/>
      <c r="Q2116" s="2"/>
      <c r="R2116" s="80"/>
      <c r="S2116" s="80"/>
      <c r="T2116" s="80"/>
      <c r="U2116" s="80"/>
      <c r="V2116" s="80"/>
      <c r="W2116" s="80"/>
      <c r="X2116" s="80"/>
      <c r="Y2116" s="80"/>
      <c r="Z2116" s="80"/>
      <c r="AA2116" s="80"/>
      <c r="AB2116" s="80"/>
      <c r="AC2116" s="80"/>
      <c r="AD2116" s="80"/>
      <c r="AE2116" s="80"/>
      <c r="AF2116" s="80"/>
      <c r="AG2116" s="80"/>
    </row>
    <row r="2117" spans="1:33" x14ac:dyDescent="0.2">
      <c r="A2117" s="2"/>
      <c r="B2117" s="80"/>
      <c r="C2117" s="80"/>
      <c r="D2117" s="80"/>
      <c r="E2117" s="80"/>
      <c r="F2117" s="80"/>
      <c r="G2117" s="80"/>
      <c r="H2117" s="80"/>
      <c r="I2117" s="80"/>
      <c r="J2117" s="80"/>
      <c r="K2117" s="80"/>
      <c r="L2117" s="2"/>
      <c r="M2117" s="2"/>
      <c r="N2117" s="2"/>
      <c r="O2117" s="2"/>
      <c r="P2117" s="2"/>
      <c r="Q2117" s="2"/>
      <c r="R2117" s="80"/>
      <c r="S2117" s="80"/>
      <c r="T2117" s="80"/>
      <c r="U2117" s="80"/>
      <c r="V2117" s="80"/>
      <c r="W2117" s="80"/>
      <c r="X2117" s="80"/>
      <c r="Y2117" s="80"/>
      <c r="Z2117" s="80"/>
      <c r="AA2117" s="80"/>
      <c r="AB2117" s="80"/>
      <c r="AC2117" s="80"/>
      <c r="AD2117" s="80"/>
      <c r="AE2117" s="80"/>
      <c r="AF2117" s="80"/>
      <c r="AG2117" s="80"/>
    </row>
    <row r="2118" spans="1:33" x14ac:dyDescent="0.2">
      <c r="A2118" s="2"/>
      <c r="B2118" s="80"/>
      <c r="C2118" s="80"/>
      <c r="D2118" s="80"/>
      <c r="E2118" s="80"/>
      <c r="F2118" s="80"/>
      <c r="G2118" s="80"/>
      <c r="H2118" s="80"/>
      <c r="I2118" s="80"/>
      <c r="J2118" s="80"/>
      <c r="K2118" s="80"/>
      <c r="L2118" s="2"/>
      <c r="M2118" s="2"/>
      <c r="N2118" s="2"/>
      <c r="O2118" s="2"/>
      <c r="P2118" s="2"/>
      <c r="Q2118" s="2"/>
      <c r="R2118" s="80"/>
      <c r="S2118" s="80"/>
      <c r="T2118" s="80"/>
      <c r="U2118" s="80"/>
      <c r="V2118" s="80"/>
      <c r="W2118" s="80"/>
      <c r="X2118" s="80"/>
      <c r="Y2118" s="80"/>
      <c r="Z2118" s="80"/>
      <c r="AA2118" s="80"/>
      <c r="AB2118" s="80"/>
      <c r="AC2118" s="80"/>
      <c r="AD2118" s="80"/>
      <c r="AE2118" s="80"/>
      <c r="AF2118" s="80"/>
      <c r="AG2118" s="80"/>
    </row>
    <row r="2119" spans="1:33" x14ac:dyDescent="0.2">
      <c r="A2119" s="2"/>
      <c r="B2119" s="80"/>
      <c r="C2119" s="80"/>
      <c r="D2119" s="80"/>
      <c r="E2119" s="80"/>
      <c r="F2119" s="80"/>
      <c r="G2119" s="80"/>
      <c r="H2119" s="80"/>
      <c r="I2119" s="80"/>
      <c r="J2119" s="80"/>
      <c r="K2119" s="80"/>
      <c r="L2119" s="2"/>
      <c r="M2119" s="2"/>
      <c r="N2119" s="2"/>
      <c r="O2119" s="2"/>
      <c r="P2119" s="2"/>
      <c r="Q2119" s="2"/>
      <c r="R2119" s="80"/>
      <c r="S2119" s="80"/>
      <c r="T2119" s="80"/>
      <c r="U2119" s="80"/>
      <c r="V2119" s="80"/>
      <c r="W2119" s="80"/>
      <c r="X2119" s="80"/>
      <c r="Y2119" s="80"/>
      <c r="Z2119" s="80"/>
      <c r="AA2119" s="80"/>
      <c r="AB2119" s="80"/>
      <c r="AC2119" s="80"/>
      <c r="AD2119" s="80"/>
      <c r="AE2119" s="80"/>
      <c r="AF2119" s="80"/>
      <c r="AG2119" s="80"/>
    </row>
    <row r="2120" spans="1:33" x14ac:dyDescent="0.2">
      <c r="A2120" s="2"/>
      <c r="B2120" s="80"/>
      <c r="C2120" s="80"/>
      <c r="D2120" s="80"/>
      <c r="E2120" s="80"/>
      <c r="F2120" s="80"/>
      <c r="G2120" s="80"/>
      <c r="H2120" s="80"/>
      <c r="I2120" s="80"/>
      <c r="J2120" s="80"/>
      <c r="K2120" s="80"/>
      <c r="L2120" s="2"/>
      <c r="M2120" s="2"/>
      <c r="N2120" s="2"/>
      <c r="O2120" s="2"/>
      <c r="P2120" s="2"/>
      <c r="Q2120" s="2"/>
      <c r="R2120" s="80"/>
      <c r="S2120" s="80"/>
      <c r="T2120" s="80"/>
      <c r="U2120" s="80"/>
      <c r="V2120" s="80"/>
      <c r="W2120" s="80"/>
      <c r="X2120" s="80"/>
      <c r="Y2120" s="80"/>
      <c r="Z2120" s="80"/>
      <c r="AA2120" s="80"/>
      <c r="AB2120" s="80"/>
      <c r="AC2120" s="80"/>
      <c r="AD2120" s="80"/>
      <c r="AE2120" s="80"/>
      <c r="AF2120" s="80"/>
      <c r="AG2120" s="80"/>
    </row>
    <row r="2121" spans="1:33" x14ac:dyDescent="0.2">
      <c r="A2121" s="2"/>
      <c r="B2121" s="80"/>
      <c r="C2121" s="80"/>
      <c r="D2121" s="80"/>
      <c r="E2121" s="80"/>
      <c r="F2121" s="80"/>
      <c r="G2121" s="80"/>
      <c r="H2121" s="80"/>
      <c r="I2121" s="80"/>
      <c r="J2121" s="80"/>
      <c r="K2121" s="80"/>
      <c r="L2121" s="2"/>
      <c r="M2121" s="2"/>
      <c r="N2121" s="2"/>
      <c r="O2121" s="2"/>
      <c r="P2121" s="2"/>
      <c r="Q2121" s="2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E2121" s="80"/>
      <c r="AF2121" s="80"/>
      <c r="AG2121" s="80"/>
    </row>
    <row r="2122" spans="1:33" x14ac:dyDescent="0.2">
      <c r="A2122" s="2"/>
      <c r="B2122" s="80"/>
      <c r="C2122" s="80"/>
      <c r="D2122" s="80"/>
      <c r="E2122" s="80"/>
      <c r="F2122" s="80"/>
      <c r="G2122" s="80"/>
      <c r="H2122" s="80"/>
      <c r="I2122" s="80"/>
      <c r="J2122" s="80"/>
      <c r="K2122" s="80"/>
      <c r="L2122" s="2"/>
      <c r="M2122" s="2"/>
      <c r="N2122" s="2"/>
      <c r="O2122" s="2"/>
      <c r="P2122" s="2"/>
      <c r="Q2122" s="2"/>
      <c r="R2122" s="80"/>
      <c r="S2122" s="80"/>
      <c r="T2122" s="80"/>
      <c r="U2122" s="80"/>
      <c r="V2122" s="80"/>
      <c r="W2122" s="80"/>
      <c r="X2122" s="80"/>
      <c r="Y2122" s="80"/>
      <c r="Z2122" s="80"/>
      <c r="AA2122" s="80"/>
      <c r="AB2122" s="80"/>
      <c r="AC2122" s="80"/>
      <c r="AD2122" s="80"/>
      <c r="AE2122" s="80"/>
      <c r="AF2122" s="80"/>
      <c r="AG2122" s="80"/>
    </row>
    <row r="2123" spans="1:33" x14ac:dyDescent="0.2">
      <c r="A2123" s="2"/>
      <c r="B2123" s="80"/>
      <c r="C2123" s="80"/>
      <c r="D2123" s="80"/>
      <c r="E2123" s="80"/>
      <c r="F2123" s="80"/>
      <c r="G2123" s="80"/>
      <c r="H2123" s="80"/>
      <c r="I2123" s="80"/>
      <c r="J2123" s="80"/>
      <c r="K2123" s="80"/>
      <c r="L2123" s="2"/>
      <c r="M2123" s="2"/>
      <c r="N2123" s="2"/>
      <c r="O2123" s="2"/>
      <c r="P2123" s="2"/>
      <c r="Q2123" s="2"/>
      <c r="R2123" s="80"/>
      <c r="S2123" s="80"/>
      <c r="T2123" s="80"/>
      <c r="U2123" s="80"/>
      <c r="V2123" s="80"/>
      <c r="W2123" s="80"/>
      <c r="X2123" s="80"/>
      <c r="Y2123" s="80"/>
      <c r="Z2123" s="80"/>
      <c r="AA2123" s="80"/>
      <c r="AB2123" s="80"/>
      <c r="AC2123" s="80"/>
      <c r="AD2123" s="80"/>
      <c r="AE2123" s="80"/>
      <c r="AF2123" s="80"/>
      <c r="AG2123" s="80"/>
    </row>
    <row r="2124" spans="1:33" x14ac:dyDescent="0.2">
      <c r="A2124" s="2"/>
      <c r="B2124" s="80"/>
      <c r="C2124" s="80"/>
      <c r="D2124" s="80"/>
      <c r="E2124" s="80"/>
      <c r="F2124" s="80"/>
      <c r="G2124" s="80"/>
      <c r="H2124" s="80"/>
      <c r="I2124" s="80"/>
      <c r="J2124" s="80"/>
      <c r="K2124" s="80"/>
      <c r="L2124" s="2"/>
      <c r="M2124" s="2"/>
      <c r="N2124" s="2"/>
      <c r="O2124" s="2"/>
      <c r="P2124" s="2"/>
      <c r="Q2124" s="2"/>
      <c r="R2124" s="80"/>
      <c r="S2124" s="80"/>
      <c r="T2124" s="80"/>
      <c r="U2124" s="80"/>
      <c r="V2124" s="80"/>
      <c r="W2124" s="80"/>
      <c r="X2124" s="80"/>
      <c r="Y2124" s="80"/>
      <c r="Z2124" s="80"/>
      <c r="AA2124" s="80"/>
      <c r="AB2124" s="80"/>
      <c r="AC2124" s="80"/>
      <c r="AD2124" s="80"/>
      <c r="AE2124" s="80"/>
      <c r="AF2124" s="80"/>
      <c r="AG2124" s="80"/>
    </row>
    <row r="2125" spans="1:33" x14ac:dyDescent="0.2">
      <c r="A2125" s="2"/>
      <c r="B2125" s="80"/>
      <c r="C2125" s="80"/>
      <c r="D2125" s="80"/>
      <c r="E2125" s="80"/>
      <c r="F2125" s="80"/>
      <c r="G2125" s="80"/>
      <c r="H2125" s="80"/>
      <c r="I2125" s="80"/>
      <c r="J2125" s="80"/>
      <c r="K2125" s="80"/>
      <c r="L2125" s="2"/>
      <c r="M2125" s="2"/>
      <c r="N2125" s="2"/>
      <c r="O2125" s="2"/>
      <c r="P2125" s="2"/>
      <c r="Q2125" s="2"/>
      <c r="R2125" s="80"/>
      <c r="S2125" s="80"/>
      <c r="T2125" s="80"/>
      <c r="U2125" s="80"/>
      <c r="V2125" s="80"/>
      <c r="W2125" s="80"/>
      <c r="X2125" s="80"/>
      <c r="Y2125" s="80"/>
      <c r="Z2125" s="80"/>
      <c r="AA2125" s="80"/>
      <c r="AB2125" s="80"/>
      <c r="AC2125" s="80"/>
      <c r="AD2125" s="80"/>
      <c r="AE2125" s="80"/>
      <c r="AF2125" s="80"/>
      <c r="AG2125" s="80"/>
    </row>
    <row r="2126" spans="1:33" x14ac:dyDescent="0.2">
      <c r="A2126" s="2"/>
      <c r="B2126" s="80"/>
      <c r="C2126" s="80"/>
      <c r="D2126" s="80"/>
      <c r="E2126" s="80"/>
      <c r="F2126" s="80"/>
      <c r="G2126" s="80"/>
      <c r="H2126" s="80"/>
      <c r="I2126" s="80"/>
      <c r="J2126" s="80"/>
      <c r="K2126" s="80"/>
      <c r="L2126" s="2"/>
      <c r="M2126" s="2"/>
      <c r="N2126" s="2"/>
      <c r="O2126" s="2"/>
      <c r="P2126" s="2"/>
      <c r="Q2126" s="2"/>
      <c r="R2126" s="80"/>
      <c r="S2126" s="80"/>
      <c r="T2126" s="80"/>
      <c r="U2126" s="80"/>
      <c r="V2126" s="80"/>
      <c r="W2126" s="80"/>
      <c r="X2126" s="80"/>
      <c r="Y2126" s="80"/>
      <c r="Z2126" s="80"/>
      <c r="AA2126" s="80"/>
      <c r="AB2126" s="80"/>
      <c r="AC2126" s="80"/>
      <c r="AD2126" s="80"/>
      <c r="AE2126" s="80"/>
      <c r="AF2126" s="80"/>
      <c r="AG2126" s="80"/>
    </row>
    <row r="2127" spans="1:33" x14ac:dyDescent="0.2">
      <c r="A2127" s="2"/>
      <c r="B2127" s="80"/>
      <c r="C2127" s="80"/>
      <c r="D2127" s="80"/>
      <c r="E2127" s="80"/>
      <c r="F2127" s="80"/>
      <c r="G2127" s="80"/>
      <c r="H2127" s="80"/>
      <c r="I2127" s="80"/>
      <c r="J2127" s="80"/>
      <c r="K2127" s="80"/>
      <c r="L2127" s="2"/>
      <c r="M2127" s="2"/>
      <c r="N2127" s="2"/>
      <c r="O2127" s="2"/>
      <c r="P2127" s="2"/>
      <c r="Q2127" s="2"/>
      <c r="R2127" s="80"/>
      <c r="S2127" s="80"/>
      <c r="T2127" s="80"/>
      <c r="U2127" s="80"/>
      <c r="V2127" s="80"/>
      <c r="W2127" s="80"/>
      <c r="X2127" s="80"/>
      <c r="Y2127" s="80"/>
      <c r="Z2127" s="80"/>
      <c r="AA2127" s="80"/>
      <c r="AB2127" s="80"/>
      <c r="AC2127" s="80"/>
      <c r="AD2127" s="80"/>
      <c r="AE2127" s="80"/>
      <c r="AF2127" s="80"/>
      <c r="AG2127" s="80"/>
    </row>
    <row r="2128" spans="1:33" x14ac:dyDescent="0.2">
      <c r="A2128" s="2"/>
      <c r="B2128" s="80"/>
      <c r="C2128" s="80"/>
      <c r="D2128" s="80"/>
      <c r="E2128" s="80"/>
      <c r="F2128" s="80"/>
      <c r="G2128" s="80"/>
      <c r="H2128" s="80"/>
      <c r="I2128" s="80"/>
      <c r="J2128" s="80"/>
      <c r="K2128" s="80"/>
      <c r="L2128" s="2"/>
      <c r="M2128" s="2"/>
      <c r="N2128" s="2"/>
      <c r="O2128" s="2"/>
      <c r="P2128" s="2"/>
      <c r="Q2128" s="2"/>
      <c r="R2128" s="80"/>
      <c r="S2128" s="80"/>
      <c r="T2128" s="80"/>
      <c r="U2128" s="80"/>
      <c r="V2128" s="80"/>
      <c r="W2128" s="80"/>
      <c r="X2128" s="80"/>
      <c r="Y2128" s="80"/>
      <c r="Z2128" s="80"/>
      <c r="AA2128" s="80"/>
      <c r="AB2128" s="80"/>
      <c r="AC2128" s="80"/>
      <c r="AD2128" s="80"/>
      <c r="AE2128" s="80"/>
      <c r="AF2128" s="80"/>
      <c r="AG2128" s="80"/>
    </row>
    <row r="2129" spans="1:33" x14ac:dyDescent="0.2">
      <c r="A2129" s="2"/>
      <c r="B2129" s="80"/>
      <c r="C2129" s="80"/>
      <c r="D2129" s="80"/>
      <c r="E2129" s="80"/>
      <c r="F2129" s="80"/>
      <c r="G2129" s="80"/>
      <c r="H2129" s="80"/>
      <c r="I2129" s="80"/>
      <c r="J2129" s="80"/>
      <c r="K2129" s="80"/>
      <c r="L2129" s="2"/>
      <c r="M2129" s="2"/>
      <c r="N2129" s="2"/>
      <c r="O2129" s="2"/>
      <c r="P2129" s="2"/>
      <c r="Q2129" s="2"/>
      <c r="R2129" s="80"/>
      <c r="S2129" s="80"/>
      <c r="T2129" s="80"/>
      <c r="U2129" s="80"/>
      <c r="V2129" s="80"/>
      <c r="W2129" s="80"/>
      <c r="X2129" s="80"/>
      <c r="Y2129" s="80"/>
      <c r="Z2129" s="80"/>
      <c r="AA2129" s="80"/>
      <c r="AB2129" s="80"/>
      <c r="AC2129" s="80"/>
      <c r="AD2129" s="80"/>
      <c r="AE2129" s="80"/>
      <c r="AF2129" s="80"/>
      <c r="AG2129" s="80"/>
    </row>
    <row r="2130" spans="1:33" x14ac:dyDescent="0.2">
      <c r="A2130" s="2"/>
      <c r="B2130" s="80"/>
      <c r="C2130" s="80"/>
      <c r="D2130" s="80"/>
      <c r="E2130" s="80"/>
      <c r="F2130" s="80"/>
      <c r="G2130" s="80"/>
      <c r="H2130" s="80"/>
      <c r="I2130" s="80"/>
      <c r="J2130" s="80"/>
      <c r="K2130" s="80"/>
      <c r="L2130" s="2"/>
      <c r="M2130" s="2"/>
      <c r="N2130" s="2"/>
      <c r="O2130" s="2"/>
      <c r="P2130" s="2"/>
      <c r="Q2130" s="2"/>
      <c r="R2130" s="80"/>
      <c r="S2130" s="80"/>
      <c r="T2130" s="80"/>
      <c r="U2130" s="80"/>
      <c r="V2130" s="80"/>
      <c r="W2130" s="80"/>
      <c r="X2130" s="80"/>
      <c r="Y2130" s="80"/>
      <c r="Z2130" s="80"/>
      <c r="AA2130" s="80"/>
      <c r="AB2130" s="80"/>
      <c r="AC2130" s="80"/>
      <c r="AD2130" s="80"/>
      <c r="AE2130" s="80"/>
      <c r="AF2130" s="80"/>
      <c r="AG2130" s="80"/>
    </row>
    <row r="2131" spans="1:33" x14ac:dyDescent="0.2">
      <c r="A2131" s="2"/>
      <c r="B2131" s="80"/>
      <c r="C2131" s="80"/>
      <c r="D2131" s="80"/>
      <c r="E2131" s="80"/>
      <c r="F2131" s="80"/>
      <c r="G2131" s="80"/>
      <c r="H2131" s="80"/>
      <c r="I2131" s="80"/>
      <c r="J2131" s="80"/>
      <c r="K2131" s="80"/>
      <c r="L2131" s="2"/>
      <c r="M2131" s="2"/>
      <c r="N2131" s="2"/>
      <c r="O2131" s="2"/>
      <c r="P2131" s="2"/>
      <c r="Q2131" s="2"/>
      <c r="R2131" s="80"/>
      <c r="S2131" s="80"/>
      <c r="T2131" s="80"/>
      <c r="U2131" s="80"/>
      <c r="V2131" s="80"/>
      <c r="W2131" s="80"/>
      <c r="X2131" s="80"/>
      <c r="Y2131" s="80"/>
      <c r="Z2131" s="80"/>
      <c r="AA2131" s="80"/>
      <c r="AB2131" s="80"/>
      <c r="AC2131" s="80"/>
      <c r="AD2131" s="80"/>
      <c r="AE2131" s="80"/>
      <c r="AF2131" s="80"/>
      <c r="AG2131" s="80"/>
    </row>
    <row r="2132" spans="1:33" x14ac:dyDescent="0.2">
      <c r="A2132" s="2"/>
      <c r="B2132" s="80"/>
      <c r="C2132" s="80"/>
      <c r="D2132" s="80"/>
      <c r="E2132" s="80"/>
      <c r="F2132" s="80"/>
      <c r="G2132" s="80"/>
      <c r="H2132" s="80"/>
      <c r="I2132" s="80"/>
      <c r="J2132" s="80"/>
      <c r="K2132" s="80"/>
      <c r="L2132" s="2"/>
      <c r="M2132" s="2"/>
      <c r="N2132" s="2"/>
      <c r="O2132" s="2"/>
      <c r="P2132" s="2"/>
      <c r="Q2132" s="2"/>
      <c r="R2132" s="80"/>
      <c r="S2132" s="80"/>
      <c r="T2132" s="80"/>
      <c r="U2132" s="80"/>
      <c r="V2132" s="80"/>
      <c r="W2132" s="80"/>
      <c r="X2132" s="80"/>
      <c r="Y2132" s="80"/>
      <c r="Z2132" s="80"/>
      <c r="AA2132" s="80"/>
      <c r="AB2132" s="80"/>
      <c r="AC2132" s="80"/>
      <c r="AD2132" s="80"/>
      <c r="AE2132" s="80"/>
      <c r="AF2132" s="80"/>
      <c r="AG2132" s="80"/>
    </row>
    <row r="2133" spans="1:33" x14ac:dyDescent="0.2">
      <c r="A2133" s="2"/>
      <c r="B2133" s="80"/>
      <c r="C2133" s="80"/>
      <c r="D2133" s="80"/>
      <c r="E2133" s="80"/>
      <c r="F2133" s="80"/>
      <c r="G2133" s="80"/>
      <c r="H2133" s="80"/>
      <c r="I2133" s="80"/>
      <c r="J2133" s="80"/>
      <c r="K2133" s="80"/>
      <c r="L2133" s="2"/>
      <c r="M2133" s="2"/>
      <c r="N2133" s="2"/>
      <c r="O2133" s="2"/>
      <c r="P2133" s="2"/>
      <c r="Q2133" s="2"/>
      <c r="R2133" s="80"/>
      <c r="S2133" s="80"/>
      <c r="T2133" s="80"/>
      <c r="U2133" s="80"/>
      <c r="V2133" s="80"/>
      <c r="W2133" s="80"/>
      <c r="X2133" s="80"/>
      <c r="Y2133" s="80"/>
      <c r="Z2133" s="80"/>
      <c r="AA2133" s="80"/>
      <c r="AB2133" s="80"/>
      <c r="AC2133" s="80"/>
      <c r="AD2133" s="80"/>
      <c r="AE2133" s="80"/>
      <c r="AF2133" s="80"/>
      <c r="AG2133" s="80"/>
    </row>
    <row r="2134" spans="1:33" x14ac:dyDescent="0.2">
      <c r="A2134" s="2"/>
      <c r="B2134" s="80"/>
      <c r="C2134" s="80"/>
      <c r="D2134" s="80"/>
      <c r="E2134" s="80"/>
      <c r="F2134" s="80"/>
      <c r="G2134" s="80"/>
      <c r="H2134" s="80"/>
      <c r="I2134" s="80"/>
      <c r="J2134" s="80"/>
      <c r="K2134" s="80"/>
      <c r="L2134" s="2"/>
      <c r="M2134" s="2"/>
      <c r="N2134" s="2"/>
      <c r="O2134" s="2"/>
      <c r="P2134" s="2"/>
      <c r="Q2134" s="2"/>
      <c r="R2134" s="80"/>
      <c r="S2134" s="80"/>
      <c r="T2134" s="80"/>
      <c r="U2134" s="80"/>
      <c r="V2134" s="80"/>
      <c r="W2134" s="80"/>
      <c r="X2134" s="80"/>
      <c r="Y2134" s="80"/>
      <c r="Z2134" s="80"/>
      <c r="AA2134" s="80"/>
      <c r="AB2134" s="80"/>
      <c r="AC2134" s="80"/>
      <c r="AD2134" s="80"/>
      <c r="AE2134" s="80"/>
      <c r="AF2134" s="80"/>
      <c r="AG2134" s="80"/>
    </row>
    <row r="2135" spans="1:33" x14ac:dyDescent="0.2">
      <c r="A2135" s="2"/>
      <c r="B2135" s="80"/>
      <c r="C2135" s="80"/>
      <c r="D2135" s="80"/>
      <c r="E2135" s="80"/>
      <c r="F2135" s="80"/>
      <c r="G2135" s="80"/>
      <c r="H2135" s="80"/>
      <c r="I2135" s="80"/>
      <c r="J2135" s="80"/>
      <c r="K2135" s="80"/>
      <c r="L2135" s="2"/>
      <c r="M2135" s="2"/>
      <c r="N2135" s="2"/>
      <c r="O2135" s="2"/>
      <c r="P2135" s="2"/>
      <c r="Q2135" s="2"/>
      <c r="R2135" s="80"/>
      <c r="S2135" s="80"/>
      <c r="T2135" s="80"/>
      <c r="U2135" s="80"/>
      <c r="V2135" s="80"/>
      <c r="W2135" s="80"/>
      <c r="X2135" s="80"/>
      <c r="Y2135" s="80"/>
      <c r="Z2135" s="80"/>
      <c r="AA2135" s="80"/>
      <c r="AB2135" s="80"/>
      <c r="AC2135" s="80"/>
      <c r="AD2135" s="80"/>
      <c r="AE2135" s="80"/>
      <c r="AF2135" s="80"/>
      <c r="AG2135" s="80"/>
    </row>
    <row r="2136" spans="1:33" x14ac:dyDescent="0.2">
      <c r="A2136" s="2"/>
      <c r="B2136" s="80"/>
      <c r="C2136" s="80"/>
      <c r="D2136" s="80"/>
      <c r="E2136" s="80"/>
      <c r="F2136" s="80"/>
      <c r="G2136" s="80"/>
      <c r="H2136" s="80"/>
      <c r="I2136" s="80"/>
      <c r="J2136" s="80"/>
      <c r="K2136" s="80"/>
      <c r="L2136" s="2"/>
      <c r="M2136" s="2"/>
      <c r="N2136" s="2"/>
      <c r="O2136" s="2"/>
      <c r="P2136" s="2"/>
      <c r="Q2136" s="2"/>
      <c r="R2136" s="80"/>
      <c r="S2136" s="80"/>
      <c r="T2136" s="80"/>
      <c r="U2136" s="80"/>
      <c r="V2136" s="80"/>
      <c r="W2136" s="80"/>
      <c r="X2136" s="80"/>
      <c r="Y2136" s="80"/>
      <c r="Z2136" s="80"/>
      <c r="AA2136" s="80"/>
      <c r="AB2136" s="80"/>
      <c r="AC2136" s="80"/>
      <c r="AD2136" s="80"/>
      <c r="AE2136" s="80"/>
      <c r="AF2136" s="80"/>
      <c r="AG2136" s="80"/>
    </row>
    <row r="2137" spans="1:33" x14ac:dyDescent="0.2">
      <c r="A2137" s="2"/>
      <c r="B2137" s="80"/>
      <c r="C2137" s="80"/>
      <c r="D2137" s="80"/>
      <c r="E2137" s="80"/>
      <c r="F2137" s="80"/>
      <c r="G2137" s="80"/>
      <c r="H2137" s="80"/>
      <c r="I2137" s="80"/>
      <c r="J2137" s="80"/>
      <c r="K2137" s="80"/>
      <c r="L2137" s="2"/>
      <c r="M2137" s="2"/>
      <c r="N2137" s="2"/>
      <c r="O2137" s="2"/>
      <c r="P2137" s="2"/>
      <c r="Q2137" s="2"/>
      <c r="R2137" s="80"/>
      <c r="S2137" s="80"/>
      <c r="T2137" s="80"/>
      <c r="U2137" s="80"/>
      <c r="V2137" s="80"/>
      <c r="W2137" s="80"/>
      <c r="X2137" s="80"/>
      <c r="Y2137" s="80"/>
      <c r="Z2137" s="80"/>
      <c r="AA2137" s="80"/>
      <c r="AB2137" s="80"/>
      <c r="AC2137" s="80"/>
      <c r="AD2137" s="80"/>
      <c r="AE2137" s="80"/>
      <c r="AF2137" s="80"/>
      <c r="AG2137" s="80"/>
    </row>
    <row r="2138" spans="1:33" x14ac:dyDescent="0.2">
      <c r="A2138" s="2"/>
      <c r="B2138" s="80"/>
      <c r="C2138" s="80"/>
      <c r="D2138" s="80"/>
      <c r="E2138" s="80"/>
      <c r="F2138" s="80"/>
      <c r="G2138" s="80"/>
      <c r="H2138" s="80"/>
      <c r="I2138" s="80"/>
      <c r="J2138" s="80"/>
      <c r="K2138" s="80"/>
      <c r="L2138" s="2"/>
      <c r="M2138" s="2"/>
      <c r="N2138" s="2"/>
      <c r="O2138" s="2"/>
      <c r="P2138" s="2"/>
      <c r="Q2138" s="2"/>
      <c r="R2138" s="80"/>
      <c r="S2138" s="80"/>
      <c r="T2138" s="80"/>
      <c r="U2138" s="80"/>
      <c r="V2138" s="80"/>
      <c r="W2138" s="80"/>
      <c r="X2138" s="80"/>
      <c r="Y2138" s="80"/>
      <c r="Z2138" s="80"/>
      <c r="AA2138" s="80"/>
      <c r="AB2138" s="80"/>
      <c r="AC2138" s="80"/>
      <c r="AD2138" s="80"/>
      <c r="AE2138" s="80"/>
      <c r="AF2138" s="80"/>
      <c r="AG2138" s="80"/>
    </row>
    <row r="2139" spans="1:33" x14ac:dyDescent="0.2">
      <c r="A2139" s="2"/>
      <c r="B2139" s="80"/>
      <c r="C2139" s="80"/>
      <c r="D2139" s="80"/>
      <c r="E2139" s="80"/>
      <c r="F2139" s="80"/>
      <c r="G2139" s="80"/>
      <c r="H2139" s="80"/>
      <c r="I2139" s="80"/>
      <c r="J2139" s="80"/>
      <c r="K2139" s="80"/>
      <c r="L2139" s="2"/>
      <c r="M2139" s="2"/>
      <c r="N2139" s="2"/>
      <c r="O2139" s="2"/>
      <c r="P2139" s="2"/>
      <c r="Q2139" s="2"/>
      <c r="R2139" s="80"/>
      <c r="S2139" s="80"/>
      <c r="T2139" s="80"/>
      <c r="U2139" s="80"/>
      <c r="V2139" s="80"/>
      <c r="W2139" s="80"/>
      <c r="X2139" s="80"/>
      <c r="Y2139" s="80"/>
      <c r="Z2139" s="80"/>
      <c r="AA2139" s="80"/>
      <c r="AB2139" s="80"/>
      <c r="AC2139" s="80"/>
      <c r="AD2139" s="80"/>
      <c r="AE2139" s="80"/>
      <c r="AF2139" s="80"/>
      <c r="AG2139" s="80"/>
    </row>
    <row r="2140" spans="1:33" x14ac:dyDescent="0.2">
      <c r="A2140" s="2"/>
      <c r="B2140" s="80"/>
      <c r="C2140" s="80"/>
      <c r="D2140" s="80"/>
      <c r="E2140" s="80"/>
      <c r="F2140" s="80"/>
      <c r="G2140" s="80"/>
      <c r="H2140" s="80"/>
      <c r="I2140" s="80"/>
      <c r="J2140" s="80"/>
      <c r="K2140" s="80"/>
      <c r="L2140" s="2"/>
      <c r="M2140" s="2"/>
      <c r="N2140" s="2"/>
      <c r="O2140" s="2"/>
      <c r="P2140" s="2"/>
      <c r="Q2140" s="2"/>
      <c r="R2140" s="80"/>
      <c r="S2140" s="80"/>
      <c r="T2140" s="80"/>
      <c r="U2140" s="80"/>
      <c r="V2140" s="80"/>
      <c r="W2140" s="80"/>
      <c r="X2140" s="80"/>
      <c r="Y2140" s="80"/>
      <c r="Z2140" s="80"/>
      <c r="AA2140" s="80"/>
      <c r="AB2140" s="80"/>
      <c r="AC2140" s="80"/>
      <c r="AD2140" s="80"/>
      <c r="AE2140" s="80"/>
      <c r="AF2140" s="80"/>
      <c r="AG2140" s="80"/>
    </row>
    <row r="2141" spans="1:33" x14ac:dyDescent="0.2">
      <c r="A2141" s="2"/>
      <c r="B2141" s="80"/>
      <c r="C2141" s="80"/>
      <c r="D2141" s="80"/>
      <c r="E2141" s="80"/>
      <c r="F2141" s="80"/>
      <c r="G2141" s="80"/>
      <c r="H2141" s="80"/>
      <c r="I2141" s="80"/>
      <c r="J2141" s="80"/>
      <c r="K2141" s="80"/>
      <c r="L2141" s="2"/>
      <c r="M2141" s="2"/>
      <c r="N2141" s="2"/>
      <c r="O2141" s="2"/>
      <c r="P2141" s="2"/>
      <c r="Q2141" s="2"/>
      <c r="R2141" s="80"/>
      <c r="S2141" s="80"/>
      <c r="T2141" s="80"/>
      <c r="U2141" s="80"/>
      <c r="V2141" s="80"/>
      <c r="W2141" s="80"/>
      <c r="X2141" s="80"/>
      <c r="Y2141" s="80"/>
      <c r="Z2141" s="80"/>
      <c r="AA2141" s="80"/>
      <c r="AB2141" s="80"/>
      <c r="AC2141" s="80"/>
      <c r="AD2141" s="80"/>
      <c r="AE2141" s="80"/>
      <c r="AF2141" s="80"/>
      <c r="AG2141" s="80"/>
    </row>
    <row r="2142" spans="1:33" x14ac:dyDescent="0.2">
      <c r="A2142" s="2"/>
      <c r="B2142" s="80"/>
      <c r="C2142" s="80"/>
      <c r="D2142" s="80"/>
      <c r="E2142" s="80"/>
      <c r="F2142" s="80"/>
      <c r="G2142" s="80"/>
      <c r="H2142" s="80"/>
      <c r="I2142" s="80"/>
      <c r="J2142" s="80"/>
      <c r="K2142" s="80"/>
      <c r="L2142" s="2"/>
      <c r="M2142" s="2"/>
      <c r="N2142" s="2"/>
      <c r="O2142" s="2"/>
      <c r="P2142" s="2"/>
      <c r="Q2142" s="2"/>
      <c r="R2142" s="80"/>
      <c r="S2142" s="80"/>
      <c r="T2142" s="80"/>
      <c r="U2142" s="80"/>
      <c r="V2142" s="80"/>
      <c r="W2142" s="80"/>
      <c r="X2142" s="80"/>
      <c r="Y2142" s="80"/>
      <c r="Z2142" s="80"/>
      <c r="AA2142" s="80"/>
      <c r="AB2142" s="80"/>
      <c r="AC2142" s="80"/>
      <c r="AD2142" s="80"/>
      <c r="AE2142" s="80"/>
      <c r="AF2142" s="80"/>
      <c r="AG2142" s="80"/>
    </row>
    <row r="2143" spans="1:33" x14ac:dyDescent="0.2">
      <c r="A2143" s="2"/>
      <c r="B2143" s="80"/>
      <c r="C2143" s="80"/>
      <c r="D2143" s="80"/>
      <c r="E2143" s="80"/>
      <c r="F2143" s="80"/>
      <c r="G2143" s="80"/>
      <c r="H2143" s="80"/>
      <c r="I2143" s="80"/>
      <c r="J2143" s="80"/>
      <c r="K2143" s="80"/>
      <c r="L2143" s="2"/>
      <c r="M2143" s="2"/>
      <c r="N2143" s="2"/>
      <c r="O2143" s="2"/>
      <c r="P2143" s="2"/>
      <c r="Q2143" s="2"/>
      <c r="R2143" s="80"/>
      <c r="S2143" s="80"/>
      <c r="T2143" s="80"/>
      <c r="U2143" s="80"/>
      <c r="V2143" s="80"/>
      <c r="W2143" s="80"/>
      <c r="X2143" s="80"/>
      <c r="Y2143" s="80"/>
      <c r="Z2143" s="80"/>
      <c r="AA2143" s="80"/>
      <c r="AB2143" s="80"/>
      <c r="AC2143" s="80"/>
      <c r="AD2143" s="80"/>
      <c r="AE2143" s="80"/>
      <c r="AF2143" s="80"/>
      <c r="AG2143" s="80"/>
    </row>
    <row r="2144" spans="1:33" x14ac:dyDescent="0.2">
      <c r="A2144" s="2"/>
      <c r="B2144" s="80"/>
      <c r="C2144" s="80"/>
      <c r="D2144" s="80"/>
      <c r="E2144" s="80"/>
      <c r="F2144" s="80"/>
      <c r="G2144" s="80"/>
      <c r="H2144" s="80"/>
      <c r="I2144" s="80"/>
      <c r="J2144" s="80"/>
      <c r="K2144" s="80"/>
      <c r="L2144" s="2"/>
      <c r="M2144" s="2"/>
      <c r="N2144" s="2"/>
      <c r="O2144" s="2"/>
      <c r="P2144" s="2"/>
      <c r="Q2144" s="2"/>
      <c r="R2144" s="80"/>
      <c r="S2144" s="80"/>
      <c r="T2144" s="80"/>
      <c r="U2144" s="80"/>
      <c r="V2144" s="80"/>
      <c r="W2144" s="80"/>
      <c r="X2144" s="80"/>
      <c r="Y2144" s="80"/>
      <c r="Z2144" s="80"/>
      <c r="AA2144" s="80"/>
      <c r="AB2144" s="80"/>
      <c r="AC2144" s="80"/>
      <c r="AD2144" s="80"/>
      <c r="AE2144" s="80"/>
      <c r="AF2144" s="80"/>
      <c r="AG2144" s="80"/>
    </row>
    <row r="2145" spans="1:33" x14ac:dyDescent="0.2">
      <c r="A2145" s="2"/>
      <c r="B2145" s="80"/>
      <c r="C2145" s="80"/>
      <c r="D2145" s="80"/>
      <c r="E2145" s="80"/>
      <c r="F2145" s="80"/>
      <c r="G2145" s="80"/>
      <c r="H2145" s="80"/>
      <c r="I2145" s="80"/>
      <c r="J2145" s="80"/>
      <c r="K2145" s="80"/>
      <c r="L2145" s="2"/>
      <c r="M2145" s="2"/>
      <c r="N2145" s="2"/>
      <c r="O2145" s="2"/>
      <c r="P2145" s="2"/>
      <c r="Q2145" s="2"/>
      <c r="R2145" s="80"/>
      <c r="S2145" s="80"/>
      <c r="T2145" s="80"/>
      <c r="U2145" s="80"/>
      <c r="V2145" s="80"/>
      <c r="W2145" s="80"/>
      <c r="X2145" s="80"/>
      <c r="Y2145" s="80"/>
      <c r="Z2145" s="80"/>
      <c r="AA2145" s="80"/>
      <c r="AB2145" s="80"/>
      <c r="AC2145" s="80"/>
      <c r="AD2145" s="80"/>
      <c r="AE2145" s="80"/>
      <c r="AF2145" s="80"/>
      <c r="AG2145" s="80"/>
    </row>
    <row r="2146" spans="1:33" x14ac:dyDescent="0.2">
      <c r="A2146" s="2"/>
      <c r="B2146" s="80"/>
      <c r="C2146" s="80"/>
      <c r="D2146" s="80"/>
      <c r="E2146" s="80"/>
      <c r="F2146" s="80"/>
      <c r="G2146" s="80"/>
      <c r="H2146" s="80"/>
      <c r="I2146" s="80"/>
      <c r="J2146" s="80"/>
      <c r="K2146" s="80"/>
      <c r="L2146" s="2"/>
      <c r="M2146" s="2"/>
      <c r="N2146" s="2"/>
      <c r="O2146" s="2"/>
      <c r="P2146" s="2"/>
      <c r="Q2146" s="2"/>
      <c r="R2146" s="80"/>
      <c r="S2146" s="80"/>
      <c r="T2146" s="80"/>
      <c r="U2146" s="80"/>
      <c r="V2146" s="80"/>
      <c r="W2146" s="80"/>
      <c r="X2146" s="80"/>
      <c r="Y2146" s="80"/>
      <c r="Z2146" s="80"/>
      <c r="AA2146" s="80"/>
      <c r="AB2146" s="80"/>
      <c r="AC2146" s="80"/>
      <c r="AD2146" s="80"/>
      <c r="AE2146" s="80"/>
      <c r="AF2146" s="80"/>
      <c r="AG2146" s="80"/>
    </row>
    <row r="2147" spans="1:33" x14ac:dyDescent="0.2">
      <c r="A2147" s="2"/>
      <c r="B2147" s="80"/>
      <c r="C2147" s="80"/>
      <c r="D2147" s="80"/>
      <c r="E2147" s="80"/>
      <c r="F2147" s="80"/>
      <c r="G2147" s="80"/>
      <c r="H2147" s="80"/>
      <c r="I2147" s="80"/>
      <c r="J2147" s="80"/>
      <c r="K2147" s="80"/>
      <c r="L2147" s="2"/>
      <c r="M2147" s="2"/>
      <c r="N2147" s="2"/>
      <c r="O2147" s="2"/>
      <c r="P2147" s="2"/>
      <c r="Q2147" s="2"/>
      <c r="R2147" s="80"/>
      <c r="S2147" s="80"/>
      <c r="T2147" s="80"/>
      <c r="U2147" s="80"/>
      <c r="V2147" s="80"/>
      <c r="W2147" s="80"/>
      <c r="X2147" s="80"/>
      <c r="Y2147" s="80"/>
      <c r="Z2147" s="80"/>
      <c r="AA2147" s="80"/>
      <c r="AB2147" s="80"/>
      <c r="AC2147" s="80"/>
      <c r="AD2147" s="80"/>
      <c r="AE2147" s="80"/>
      <c r="AF2147" s="80"/>
      <c r="AG2147" s="80"/>
    </row>
    <row r="2148" spans="1:33" x14ac:dyDescent="0.2">
      <c r="A2148" s="2"/>
      <c r="B2148" s="80"/>
      <c r="C2148" s="80"/>
      <c r="D2148" s="80"/>
      <c r="E2148" s="80"/>
      <c r="F2148" s="80"/>
      <c r="G2148" s="80"/>
      <c r="H2148" s="80"/>
      <c r="I2148" s="80"/>
      <c r="J2148" s="80"/>
      <c r="K2148" s="80"/>
      <c r="L2148" s="2"/>
      <c r="M2148" s="2"/>
      <c r="N2148" s="2"/>
      <c r="O2148" s="2"/>
      <c r="P2148" s="2"/>
      <c r="Q2148" s="2"/>
      <c r="R2148" s="80"/>
      <c r="S2148" s="80"/>
      <c r="T2148" s="80"/>
      <c r="U2148" s="80"/>
      <c r="V2148" s="80"/>
      <c r="W2148" s="80"/>
      <c r="X2148" s="80"/>
      <c r="Y2148" s="80"/>
      <c r="Z2148" s="80"/>
      <c r="AA2148" s="80"/>
      <c r="AB2148" s="80"/>
      <c r="AC2148" s="80"/>
      <c r="AD2148" s="80"/>
      <c r="AE2148" s="80"/>
      <c r="AF2148" s="80"/>
      <c r="AG2148" s="80"/>
    </row>
    <row r="2149" spans="1:33" x14ac:dyDescent="0.2">
      <c r="A2149" s="2"/>
      <c r="B2149" s="80"/>
      <c r="C2149" s="80"/>
      <c r="D2149" s="80"/>
      <c r="E2149" s="80"/>
      <c r="F2149" s="80"/>
      <c r="G2149" s="80"/>
      <c r="H2149" s="80"/>
      <c r="I2149" s="80"/>
      <c r="J2149" s="80"/>
      <c r="K2149" s="80"/>
      <c r="L2149" s="2"/>
      <c r="M2149" s="2"/>
      <c r="N2149" s="2"/>
      <c r="O2149" s="2"/>
      <c r="P2149" s="2"/>
      <c r="Q2149" s="2"/>
      <c r="R2149" s="80"/>
      <c r="S2149" s="80"/>
      <c r="T2149" s="80"/>
      <c r="U2149" s="80"/>
      <c r="V2149" s="80"/>
      <c r="W2149" s="80"/>
      <c r="X2149" s="80"/>
      <c r="Y2149" s="80"/>
      <c r="Z2149" s="80"/>
      <c r="AA2149" s="80"/>
      <c r="AB2149" s="80"/>
      <c r="AC2149" s="80"/>
      <c r="AD2149" s="80"/>
      <c r="AE2149" s="80"/>
      <c r="AF2149" s="80"/>
      <c r="AG2149" s="80"/>
    </row>
    <row r="2150" spans="1:33" x14ac:dyDescent="0.2">
      <c r="A2150" s="2"/>
      <c r="B2150" s="80"/>
      <c r="C2150" s="80"/>
      <c r="D2150" s="80"/>
      <c r="E2150" s="80"/>
      <c r="F2150" s="80"/>
      <c r="G2150" s="80"/>
      <c r="H2150" s="80"/>
      <c r="I2150" s="80"/>
      <c r="J2150" s="80"/>
      <c r="K2150" s="80"/>
      <c r="L2150" s="2"/>
      <c r="M2150" s="2"/>
      <c r="N2150" s="2"/>
      <c r="O2150" s="2"/>
      <c r="P2150" s="2"/>
      <c r="Q2150" s="2"/>
      <c r="R2150" s="80"/>
      <c r="S2150" s="80"/>
      <c r="T2150" s="80"/>
      <c r="U2150" s="80"/>
      <c r="V2150" s="80"/>
      <c r="W2150" s="80"/>
      <c r="X2150" s="80"/>
      <c r="Y2150" s="80"/>
      <c r="Z2150" s="80"/>
      <c r="AA2150" s="80"/>
      <c r="AB2150" s="80"/>
      <c r="AC2150" s="80"/>
      <c r="AD2150" s="80"/>
      <c r="AE2150" s="80"/>
      <c r="AF2150" s="80"/>
      <c r="AG2150" s="80"/>
    </row>
    <row r="2151" spans="1:33" x14ac:dyDescent="0.2">
      <c r="A2151" s="2"/>
      <c r="B2151" s="80"/>
      <c r="C2151" s="80"/>
      <c r="D2151" s="80"/>
      <c r="E2151" s="80"/>
      <c r="F2151" s="80"/>
      <c r="G2151" s="80"/>
      <c r="H2151" s="80"/>
      <c r="I2151" s="80"/>
      <c r="J2151" s="80"/>
      <c r="K2151" s="80"/>
      <c r="L2151" s="2"/>
      <c r="M2151" s="2"/>
      <c r="N2151" s="2"/>
      <c r="O2151" s="2"/>
      <c r="P2151" s="2"/>
      <c r="Q2151" s="2"/>
      <c r="R2151" s="80"/>
      <c r="S2151" s="80"/>
      <c r="T2151" s="80"/>
      <c r="U2151" s="80"/>
      <c r="V2151" s="80"/>
      <c r="W2151" s="80"/>
      <c r="X2151" s="80"/>
      <c r="Y2151" s="80"/>
      <c r="Z2151" s="80"/>
      <c r="AA2151" s="80"/>
      <c r="AB2151" s="80"/>
      <c r="AC2151" s="80"/>
      <c r="AD2151" s="80"/>
      <c r="AE2151" s="80"/>
      <c r="AF2151" s="80"/>
      <c r="AG2151" s="80"/>
    </row>
    <row r="2152" spans="1:33" x14ac:dyDescent="0.2">
      <c r="A2152" s="2"/>
      <c r="B2152" s="80"/>
      <c r="C2152" s="80"/>
      <c r="D2152" s="80"/>
      <c r="E2152" s="80"/>
      <c r="F2152" s="80"/>
      <c r="G2152" s="80"/>
      <c r="H2152" s="80"/>
      <c r="I2152" s="80"/>
      <c r="J2152" s="80"/>
      <c r="K2152" s="80"/>
      <c r="L2152" s="2"/>
      <c r="M2152" s="2"/>
      <c r="N2152" s="2"/>
      <c r="O2152" s="2"/>
      <c r="P2152" s="2"/>
      <c r="Q2152" s="2"/>
      <c r="R2152" s="80"/>
      <c r="S2152" s="80"/>
      <c r="T2152" s="80"/>
      <c r="U2152" s="80"/>
      <c r="V2152" s="80"/>
      <c r="W2152" s="80"/>
      <c r="X2152" s="80"/>
      <c r="Y2152" s="80"/>
      <c r="Z2152" s="80"/>
      <c r="AA2152" s="80"/>
      <c r="AB2152" s="80"/>
      <c r="AC2152" s="80"/>
      <c r="AD2152" s="80"/>
      <c r="AE2152" s="80"/>
      <c r="AF2152" s="80"/>
      <c r="AG2152" s="80"/>
    </row>
    <row r="2153" spans="1:33" x14ac:dyDescent="0.2">
      <c r="A2153" s="2"/>
      <c r="B2153" s="80"/>
      <c r="C2153" s="80"/>
      <c r="D2153" s="80"/>
      <c r="E2153" s="80"/>
      <c r="F2153" s="80"/>
      <c r="G2153" s="80"/>
      <c r="H2153" s="80"/>
      <c r="I2153" s="80"/>
      <c r="J2153" s="80"/>
      <c r="K2153" s="80"/>
      <c r="L2153" s="2"/>
      <c r="M2153" s="2"/>
      <c r="N2153" s="2"/>
      <c r="O2153" s="2"/>
      <c r="P2153" s="2"/>
      <c r="Q2153" s="2"/>
      <c r="R2153" s="80"/>
      <c r="S2153" s="80"/>
      <c r="T2153" s="80"/>
      <c r="U2153" s="80"/>
      <c r="V2153" s="80"/>
      <c r="W2153" s="80"/>
      <c r="X2153" s="80"/>
      <c r="Y2153" s="80"/>
      <c r="Z2153" s="80"/>
      <c r="AA2153" s="80"/>
      <c r="AB2153" s="80"/>
      <c r="AC2153" s="80"/>
      <c r="AD2153" s="80"/>
      <c r="AE2153" s="80"/>
      <c r="AF2153" s="80"/>
      <c r="AG2153" s="80"/>
    </row>
    <row r="2154" spans="1:33" x14ac:dyDescent="0.2">
      <c r="A2154" s="2"/>
      <c r="B2154" s="80"/>
      <c r="C2154" s="80"/>
      <c r="D2154" s="80"/>
      <c r="E2154" s="80"/>
      <c r="F2154" s="80"/>
      <c r="G2154" s="80"/>
      <c r="H2154" s="80"/>
      <c r="I2154" s="80"/>
      <c r="J2154" s="80"/>
      <c r="K2154" s="80"/>
      <c r="L2154" s="2"/>
      <c r="M2154" s="2"/>
      <c r="N2154" s="2"/>
      <c r="O2154" s="2"/>
      <c r="P2154" s="2"/>
      <c r="Q2154" s="2"/>
      <c r="R2154" s="80"/>
      <c r="S2154" s="80"/>
      <c r="T2154" s="80"/>
      <c r="U2154" s="80"/>
      <c r="V2154" s="80"/>
      <c r="W2154" s="80"/>
      <c r="X2154" s="80"/>
      <c r="Y2154" s="80"/>
      <c r="Z2154" s="80"/>
      <c r="AA2154" s="80"/>
      <c r="AB2154" s="80"/>
      <c r="AC2154" s="80"/>
      <c r="AD2154" s="80"/>
      <c r="AE2154" s="80"/>
      <c r="AF2154" s="80"/>
      <c r="AG2154" s="80"/>
    </row>
    <row r="2155" spans="1:33" x14ac:dyDescent="0.2">
      <c r="A2155" s="2"/>
      <c r="B2155" s="80"/>
      <c r="C2155" s="80"/>
      <c r="D2155" s="80"/>
      <c r="E2155" s="80"/>
      <c r="F2155" s="80"/>
      <c r="G2155" s="80"/>
      <c r="H2155" s="80"/>
      <c r="I2155" s="80"/>
      <c r="J2155" s="80"/>
      <c r="K2155" s="80"/>
      <c r="L2155" s="2"/>
      <c r="M2155" s="2"/>
      <c r="N2155" s="2"/>
      <c r="O2155" s="2"/>
      <c r="P2155" s="2"/>
      <c r="Q2155" s="2"/>
      <c r="R2155" s="80"/>
      <c r="S2155" s="80"/>
      <c r="T2155" s="80"/>
      <c r="U2155" s="80"/>
      <c r="V2155" s="80"/>
      <c r="W2155" s="80"/>
      <c r="X2155" s="80"/>
      <c r="Y2155" s="80"/>
      <c r="Z2155" s="80"/>
      <c r="AA2155" s="80"/>
      <c r="AB2155" s="80"/>
      <c r="AC2155" s="80"/>
      <c r="AD2155" s="80"/>
      <c r="AE2155" s="80"/>
      <c r="AF2155" s="80"/>
      <c r="AG2155" s="80"/>
    </row>
    <row r="2156" spans="1:33" x14ac:dyDescent="0.2">
      <c r="A2156" s="2"/>
      <c r="B2156" s="80"/>
      <c r="C2156" s="80"/>
      <c r="D2156" s="80"/>
      <c r="E2156" s="80"/>
      <c r="F2156" s="80"/>
      <c r="G2156" s="80"/>
      <c r="H2156" s="80"/>
      <c r="I2156" s="80"/>
      <c r="J2156" s="80"/>
      <c r="K2156" s="80"/>
      <c r="L2156" s="2"/>
      <c r="M2156" s="2"/>
      <c r="N2156" s="2"/>
      <c r="O2156" s="2"/>
      <c r="P2156" s="2"/>
      <c r="Q2156" s="2"/>
      <c r="R2156" s="80"/>
      <c r="S2156" s="80"/>
      <c r="T2156" s="80"/>
      <c r="U2156" s="80"/>
      <c r="V2156" s="80"/>
      <c r="W2156" s="80"/>
      <c r="X2156" s="80"/>
      <c r="Y2156" s="80"/>
      <c r="Z2156" s="80"/>
      <c r="AA2156" s="80"/>
      <c r="AB2156" s="80"/>
      <c r="AC2156" s="80"/>
      <c r="AD2156" s="80"/>
      <c r="AE2156" s="80"/>
      <c r="AF2156" s="80"/>
      <c r="AG2156" s="80"/>
    </row>
    <row r="2157" spans="1:33" x14ac:dyDescent="0.2">
      <c r="A2157" s="2"/>
      <c r="B2157" s="80"/>
      <c r="C2157" s="80"/>
      <c r="D2157" s="80"/>
      <c r="E2157" s="80"/>
      <c r="F2157" s="80"/>
      <c r="G2157" s="80"/>
      <c r="H2157" s="80"/>
      <c r="I2157" s="80"/>
      <c r="J2157" s="80"/>
      <c r="K2157" s="80"/>
      <c r="L2157" s="2"/>
      <c r="M2157" s="2"/>
      <c r="N2157" s="2"/>
      <c r="O2157" s="2"/>
      <c r="P2157" s="2"/>
      <c r="Q2157" s="2"/>
      <c r="R2157" s="80"/>
      <c r="S2157" s="80"/>
      <c r="T2157" s="80"/>
      <c r="U2157" s="80"/>
      <c r="V2157" s="80"/>
      <c r="W2157" s="80"/>
      <c r="X2157" s="80"/>
      <c r="Y2157" s="80"/>
      <c r="Z2157" s="80"/>
      <c r="AA2157" s="80"/>
      <c r="AB2157" s="80"/>
      <c r="AC2157" s="80"/>
      <c r="AD2157" s="80"/>
      <c r="AE2157" s="80"/>
      <c r="AF2157" s="80"/>
      <c r="AG2157" s="80"/>
    </row>
    <row r="2158" spans="1:33" x14ac:dyDescent="0.2">
      <c r="A2158" s="2"/>
      <c r="B2158" s="80"/>
      <c r="C2158" s="80"/>
      <c r="D2158" s="80"/>
      <c r="E2158" s="80"/>
      <c r="F2158" s="80"/>
      <c r="G2158" s="80"/>
      <c r="H2158" s="80"/>
      <c r="I2158" s="80"/>
      <c r="J2158" s="80"/>
      <c r="K2158" s="80"/>
      <c r="L2158" s="2"/>
      <c r="M2158" s="2"/>
      <c r="N2158" s="2"/>
      <c r="O2158" s="2"/>
      <c r="P2158" s="2"/>
      <c r="Q2158" s="2"/>
      <c r="R2158" s="80"/>
      <c r="S2158" s="80"/>
      <c r="T2158" s="80"/>
      <c r="U2158" s="80"/>
      <c r="V2158" s="80"/>
      <c r="W2158" s="80"/>
      <c r="X2158" s="80"/>
      <c r="Y2158" s="80"/>
      <c r="Z2158" s="80"/>
      <c r="AA2158" s="80"/>
      <c r="AB2158" s="80"/>
      <c r="AC2158" s="80"/>
      <c r="AD2158" s="80"/>
      <c r="AE2158" s="80"/>
      <c r="AF2158" s="80"/>
      <c r="AG2158" s="80"/>
    </row>
    <row r="2159" spans="1:33" x14ac:dyDescent="0.2">
      <c r="A2159" s="2"/>
      <c r="B2159" s="80"/>
      <c r="C2159" s="80"/>
      <c r="D2159" s="80"/>
      <c r="E2159" s="80"/>
      <c r="F2159" s="80"/>
      <c r="G2159" s="80"/>
      <c r="H2159" s="80"/>
      <c r="I2159" s="80"/>
      <c r="J2159" s="80"/>
      <c r="K2159" s="80"/>
      <c r="L2159" s="2"/>
      <c r="M2159" s="2"/>
      <c r="N2159" s="2"/>
      <c r="O2159" s="2"/>
      <c r="P2159" s="2"/>
      <c r="Q2159" s="2"/>
      <c r="R2159" s="80"/>
      <c r="S2159" s="80"/>
      <c r="T2159" s="80"/>
      <c r="U2159" s="80"/>
      <c r="V2159" s="80"/>
      <c r="W2159" s="80"/>
      <c r="X2159" s="80"/>
      <c r="Y2159" s="80"/>
      <c r="Z2159" s="80"/>
      <c r="AA2159" s="80"/>
      <c r="AB2159" s="80"/>
      <c r="AC2159" s="80"/>
      <c r="AD2159" s="80"/>
      <c r="AE2159" s="80"/>
      <c r="AF2159" s="80"/>
      <c r="AG2159" s="80"/>
    </row>
    <row r="2160" spans="1:33" x14ac:dyDescent="0.2">
      <c r="A2160" s="2"/>
      <c r="B2160" s="80"/>
      <c r="C2160" s="80"/>
      <c r="D2160" s="80"/>
      <c r="E2160" s="80"/>
      <c r="F2160" s="80"/>
      <c r="G2160" s="80"/>
      <c r="H2160" s="80"/>
      <c r="I2160" s="80"/>
      <c r="J2160" s="80"/>
      <c r="K2160" s="80"/>
      <c r="L2160" s="2"/>
      <c r="M2160" s="2"/>
      <c r="N2160" s="2"/>
      <c r="O2160" s="2"/>
      <c r="P2160" s="2"/>
      <c r="Q2160" s="2"/>
      <c r="R2160" s="80"/>
      <c r="S2160" s="80"/>
      <c r="T2160" s="80"/>
      <c r="U2160" s="80"/>
      <c r="V2160" s="80"/>
      <c r="W2160" s="80"/>
      <c r="X2160" s="80"/>
      <c r="Y2160" s="80"/>
      <c r="Z2160" s="80"/>
      <c r="AA2160" s="80"/>
      <c r="AB2160" s="80"/>
      <c r="AC2160" s="80"/>
      <c r="AD2160" s="80"/>
      <c r="AE2160" s="80"/>
      <c r="AF2160" s="80"/>
      <c r="AG2160" s="80"/>
    </row>
    <row r="2161" spans="1:33" x14ac:dyDescent="0.2">
      <c r="A2161" s="2"/>
      <c r="B2161" s="80"/>
      <c r="C2161" s="80"/>
      <c r="D2161" s="80"/>
      <c r="E2161" s="80"/>
      <c r="F2161" s="80"/>
      <c r="G2161" s="80"/>
      <c r="H2161" s="80"/>
      <c r="I2161" s="80"/>
      <c r="J2161" s="80"/>
      <c r="K2161" s="80"/>
      <c r="L2161" s="2"/>
      <c r="M2161" s="2"/>
      <c r="N2161" s="2"/>
      <c r="O2161" s="2"/>
      <c r="P2161" s="2"/>
      <c r="Q2161" s="2"/>
      <c r="R2161" s="80"/>
      <c r="S2161" s="80"/>
      <c r="T2161" s="80"/>
      <c r="U2161" s="80"/>
      <c r="V2161" s="80"/>
      <c r="W2161" s="80"/>
      <c r="X2161" s="80"/>
      <c r="Y2161" s="80"/>
      <c r="Z2161" s="80"/>
      <c r="AA2161" s="80"/>
      <c r="AB2161" s="80"/>
      <c r="AC2161" s="80"/>
      <c r="AD2161" s="80"/>
      <c r="AE2161" s="80"/>
      <c r="AF2161" s="80"/>
      <c r="AG2161" s="80"/>
    </row>
    <row r="2162" spans="1:33" x14ac:dyDescent="0.2">
      <c r="A2162" s="2"/>
      <c r="B2162" s="80"/>
      <c r="C2162" s="80"/>
      <c r="D2162" s="80"/>
      <c r="E2162" s="80"/>
      <c r="F2162" s="80"/>
      <c r="G2162" s="80"/>
      <c r="H2162" s="80"/>
      <c r="I2162" s="80"/>
      <c r="J2162" s="80"/>
      <c r="K2162" s="80"/>
      <c r="L2162" s="2"/>
      <c r="M2162" s="2"/>
      <c r="N2162" s="2"/>
      <c r="O2162" s="2"/>
      <c r="P2162" s="2"/>
      <c r="Q2162" s="2"/>
      <c r="R2162" s="80"/>
      <c r="S2162" s="80"/>
      <c r="T2162" s="80"/>
      <c r="U2162" s="80"/>
      <c r="V2162" s="80"/>
      <c r="W2162" s="80"/>
      <c r="X2162" s="80"/>
      <c r="Y2162" s="80"/>
      <c r="Z2162" s="80"/>
      <c r="AA2162" s="80"/>
      <c r="AB2162" s="80"/>
      <c r="AC2162" s="80"/>
      <c r="AD2162" s="80"/>
      <c r="AE2162" s="80"/>
      <c r="AF2162" s="80"/>
      <c r="AG2162" s="80"/>
    </row>
    <row r="2163" spans="1:33" x14ac:dyDescent="0.2">
      <c r="A2163" s="2"/>
      <c r="B2163" s="80"/>
      <c r="C2163" s="80"/>
      <c r="D2163" s="80"/>
      <c r="E2163" s="80"/>
      <c r="F2163" s="80"/>
      <c r="G2163" s="80"/>
      <c r="H2163" s="80"/>
      <c r="I2163" s="80"/>
      <c r="J2163" s="80"/>
      <c r="K2163" s="80"/>
      <c r="L2163" s="2"/>
      <c r="M2163" s="2"/>
      <c r="N2163" s="2"/>
      <c r="O2163" s="2"/>
      <c r="P2163" s="2"/>
      <c r="Q2163" s="2"/>
      <c r="R2163" s="80"/>
      <c r="S2163" s="80"/>
      <c r="T2163" s="80"/>
      <c r="U2163" s="80"/>
      <c r="V2163" s="80"/>
      <c r="W2163" s="80"/>
      <c r="X2163" s="80"/>
      <c r="Y2163" s="80"/>
      <c r="Z2163" s="80"/>
      <c r="AA2163" s="80"/>
      <c r="AB2163" s="80"/>
      <c r="AC2163" s="80"/>
      <c r="AD2163" s="80"/>
      <c r="AE2163" s="80"/>
      <c r="AF2163" s="80"/>
      <c r="AG2163" s="80"/>
    </row>
    <row r="2164" spans="1:33" x14ac:dyDescent="0.2">
      <c r="A2164" s="2"/>
      <c r="B2164" s="80"/>
      <c r="C2164" s="80"/>
      <c r="D2164" s="80"/>
      <c r="E2164" s="80"/>
      <c r="F2164" s="80"/>
      <c r="G2164" s="80"/>
      <c r="H2164" s="80"/>
      <c r="I2164" s="80"/>
      <c r="J2164" s="80"/>
      <c r="K2164" s="80"/>
      <c r="L2164" s="2"/>
      <c r="M2164" s="2"/>
      <c r="N2164" s="2"/>
      <c r="O2164" s="2"/>
      <c r="P2164" s="2"/>
      <c r="Q2164" s="2"/>
      <c r="R2164" s="80"/>
      <c r="S2164" s="80"/>
      <c r="T2164" s="80"/>
      <c r="U2164" s="80"/>
      <c r="V2164" s="80"/>
      <c r="W2164" s="80"/>
      <c r="X2164" s="80"/>
      <c r="Y2164" s="80"/>
      <c r="Z2164" s="80"/>
      <c r="AA2164" s="80"/>
      <c r="AB2164" s="80"/>
      <c r="AC2164" s="80"/>
      <c r="AD2164" s="80"/>
      <c r="AE2164" s="80"/>
      <c r="AF2164" s="80"/>
      <c r="AG2164" s="80"/>
    </row>
    <row r="2165" spans="1:33" x14ac:dyDescent="0.2">
      <c r="A2165" s="2"/>
      <c r="B2165" s="80"/>
      <c r="C2165" s="80"/>
      <c r="D2165" s="80"/>
      <c r="E2165" s="80"/>
      <c r="F2165" s="80"/>
      <c r="G2165" s="80"/>
      <c r="H2165" s="80"/>
      <c r="I2165" s="80"/>
      <c r="J2165" s="80"/>
      <c r="K2165" s="80"/>
      <c r="L2165" s="2"/>
      <c r="M2165" s="2"/>
      <c r="N2165" s="2"/>
      <c r="O2165" s="2"/>
      <c r="P2165" s="2"/>
      <c r="Q2165" s="2"/>
      <c r="R2165" s="80"/>
      <c r="S2165" s="80"/>
      <c r="T2165" s="80"/>
      <c r="U2165" s="80"/>
      <c r="V2165" s="80"/>
      <c r="W2165" s="80"/>
      <c r="X2165" s="80"/>
      <c r="Y2165" s="80"/>
      <c r="Z2165" s="80"/>
      <c r="AA2165" s="80"/>
      <c r="AB2165" s="80"/>
      <c r="AC2165" s="80"/>
      <c r="AD2165" s="80"/>
      <c r="AE2165" s="80"/>
      <c r="AF2165" s="80"/>
      <c r="AG2165" s="80"/>
    </row>
    <row r="2166" spans="1:33" x14ac:dyDescent="0.2">
      <c r="A2166" s="2"/>
      <c r="B2166" s="80"/>
      <c r="C2166" s="80"/>
      <c r="D2166" s="80"/>
      <c r="E2166" s="80"/>
      <c r="F2166" s="80"/>
      <c r="G2166" s="80"/>
      <c r="H2166" s="80"/>
      <c r="I2166" s="80"/>
      <c r="J2166" s="80"/>
      <c r="K2166" s="80"/>
      <c r="L2166" s="2"/>
      <c r="M2166" s="2"/>
      <c r="N2166" s="2"/>
      <c r="O2166" s="2"/>
      <c r="P2166" s="2"/>
      <c r="Q2166" s="2"/>
      <c r="R2166" s="80"/>
      <c r="S2166" s="80"/>
      <c r="T2166" s="80"/>
      <c r="U2166" s="80"/>
      <c r="V2166" s="80"/>
      <c r="W2166" s="80"/>
      <c r="X2166" s="80"/>
      <c r="Y2166" s="80"/>
      <c r="Z2166" s="80"/>
      <c r="AA2166" s="80"/>
      <c r="AB2166" s="80"/>
      <c r="AC2166" s="80"/>
      <c r="AD2166" s="80"/>
      <c r="AE2166" s="80"/>
      <c r="AF2166" s="80"/>
      <c r="AG2166" s="80"/>
    </row>
    <row r="2167" spans="1:33" x14ac:dyDescent="0.2">
      <c r="A2167" s="2"/>
      <c r="B2167" s="80"/>
      <c r="C2167" s="80"/>
      <c r="D2167" s="80"/>
      <c r="E2167" s="80"/>
      <c r="F2167" s="80"/>
      <c r="G2167" s="80"/>
      <c r="H2167" s="80"/>
      <c r="I2167" s="80"/>
      <c r="J2167" s="80"/>
      <c r="K2167" s="80"/>
      <c r="L2167" s="2"/>
      <c r="M2167" s="2"/>
      <c r="N2167" s="2"/>
      <c r="O2167" s="2"/>
      <c r="P2167" s="2"/>
      <c r="Q2167" s="2"/>
      <c r="R2167" s="80"/>
      <c r="S2167" s="80"/>
      <c r="T2167" s="80"/>
      <c r="U2167" s="80"/>
      <c r="V2167" s="80"/>
      <c r="W2167" s="80"/>
      <c r="X2167" s="80"/>
      <c r="Y2167" s="80"/>
      <c r="Z2167" s="80"/>
      <c r="AA2167" s="80"/>
      <c r="AB2167" s="80"/>
      <c r="AC2167" s="80"/>
      <c r="AD2167" s="80"/>
      <c r="AE2167" s="80"/>
      <c r="AF2167" s="80"/>
      <c r="AG2167" s="80"/>
    </row>
    <row r="2168" spans="1:33" x14ac:dyDescent="0.2">
      <c r="A2168" s="2"/>
      <c r="B2168" s="80"/>
      <c r="C2168" s="80"/>
      <c r="D2168" s="80"/>
      <c r="E2168" s="80"/>
      <c r="F2168" s="80"/>
      <c r="G2168" s="80"/>
      <c r="H2168" s="80"/>
      <c r="I2168" s="80"/>
      <c r="J2168" s="80"/>
      <c r="K2168" s="80"/>
      <c r="L2168" s="2"/>
      <c r="M2168" s="2"/>
      <c r="N2168" s="2"/>
      <c r="O2168" s="2"/>
      <c r="P2168" s="2"/>
      <c r="Q2168" s="2"/>
      <c r="R2168" s="80"/>
      <c r="S2168" s="80"/>
      <c r="T2168" s="80"/>
      <c r="U2168" s="80"/>
      <c r="V2168" s="80"/>
      <c r="W2168" s="80"/>
      <c r="X2168" s="80"/>
      <c r="Y2168" s="80"/>
      <c r="Z2168" s="80"/>
      <c r="AA2168" s="80"/>
      <c r="AB2168" s="80"/>
      <c r="AC2168" s="80"/>
      <c r="AD2168" s="80"/>
      <c r="AE2168" s="80"/>
      <c r="AF2168" s="80"/>
      <c r="AG2168" s="80"/>
    </row>
    <row r="2169" spans="1:33" x14ac:dyDescent="0.2">
      <c r="A2169" s="2"/>
      <c r="B2169" s="80"/>
      <c r="C2169" s="80"/>
      <c r="D2169" s="80"/>
      <c r="E2169" s="80"/>
      <c r="F2169" s="80"/>
      <c r="G2169" s="80"/>
      <c r="H2169" s="80"/>
      <c r="I2169" s="80"/>
      <c r="J2169" s="80"/>
      <c r="K2169" s="80"/>
      <c r="L2169" s="2"/>
      <c r="M2169" s="2"/>
      <c r="N2169" s="2"/>
      <c r="O2169" s="2"/>
      <c r="P2169" s="2"/>
      <c r="Q2169" s="2"/>
      <c r="R2169" s="80"/>
      <c r="S2169" s="80"/>
      <c r="T2169" s="80"/>
      <c r="U2169" s="80"/>
      <c r="V2169" s="80"/>
      <c r="W2169" s="80"/>
      <c r="X2169" s="80"/>
      <c r="Y2169" s="80"/>
      <c r="Z2169" s="80"/>
      <c r="AA2169" s="80"/>
      <c r="AB2169" s="80"/>
      <c r="AC2169" s="80"/>
      <c r="AD2169" s="80"/>
      <c r="AE2169" s="80"/>
      <c r="AF2169" s="80"/>
      <c r="AG2169" s="80"/>
    </row>
    <row r="2170" spans="1:33" x14ac:dyDescent="0.2">
      <c r="A2170" s="2"/>
      <c r="B2170" s="80"/>
      <c r="C2170" s="80"/>
      <c r="D2170" s="80"/>
      <c r="E2170" s="80"/>
      <c r="F2170" s="80"/>
      <c r="G2170" s="80"/>
      <c r="H2170" s="80"/>
      <c r="I2170" s="80"/>
      <c r="J2170" s="80"/>
      <c r="K2170" s="80"/>
      <c r="L2170" s="2"/>
      <c r="M2170" s="2"/>
      <c r="N2170" s="2"/>
      <c r="O2170" s="2"/>
      <c r="P2170" s="2"/>
      <c r="Q2170" s="2"/>
      <c r="R2170" s="80"/>
      <c r="S2170" s="80"/>
      <c r="T2170" s="80"/>
      <c r="U2170" s="80"/>
      <c r="V2170" s="80"/>
      <c r="W2170" s="80"/>
      <c r="X2170" s="80"/>
      <c r="Y2170" s="80"/>
      <c r="Z2170" s="80"/>
      <c r="AA2170" s="80"/>
      <c r="AB2170" s="80"/>
      <c r="AC2170" s="80"/>
      <c r="AD2170" s="80"/>
      <c r="AE2170" s="80"/>
      <c r="AF2170" s="80"/>
      <c r="AG2170" s="80"/>
    </row>
    <row r="2171" spans="1:33" x14ac:dyDescent="0.2">
      <c r="A2171" s="2"/>
      <c r="B2171" s="80"/>
      <c r="C2171" s="80"/>
      <c r="D2171" s="80"/>
      <c r="E2171" s="80"/>
      <c r="F2171" s="80"/>
      <c r="G2171" s="80"/>
      <c r="H2171" s="80"/>
      <c r="I2171" s="80"/>
      <c r="J2171" s="80"/>
      <c r="K2171" s="80"/>
      <c r="L2171" s="2"/>
      <c r="M2171" s="2"/>
      <c r="N2171" s="2"/>
      <c r="O2171" s="2"/>
      <c r="P2171" s="2"/>
      <c r="Q2171" s="2"/>
      <c r="R2171" s="80"/>
      <c r="S2171" s="80"/>
      <c r="T2171" s="80"/>
      <c r="U2171" s="80"/>
      <c r="V2171" s="80"/>
      <c r="W2171" s="80"/>
      <c r="X2171" s="80"/>
      <c r="Y2171" s="80"/>
      <c r="Z2171" s="80"/>
      <c r="AA2171" s="80"/>
      <c r="AB2171" s="80"/>
      <c r="AC2171" s="80"/>
      <c r="AD2171" s="80"/>
      <c r="AE2171" s="80"/>
      <c r="AF2171" s="80"/>
      <c r="AG2171" s="80"/>
    </row>
    <row r="2172" spans="1:33" x14ac:dyDescent="0.2">
      <c r="A2172" s="2"/>
      <c r="B2172" s="80"/>
      <c r="C2172" s="80"/>
      <c r="D2172" s="80"/>
      <c r="E2172" s="80"/>
      <c r="F2172" s="80"/>
      <c r="G2172" s="80"/>
      <c r="H2172" s="80"/>
      <c r="I2172" s="80"/>
      <c r="J2172" s="80"/>
      <c r="K2172" s="80"/>
      <c r="L2172" s="2"/>
      <c r="M2172" s="2"/>
      <c r="N2172" s="2"/>
      <c r="O2172" s="2"/>
      <c r="P2172" s="2"/>
      <c r="Q2172" s="2"/>
      <c r="R2172" s="80"/>
      <c r="S2172" s="80"/>
      <c r="T2172" s="80"/>
      <c r="U2172" s="80"/>
      <c r="V2172" s="80"/>
      <c r="W2172" s="80"/>
      <c r="X2172" s="80"/>
      <c r="Y2172" s="80"/>
      <c r="Z2172" s="80"/>
      <c r="AA2172" s="80"/>
      <c r="AB2172" s="80"/>
      <c r="AC2172" s="80"/>
      <c r="AD2172" s="80"/>
      <c r="AE2172" s="80"/>
      <c r="AF2172" s="80"/>
      <c r="AG2172" s="80"/>
    </row>
    <row r="2173" spans="1:33" x14ac:dyDescent="0.2">
      <c r="A2173" s="2"/>
      <c r="B2173" s="80"/>
      <c r="C2173" s="80"/>
      <c r="D2173" s="80"/>
      <c r="E2173" s="80"/>
      <c r="F2173" s="80"/>
      <c r="G2173" s="80"/>
      <c r="H2173" s="80"/>
      <c r="I2173" s="80"/>
      <c r="J2173" s="80"/>
      <c r="K2173" s="80"/>
      <c r="L2173" s="2"/>
      <c r="M2173" s="2"/>
      <c r="N2173" s="2"/>
      <c r="O2173" s="2"/>
      <c r="P2173" s="2"/>
      <c r="Q2173" s="2"/>
      <c r="R2173" s="80"/>
      <c r="S2173" s="80"/>
      <c r="T2173" s="80"/>
      <c r="U2173" s="80"/>
      <c r="V2173" s="80"/>
      <c r="W2173" s="80"/>
      <c r="X2173" s="80"/>
      <c r="Y2173" s="80"/>
      <c r="Z2173" s="80"/>
      <c r="AA2173" s="80"/>
      <c r="AB2173" s="80"/>
      <c r="AC2173" s="80"/>
      <c r="AD2173" s="80"/>
      <c r="AE2173" s="80"/>
      <c r="AF2173" s="80"/>
      <c r="AG2173" s="80"/>
    </row>
    <row r="2174" spans="1:33" x14ac:dyDescent="0.2">
      <c r="A2174" s="2"/>
      <c r="B2174" s="80"/>
      <c r="C2174" s="80"/>
      <c r="D2174" s="80"/>
      <c r="E2174" s="80"/>
      <c r="F2174" s="80"/>
      <c r="G2174" s="80"/>
      <c r="H2174" s="80"/>
      <c r="I2174" s="80"/>
      <c r="J2174" s="80"/>
      <c r="K2174" s="80"/>
      <c r="L2174" s="2"/>
      <c r="M2174" s="2"/>
      <c r="N2174" s="2"/>
      <c r="O2174" s="2"/>
      <c r="P2174" s="2"/>
      <c r="Q2174" s="2"/>
      <c r="R2174" s="80"/>
      <c r="S2174" s="80"/>
      <c r="T2174" s="80"/>
      <c r="U2174" s="80"/>
      <c r="V2174" s="80"/>
      <c r="W2174" s="80"/>
      <c r="X2174" s="80"/>
      <c r="Y2174" s="80"/>
      <c r="Z2174" s="80"/>
      <c r="AA2174" s="80"/>
      <c r="AB2174" s="80"/>
      <c r="AC2174" s="80"/>
      <c r="AD2174" s="80"/>
      <c r="AE2174" s="80"/>
      <c r="AF2174" s="80"/>
      <c r="AG2174" s="80"/>
    </row>
    <row r="2175" spans="1:33" x14ac:dyDescent="0.2">
      <c r="A2175" s="2"/>
      <c r="B2175" s="80"/>
      <c r="C2175" s="80"/>
      <c r="D2175" s="80"/>
      <c r="E2175" s="80"/>
      <c r="F2175" s="80"/>
      <c r="G2175" s="80"/>
      <c r="H2175" s="80"/>
      <c r="I2175" s="80"/>
      <c r="J2175" s="80"/>
      <c r="K2175" s="80"/>
      <c r="L2175" s="2"/>
      <c r="M2175" s="2"/>
      <c r="N2175" s="2"/>
      <c r="O2175" s="2"/>
      <c r="P2175" s="2"/>
      <c r="Q2175" s="2"/>
      <c r="R2175" s="80"/>
      <c r="S2175" s="80"/>
      <c r="T2175" s="80"/>
      <c r="U2175" s="80"/>
      <c r="V2175" s="80"/>
      <c r="W2175" s="80"/>
      <c r="X2175" s="80"/>
      <c r="Y2175" s="80"/>
      <c r="Z2175" s="80"/>
      <c r="AA2175" s="80"/>
      <c r="AB2175" s="80"/>
      <c r="AC2175" s="80"/>
      <c r="AD2175" s="80"/>
      <c r="AE2175" s="80"/>
      <c r="AF2175" s="80"/>
      <c r="AG2175" s="80"/>
    </row>
    <row r="2176" spans="1:33" x14ac:dyDescent="0.2">
      <c r="A2176" s="2"/>
      <c r="B2176" s="80"/>
      <c r="C2176" s="80"/>
      <c r="D2176" s="80"/>
      <c r="E2176" s="80"/>
      <c r="F2176" s="80"/>
      <c r="G2176" s="80"/>
      <c r="H2176" s="80"/>
      <c r="I2176" s="80"/>
      <c r="J2176" s="80"/>
      <c r="K2176" s="80"/>
      <c r="L2176" s="2"/>
      <c r="M2176" s="2"/>
      <c r="N2176" s="2"/>
      <c r="O2176" s="2"/>
      <c r="P2176" s="2"/>
      <c r="Q2176" s="2"/>
      <c r="R2176" s="80"/>
      <c r="S2176" s="80"/>
      <c r="T2176" s="80"/>
      <c r="U2176" s="80"/>
      <c r="V2176" s="80"/>
      <c r="W2176" s="80"/>
      <c r="X2176" s="80"/>
      <c r="Y2176" s="80"/>
      <c r="Z2176" s="80"/>
      <c r="AA2176" s="80"/>
      <c r="AB2176" s="80"/>
      <c r="AC2176" s="80"/>
      <c r="AD2176" s="80"/>
      <c r="AE2176" s="80"/>
      <c r="AF2176" s="80"/>
      <c r="AG2176" s="80"/>
    </row>
    <row r="2177" spans="1:33" x14ac:dyDescent="0.2">
      <c r="A2177" s="2"/>
      <c r="B2177" s="80"/>
      <c r="C2177" s="80"/>
      <c r="D2177" s="80"/>
      <c r="E2177" s="80"/>
      <c r="F2177" s="80"/>
      <c r="G2177" s="80"/>
      <c r="H2177" s="80"/>
      <c r="I2177" s="80"/>
      <c r="J2177" s="80"/>
      <c r="K2177" s="80"/>
      <c r="L2177" s="2"/>
      <c r="M2177" s="2"/>
      <c r="N2177" s="2"/>
      <c r="O2177" s="2"/>
      <c r="P2177" s="2"/>
      <c r="Q2177" s="2"/>
      <c r="R2177" s="80"/>
      <c r="S2177" s="80"/>
      <c r="T2177" s="80"/>
      <c r="U2177" s="80"/>
      <c r="V2177" s="80"/>
      <c r="W2177" s="80"/>
      <c r="X2177" s="80"/>
      <c r="Y2177" s="80"/>
      <c r="Z2177" s="80"/>
      <c r="AA2177" s="80"/>
      <c r="AB2177" s="80"/>
      <c r="AC2177" s="80"/>
      <c r="AD2177" s="80"/>
      <c r="AE2177" s="80"/>
      <c r="AF2177" s="80"/>
      <c r="AG2177" s="80"/>
    </row>
    <row r="2178" spans="1:33" x14ac:dyDescent="0.2">
      <c r="A2178" s="2"/>
      <c r="B2178" s="80"/>
      <c r="C2178" s="80"/>
      <c r="D2178" s="80"/>
      <c r="E2178" s="80"/>
      <c r="F2178" s="80"/>
      <c r="G2178" s="80"/>
      <c r="H2178" s="80"/>
      <c r="I2178" s="80"/>
      <c r="J2178" s="80"/>
      <c r="K2178" s="80"/>
      <c r="L2178" s="2"/>
      <c r="M2178" s="2"/>
      <c r="N2178" s="2"/>
      <c r="O2178" s="2"/>
      <c r="P2178" s="2"/>
      <c r="Q2178" s="2"/>
      <c r="R2178" s="80"/>
      <c r="S2178" s="80"/>
      <c r="T2178" s="80"/>
      <c r="U2178" s="80"/>
      <c r="V2178" s="80"/>
      <c r="W2178" s="80"/>
      <c r="X2178" s="80"/>
      <c r="Y2178" s="80"/>
      <c r="Z2178" s="80"/>
      <c r="AA2178" s="80"/>
      <c r="AB2178" s="80"/>
      <c r="AC2178" s="80"/>
      <c r="AD2178" s="80"/>
      <c r="AE2178" s="80"/>
      <c r="AF2178" s="80"/>
      <c r="AG2178" s="80"/>
    </row>
    <row r="2179" spans="1:33" x14ac:dyDescent="0.2">
      <c r="A2179" s="2"/>
      <c r="B2179" s="80"/>
      <c r="C2179" s="80"/>
      <c r="D2179" s="80"/>
      <c r="E2179" s="80"/>
      <c r="F2179" s="80"/>
      <c r="G2179" s="80"/>
      <c r="H2179" s="80"/>
      <c r="I2179" s="80"/>
      <c r="J2179" s="80"/>
      <c r="K2179" s="80"/>
      <c r="L2179" s="2"/>
      <c r="M2179" s="2"/>
      <c r="N2179" s="2"/>
      <c r="O2179" s="2"/>
      <c r="P2179" s="2"/>
      <c r="Q2179" s="2"/>
      <c r="R2179" s="80"/>
      <c r="S2179" s="80"/>
      <c r="T2179" s="80"/>
      <c r="U2179" s="80"/>
      <c r="V2179" s="80"/>
      <c r="W2179" s="80"/>
      <c r="X2179" s="80"/>
      <c r="Y2179" s="80"/>
      <c r="Z2179" s="80"/>
      <c r="AA2179" s="80"/>
      <c r="AB2179" s="80"/>
      <c r="AC2179" s="80"/>
      <c r="AD2179" s="80"/>
      <c r="AE2179" s="80"/>
      <c r="AF2179" s="80"/>
      <c r="AG2179" s="80"/>
    </row>
    <row r="2180" spans="1:33" x14ac:dyDescent="0.2">
      <c r="A2180" s="2"/>
      <c r="B2180" s="80"/>
      <c r="C2180" s="80"/>
      <c r="D2180" s="80"/>
      <c r="E2180" s="80"/>
      <c r="F2180" s="80"/>
      <c r="G2180" s="80"/>
      <c r="H2180" s="80"/>
      <c r="I2180" s="80"/>
      <c r="J2180" s="80"/>
      <c r="K2180" s="80"/>
      <c r="L2180" s="2"/>
      <c r="M2180" s="2"/>
      <c r="N2180" s="2"/>
      <c r="O2180" s="2"/>
      <c r="P2180" s="2"/>
      <c r="Q2180" s="2"/>
      <c r="R2180" s="80"/>
      <c r="S2180" s="80"/>
      <c r="T2180" s="80"/>
      <c r="U2180" s="80"/>
      <c r="V2180" s="80"/>
      <c r="W2180" s="80"/>
      <c r="X2180" s="80"/>
      <c r="Y2180" s="80"/>
      <c r="Z2180" s="80"/>
      <c r="AA2180" s="80"/>
      <c r="AB2180" s="80"/>
      <c r="AC2180" s="80"/>
      <c r="AD2180" s="80"/>
      <c r="AE2180" s="80"/>
      <c r="AF2180" s="80"/>
      <c r="AG2180" s="80"/>
    </row>
    <row r="2181" spans="1:33" x14ac:dyDescent="0.2">
      <c r="A2181" s="2"/>
      <c r="B2181" s="80"/>
      <c r="C2181" s="80"/>
      <c r="D2181" s="80"/>
      <c r="E2181" s="80"/>
      <c r="F2181" s="80"/>
      <c r="G2181" s="80"/>
      <c r="H2181" s="80"/>
      <c r="I2181" s="80"/>
      <c r="J2181" s="80"/>
      <c r="K2181" s="80"/>
      <c r="L2181" s="2"/>
      <c r="M2181" s="2"/>
      <c r="N2181" s="2"/>
      <c r="O2181" s="2"/>
      <c r="P2181" s="2"/>
      <c r="Q2181" s="2"/>
      <c r="R2181" s="80"/>
      <c r="S2181" s="80"/>
      <c r="T2181" s="80"/>
      <c r="U2181" s="80"/>
      <c r="V2181" s="80"/>
      <c r="W2181" s="80"/>
      <c r="X2181" s="80"/>
      <c r="Y2181" s="80"/>
      <c r="Z2181" s="80"/>
      <c r="AA2181" s="80"/>
      <c r="AB2181" s="80"/>
      <c r="AC2181" s="80"/>
      <c r="AD2181" s="80"/>
      <c r="AE2181" s="80"/>
      <c r="AF2181" s="80"/>
      <c r="AG2181" s="80"/>
    </row>
    <row r="2182" spans="1:33" x14ac:dyDescent="0.2">
      <c r="A2182" s="2"/>
      <c r="B2182" s="80"/>
      <c r="C2182" s="80"/>
      <c r="D2182" s="80"/>
      <c r="E2182" s="80"/>
      <c r="F2182" s="80"/>
      <c r="G2182" s="80"/>
      <c r="H2182" s="80"/>
      <c r="I2182" s="80"/>
      <c r="J2182" s="80"/>
      <c r="K2182" s="80"/>
      <c r="L2182" s="2"/>
      <c r="M2182" s="2"/>
      <c r="N2182" s="2"/>
      <c r="O2182" s="2"/>
      <c r="P2182" s="2"/>
      <c r="Q2182" s="2"/>
      <c r="R2182" s="80"/>
      <c r="S2182" s="80"/>
      <c r="T2182" s="80"/>
      <c r="U2182" s="80"/>
      <c r="V2182" s="80"/>
      <c r="W2182" s="80"/>
      <c r="X2182" s="80"/>
      <c r="Y2182" s="80"/>
      <c r="Z2182" s="80"/>
      <c r="AA2182" s="80"/>
      <c r="AB2182" s="80"/>
      <c r="AC2182" s="80"/>
      <c r="AD2182" s="80"/>
      <c r="AE2182" s="80"/>
      <c r="AF2182" s="80"/>
      <c r="AG2182" s="80"/>
    </row>
    <row r="2183" spans="1:33" x14ac:dyDescent="0.2">
      <c r="A2183" s="2"/>
      <c r="B2183" s="80"/>
      <c r="C2183" s="80"/>
      <c r="D2183" s="80"/>
      <c r="E2183" s="80"/>
      <c r="F2183" s="80"/>
      <c r="G2183" s="80"/>
      <c r="H2183" s="80"/>
      <c r="I2183" s="80"/>
      <c r="J2183" s="80"/>
      <c r="K2183" s="80"/>
      <c r="L2183" s="2"/>
      <c r="M2183" s="2"/>
      <c r="N2183" s="2"/>
      <c r="O2183" s="2"/>
      <c r="P2183" s="2"/>
      <c r="Q2183" s="2"/>
      <c r="R2183" s="80"/>
      <c r="S2183" s="80"/>
      <c r="T2183" s="80"/>
      <c r="U2183" s="80"/>
      <c r="V2183" s="80"/>
      <c r="W2183" s="80"/>
      <c r="X2183" s="80"/>
      <c r="Y2183" s="80"/>
      <c r="Z2183" s="80"/>
      <c r="AA2183" s="80"/>
      <c r="AB2183" s="80"/>
      <c r="AC2183" s="80"/>
      <c r="AD2183" s="80"/>
      <c r="AE2183" s="80"/>
      <c r="AF2183" s="80"/>
      <c r="AG2183" s="80"/>
    </row>
    <row r="2184" spans="1:33" x14ac:dyDescent="0.2">
      <c r="A2184" s="2"/>
      <c r="B2184" s="80"/>
      <c r="C2184" s="80"/>
      <c r="D2184" s="80"/>
      <c r="E2184" s="80"/>
      <c r="F2184" s="80"/>
      <c r="G2184" s="80"/>
      <c r="H2184" s="80"/>
      <c r="I2184" s="80"/>
      <c r="J2184" s="80"/>
      <c r="K2184" s="80"/>
      <c r="L2184" s="2"/>
      <c r="M2184" s="2"/>
      <c r="N2184" s="2"/>
      <c r="O2184" s="2"/>
      <c r="P2184" s="2"/>
      <c r="Q2184" s="2"/>
      <c r="R2184" s="80"/>
      <c r="S2184" s="80"/>
      <c r="T2184" s="80"/>
      <c r="U2184" s="80"/>
      <c r="V2184" s="80"/>
      <c r="W2184" s="80"/>
      <c r="X2184" s="80"/>
      <c r="Y2184" s="80"/>
      <c r="Z2184" s="80"/>
      <c r="AA2184" s="80"/>
      <c r="AB2184" s="80"/>
      <c r="AC2184" s="80"/>
      <c r="AD2184" s="80"/>
      <c r="AE2184" s="80"/>
      <c r="AF2184" s="80"/>
      <c r="AG2184" s="80"/>
    </row>
    <row r="2185" spans="1:33" x14ac:dyDescent="0.2">
      <c r="A2185" s="2"/>
      <c r="B2185" s="80"/>
      <c r="C2185" s="80"/>
      <c r="D2185" s="80"/>
      <c r="E2185" s="80"/>
      <c r="F2185" s="80"/>
      <c r="G2185" s="80"/>
      <c r="H2185" s="80"/>
      <c r="I2185" s="80"/>
      <c r="J2185" s="80"/>
      <c r="K2185" s="80"/>
      <c r="L2185" s="2"/>
      <c r="M2185" s="2"/>
      <c r="N2185" s="2"/>
      <c r="O2185" s="2"/>
      <c r="P2185" s="2"/>
      <c r="Q2185" s="2"/>
      <c r="R2185" s="80"/>
      <c r="S2185" s="80"/>
      <c r="T2185" s="80"/>
      <c r="U2185" s="80"/>
      <c r="V2185" s="80"/>
      <c r="W2185" s="80"/>
      <c r="X2185" s="80"/>
      <c r="Y2185" s="80"/>
      <c r="Z2185" s="80"/>
      <c r="AA2185" s="80"/>
      <c r="AB2185" s="80"/>
      <c r="AC2185" s="80"/>
      <c r="AD2185" s="80"/>
      <c r="AE2185" s="80"/>
      <c r="AF2185" s="80"/>
      <c r="AG2185" s="80"/>
    </row>
    <row r="2186" spans="1:33" x14ac:dyDescent="0.2">
      <c r="A2186" s="2"/>
      <c r="B2186" s="80"/>
      <c r="C2186" s="80"/>
      <c r="D2186" s="80"/>
      <c r="E2186" s="80"/>
      <c r="F2186" s="80"/>
      <c r="G2186" s="80"/>
      <c r="H2186" s="80"/>
      <c r="I2186" s="80"/>
      <c r="J2186" s="80"/>
      <c r="K2186" s="80"/>
      <c r="L2186" s="2"/>
      <c r="M2186" s="2"/>
      <c r="N2186" s="2"/>
      <c r="O2186" s="2"/>
      <c r="P2186" s="2"/>
      <c r="Q2186" s="2"/>
      <c r="R2186" s="80"/>
      <c r="S2186" s="80"/>
      <c r="T2186" s="80"/>
      <c r="U2186" s="80"/>
      <c r="V2186" s="80"/>
      <c r="W2186" s="80"/>
      <c r="X2186" s="80"/>
      <c r="Y2186" s="80"/>
      <c r="Z2186" s="80"/>
      <c r="AA2186" s="80"/>
      <c r="AB2186" s="80"/>
      <c r="AC2186" s="80"/>
      <c r="AD2186" s="80"/>
      <c r="AE2186" s="80"/>
      <c r="AF2186" s="80"/>
      <c r="AG2186" s="80"/>
    </row>
    <row r="2187" spans="1:33" x14ac:dyDescent="0.2">
      <c r="A2187" s="2"/>
      <c r="B2187" s="80"/>
      <c r="C2187" s="80"/>
      <c r="D2187" s="80"/>
      <c r="E2187" s="80"/>
      <c r="F2187" s="80"/>
      <c r="G2187" s="80"/>
      <c r="H2187" s="80"/>
      <c r="I2187" s="80"/>
      <c r="J2187" s="80"/>
      <c r="K2187" s="80"/>
      <c r="L2187" s="2"/>
      <c r="M2187" s="2"/>
      <c r="N2187" s="2"/>
      <c r="O2187" s="2"/>
      <c r="P2187" s="2"/>
      <c r="Q2187" s="2"/>
      <c r="R2187" s="80"/>
      <c r="S2187" s="80"/>
      <c r="T2187" s="80"/>
      <c r="U2187" s="80"/>
      <c r="V2187" s="80"/>
      <c r="W2187" s="80"/>
      <c r="X2187" s="80"/>
      <c r="Y2187" s="80"/>
      <c r="Z2187" s="80"/>
      <c r="AA2187" s="80"/>
      <c r="AB2187" s="80"/>
      <c r="AC2187" s="80"/>
      <c r="AD2187" s="80"/>
      <c r="AE2187" s="80"/>
      <c r="AF2187" s="80"/>
      <c r="AG2187" s="80"/>
    </row>
    <row r="2188" spans="1:33" x14ac:dyDescent="0.2">
      <c r="A2188" s="2"/>
      <c r="B2188" s="80"/>
      <c r="C2188" s="80"/>
      <c r="D2188" s="80"/>
      <c r="E2188" s="80"/>
      <c r="F2188" s="80"/>
      <c r="G2188" s="80"/>
      <c r="H2188" s="80"/>
      <c r="I2188" s="80"/>
      <c r="J2188" s="80"/>
      <c r="K2188" s="80"/>
      <c r="L2188" s="2"/>
      <c r="M2188" s="2"/>
      <c r="N2188" s="2"/>
      <c r="O2188" s="2"/>
      <c r="P2188" s="2"/>
      <c r="Q2188" s="2"/>
      <c r="R2188" s="80"/>
      <c r="S2188" s="80"/>
      <c r="T2188" s="80"/>
      <c r="U2188" s="80"/>
      <c r="V2188" s="80"/>
      <c r="W2188" s="80"/>
      <c r="X2188" s="80"/>
      <c r="Y2188" s="80"/>
      <c r="Z2188" s="80"/>
      <c r="AA2188" s="80"/>
      <c r="AB2188" s="80"/>
      <c r="AC2188" s="80"/>
      <c r="AD2188" s="80"/>
      <c r="AE2188" s="80"/>
      <c r="AF2188" s="80"/>
      <c r="AG2188" s="80"/>
    </row>
    <row r="2189" spans="1:33" x14ac:dyDescent="0.2">
      <c r="A2189" s="2"/>
      <c r="B2189" s="80"/>
      <c r="C2189" s="80"/>
      <c r="D2189" s="80"/>
      <c r="E2189" s="80"/>
      <c r="F2189" s="80"/>
      <c r="G2189" s="80"/>
      <c r="H2189" s="80"/>
      <c r="I2189" s="80"/>
      <c r="J2189" s="80"/>
      <c r="K2189" s="80"/>
      <c r="L2189" s="2"/>
      <c r="M2189" s="2"/>
      <c r="N2189" s="2"/>
      <c r="O2189" s="2"/>
      <c r="P2189" s="2"/>
      <c r="Q2189" s="2"/>
      <c r="R2189" s="80"/>
      <c r="S2189" s="80"/>
      <c r="T2189" s="80"/>
      <c r="U2189" s="80"/>
      <c r="V2189" s="80"/>
      <c r="W2189" s="80"/>
      <c r="X2189" s="80"/>
      <c r="Y2189" s="80"/>
      <c r="Z2189" s="80"/>
      <c r="AA2189" s="80"/>
      <c r="AB2189" s="80"/>
      <c r="AC2189" s="80"/>
      <c r="AD2189" s="80"/>
      <c r="AE2189" s="80"/>
      <c r="AF2189" s="80"/>
      <c r="AG2189" s="80"/>
    </row>
    <row r="2190" spans="1:33" x14ac:dyDescent="0.2">
      <c r="A2190" s="2"/>
      <c r="B2190" s="80"/>
      <c r="C2190" s="80"/>
      <c r="D2190" s="80"/>
      <c r="E2190" s="80"/>
      <c r="F2190" s="80"/>
      <c r="G2190" s="80"/>
      <c r="H2190" s="80"/>
      <c r="I2190" s="80"/>
      <c r="J2190" s="80"/>
      <c r="K2190" s="80"/>
      <c r="L2190" s="2"/>
      <c r="M2190" s="2"/>
      <c r="N2190" s="2"/>
      <c r="O2190" s="2"/>
      <c r="P2190" s="2"/>
      <c r="Q2190" s="2"/>
      <c r="R2190" s="80"/>
      <c r="S2190" s="80"/>
      <c r="T2190" s="80"/>
      <c r="U2190" s="80"/>
      <c r="V2190" s="80"/>
      <c r="W2190" s="80"/>
      <c r="X2190" s="80"/>
      <c r="Y2190" s="80"/>
      <c r="Z2190" s="80"/>
      <c r="AA2190" s="80"/>
      <c r="AB2190" s="80"/>
      <c r="AC2190" s="80"/>
      <c r="AD2190" s="80"/>
      <c r="AE2190" s="80"/>
      <c r="AF2190" s="80"/>
      <c r="AG2190" s="80"/>
    </row>
    <row r="2191" spans="1:33" x14ac:dyDescent="0.2">
      <c r="A2191" s="2"/>
      <c r="B2191" s="80"/>
      <c r="C2191" s="80"/>
      <c r="D2191" s="80"/>
      <c r="E2191" s="80"/>
      <c r="F2191" s="80"/>
      <c r="G2191" s="80"/>
      <c r="H2191" s="80"/>
      <c r="I2191" s="80"/>
      <c r="J2191" s="80"/>
      <c r="K2191" s="80"/>
      <c r="L2191" s="2"/>
      <c r="M2191" s="2"/>
      <c r="N2191" s="2"/>
      <c r="O2191" s="2"/>
      <c r="P2191" s="2"/>
      <c r="Q2191" s="2"/>
      <c r="R2191" s="80"/>
      <c r="S2191" s="80"/>
      <c r="T2191" s="80"/>
      <c r="U2191" s="80"/>
      <c r="V2191" s="80"/>
      <c r="W2191" s="80"/>
      <c r="X2191" s="80"/>
      <c r="Y2191" s="80"/>
      <c r="Z2191" s="80"/>
      <c r="AA2191" s="80"/>
      <c r="AB2191" s="80"/>
      <c r="AC2191" s="80"/>
      <c r="AD2191" s="80"/>
      <c r="AE2191" s="80"/>
      <c r="AF2191" s="80"/>
      <c r="AG2191" s="80"/>
    </row>
    <row r="2192" spans="1:33" x14ac:dyDescent="0.2">
      <c r="A2192" s="2"/>
      <c r="B2192" s="80"/>
      <c r="C2192" s="80"/>
      <c r="D2192" s="80"/>
      <c r="E2192" s="80"/>
      <c r="F2192" s="80"/>
      <c r="G2192" s="80"/>
      <c r="H2192" s="80"/>
      <c r="I2192" s="80"/>
      <c r="J2192" s="80"/>
      <c r="K2192" s="80"/>
      <c r="L2192" s="2"/>
      <c r="M2192" s="2"/>
      <c r="N2192" s="2"/>
      <c r="O2192" s="2"/>
      <c r="P2192" s="2"/>
      <c r="Q2192" s="2"/>
      <c r="R2192" s="80"/>
      <c r="S2192" s="80"/>
      <c r="T2192" s="80"/>
      <c r="U2192" s="80"/>
      <c r="V2192" s="80"/>
      <c r="W2192" s="80"/>
      <c r="X2192" s="80"/>
      <c r="Y2192" s="80"/>
      <c r="Z2192" s="80"/>
      <c r="AA2192" s="80"/>
      <c r="AB2192" s="80"/>
      <c r="AC2192" s="80"/>
      <c r="AD2192" s="80"/>
      <c r="AE2192" s="80"/>
      <c r="AF2192" s="80"/>
      <c r="AG2192" s="80"/>
    </row>
    <row r="2193" spans="1:33" x14ac:dyDescent="0.2">
      <c r="A2193" s="2"/>
      <c r="B2193" s="80"/>
      <c r="C2193" s="80"/>
      <c r="D2193" s="80"/>
      <c r="E2193" s="80"/>
      <c r="F2193" s="80"/>
      <c r="G2193" s="80"/>
      <c r="H2193" s="80"/>
      <c r="I2193" s="80"/>
      <c r="J2193" s="80"/>
      <c r="K2193" s="80"/>
      <c r="L2193" s="2"/>
      <c r="M2193" s="2"/>
      <c r="N2193" s="2"/>
      <c r="O2193" s="2"/>
      <c r="P2193" s="2"/>
      <c r="Q2193" s="2"/>
      <c r="R2193" s="80"/>
      <c r="S2193" s="80"/>
      <c r="T2193" s="80"/>
      <c r="U2193" s="80"/>
      <c r="V2193" s="80"/>
      <c r="W2193" s="80"/>
      <c r="X2193" s="80"/>
      <c r="Y2193" s="80"/>
      <c r="Z2193" s="80"/>
      <c r="AA2193" s="80"/>
      <c r="AB2193" s="80"/>
      <c r="AC2193" s="80"/>
      <c r="AD2193" s="80"/>
      <c r="AE2193" s="80"/>
      <c r="AF2193" s="80"/>
      <c r="AG2193" s="80"/>
    </row>
    <row r="2194" spans="1:33" x14ac:dyDescent="0.2">
      <c r="A2194" s="2"/>
      <c r="B2194" s="80"/>
      <c r="C2194" s="80"/>
      <c r="D2194" s="80"/>
      <c r="E2194" s="80"/>
      <c r="F2194" s="80"/>
      <c r="G2194" s="80"/>
      <c r="H2194" s="80"/>
      <c r="I2194" s="80"/>
      <c r="J2194" s="80"/>
      <c r="K2194" s="80"/>
      <c r="L2194" s="2"/>
      <c r="M2194" s="2"/>
      <c r="N2194" s="2"/>
      <c r="O2194" s="2"/>
      <c r="P2194" s="2"/>
      <c r="Q2194" s="2"/>
      <c r="R2194" s="80"/>
      <c r="S2194" s="80"/>
      <c r="T2194" s="80"/>
      <c r="U2194" s="80"/>
      <c r="V2194" s="80"/>
      <c r="W2194" s="80"/>
      <c r="X2194" s="80"/>
      <c r="Y2194" s="80"/>
      <c r="Z2194" s="80"/>
      <c r="AA2194" s="80"/>
      <c r="AB2194" s="80"/>
      <c r="AC2194" s="80"/>
      <c r="AD2194" s="80"/>
      <c r="AE2194" s="80"/>
      <c r="AF2194" s="80"/>
      <c r="AG2194" s="80"/>
    </row>
    <row r="2195" spans="1:33" x14ac:dyDescent="0.2">
      <c r="A2195" s="2"/>
      <c r="B2195" s="80"/>
      <c r="C2195" s="80"/>
      <c r="D2195" s="80"/>
      <c r="E2195" s="80"/>
      <c r="F2195" s="80"/>
      <c r="G2195" s="80"/>
      <c r="H2195" s="80"/>
      <c r="I2195" s="80"/>
      <c r="J2195" s="80"/>
      <c r="K2195" s="80"/>
      <c r="L2195" s="2"/>
      <c r="M2195" s="2"/>
      <c r="N2195" s="2"/>
      <c r="O2195" s="2"/>
      <c r="P2195" s="2"/>
      <c r="Q2195" s="2"/>
      <c r="R2195" s="80"/>
      <c r="S2195" s="80"/>
      <c r="T2195" s="80"/>
      <c r="U2195" s="80"/>
      <c r="V2195" s="80"/>
      <c r="W2195" s="80"/>
      <c r="X2195" s="80"/>
      <c r="Y2195" s="80"/>
      <c r="Z2195" s="80"/>
      <c r="AA2195" s="80"/>
      <c r="AB2195" s="80"/>
      <c r="AC2195" s="80"/>
      <c r="AD2195" s="80"/>
      <c r="AE2195" s="80"/>
      <c r="AF2195" s="80"/>
      <c r="AG2195" s="80"/>
    </row>
    <row r="2196" spans="1:33" x14ac:dyDescent="0.2">
      <c r="A2196" s="2"/>
      <c r="B2196" s="80"/>
      <c r="C2196" s="80"/>
      <c r="D2196" s="80"/>
      <c r="E2196" s="80"/>
      <c r="F2196" s="80"/>
      <c r="G2196" s="80"/>
      <c r="H2196" s="80"/>
      <c r="I2196" s="80"/>
      <c r="J2196" s="80"/>
      <c r="K2196" s="80"/>
      <c r="L2196" s="2"/>
      <c r="M2196" s="2"/>
      <c r="N2196" s="2"/>
      <c r="O2196" s="2"/>
      <c r="P2196" s="2"/>
      <c r="Q2196" s="2"/>
      <c r="R2196" s="80"/>
      <c r="S2196" s="80"/>
      <c r="T2196" s="80"/>
      <c r="U2196" s="80"/>
      <c r="V2196" s="80"/>
      <c r="W2196" s="80"/>
      <c r="X2196" s="80"/>
      <c r="Y2196" s="80"/>
      <c r="Z2196" s="80"/>
      <c r="AA2196" s="80"/>
      <c r="AB2196" s="80"/>
      <c r="AC2196" s="80"/>
      <c r="AD2196" s="80"/>
      <c r="AE2196" s="80"/>
      <c r="AF2196" s="80"/>
      <c r="AG2196" s="80"/>
    </row>
    <row r="2197" spans="1:33" x14ac:dyDescent="0.2">
      <c r="A2197" s="2"/>
      <c r="B2197" s="80"/>
      <c r="C2197" s="80"/>
      <c r="D2197" s="80"/>
      <c r="E2197" s="80"/>
      <c r="F2197" s="80"/>
      <c r="G2197" s="80"/>
      <c r="H2197" s="80"/>
      <c r="I2197" s="80"/>
      <c r="J2197" s="80"/>
      <c r="K2197" s="80"/>
      <c r="L2197" s="2"/>
      <c r="M2197" s="2"/>
      <c r="N2197" s="2"/>
      <c r="O2197" s="2"/>
      <c r="P2197" s="2"/>
      <c r="Q2197" s="2"/>
      <c r="R2197" s="80"/>
      <c r="S2197" s="80"/>
      <c r="T2197" s="80"/>
      <c r="U2197" s="80"/>
      <c r="V2197" s="80"/>
      <c r="W2197" s="80"/>
      <c r="X2197" s="80"/>
      <c r="Y2197" s="80"/>
      <c r="Z2197" s="80"/>
      <c r="AA2197" s="80"/>
      <c r="AB2197" s="80"/>
      <c r="AC2197" s="80"/>
      <c r="AD2197" s="80"/>
      <c r="AE2197" s="80"/>
      <c r="AF2197" s="80"/>
      <c r="AG2197" s="80"/>
    </row>
    <row r="2198" spans="1:33" x14ac:dyDescent="0.2">
      <c r="A2198" s="2"/>
      <c r="B2198" s="80"/>
      <c r="C2198" s="80"/>
      <c r="D2198" s="80"/>
      <c r="E2198" s="80"/>
      <c r="F2198" s="80"/>
      <c r="G2198" s="80"/>
      <c r="H2198" s="80"/>
      <c r="I2198" s="80"/>
      <c r="J2198" s="80"/>
      <c r="K2198" s="80"/>
      <c r="L2198" s="2"/>
      <c r="M2198" s="2"/>
      <c r="N2198" s="2"/>
      <c r="O2198" s="2"/>
      <c r="P2198" s="2"/>
      <c r="Q2198" s="2"/>
      <c r="R2198" s="80"/>
      <c r="S2198" s="80"/>
      <c r="T2198" s="80"/>
      <c r="U2198" s="80"/>
      <c r="V2198" s="80"/>
      <c r="W2198" s="80"/>
      <c r="X2198" s="80"/>
      <c r="Y2198" s="80"/>
      <c r="Z2198" s="80"/>
      <c r="AA2198" s="80"/>
      <c r="AB2198" s="80"/>
      <c r="AC2198" s="80"/>
      <c r="AD2198" s="80"/>
      <c r="AE2198" s="80"/>
      <c r="AF2198" s="80"/>
      <c r="AG2198" s="80"/>
    </row>
    <row r="2199" spans="1:33" x14ac:dyDescent="0.2">
      <c r="A2199" s="2"/>
      <c r="B2199" s="80"/>
      <c r="C2199" s="80"/>
      <c r="D2199" s="80"/>
      <c r="E2199" s="80"/>
      <c r="F2199" s="80"/>
      <c r="G2199" s="80"/>
      <c r="H2199" s="80"/>
      <c r="I2199" s="80"/>
      <c r="J2199" s="80"/>
      <c r="K2199" s="80"/>
      <c r="L2199" s="2"/>
      <c r="M2199" s="2"/>
      <c r="N2199" s="2"/>
      <c r="O2199" s="2"/>
      <c r="P2199" s="2"/>
      <c r="Q2199" s="2"/>
      <c r="R2199" s="80"/>
      <c r="S2199" s="80"/>
      <c r="T2199" s="80"/>
      <c r="U2199" s="80"/>
      <c r="V2199" s="80"/>
      <c r="W2199" s="80"/>
      <c r="X2199" s="80"/>
      <c r="Y2199" s="80"/>
      <c r="Z2199" s="80"/>
      <c r="AA2199" s="80"/>
      <c r="AB2199" s="80"/>
      <c r="AC2199" s="80"/>
      <c r="AD2199" s="80"/>
      <c r="AE2199" s="80"/>
      <c r="AF2199" s="80"/>
      <c r="AG2199" s="80"/>
    </row>
    <row r="2200" spans="1:33" x14ac:dyDescent="0.2">
      <c r="A2200" s="2"/>
      <c r="B2200" s="80"/>
      <c r="C2200" s="80"/>
      <c r="D2200" s="80"/>
      <c r="E2200" s="80"/>
      <c r="F2200" s="80"/>
      <c r="G2200" s="80"/>
      <c r="H2200" s="80"/>
      <c r="I2200" s="80"/>
      <c r="J2200" s="80"/>
      <c r="K2200" s="80"/>
      <c r="L2200" s="2"/>
      <c r="M2200" s="2"/>
      <c r="N2200" s="2"/>
      <c r="O2200" s="2"/>
      <c r="P2200" s="2"/>
      <c r="Q2200" s="2"/>
      <c r="R2200" s="80"/>
      <c r="S2200" s="80"/>
      <c r="T2200" s="80"/>
      <c r="U2200" s="80"/>
      <c r="V2200" s="80"/>
      <c r="W2200" s="80"/>
      <c r="X2200" s="80"/>
      <c r="Y2200" s="80"/>
      <c r="Z2200" s="80"/>
      <c r="AA2200" s="80"/>
      <c r="AB2200" s="80"/>
      <c r="AC2200" s="80"/>
      <c r="AD2200" s="80"/>
      <c r="AE2200" s="80"/>
      <c r="AF2200" s="80"/>
      <c r="AG2200" s="80"/>
    </row>
    <row r="2201" spans="1:33" x14ac:dyDescent="0.2">
      <c r="A2201" s="2"/>
      <c r="B2201" s="80"/>
      <c r="C2201" s="80"/>
      <c r="D2201" s="80"/>
      <c r="E2201" s="80"/>
      <c r="F2201" s="80"/>
      <c r="G2201" s="80"/>
      <c r="H2201" s="80"/>
      <c r="I2201" s="80"/>
      <c r="J2201" s="80"/>
      <c r="K2201" s="80"/>
      <c r="L2201" s="2"/>
      <c r="M2201" s="2"/>
      <c r="N2201" s="2"/>
      <c r="O2201" s="2"/>
      <c r="P2201" s="2"/>
      <c r="Q2201" s="2"/>
      <c r="R2201" s="80"/>
      <c r="S2201" s="80"/>
      <c r="T2201" s="80"/>
      <c r="U2201" s="80"/>
      <c r="V2201" s="80"/>
      <c r="W2201" s="80"/>
      <c r="X2201" s="80"/>
      <c r="Y2201" s="80"/>
      <c r="Z2201" s="80"/>
      <c r="AA2201" s="80"/>
      <c r="AB2201" s="80"/>
      <c r="AC2201" s="80"/>
      <c r="AD2201" s="80"/>
      <c r="AE2201" s="80"/>
      <c r="AF2201" s="80"/>
      <c r="AG2201" s="80"/>
    </row>
    <row r="2202" spans="1:33" x14ac:dyDescent="0.2">
      <c r="A2202" s="2"/>
      <c r="B2202" s="80"/>
      <c r="C2202" s="80"/>
      <c r="D2202" s="80"/>
      <c r="E2202" s="80"/>
      <c r="F2202" s="80"/>
      <c r="G2202" s="80"/>
      <c r="H2202" s="80"/>
      <c r="I2202" s="80"/>
      <c r="J2202" s="80"/>
      <c r="K2202" s="80"/>
      <c r="L2202" s="2"/>
      <c r="M2202" s="2"/>
      <c r="N2202" s="2"/>
      <c r="O2202" s="2"/>
      <c r="P2202" s="2"/>
      <c r="Q2202" s="2"/>
      <c r="R2202" s="80"/>
      <c r="S2202" s="80"/>
      <c r="T2202" s="80"/>
      <c r="U2202" s="80"/>
      <c r="V2202" s="80"/>
      <c r="W2202" s="80"/>
      <c r="X2202" s="80"/>
      <c r="Y2202" s="80"/>
      <c r="Z2202" s="80"/>
      <c r="AA2202" s="80"/>
      <c r="AB2202" s="80"/>
      <c r="AC2202" s="80"/>
      <c r="AD2202" s="80"/>
      <c r="AE2202" s="80"/>
      <c r="AF2202" s="80"/>
      <c r="AG2202" s="80"/>
    </row>
    <row r="2203" spans="1:33" x14ac:dyDescent="0.2">
      <c r="A2203" s="2"/>
      <c r="B2203" s="80"/>
      <c r="C2203" s="80"/>
      <c r="D2203" s="80"/>
      <c r="E2203" s="80"/>
      <c r="F2203" s="80"/>
      <c r="G2203" s="80"/>
      <c r="H2203" s="80"/>
      <c r="I2203" s="80"/>
      <c r="J2203" s="80"/>
      <c r="K2203" s="80"/>
      <c r="L2203" s="2"/>
      <c r="M2203" s="2"/>
      <c r="N2203" s="2"/>
      <c r="O2203" s="2"/>
      <c r="P2203" s="2"/>
      <c r="Q2203" s="2"/>
      <c r="R2203" s="80"/>
      <c r="S2203" s="80"/>
      <c r="T2203" s="80"/>
      <c r="U2203" s="80"/>
      <c r="V2203" s="80"/>
      <c r="W2203" s="80"/>
      <c r="X2203" s="80"/>
      <c r="Y2203" s="80"/>
      <c r="Z2203" s="80"/>
      <c r="AA2203" s="80"/>
      <c r="AB2203" s="80"/>
      <c r="AC2203" s="80"/>
      <c r="AD2203" s="80"/>
      <c r="AE2203" s="80"/>
      <c r="AF2203" s="80"/>
      <c r="AG2203" s="80"/>
    </row>
    <row r="2204" spans="1:33" x14ac:dyDescent="0.2">
      <c r="A2204" s="2"/>
      <c r="B2204" s="80"/>
      <c r="C2204" s="80"/>
      <c r="D2204" s="80"/>
      <c r="E2204" s="80"/>
      <c r="F2204" s="80"/>
      <c r="G2204" s="80"/>
      <c r="H2204" s="80"/>
      <c r="I2204" s="80"/>
      <c r="J2204" s="80"/>
      <c r="K2204" s="80"/>
      <c r="L2204" s="2"/>
      <c r="M2204" s="2"/>
      <c r="N2204" s="2"/>
      <c r="O2204" s="2"/>
      <c r="P2204" s="2"/>
      <c r="Q2204" s="2"/>
      <c r="R2204" s="80"/>
      <c r="S2204" s="80"/>
      <c r="T2204" s="80"/>
      <c r="U2204" s="80"/>
      <c r="V2204" s="80"/>
      <c r="W2204" s="80"/>
      <c r="X2204" s="80"/>
      <c r="Y2204" s="80"/>
      <c r="Z2204" s="80"/>
      <c r="AA2204" s="80"/>
      <c r="AB2204" s="80"/>
      <c r="AC2204" s="80"/>
      <c r="AD2204" s="80"/>
      <c r="AE2204" s="80"/>
      <c r="AF2204" s="80"/>
      <c r="AG2204" s="80"/>
    </row>
    <row r="2205" spans="1:33" x14ac:dyDescent="0.2">
      <c r="A2205" s="2"/>
      <c r="B2205" s="80"/>
      <c r="C2205" s="80"/>
      <c r="D2205" s="80"/>
      <c r="E2205" s="80"/>
      <c r="F2205" s="80"/>
      <c r="G2205" s="80"/>
      <c r="H2205" s="80"/>
      <c r="I2205" s="80"/>
      <c r="J2205" s="80"/>
      <c r="K2205" s="80"/>
      <c r="L2205" s="2"/>
      <c r="M2205" s="2"/>
      <c r="N2205" s="2"/>
      <c r="O2205" s="2"/>
      <c r="P2205" s="2"/>
      <c r="Q2205" s="2"/>
      <c r="R2205" s="80"/>
      <c r="S2205" s="80"/>
      <c r="T2205" s="80"/>
      <c r="U2205" s="80"/>
      <c r="V2205" s="80"/>
      <c r="W2205" s="80"/>
      <c r="X2205" s="80"/>
      <c r="Y2205" s="80"/>
      <c r="Z2205" s="80"/>
      <c r="AA2205" s="80"/>
      <c r="AB2205" s="80"/>
      <c r="AC2205" s="80"/>
      <c r="AD2205" s="80"/>
      <c r="AE2205" s="80"/>
      <c r="AF2205" s="80"/>
      <c r="AG2205" s="80"/>
    </row>
    <row r="2206" spans="1:33" x14ac:dyDescent="0.2">
      <c r="A2206" s="2"/>
      <c r="B2206" s="80"/>
      <c r="C2206" s="80"/>
      <c r="D2206" s="80"/>
      <c r="E2206" s="80"/>
      <c r="F2206" s="80"/>
      <c r="G2206" s="80"/>
      <c r="H2206" s="80"/>
      <c r="I2206" s="80"/>
      <c r="J2206" s="80"/>
      <c r="K2206" s="80"/>
      <c r="L2206" s="2"/>
      <c r="M2206" s="2"/>
      <c r="N2206" s="2"/>
      <c r="O2206" s="2"/>
      <c r="P2206" s="2"/>
      <c r="Q2206" s="2"/>
      <c r="R2206" s="80"/>
      <c r="S2206" s="80"/>
      <c r="T2206" s="80"/>
      <c r="U2206" s="80"/>
      <c r="V2206" s="80"/>
      <c r="W2206" s="80"/>
      <c r="X2206" s="80"/>
      <c r="Y2206" s="80"/>
      <c r="Z2206" s="80"/>
      <c r="AA2206" s="80"/>
      <c r="AB2206" s="80"/>
      <c r="AC2206" s="80"/>
      <c r="AD2206" s="80"/>
      <c r="AE2206" s="80"/>
      <c r="AF2206" s="80"/>
      <c r="AG2206" s="80"/>
    </row>
    <row r="2207" spans="1:33" x14ac:dyDescent="0.2">
      <c r="A2207" s="2"/>
      <c r="B2207" s="80"/>
      <c r="C2207" s="80"/>
      <c r="D2207" s="80"/>
      <c r="E2207" s="80"/>
      <c r="F2207" s="80"/>
      <c r="G2207" s="80"/>
      <c r="H2207" s="80"/>
      <c r="I2207" s="80"/>
      <c r="J2207" s="80"/>
      <c r="K2207" s="80"/>
      <c r="L2207" s="2"/>
      <c r="M2207" s="2"/>
      <c r="N2207" s="2"/>
      <c r="O2207" s="2"/>
      <c r="P2207" s="2"/>
      <c r="Q2207" s="2"/>
      <c r="R2207" s="80"/>
      <c r="S2207" s="80"/>
      <c r="T2207" s="80"/>
      <c r="U2207" s="80"/>
      <c r="V2207" s="80"/>
      <c r="W2207" s="80"/>
      <c r="X2207" s="80"/>
      <c r="Y2207" s="80"/>
      <c r="Z2207" s="80"/>
      <c r="AA2207" s="80"/>
      <c r="AB2207" s="80"/>
      <c r="AC2207" s="80"/>
      <c r="AD2207" s="80"/>
      <c r="AE2207" s="80"/>
      <c r="AF2207" s="80"/>
      <c r="AG2207" s="80"/>
    </row>
    <row r="2208" spans="1:33" x14ac:dyDescent="0.2">
      <c r="A2208" s="2"/>
      <c r="B2208" s="80"/>
      <c r="C2208" s="80"/>
      <c r="D2208" s="80"/>
      <c r="E2208" s="80"/>
      <c r="F2208" s="80"/>
      <c r="G2208" s="80"/>
      <c r="H2208" s="80"/>
      <c r="I2208" s="80"/>
      <c r="J2208" s="80"/>
      <c r="K2208" s="80"/>
      <c r="L2208" s="2"/>
      <c r="M2208" s="2"/>
      <c r="N2208" s="2"/>
      <c r="O2208" s="2"/>
      <c r="P2208" s="2"/>
      <c r="Q2208" s="2"/>
      <c r="R2208" s="80"/>
      <c r="S2208" s="80"/>
      <c r="T2208" s="80"/>
      <c r="U2208" s="80"/>
      <c r="V2208" s="80"/>
      <c r="W2208" s="80"/>
      <c r="X2208" s="80"/>
      <c r="Y2208" s="80"/>
      <c r="Z2208" s="80"/>
      <c r="AA2208" s="80"/>
      <c r="AB2208" s="80"/>
      <c r="AC2208" s="80"/>
      <c r="AD2208" s="80"/>
      <c r="AE2208" s="80"/>
      <c r="AF2208" s="80"/>
      <c r="AG2208" s="80"/>
    </row>
    <row r="2209" spans="1:33" x14ac:dyDescent="0.2">
      <c r="A2209" s="2"/>
      <c r="B2209" s="80"/>
      <c r="C2209" s="80"/>
      <c r="D2209" s="80"/>
      <c r="E2209" s="80"/>
      <c r="F2209" s="80"/>
      <c r="G2209" s="80"/>
      <c r="H2209" s="80"/>
      <c r="I2209" s="80"/>
      <c r="J2209" s="80"/>
      <c r="K2209" s="80"/>
      <c r="L2209" s="2"/>
      <c r="M2209" s="2"/>
      <c r="N2209" s="2"/>
      <c r="O2209" s="2"/>
      <c r="P2209" s="2"/>
      <c r="Q2209" s="2"/>
      <c r="R2209" s="80"/>
      <c r="S2209" s="80"/>
      <c r="T2209" s="80"/>
      <c r="U2209" s="80"/>
      <c r="V2209" s="80"/>
      <c r="W2209" s="80"/>
      <c r="X2209" s="80"/>
      <c r="Y2209" s="80"/>
      <c r="Z2209" s="80"/>
      <c r="AA2209" s="80"/>
      <c r="AB2209" s="80"/>
      <c r="AC2209" s="80"/>
      <c r="AD2209" s="80"/>
      <c r="AE2209" s="80"/>
      <c r="AF2209" s="80"/>
      <c r="AG2209" s="80"/>
    </row>
    <row r="2210" spans="1:33" x14ac:dyDescent="0.2">
      <c r="A2210" s="2"/>
      <c r="B2210" s="80"/>
      <c r="C2210" s="80"/>
      <c r="D2210" s="80"/>
      <c r="E2210" s="80"/>
      <c r="F2210" s="80"/>
      <c r="G2210" s="80"/>
      <c r="H2210" s="80"/>
      <c r="I2210" s="80"/>
      <c r="J2210" s="80"/>
      <c r="K2210" s="80"/>
      <c r="L2210" s="2"/>
      <c r="M2210" s="2"/>
      <c r="N2210" s="2"/>
      <c r="O2210" s="2"/>
      <c r="P2210" s="2"/>
      <c r="Q2210" s="2"/>
      <c r="R2210" s="80"/>
      <c r="S2210" s="80"/>
      <c r="T2210" s="80"/>
      <c r="U2210" s="80"/>
      <c r="V2210" s="80"/>
      <c r="W2210" s="80"/>
      <c r="X2210" s="80"/>
      <c r="Y2210" s="80"/>
      <c r="Z2210" s="80"/>
      <c r="AA2210" s="80"/>
      <c r="AB2210" s="80"/>
      <c r="AC2210" s="80"/>
      <c r="AD2210" s="80"/>
      <c r="AE2210" s="80"/>
      <c r="AF2210" s="80"/>
      <c r="AG2210" s="80"/>
    </row>
    <row r="2211" spans="1:33" x14ac:dyDescent="0.2">
      <c r="A2211" s="2"/>
      <c r="B2211" s="80"/>
      <c r="C2211" s="80"/>
      <c r="D2211" s="80"/>
      <c r="E2211" s="80"/>
      <c r="F2211" s="80"/>
      <c r="G2211" s="80"/>
      <c r="H2211" s="80"/>
      <c r="I2211" s="80"/>
      <c r="J2211" s="80"/>
      <c r="K2211" s="80"/>
      <c r="L2211" s="2"/>
      <c r="M2211" s="2"/>
      <c r="N2211" s="2"/>
      <c r="O2211" s="2"/>
      <c r="P2211" s="2"/>
      <c r="Q2211" s="2"/>
      <c r="R2211" s="80"/>
      <c r="S2211" s="80"/>
      <c r="T2211" s="80"/>
      <c r="U2211" s="80"/>
      <c r="V2211" s="80"/>
      <c r="W2211" s="80"/>
      <c r="X2211" s="80"/>
      <c r="Y2211" s="80"/>
      <c r="Z2211" s="80"/>
      <c r="AA2211" s="80"/>
      <c r="AB2211" s="80"/>
      <c r="AC2211" s="80"/>
      <c r="AD2211" s="80"/>
      <c r="AE2211" s="80"/>
      <c r="AF2211" s="80"/>
      <c r="AG2211" s="80"/>
    </row>
    <row r="2212" spans="1:33" x14ac:dyDescent="0.2">
      <c r="A2212" s="2"/>
      <c r="B2212" s="80"/>
      <c r="C2212" s="80"/>
      <c r="D2212" s="80"/>
      <c r="E2212" s="80"/>
      <c r="F2212" s="80"/>
      <c r="G2212" s="80"/>
      <c r="H2212" s="80"/>
      <c r="I2212" s="80"/>
      <c r="J2212" s="80"/>
      <c r="K2212" s="80"/>
      <c r="L2212" s="2"/>
      <c r="M2212" s="2"/>
      <c r="N2212" s="2"/>
      <c r="O2212" s="2"/>
      <c r="P2212" s="2"/>
      <c r="Q2212" s="2"/>
      <c r="R2212" s="80"/>
      <c r="S2212" s="80"/>
      <c r="T2212" s="80"/>
      <c r="U2212" s="80"/>
      <c r="V2212" s="80"/>
      <c r="W2212" s="80"/>
      <c r="X2212" s="80"/>
      <c r="Y2212" s="80"/>
      <c r="Z2212" s="80"/>
      <c r="AA2212" s="80"/>
      <c r="AB2212" s="80"/>
      <c r="AC2212" s="80"/>
      <c r="AD2212" s="80"/>
      <c r="AE2212" s="80"/>
      <c r="AF2212" s="80"/>
      <c r="AG2212" s="80"/>
    </row>
    <row r="2213" spans="1:33" x14ac:dyDescent="0.2">
      <c r="A2213" s="2"/>
      <c r="B2213" s="80"/>
      <c r="C2213" s="80"/>
      <c r="D2213" s="80"/>
      <c r="E2213" s="80"/>
      <c r="F2213" s="80"/>
      <c r="G2213" s="80"/>
      <c r="H2213" s="80"/>
      <c r="I2213" s="80"/>
      <c r="J2213" s="80"/>
      <c r="K2213" s="80"/>
      <c r="L2213" s="2"/>
      <c r="M2213" s="2"/>
      <c r="N2213" s="2"/>
      <c r="O2213" s="2"/>
      <c r="P2213" s="2"/>
      <c r="Q2213" s="2"/>
      <c r="R2213" s="80"/>
      <c r="S2213" s="80"/>
      <c r="T2213" s="80"/>
      <c r="U2213" s="80"/>
      <c r="V2213" s="80"/>
      <c r="W2213" s="80"/>
      <c r="X2213" s="80"/>
      <c r="Y2213" s="80"/>
      <c r="Z2213" s="80"/>
      <c r="AA2213" s="80"/>
      <c r="AB2213" s="80"/>
      <c r="AC2213" s="80"/>
      <c r="AD2213" s="80"/>
      <c r="AE2213" s="80"/>
      <c r="AF2213" s="80"/>
      <c r="AG2213" s="80"/>
    </row>
    <row r="2214" spans="1:33" x14ac:dyDescent="0.2">
      <c r="A2214" s="2"/>
      <c r="B2214" s="80"/>
      <c r="C2214" s="80"/>
      <c r="D2214" s="80"/>
      <c r="E2214" s="80"/>
      <c r="F2214" s="80"/>
      <c r="G2214" s="80"/>
      <c r="H2214" s="80"/>
      <c r="I2214" s="80"/>
      <c r="J2214" s="80"/>
      <c r="K2214" s="80"/>
      <c r="L2214" s="2"/>
      <c r="M2214" s="2"/>
      <c r="N2214" s="2"/>
      <c r="O2214" s="2"/>
      <c r="P2214" s="2"/>
      <c r="Q2214" s="2"/>
      <c r="R2214" s="80"/>
      <c r="S2214" s="80"/>
      <c r="T2214" s="80"/>
      <c r="U2214" s="80"/>
      <c r="V2214" s="80"/>
      <c r="W2214" s="80"/>
      <c r="X2214" s="80"/>
      <c r="Y2214" s="80"/>
      <c r="Z2214" s="80"/>
      <c r="AA2214" s="80"/>
      <c r="AB2214" s="80"/>
      <c r="AC2214" s="80"/>
      <c r="AD2214" s="80"/>
      <c r="AE2214" s="80"/>
      <c r="AF2214" s="80"/>
      <c r="AG2214" s="80"/>
    </row>
    <row r="2215" spans="1:33" x14ac:dyDescent="0.2">
      <c r="A2215" s="2"/>
      <c r="B2215" s="80"/>
      <c r="C2215" s="80"/>
      <c r="D2215" s="80"/>
      <c r="E2215" s="80"/>
      <c r="F2215" s="80"/>
      <c r="G2215" s="80"/>
      <c r="H2215" s="80"/>
      <c r="I2215" s="80"/>
      <c r="J2215" s="80"/>
      <c r="K2215" s="80"/>
      <c r="L2215" s="2"/>
      <c r="M2215" s="2"/>
      <c r="N2215" s="2"/>
      <c r="O2215" s="2"/>
      <c r="P2215" s="2"/>
      <c r="Q2215" s="2"/>
      <c r="R2215" s="80"/>
      <c r="S2215" s="80"/>
      <c r="T2215" s="80"/>
      <c r="U2215" s="80"/>
      <c r="V2215" s="80"/>
      <c r="W2215" s="80"/>
      <c r="X2215" s="80"/>
      <c r="Y2215" s="80"/>
      <c r="Z2215" s="80"/>
      <c r="AA2215" s="80"/>
      <c r="AB2215" s="80"/>
      <c r="AC2215" s="80"/>
      <c r="AD2215" s="80"/>
      <c r="AE2215" s="80"/>
      <c r="AF2215" s="80"/>
      <c r="AG2215" s="80"/>
    </row>
    <row r="2216" spans="1:33" x14ac:dyDescent="0.2">
      <c r="A2216" s="2"/>
      <c r="B2216" s="80"/>
      <c r="C2216" s="80"/>
      <c r="D2216" s="80"/>
      <c r="E2216" s="80"/>
      <c r="F2216" s="80"/>
      <c r="G2216" s="80"/>
      <c r="H2216" s="80"/>
      <c r="I2216" s="80"/>
      <c r="J2216" s="80"/>
      <c r="K2216" s="80"/>
      <c r="L2216" s="2"/>
      <c r="M2216" s="2"/>
      <c r="N2216" s="2"/>
      <c r="O2216" s="2"/>
      <c r="P2216" s="2"/>
      <c r="Q2216" s="2"/>
      <c r="R2216" s="80"/>
      <c r="S2216" s="80"/>
      <c r="T2216" s="80"/>
      <c r="U2216" s="80"/>
      <c r="V2216" s="80"/>
      <c r="W2216" s="80"/>
      <c r="X2216" s="80"/>
      <c r="Y2216" s="80"/>
      <c r="Z2216" s="80"/>
      <c r="AA2216" s="80"/>
      <c r="AB2216" s="80"/>
      <c r="AC2216" s="80"/>
      <c r="AD2216" s="80"/>
      <c r="AE2216" s="80"/>
      <c r="AF2216" s="80"/>
      <c r="AG2216" s="80"/>
    </row>
    <row r="2217" spans="1:33" x14ac:dyDescent="0.2">
      <c r="A2217" s="2"/>
      <c r="B2217" s="80"/>
      <c r="C2217" s="80"/>
      <c r="D2217" s="80"/>
      <c r="E2217" s="80"/>
      <c r="F2217" s="80"/>
      <c r="G2217" s="80"/>
      <c r="H2217" s="80"/>
      <c r="I2217" s="80"/>
      <c r="J2217" s="80"/>
      <c r="K2217" s="80"/>
      <c r="L2217" s="2"/>
      <c r="M2217" s="2"/>
      <c r="N2217" s="2"/>
      <c r="O2217" s="2"/>
      <c r="P2217" s="2"/>
      <c r="Q2217" s="2"/>
      <c r="R2217" s="80"/>
      <c r="S2217" s="80"/>
      <c r="T2217" s="80"/>
      <c r="U2217" s="80"/>
      <c r="V2217" s="80"/>
      <c r="W2217" s="80"/>
      <c r="X2217" s="80"/>
      <c r="Y2217" s="80"/>
      <c r="Z2217" s="80"/>
      <c r="AA2217" s="80"/>
      <c r="AB2217" s="80"/>
      <c r="AC2217" s="80"/>
      <c r="AD2217" s="80"/>
      <c r="AE2217" s="80"/>
      <c r="AF2217" s="80"/>
      <c r="AG2217" s="80"/>
    </row>
    <row r="2218" spans="1:33" x14ac:dyDescent="0.2">
      <c r="A2218" s="2"/>
      <c r="B2218" s="80"/>
      <c r="C2218" s="80"/>
      <c r="D2218" s="80"/>
      <c r="E2218" s="80"/>
      <c r="F2218" s="80"/>
      <c r="G2218" s="80"/>
      <c r="H2218" s="80"/>
      <c r="I2218" s="80"/>
      <c r="J2218" s="80"/>
      <c r="K2218" s="80"/>
      <c r="L2218" s="2"/>
      <c r="M2218" s="2"/>
      <c r="N2218" s="2"/>
      <c r="O2218" s="2"/>
      <c r="P2218" s="2"/>
      <c r="Q2218" s="2"/>
      <c r="R2218" s="80"/>
      <c r="S2218" s="80"/>
      <c r="T2218" s="80"/>
      <c r="U2218" s="80"/>
      <c r="V2218" s="80"/>
      <c r="W2218" s="80"/>
      <c r="X2218" s="80"/>
      <c r="Y2218" s="80"/>
      <c r="Z2218" s="80"/>
      <c r="AA2218" s="80"/>
      <c r="AB2218" s="80"/>
      <c r="AC2218" s="80"/>
      <c r="AD2218" s="80"/>
      <c r="AE2218" s="80"/>
      <c r="AF2218" s="80"/>
      <c r="AG2218" s="80"/>
    </row>
    <row r="2219" spans="1:33" x14ac:dyDescent="0.2">
      <c r="A2219" s="2"/>
      <c r="B2219" s="80"/>
      <c r="C2219" s="80"/>
      <c r="D2219" s="80"/>
      <c r="E2219" s="80"/>
      <c r="F2219" s="80"/>
      <c r="G2219" s="80"/>
      <c r="H2219" s="80"/>
      <c r="I2219" s="80"/>
      <c r="J2219" s="80"/>
      <c r="K2219" s="80"/>
      <c r="L2219" s="2"/>
      <c r="M2219" s="2"/>
      <c r="N2219" s="2"/>
      <c r="O2219" s="2"/>
      <c r="P2219" s="2"/>
      <c r="Q2219" s="2"/>
      <c r="R2219" s="80"/>
      <c r="S2219" s="80"/>
      <c r="T2219" s="80"/>
      <c r="U2219" s="80"/>
      <c r="V2219" s="80"/>
      <c r="W2219" s="80"/>
      <c r="X2219" s="80"/>
      <c r="Y2219" s="80"/>
      <c r="Z2219" s="80"/>
      <c r="AA2219" s="80"/>
      <c r="AB2219" s="80"/>
      <c r="AC2219" s="80"/>
      <c r="AD2219" s="80"/>
      <c r="AE2219" s="80"/>
      <c r="AF2219" s="80"/>
      <c r="AG2219" s="80"/>
    </row>
    <row r="2220" spans="1:33" x14ac:dyDescent="0.2">
      <c r="A2220" s="2"/>
      <c r="B2220" s="80"/>
      <c r="C2220" s="80"/>
      <c r="D2220" s="80"/>
      <c r="E2220" s="80"/>
      <c r="F2220" s="80"/>
      <c r="G2220" s="80"/>
      <c r="H2220" s="80"/>
      <c r="I2220" s="80"/>
      <c r="J2220" s="80"/>
      <c r="K2220" s="80"/>
      <c r="L2220" s="2"/>
      <c r="M2220" s="2"/>
      <c r="N2220" s="2"/>
      <c r="O2220" s="2"/>
      <c r="P2220" s="2"/>
      <c r="Q2220" s="2"/>
      <c r="R2220" s="80"/>
      <c r="S2220" s="80"/>
      <c r="T2220" s="80"/>
      <c r="U2220" s="80"/>
      <c r="V2220" s="80"/>
      <c r="W2220" s="80"/>
      <c r="X2220" s="80"/>
      <c r="Y2220" s="80"/>
      <c r="Z2220" s="80"/>
      <c r="AA2220" s="80"/>
      <c r="AB2220" s="80"/>
      <c r="AC2220" s="80"/>
      <c r="AD2220" s="80"/>
      <c r="AE2220" s="80"/>
      <c r="AF2220" s="80"/>
      <c r="AG2220" s="80"/>
    </row>
    <row r="2221" spans="1:33" x14ac:dyDescent="0.2">
      <c r="A2221" s="2"/>
      <c r="B2221" s="80"/>
      <c r="C2221" s="80"/>
      <c r="D2221" s="80"/>
      <c r="E2221" s="80"/>
      <c r="F2221" s="80"/>
      <c r="G2221" s="80"/>
      <c r="H2221" s="80"/>
      <c r="I2221" s="80"/>
      <c r="J2221" s="80"/>
      <c r="K2221" s="80"/>
      <c r="L2221" s="2"/>
      <c r="M2221" s="2"/>
      <c r="N2221" s="2"/>
      <c r="O2221" s="2"/>
      <c r="P2221" s="2"/>
      <c r="Q2221" s="2"/>
      <c r="R2221" s="80"/>
      <c r="S2221" s="80"/>
      <c r="T2221" s="80"/>
      <c r="U2221" s="80"/>
      <c r="V2221" s="80"/>
      <c r="W2221" s="80"/>
      <c r="X2221" s="80"/>
      <c r="Y2221" s="80"/>
      <c r="Z2221" s="80"/>
      <c r="AA2221" s="80"/>
      <c r="AB2221" s="80"/>
      <c r="AC2221" s="80"/>
      <c r="AD2221" s="80"/>
      <c r="AE2221" s="80"/>
      <c r="AF2221" s="80"/>
      <c r="AG2221" s="80"/>
    </row>
    <row r="2222" spans="1:33" x14ac:dyDescent="0.2">
      <c r="A2222" s="2"/>
      <c r="B2222" s="80"/>
      <c r="C2222" s="80"/>
      <c r="D2222" s="80"/>
      <c r="E2222" s="80"/>
      <c r="F2222" s="80"/>
      <c r="G2222" s="80"/>
      <c r="H2222" s="80"/>
      <c r="I2222" s="80"/>
      <c r="J2222" s="80"/>
      <c r="K2222" s="80"/>
      <c r="L2222" s="2"/>
      <c r="M2222" s="2"/>
      <c r="N2222" s="2"/>
      <c r="O2222" s="2"/>
      <c r="P2222" s="2"/>
      <c r="Q2222" s="2"/>
      <c r="R2222" s="80"/>
      <c r="S2222" s="80"/>
      <c r="T2222" s="80"/>
      <c r="U2222" s="80"/>
      <c r="V2222" s="80"/>
      <c r="W2222" s="80"/>
      <c r="X2222" s="80"/>
      <c r="Y2222" s="80"/>
      <c r="Z2222" s="80"/>
      <c r="AA2222" s="80"/>
      <c r="AB2222" s="80"/>
      <c r="AC2222" s="80"/>
      <c r="AD2222" s="80"/>
      <c r="AE2222" s="80"/>
      <c r="AF2222" s="80"/>
      <c r="AG2222" s="80"/>
    </row>
    <row r="2223" spans="1:33" x14ac:dyDescent="0.2">
      <c r="A2223" s="2"/>
      <c r="B2223" s="80"/>
      <c r="C2223" s="80"/>
      <c r="D2223" s="80"/>
      <c r="E2223" s="80"/>
      <c r="F2223" s="80"/>
      <c r="G2223" s="80"/>
      <c r="H2223" s="80"/>
      <c r="I2223" s="80"/>
      <c r="J2223" s="80"/>
      <c r="K2223" s="80"/>
      <c r="L2223" s="2"/>
      <c r="M2223" s="2"/>
      <c r="N2223" s="2"/>
      <c r="O2223" s="2"/>
      <c r="P2223" s="2"/>
      <c r="Q2223" s="2"/>
      <c r="R2223" s="80"/>
      <c r="S2223" s="80"/>
      <c r="T2223" s="80"/>
      <c r="U2223" s="80"/>
      <c r="V2223" s="80"/>
      <c r="W2223" s="80"/>
      <c r="X2223" s="80"/>
      <c r="Y2223" s="80"/>
      <c r="Z2223" s="80"/>
      <c r="AA2223" s="80"/>
      <c r="AB2223" s="80"/>
      <c r="AC2223" s="80"/>
      <c r="AD2223" s="80"/>
      <c r="AE2223" s="80"/>
      <c r="AF2223" s="80"/>
      <c r="AG2223" s="80"/>
    </row>
    <row r="2224" spans="1:33" x14ac:dyDescent="0.2">
      <c r="A2224" s="2"/>
      <c r="B2224" s="80"/>
      <c r="C2224" s="80"/>
      <c r="D2224" s="80"/>
      <c r="E2224" s="80"/>
      <c r="F2224" s="80"/>
      <c r="G2224" s="80"/>
      <c r="H2224" s="80"/>
      <c r="I2224" s="80"/>
      <c r="J2224" s="80"/>
      <c r="K2224" s="80"/>
      <c r="L2224" s="2"/>
      <c r="M2224" s="2"/>
      <c r="N2224" s="2"/>
      <c r="O2224" s="2"/>
      <c r="P2224" s="2"/>
      <c r="Q2224" s="2"/>
      <c r="R2224" s="80"/>
      <c r="S2224" s="80"/>
      <c r="T2224" s="80"/>
      <c r="U2224" s="80"/>
      <c r="V2224" s="80"/>
      <c r="W2224" s="80"/>
      <c r="X2224" s="80"/>
      <c r="Y2224" s="80"/>
      <c r="Z2224" s="80"/>
      <c r="AA2224" s="80"/>
      <c r="AB2224" s="80"/>
      <c r="AC2224" s="80"/>
      <c r="AD2224" s="80"/>
      <c r="AE2224" s="80"/>
      <c r="AF2224" s="80"/>
      <c r="AG2224" s="80"/>
    </row>
    <row r="2225" spans="1:33" x14ac:dyDescent="0.2">
      <c r="A2225" s="2"/>
      <c r="B2225" s="80"/>
      <c r="C2225" s="80"/>
      <c r="D2225" s="80"/>
      <c r="E2225" s="80"/>
      <c r="F2225" s="80"/>
      <c r="G2225" s="80"/>
      <c r="H2225" s="80"/>
      <c r="I2225" s="80"/>
      <c r="J2225" s="80"/>
      <c r="K2225" s="80"/>
      <c r="L2225" s="2"/>
      <c r="M2225" s="2"/>
      <c r="N2225" s="2"/>
      <c r="O2225" s="2"/>
      <c r="P2225" s="2"/>
      <c r="Q2225" s="2"/>
      <c r="R2225" s="80"/>
      <c r="S2225" s="80"/>
      <c r="T2225" s="80"/>
      <c r="U2225" s="80"/>
      <c r="V2225" s="80"/>
      <c r="W2225" s="80"/>
      <c r="X2225" s="80"/>
      <c r="Y2225" s="80"/>
      <c r="Z2225" s="80"/>
      <c r="AA2225" s="80"/>
      <c r="AB2225" s="80"/>
      <c r="AC2225" s="80"/>
      <c r="AD2225" s="80"/>
      <c r="AE2225" s="80"/>
      <c r="AF2225" s="80"/>
      <c r="AG2225" s="80"/>
    </row>
    <row r="2226" spans="1:33" x14ac:dyDescent="0.2">
      <c r="A2226" s="2"/>
      <c r="B2226" s="80"/>
      <c r="C2226" s="80"/>
      <c r="D2226" s="80"/>
      <c r="E2226" s="80"/>
      <c r="F2226" s="80"/>
      <c r="G2226" s="80"/>
      <c r="H2226" s="80"/>
      <c r="I2226" s="80"/>
      <c r="J2226" s="80"/>
      <c r="K2226" s="80"/>
      <c r="L2226" s="2"/>
      <c r="M2226" s="2"/>
      <c r="N2226" s="2"/>
      <c r="O2226" s="2"/>
      <c r="P2226" s="2"/>
      <c r="Q2226" s="2"/>
      <c r="R2226" s="80"/>
      <c r="S2226" s="80"/>
      <c r="T2226" s="80"/>
      <c r="U2226" s="80"/>
      <c r="V2226" s="80"/>
      <c r="W2226" s="80"/>
      <c r="X2226" s="80"/>
      <c r="Y2226" s="80"/>
      <c r="Z2226" s="80"/>
      <c r="AA2226" s="80"/>
      <c r="AB2226" s="80"/>
      <c r="AC2226" s="80"/>
      <c r="AD2226" s="80"/>
      <c r="AE2226" s="80"/>
      <c r="AF2226" s="80"/>
      <c r="AG2226" s="80"/>
    </row>
    <row r="2227" spans="1:33" x14ac:dyDescent="0.2">
      <c r="A2227" s="2"/>
      <c r="B2227" s="80"/>
      <c r="C2227" s="80"/>
      <c r="D2227" s="80"/>
      <c r="E2227" s="80"/>
      <c r="F2227" s="80"/>
      <c r="G2227" s="80"/>
      <c r="H2227" s="80"/>
      <c r="I2227" s="80"/>
      <c r="J2227" s="80"/>
      <c r="K2227" s="80"/>
      <c r="L2227" s="2"/>
      <c r="M2227" s="2"/>
      <c r="N2227" s="2"/>
      <c r="O2227" s="2"/>
      <c r="P2227" s="2"/>
      <c r="Q2227" s="2"/>
      <c r="R2227" s="80"/>
      <c r="S2227" s="80"/>
      <c r="T2227" s="80"/>
      <c r="U2227" s="80"/>
      <c r="V2227" s="80"/>
      <c r="W2227" s="80"/>
      <c r="X2227" s="80"/>
      <c r="Y2227" s="80"/>
      <c r="Z2227" s="80"/>
      <c r="AA2227" s="80"/>
      <c r="AB2227" s="80"/>
      <c r="AC2227" s="80"/>
      <c r="AD2227" s="80"/>
      <c r="AE2227" s="80"/>
      <c r="AF2227" s="80"/>
      <c r="AG2227" s="80"/>
    </row>
    <row r="2228" spans="1:33" x14ac:dyDescent="0.2">
      <c r="A2228" s="2"/>
      <c r="B2228" s="80"/>
      <c r="C2228" s="80"/>
      <c r="D2228" s="80"/>
      <c r="E2228" s="80"/>
      <c r="F2228" s="80"/>
      <c r="G2228" s="80"/>
      <c r="H2228" s="80"/>
      <c r="I2228" s="80"/>
      <c r="J2228" s="80"/>
      <c r="K2228" s="80"/>
      <c r="L2228" s="2"/>
      <c r="M2228" s="2"/>
      <c r="N2228" s="2"/>
      <c r="O2228" s="2"/>
      <c r="P2228" s="2"/>
      <c r="Q2228" s="2"/>
      <c r="R2228" s="80"/>
      <c r="S2228" s="80"/>
      <c r="T2228" s="80"/>
      <c r="U2228" s="80"/>
      <c r="V2228" s="80"/>
      <c r="W2228" s="80"/>
      <c r="X2228" s="80"/>
      <c r="Y2228" s="80"/>
      <c r="Z2228" s="80"/>
      <c r="AA2228" s="80"/>
      <c r="AB2228" s="80"/>
      <c r="AC2228" s="80"/>
      <c r="AD2228" s="80"/>
      <c r="AE2228" s="80"/>
      <c r="AF2228" s="80"/>
      <c r="AG2228" s="80"/>
    </row>
    <row r="2229" spans="1:33" x14ac:dyDescent="0.2">
      <c r="A2229" s="2"/>
      <c r="B2229" s="80"/>
      <c r="C2229" s="80"/>
      <c r="D2229" s="80"/>
      <c r="E2229" s="80"/>
      <c r="F2229" s="80"/>
      <c r="G2229" s="80"/>
      <c r="H2229" s="80"/>
      <c r="I2229" s="80"/>
      <c r="J2229" s="80"/>
      <c r="K2229" s="80"/>
      <c r="L2229" s="2"/>
      <c r="M2229" s="2"/>
      <c r="N2229" s="2"/>
      <c r="O2229" s="2"/>
      <c r="P2229" s="2"/>
      <c r="Q2229" s="2"/>
      <c r="R2229" s="80"/>
      <c r="S2229" s="80"/>
      <c r="T2229" s="80"/>
      <c r="U2229" s="80"/>
      <c r="V2229" s="80"/>
      <c r="W2229" s="80"/>
      <c r="X2229" s="80"/>
      <c r="Y2229" s="80"/>
      <c r="Z2229" s="80"/>
      <c r="AA2229" s="80"/>
      <c r="AB2229" s="80"/>
      <c r="AC2229" s="80"/>
      <c r="AD2229" s="80"/>
      <c r="AE2229" s="80"/>
      <c r="AF2229" s="80"/>
      <c r="AG2229" s="80"/>
    </row>
    <row r="2230" spans="1:33" x14ac:dyDescent="0.2">
      <c r="A2230" s="2"/>
      <c r="B2230" s="80"/>
      <c r="C2230" s="80"/>
      <c r="D2230" s="80"/>
      <c r="E2230" s="80"/>
      <c r="F2230" s="80"/>
      <c r="G2230" s="80"/>
      <c r="H2230" s="80"/>
      <c r="I2230" s="80"/>
      <c r="J2230" s="80"/>
      <c r="K2230" s="80"/>
      <c r="L2230" s="2"/>
      <c r="M2230" s="2"/>
      <c r="N2230" s="2"/>
      <c r="O2230" s="2"/>
      <c r="P2230" s="2"/>
      <c r="Q2230" s="2"/>
      <c r="R2230" s="80"/>
      <c r="S2230" s="80"/>
      <c r="T2230" s="80"/>
      <c r="U2230" s="80"/>
      <c r="V2230" s="80"/>
      <c r="W2230" s="80"/>
      <c r="X2230" s="80"/>
      <c r="Y2230" s="80"/>
      <c r="Z2230" s="80"/>
      <c r="AA2230" s="80"/>
      <c r="AB2230" s="80"/>
      <c r="AC2230" s="80"/>
      <c r="AD2230" s="80"/>
      <c r="AE2230" s="80"/>
      <c r="AF2230" s="80"/>
      <c r="AG2230" s="80"/>
    </row>
    <row r="2231" spans="1:33" x14ac:dyDescent="0.2">
      <c r="A2231" s="2"/>
      <c r="B2231" s="80"/>
      <c r="C2231" s="80"/>
      <c r="D2231" s="80"/>
      <c r="E2231" s="80"/>
      <c r="F2231" s="80"/>
      <c r="G2231" s="80"/>
      <c r="H2231" s="80"/>
      <c r="I2231" s="80"/>
      <c r="J2231" s="80"/>
      <c r="K2231" s="80"/>
      <c r="L2231" s="2"/>
      <c r="M2231" s="2"/>
      <c r="N2231" s="2"/>
      <c r="O2231" s="2"/>
      <c r="P2231" s="2"/>
      <c r="Q2231" s="2"/>
      <c r="R2231" s="80"/>
      <c r="S2231" s="80"/>
      <c r="T2231" s="80"/>
      <c r="U2231" s="80"/>
      <c r="V2231" s="80"/>
      <c r="W2231" s="80"/>
      <c r="X2231" s="80"/>
      <c r="Y2231" s="80"/>
      <c r="Z2231" s="80"/>
      <c r="AA2231" s="80"/>
      <c r="AB2231" s="80"/>
      <c r="AC2231" s="80"/>
      <c r="AD2231" s="80"/>
      <c r="AE2231" s="80"/>
      <c r="AF2231" s="80"/>
      <c r="AG2231" s="80"/>
    </row>
    <row r="2232" spans="1:33" x14ac:dyDescent="0.2">
      <c r="A2232" s="2"/>
      <c r="B2232" s="80"/>
      <c r="C2232" s="80"/>
      <c r="D2232" s="80"/>
      <c r="E2232" s="80"/>
      <c r="F2232" s="80"/>
      <c r="G2232" s="80"/>
      <c r="H2232" s="80"/>
      <c r="I2232" s="80"/>
      <c r="J2232" s="80"/>
      <c r="K2232" s="80"/>
      <c r="L2232" s="2"/>
      <c r="M2232" s="2"/>
      <c r="N2232" s="2"/>
      <c r="O2232" s="2"/>
      <c r="P2232" s="2"/>
      <c r="Q2232" s="2"/>
      <c r="R2232" s="80"/>
      <c r="S2232" s="80"/>
      <c r="T2232" s="80"/>
      <c r="U2232" s="80"/>
      <c r="V2232" s="80"/>
      <c r="W2232" s="80"/>
      <c r="X2232" s="80"/>
      <c r="Y2232" s="80"/>
      <c r="Z2232" s="80"/>
      <c r="AA2232" s="80"/>
      <c r="AB2232" s="80"/>
      <c r="AC2232" s="80"/>
      <c r="AD2232" s="80"/>
      <c r="AE2232" s="80"/>
      <c r="AF2232" s="80"/>
      <c r="AG2232" s="80"/>
    </row>
    <row r="2233" spans="1:33" x14ac:dyDescent="0.2">
      <c r="A2233" s="2"/>
      <c r="B2233" s="80"/>
      <c r="C2233" s="80"/>
      <c r="D2233" s="80"/>
      <c r="E2233" s="80"/>
      <c r="F2233" s="80"/>
      <c r="G2233" s="80"/>
      <c r="H2233" s="80"/>
      <c r="I2233" s="80"/>
      <c r="J2233" s="80"/>
      <c r="K2233" s="80"/>
      <c r="L2233" s="2"/>
      <c r="M2233" s="2"/>
      <c r="N2233" s="2"/>
      <c r="O2233" s="2"/>
      <c r="P2233" s="2"/>
      <c r="Q2233" s="2"/>
      <c r="R2233" s="80"/>
      <c r="S2233" s="80"/>
      <c r="T2233" s="80"/>
      <c r="U2233" s="80"/>
      <c r="V2233" s="80"/>
      <c r="W2233" s="80"/>
      <c r="X2233" s="80"/>
      <c r="Y2233" s="80"/>
      <c r="Z2233" s="80"/>
      <c r="AA2233" s="80"/>
      <c r="AB2233" s="80"/>
      <c r="AC2233" s="80"/>
      <c r="AD2233" s="80"/>
      <c r="AE2233" s="80"/>
      <c r="AF2233" s="80"/>
      <c r="AG2233" s="80"/>
    </row>
    <row r="2234" spans="1:33" x14ac:dyDescent="0.2">
      <c r="A2234" s="2"/>
      <c r="B2234" s="80"/>
      <c r="C2234" s="80"/>
      <c r="D2234" s="80"/>
      <c r="E2234" s="80"/>
      <c r="F2234" s="80"/>
      <c r="G2234" s="80"/>
      <c r="H2234" s="80"/>
      <c r="I2234" s="80"/>
      <c r="J2234" s="80"/>
      <c r="K2234" s="80"/>
      <c r="L2234" s="2"/>
      <c r="M2234" s="2"/>
      <c r="N2234" s="2"/>
      <c r="O2234" s="2"/>
      <c r="P2234" s="2"/>
      <c r="Q2234" s="2"/>
      <c r="R2234" s="80"/>
      <c r="S2234" s="80"/>
      <c r="T2234" s="80"/>
      <c r="U2234" s="80"/>
      <c r="V2234" s="80"/>
      <c r="W2234" s="80"/>
      <c r="X2234" s="80"/>
      <c r="Y2234" s="80"/>
      <c r="Z2234" s="80"/>
      <c r="AA2234" s="80"/>
      <c r="AB2234" s="80"/>
      <c r="AC2234" s="80"/>
      <c r="AD2234" s="80"/>
      <c r="AE2234" s="80"/>
      <c r="AF2234" s="80"/>
      <c r="AG2234" s="80"/>
    </row>
    <row r="2235" spans="1:33" x14ac:dyDescent="0.2">
      <c r="A2235" s="2"/>
      <c r="B2235" s="80"/>
      <c r="C2235" s="80"/>
      <c r="D2235" s="80"/>
      <c r="E2235" s="80"/>
      <c r="F2235" s="80"/>
      <c r="G2235" s="80"/>
      <c r="H2235" s="80"/>
      <c r="I2235" s="80"/>
      <c r="J2235" s="80"/>
      <c r="K2235" s="80"/>
      <c r="L2235" s="2"/>
      <c r="M2235" s="2"/>
      <c r="N2235" s="2"/>
      <c r="O2235" s="2"/>
      <c r="P2235" s="2"/>
      <c r="Q2235" s="2"/>
      <c r="R2235" s="80"/>
      <c r="S2235" s="80"/>
      <c r="T2235" s="80"/>
      <c r="U2235" s="80"/>
      <c r="V2235" s="80"/>
      <c r="W2235" s="80"/>
      <c r="X2235" s="80"/>
      <c r="Y2235" s="80"/>
      <c r="Z2235" s="80"/>
      <c r="AA2235" s="80"/>
      <c r="AB2235" s="80"/>
      <c r="AC2235" s="80"/>
      <c r="AD2235" s="80"/>
      <c r="AE2235" s="80"/>
      <c r="AF2235" s="80"/>
      <c r="AG2235" s="80"/>
    </row>
    <row r="2236" spans="1:33" x14ac:dyDescent="0.2">
      <c r="A2236" s="2"/>
      <c r="B2236" s="80"/>
      <c r="C2236" s="80"/>
      <c r="D2236" s="80"/>
      <c r="E2236" s="80"/>
      <c r="F2236" s="80"/>
      <c r="G2236" s="80"/>
      <c r="H2236" s="80"/>
      <c r="I2236" s="80"/>
      <c r="J2236" s="80"/>
      <c r="K2236" s="80"/>
      <c r="L2236" s="2"/>
      <c r="M2236" s="2"/>
      <c r="N2236" s="2"/>
      <c r="O2236" s="2"/>
      <c r="P2236" s="2"/>
      <c r="Q2236" s="2"/>
      <c r="R2236" s="80"/>
      <c r="S2236" s="80"/>
      <c r="T2236" s="80"/>
      <c r="U2236" s="80"/>
      <c r="V2236" s="80"/>
      <c r="W2236" s="80"/>
      <c r="X2236" s="80"/>
      <c r="Y2236" s="80"/>
      <c r="Z2236" s="80"/>
      <c r="AA2236" s="80"/>
      <c r="AB2236" s="80"/>
      <c r="AC2236" s="80"/>
      <c r="AD2236" s="80"/>
      <c r="AE2236" s="80"/>
      <c r="AF2236" s="80"/>
      <c r="AG2236" s="80"/>
    </row>
    <row r="2237" spans="1:33" x14ac:dyDescent="0.2">
      <c r="A2237" s="2"/>
      <c r="B2237" s="80"/>
      <c r="C2237" s="80"/>
      <c r="D2237" s="80"/>
      <c r="E2237" s="80"/>
      <c r="F2237" s="80"/>
      <c r="G2237" s="80"/>
      <c r="H2237" s="80"/>
      <c r="I2237" s="80"/>
      <c r="J2237" s="80"/>
      <c r="K2237" s="80"/>
      <c r="L2237" s="2"/>
      <c r="M2237" s="2"/>
      <c r="N2237" s="2"/>
      <c r="O2237" s="2"/>
      <c r="P2237" s="2"/>
      <c r="Q2237" s="2"/>
      <c r="R2237" s="80"/>
      <c r="S2237" s="80"/>
      <c r="T2237" s="80"/>
      <c r="U2237" s="80"/>
      <c r="V2237" s="80"/>
      <c r="W2237" s="80"/>
      <c r="X2237" s="80"/>
      <c r="Y2237" s="80"/>
      <c r="Z2237" s="80"/>
      <c r="AA2237" s="80"/>
      <c r="AB2237" s="80"/>
      <c r="AC2237" s="80"/>
      <c r="AD2237" s="80"/>
      <c r="AE2237" s="80"/>
      <c r="AF2237" s="80"/>
      <c r="AG2237" s="80"/>
    </row>
    <row r="2238" spans="1:33" x14ac:dyDescent="0.2">
      <c r="A2238" s="2"/>
      <c r="B2238" s="80"/>
      <c r="C2238" s="80"/>
      <c r="D2238" s="80"/>
      <c r="E2238" s="80"/>
      <c r="F2238" s="80"/>
      <c r="G2238" s="80"/>
      <c r="H2238" s="80"/>
      <c r="I2238" s="80"/>
      <c r="J2238" s="80"/>
      <c r="K2238" s="80"/>
      <c r="L2238" s="2"/>
      <c r="M2238" s="2"/>
      <c r="N2238" s="2"/>
      <c r="O2238" s="2"/>
      <c r="P2238" s="2"/>
      <c r="Q2238" s="2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E2238" s="80"/>
      <c r="AF2238" s="80"/>
      <c r="AG2238" s="80"/>
    </row>
    <row r="2239" spans="1:33" x14ac:dyDescent="0.2">
      <c r="A2239" s="2"/>
      <c r="B2239" s="80"/>
      <c r="C2239" s="80"/>
      <c r="D2239" s="80"/>
      <c r="E2239" s="80"/>
      <c r="F2239" s="80"/>
      <c r="G2239" s="80"/>
      <c r="H2239" s="80"/>
      <c r="I2239" s="80"/>
      <c r="J2239" s="80"/>
      <c r="K2239" s="80"/>
      <c r="L2239" s="2"/>
      <c r="M2239" s="2"/>
      <c r="N2239" s="2"/>
      <c r="O2239" s="2"/>
      <c r="P2239" s="2"/>
      <c r="Q2239" s="2"/>
      <c r="R2239" s="80"/>
      <c r="S2239" s="80"/>
      <c r="T2239" s="80"/>
      <c r="U2239" s="80"/>
      <c r="V2239" s="80"/>
      <c r="W2239" s="80"/>
      <c r="X2239" s="80"/>
      <c r="Y2239" s="80"/>
      <c r="Z2239" s="80"/>
      <c r="AA2239" s="80"/>
      <c r="AB2239" s="80"/>
      <c r="AC2239" s="80"/>
      <c r="AD2239" s="80"/>
      <c r="AE2239" s="80"/>
      <c r="AF2239" s="80"/>
      <c r="AG2239" s="80"/>
    </row>
    <row r="2240" spans="1:33" x14ac:dyDescent="0.2">
      <c r="A2240" s="2"/>
      <c r="B2240" s="80"/>
      <c r="C2240" s="80"/>
      <c r="D2240" s="80"/>
      <c r="E2240" s="80"/>
      <c r="F2240" s="80"/>
      <c r="G2240" s="80"/>
      <c r="H2240" s="80"/>
      <c r="I2240" s="80"/>
      <c r="J2240" s="80"/>
      <c r="K2240" s="80"/>
      <c r="L2240" s="2"/>
      <c r="M2240" s="2"/>
      <c r="N2240" s="2"/>
      <c r="O2240" s="2"/>
      <c r="P2240" s="2"/>
      <c r="Q2240" s="2"/>
      <c r="R2240" s="80"/>
      <c r="S2240" s="80"/>
      <c r="T2240" s="80"/>
      <c r="U2240" s="80"/>
      <c r="V2240" s="80"/>
      <c r="W2240" s="80"/>
      <c r="X2240" s="80"/>
      <c r="Y2240" s="80"/>
      <c r="Z2240" s="80"/>
      <c r="AA2240" s="80"/>
      <c r="AB2240" s="80"/>
      <c r="AC2240" s="80"/>
      <c r="AD2240" s="80"/>
      <c r="AE2240" s="80"/>
      <c r="AF2240" s="80"/>
      <c r="AG2240" s="80"/>
    </row>
    <row r="2241" spans="1:33" x14ac:dyDescent="0.2">
      <c r="A2241" s="2"/>
      <c r="B2241" s="80"/>
      <c r="C2241" s="80"/>
      <c r="D2241" s="80"/>
      <c r="E2241" s="80"/>
      <c r="F2241" s="80"/>
      <c r="G2241" s="80"/>
      <c r="H2241" s="80"/>
      <c r="I2241" s="80"/>
      <c r="J2241" s="80"/>
      <c r="K2241" s="80"/>
      <c r="L2241" s="2"/>
      <c r="M2241" s="2"/>
      <c r="N2241" s="2"/>
      <c r="O2241" s="2"/>
      <c r="P2241" s="2"/>
      <c r="Q2241" s="2"/>
      <c r="R2241" s="80"/>
      <c r="S2241" s="80"/>
      <c r="T2241" s="80"/>
      <c r="U2241" s="80"/>
      <c r="V2241" s="80"/>
      <c r="W2241" s="80"/>
      <c r="X2241" s="80"/>
      <c r="Y2241" s="80"/>
      <c r="Z2241" s="80"/>
      <c r="AA2241" s="80"/>
      <c r="AB2241" s="80"/>
      <c r="AC2241" s="80"/>
      <c r="AD2241" s="80"/>
      <c r="AE2241" s="80"/>
      <c r="AF2241" s="80"/>
      <c r="AG2241" s="80"/>
    </row>
    <row r="2242" spans="1:33" x14ac:dyDescent="0.2">
      <c r="A2242" s="2"/>
      <c r="B2242" s="80"/>
      <c r="C2242" s="80"/>
      <c r="D2242" s="80"/>
      <c r="E2242" s="80"/>
      <c r="F2242" s="80"/>
      <c r="G2242" s="80"/>
      <c r="H2242" s="80"/>
      <c r="I2242" s="80"/>
      <c r="J2242" s="80"/>
      <c r="K2242" s="80"/>
      <c r="L2242" s="2"/>
      <c r="M2242" s="2"/>
      <c r="N2242" s="2"/>
      <c r="O2242" s="2"/>
      <c r="P2242" s="2"/>
      <c r="Q2242" s="2"/>
      <c r="R2242" s="80"/>
      <c r="S2242" s="80"/>
      <c r="T2242" s="80"/>
      <c r="U2242" s="80"/>
      <c r="V2242" s="80"/>
      <c r="W2242" s="80"/>
      <c r="X2242" s="80"/>
      <c r="Y2242" s="80"/>
      <c r="Z2242" s="80"/>
      <c r="AA2242" s="80"/>
      <c r="AB2242" s="80"/>
      <c r="AC2242" s="80"/>
      <c r="AD2242" s="80"/>
      <c r="AE2242" s="80"/>
      <c r="AF2242" s="80"/>
      <c r="AG2242" s="80"/>
    </row>
    <row r="2243" spans="1:33" x14ac:dyDescent="0.2">
      <c r="A2243" s="2"/>
      <c r="B2243" s="80"/>
      <c r="C2243" s="80"/>
      <c r="D2243" s="80"/>
      <c r="E2243" s="80"/>
      <c r="F2243" s="80"/>
      <c r="G2243" s="80"/>
      <c r="H2243" s="80"/>
      <c r="I2243" s="80"/>
      <c r="J2243" s="80"/>
      <c r="K2243" s="80"/>
      <c r="L2243" s="2"/>
      <c r="M2243" s="2"/>
      <c r="N2243" s="2"/>
      <c r="O2243" s="2"/>
      <c r="P2243" s="2"/>
      <c r="Q2243" s="2"/>
      <c r="R2243" s="80"/>
      <c r="S2243" s="80"/>
      <c r="T2243" s="80"/>
      <c r="U2243" s="80"/>
      <c r="V2243" s="80"/>
      <c r="W2243" s="80"/>
      <c r="X2243" s="80"/>
      <c r="Y2243" s="80"/>
      <c r="Z2243" s="80"/>
      <c r="AA2243" s="80"/>
      <c r="AB2243" s="80"/>
      <c r="AC2243" s="80"/>
      <c r="AD2243" s="80"/>
      <c r="AE2243" s="80"/>
      <c r="AF2243" s="80"/>
      <c r="AG2243" s="80"/>
    </row>
    <row r="2244" spans="1:33" x14ac:dyDescent="0.2">
      <c r="A2244" s="2"/>
      <c r="B2244" s="80"/>
      <c r="C2244" s="80"/>
      <c r="D2244" s="80"/>
      <c r="E2244" s="80"/>
      <c r="F2244" s="80"/>
      <c r="G2244" s="80"/>
      <c r="H2244" s="80"/>
      <c r="I2244" s="80"/>
      <c r="J2244" s="80"/>
      <c r="K2244" s="80"/>
      <c r="L2244" s="2"/>
      <c r="M2244" s="2"/>
      <c r="N2244" s="2"/>
      <c r="O2244" s="2"/>
      <c r="P2244" s="2"/>
      <c r="Q2244" s="2"/>
      <c r="R2244" s="80"/>
      <c r="S2244" s="80"/>
      <c r="T2244" s="80"/>
      <c r="U2244" s="80"/>
      <c r="V2244" s="80"/>
      <c r="W2244" s="80"/>
      <c r="X2244" s="80"/>
      <c r="Y2244" s="80"/>
      <c r="Z2244" s="80"/>
      <c r="AA2244" s="80"/>
      <c r="AB2244" s="80"/>
      <c r="AC2244" s="80"/>
      <c r="AD2244" s="80"/>
      <c r="AE2244" s="80"/>
      <c r="AF2244" s="80"/>
      <c r="AG2244" s="80"/>
    </row>
    <row r="2245" spans="1:33" x14ac:dyDescent="0.2">
      <c r="A2245" s="2"/>
      <c r="B2245" s="80"/>
      <c r="C2245" s="80"/>
      <c r="D2245" s="80"/>
      <c r="E2245" s="80"/>
      <c r="F2245" s="80"/>
      <c r="G2245" s="80"/>
      <c r="H2245" s="80"/>
      <c r="I2245" s="80"/>
      <c r="J2245" s="80"/>
      <c r="K2245" s="80"/>
      <c r="L2245" s="2"/>
      <c r="M2245" s="2"/>
      <c r="N2245" s="2"/>
      <c r="O2245" s="2"/>
      <c r="P2245" s="2"/>
      <c r="Q2245" s="2"/>
      <c r="R2245" s="80"/>
      <c r="S2245" s="80"/>
      <c r="T2245" s="80"/>
      <c r="U2245" s="80"/>
      <c r="V2245" s="80"/>
      <c r="W2245" s="80"/>
      <c r="X2245" s="80"/>
      <c r="Y2245" s="80"/>
      <c r="Z2245" s="80"/>
      <c r="AA2245" s="80"/>
      <c r="AB2245" s="80"/>
      <c r="AC2245" s="80"/>
      <c r="AD2245" s="80"/>
      <c r="AE2245" s="80"/>
      <c r="AF2245" s="80"/>
      <c r="AG2245" s="80"/>
    </row>
    <row r="2246" spans="1:33" x14ac:dyDescent="0.2">
      <c r="A2246" s="2"/>
      <c r="B2246" s="80"/>
      <c r="C2246" s="80"/>
      <c r="D2246" s="80"/>
      <c r="E2246" s="80"/>
      <c r="F2246" s="80"/>
      <c r="G2246" s="80"/>
      <c r="H2246" s="80"/>
      <c r="I2246" s="80"/>
      <c r="J2246" s="80"/>
      <c r="K2246" s="80"/>
      <c r="L2246" s="2"/>
      <c r="M2246" s="2"/>
      <c r="N2246" s="2"/>
      <c r="O2246" s="2"/>
      <c r="P2246" s="2"/>
      <c r="Q2246" s="2"/>
      <c r="R2246" s="80"/>
      <c r="S2246" s="80"/>
      <c r="T2246" s="80"/>
      <c r="U2246" s="80"/>
      <c r="V2246" s="80"/>
      <c r="W2246" s="80"/>
      <c r="X2246" s="80"/>
      <c r="Y2246" s="80"/>
      <c r="Z2246" s="80"/>
      <c r="AA2246" s="80"/>
      <c r="AB2246" s="80"/>
      <c r="AC2246" s="80"/>
      <c r="AD2246" s="80"/>
      <c r="AE2246" s="80"/>
      <c r="AF2246" s="80"/>
      <c r="AG2246" s="80"/>
    </row>
    <row r="2247" spans="1:33" x14ac:dyDescent="0.2">
      <c r="A2247" s="2"/>
      <c r="B2247" s="80"/>
      <c r="C2247" s="80"/>
      <c r="D2247" s="80"/>
      <c r="E2247" s="80"/>
      <c r="F2247" s="80"/>
      <c r="G2247" s="80"/>
      <c r="H2247" s="80"/>
      <c r="I2247" s="80"/>
      <c r="J2247" s="80"/>
      <c r="K2247" s="80"/>
      <c r="L2247" s="2"/>
      <c r="M2247" s="2"/>
      <c r="N2247" s="2"/>
      <c r="O2247" s="2"/>
      <c r="P2247" s="2"/>
      <c r="Q2247" s="2"/>
      <c r="R2247" s="80"/>
      <c r="S2247" s="80"/>
      <c r="T2247" s="80"/>
      <c r="U2247" s="80"/>
      <c r="V2247" s="80"/>
      <c r="W2247" s="80"/>
      <c r="X2247" s="80"/>
      <c r="Y2247" s="80"/>
      <c r="Z2247" s="80"/>
      <c r="AA2247" s="80"/>
      <c r="AB2247" s="80"/>
      <c r="AC2247" s="80"/>
      <c r="AD2247" s="80"/>
      <c r="AE2247" s="80"/>
      <c r="AF2247" s="80"/>
      <c r="AG2247" s="80"/>
    </row>
    <row r="2248" spans="1:33" x14ac:dyDescent="0.2">
      <c r="A2248" s="2"/>
      <c r="B2248" s="80"/>
      <c r="C2248" s="80"/>
      <c r="D2248" s="80"/>
      <c r="E2248" s="80"/>
      <c r="F2248" s="80"/>
      <c r="G2248" s="80"/>
      <c r="H2248" s="80"/>
      <c r="I2248" s="80"/>
      <c r="J2248" s="80"/>
      <c r="K2248" s="80"/>
      <c r="L2248" s="2"/>
      <c r="M2248" s="2"/>
      <c r="N2248" s="2"/>
      <c r="O2248" s="2"/>
      <c r="P2248" s="2"/>
      <c r="Q2248" s="2"/>
      <c r="R2248" s="80"/>
      <c r="S2248" s="80"/>
      <c r="T2248" s="80"/>
      <c r="U2248" s="80"/>
      <c r="V2248" s="80"/>
      <c r="W2248" s="80"/>
      <c r="X2248" s="80"/>
      <c r="Y2248" s="80"/>
      <c r="Z2248" s="80"/>
      <c r="AA2248" s="80"/>
      <c r="AB2248" s="80"/>
      <c r="AC2248" s="80"/>
      <c r="AD2248" s="80"/>
      <c r="AE2248" s="80"/>
      <c r="AF2248" s="80"/>
      <c r="AG2248" s="80"/>
    </row>
    <row r="2249" spans="1:33" x14ac:dyDescent="0.2">
      <c r="A2249" s="2"/>
      <c r="B2249" s="80"/>
      <c r="C2249" s="80"/>
      <c r="D2249" s="80"/>
      <c r="E2249" s="80"/>
      <c r="F2249" s="80"/>
      <c r="G2249" s="80"/>
      <c r="H2249" s="80"/>
      <c r="I2249" s="80"/>
      <c r="J2249" s="80"/>
      <c r="K2249" s="80"/>
      <c r="L2249" s="2"/>
      <c r="M2249" s="2"/>
      <c r="N2249" s="2"/>
      <c r="O2249" s="2"/>
      <c r="P2249" s="2"/>
      <c r="Q2249" s="2"/>
      <c r="R2249" s="80"/>
      <c r="S2249" s="80"/>
      <c r="T2249" s="80"/>
      <c r="U2249" s="80"/>
      <c r="V2249" s="80"/>
      <c r="W2249" s="80"/>
      <c r="X2249" s="80"/>
      <c r="Y2249" s="80"/>
      <c r="Z2249" s="80"/>
      <c r="AA2249" s="80"/>
      <c r="AB2249" s="80"/>
      <c r="AC2249" s="80"/>
      <c r="AD2249" s="80"/>
      <c r="AE2249" s="80"/>
      <c r="AF2249" s="80"/>
      <c r="AG2249" s="80"/>
    </row>
  </sheetData>
  <sheetProtection password="C4B7" sheet="1" objects="1" scenarios="1" selectLockedCells="1"/>
  <customSheetViews>
    <customSheetView guid="{4DE99834-7080-40E5-9A2F-2BF27F7EDEBF}" scale="60" showPageBreaks="1" showGridLines="0" zeroValues="0" printArea="1" view="pageBreakPreview" showRuler="0">
      <selection activeCell="L5" sqref="L5"/>
      <rowBreaks count="1" manualBreakCount="1">
        <brk id="41" min="1" max="9" man="1"/>
      </rowBreaks>
      <pageMargins left="0.78740157480314965" right="0.19685039370078741" top="0.98425196850393704" bottom="0.98425196850393704" header="0.51181102362204722" footer="0.51181102362204722"/>
      <printOptions horizontalCentered="1"/>
      <pageSetup paperSize="9" scale="88" orientation="portrait" horizontalDpi="120" verticalDpi="144" r:id="rId1"/>
      <headerFooter alignWithMargins="0"/>
    </customSheetView>
  </customSheetViews>
  <mergeCells count="33">
    <mergeCell ref="B2:K2"/>
    <mergeCell ref="B3:K3"/>
    <mergeCell ref="B7:B8"/>
    <mergeCell ref="C7:C8"/>
    <mergeCell ref="E7:G7"/>
    <mergeCell ref="H7:J7"/>
    <mergeCell ref="C6:K6"/>
    <mergeCell ref="D7:D8"/>
    <mergeCell ref="C4:H4"/>
    <mergeCell ref="B76:K76"/>
    <mergeCell ref="E66:J66"/>
    <mergeCell ref="E67:J67"/>
    <mergeCell ref="B5:K5"/>
    <mergeCell ref="B73:K73"/>
    <mergeCell ref="B74:D74"/>
    <mergeCell ref="J72:K72"/>
    <mergeCell ref="E72:I72"/>
    <mergeCell ref="H79:H80"/>
    <mergeCell ref="I79:I80"/>
    <mergeCell ref="J79:J80"/>
    <mergeCell ref="K81:K82"/>
    <mergeCell ref="H81:H82"/>
    <mergeCell ref="K79:K80"/>
    <mergeCell ref="G104:I104"/>
    <mergeCell ref="I81:I82"/>
    <mergeCell ref="J81:J82"/>
    <mergeCell ref="H83:H84"/>
    <mergeCell ref="I83:I84"/>
    <mergeCell ref="J83:J84"/>
    <mergeCell ref="B98:K98"/>
    <mergeCell ref="E100:G100"/>
    <mergeCell ref="J87:K87"/>
    <mergeCell ref="K83:K84"/>
  </mergeCells>
  <phoneticPr fontId="38" type="noConversion"/>
  <conditionalFormatting sqref="B98:K104">
    <cfRule type="expression" dxfId="13" priority="1" stopIfTrue="1">
      <formula>$Q$17=FALSE</formula>
    </cfRule>
  </conditionalFormatting>
  <conditionalFormatting sqref="B7:K71">
    <cfRule type="expression" dxfId="12" priority="2" stopIfTrue="1">
      <formula>$Y$1=0</formula>
    </cfRule>
  </conditionalFormatting>
  <conditionalFormatting sqref="M2">
    <cfRule type="cellIs" dxfId="11" priority="3" stopIfTrue="1" operator="equal">
      <formula>0</formula>
    </cfRule>
  </conditionalFormatting>
  <conditionalFormatting sqref="M4">
    <cfRule type="cellIs" dxfId="10" priority="4" stopIfTrue="1" operator="equal">
      <formula>0</formula>
    </cfRule>
  </conditionalFormatting>
  <dataValidations xWindow="1125" yWindow="114" count="1">
    <dataValidation type="decimal" allowBlank="1" showInputMessage="1" showErrorMessage="1" promptTitle="ВНИМАНИЕ" prompt="Введите количество личного состава по общевойсковому пайку!" sqref="M2">
      <formula1>0</formula1>
      <formula2>5000</formula2>
    </dataValidation>
  </dataValidations>
  <hyperlinks>
    <hyperlink ref="A2" location="'Раскладка продуктов'!B107" tooltip="Переход в раскладку продуктов" display="СУББОТА"/>
  </hyperlinks>
  <pageMargins left="0.78740157480314965" right="0.19685039370078741" top="0.59055118110236227" bottom="0.59055118110236227" header="0.51181102362204722" footer="0.51181102362204722"/>
  <pageSetup paperSize="9" scale="69" orientation="portrait" horizontalDpi="120" verticalDpi="144" r:id="rId2"/>
  <headerFooter alignWithMargins="0"/>
  <rowBreaks count="1" manualBreakCount="1">
    <brk id="58" min="1" max="10" man="1"/>
  </rowBreaks>
  <drawing r:id="rId3"/>
  <legacyDrawing r:id="rId4"/>
  <controls>
    <mc:AlternateContent xmlns:mc="http://schemas.openxmlformats.org/markup-compatibility/2006">
      <mc:Choice Requires="x14">
        <control shapeId="18499" r:id="rId5" name="CommandButton1">
          <controlPr locked="0" defaultSize="0" autoLine="0" r:id="rId6">
            <anchor moveWithCells="1">
              <from>
                <xdr:col>11</xdr:col>
                <xdr:colOff>323850</xdr:colOff>
                <xdr:row>3</xdr:row>
                <xdr:rowOff>0</xdr:rowOff>
              </from>
              <to>
                <xdr:col>13</xdr:col>
                <xdr:colOff>523875</xdr:colOff>
                <xdr:row>4</xdr:row>
                <xdr:rowOff>76200</xdr:rowOff>
              </to>
            </anchor>
          </controlPr>
        </control>
      </mc:Choice>
      <mc:Fallback>
        <control shapeId="18499" r:id="rId5" name="CommandButton1"/>
      </mc:Fallback>
    </mc:AlternateContent>
    <mc:AlternateContent xmlns:mc="http://schemas.openxmlformats.org/markup-compatibility/2006">
      <mc:Choice Requires="x14">
        <control shapeId="18434" r:id="rId7" name="Spinner 2">
          <controlPr defaultSize="0" autoPict="0">
            <anchor moveWithCells="1" sizeWithCells="1">
              <from>
                <xdr:col>13</xdr:col>
                <xdr:colOff>38100</xdr:colOff>
                <xdr:row>0</xdr:row>
                <xdr:rowOff>104775</xdr:rowOff>
              </from>
              <to>
                <xdr:col>13</xdr:col>
                <xdr:colOff>476250</xdr:colOff>
                <xdr:row>2</xdr:row>
                <xdr:rowOff>95250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Вс">
    <tabColor indexed="18"/>
  </sheetPr>
  <dimension ref="A1:AH128"/>
  <sheetViews>
    <sheetView showGridLines="0" showRowColHeaders="0" showZeros="0" view="pageBreakPreview" zoomScale="65" zoomScaleNormal="75" workbookViewId="0">
      <selection activeCell="M2" sqref="M2"/>
    </sheetView>
  </sheetViews>
  <sheetFormatPr defaultRowHeight="12.75" x14ac:dyDescent="0.2"/>
  <cols>
    <col min="1" max="1" width="5.7109375" style="4" customWidth="1"/>
    <col min="2" max="2" width="51.42578125" style="4" customWidth="1"/>
    <col min="3" max="3" width="4.7109375" style="4" customWidth="1"/>
    <col min="4" max="4" width="9.5703125" style="4" customWidth="1"/>
    <col min="5" max="7" width="9.5703125" style="4" hidden="1" customWidth="1"/>
    <col min="8" max="11" width="17.5703125" style="4" customWidth="1"/>
    <col min="12" max="12" width="9.140625" style="4"/>
    <col min="13" max="13" width="8.7109375" style="4" customWidth="1"/>
    <col min="14" max="14" width="9.42578125" style="4" bestFit="1" customWidth="1"/>
    <col min="15" max="16" width="10.7109375" style="4" customWidth="1"/>
    <col min="17" max="17" width="9.5703125" style="4" hidden="1" customWidth="1"/>
    <col min="18" max="19" width="0" style="4" hidden="1" customWidth="1"/>
    <col min="20" max="20" width="6.7109375" style="4" hidden="1" customWidth="1"/>
    <col min="21" max="21" width="7" style="4" hidden="1" customWidth="1"/>
    <col min="22" max="22" width="5.28515625" style="4" hidden="1" customWidth="1"/>
    <col min="23" max="26" width="0" style="4" hidden="1" customWidth="1"/>
    <col min="27" max="16384" width="9.140625" style="4"/>
  </cols>
  <sheetData>
    <row r="1" spans="1:34" ht="13.9" customHeight="1" thickBot="1" x14ac:dyDescent="0.25">
      <c r="B1" s="2"/>
      <c r="C1" s="2"/>
      <c r="D1" s="2"/>
      <c r="E1" s="2"/>
      <c r="F1" s="2"/>
      <c r="G1" s="239">
        <v>4</v>
      </c>
      <c r="H1" s="2"/>
      <c r="I1" s="2"/>
      <c r="J1" s="2"/>
      <c r="K1" s="274" t="s">
        <v>160</v>
      </c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>
        <v>7</v>
      </c>
      <c r="X1" s="296">
        <v>1</v>
      </c>
      <c r="Y1" s="2">
        <f>'Блок ввода'!G4</f>
        <v>0</v>
      </c>
      <c r="Z1" s="2"/>
      <c r="AA1" s="2"/>
      <c r="AB1" s="2"/>
      <c r="AC1" s="2"/>
      <c r="AD1" s="2"/>
      <c r="AE1" s="2"/>
      <c r="AF1" s="2"/>
      <c r="AG1" s="2"/>
      <c r="AH1" s="2"/>
    </row>
    <row r="2" spans="1:34" ht="21" customHeight="1" thickTop="1" thickBot="1" x14ac:dyDescent="0.25">
      <c r="A2" s="485" t="s">
        <v>522</v>
      </c>
      <c r="B2" s="1624" t="s">
        <v>511</v>
      </c>
      <c r="C2" s="1624"/>
      <c r="D2" s="1624"/>
      <c r="E2" s="1624"/>
      <c r="F2" s="1624"/>
      <c r="G2" s="1624"/>
      <c r="H2" s="1624"/>
      <c r="I2" s="1624"/>
      <c r="J2" s="1624"/>
      <c r="K2" s="1624"/>
      <c r="L2" s="2"/>
      <c r="M2" s="139">
        <v>0</v>
      </c>
      <c r="N2" s="2"/>
      <c r="O2" s="2"/>
      <c r="P2" s="2"/>
      <c r="Q2" s="2"/>
      <c r="R2" s="2"/>
      <c r="S2" s="2"/>
      <c r="T2" s="2"/>
      <c r="U2" s="2"/>
      <c r="V2" s="2"/>
      <c r="W2" s="2"/>
      <c r="X2" s="296">
        <v>0</v>
      </c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95" customHeight="1" thickTop="1" x14ac:dyDescent="0.25">
      <c r="B3" s="1625" t="str">
        <f>CONCATENATE(" на выдачу продовольствия в столовую ",'Блок ввода'!G8," ",'Блок ввода'!I2)</f>
        <v xml:space="preserve"> на выдачу продовольствия в столовую войсковой части 00000</v>
      </c>
      <c r="C3" s="1625"/>
      <c r="D3" s="1625"/>
      <c r="E3" s="1625"/>
      <c r="F3" s="1625"/>
      <c r="G3" s="1625"/>
      <c r="H3" s="1625"/>
      <c r="I3" s="1625"/>
      <c r="J3" s="1625"/>
      <c r="K3" s="1625"/>
      <c r="L3" s="2"/>
      <c r="M3" s="137"/>
      <c r="N3" s="2"/>
      <c r="O3" s="2"/>
      <c r="P3" s="2"/>
      <c r="Q3" s="2"/>
      <c r="R3" s="2"/>
      <c r="S3" s="2"/>
      <c r="T3" s="2"/>
      <c r="U3" s="2"/>
      <c r="V3" s="2"/>
      <c r="W3" s="2"/>
      <c r="X3" s="296">
        <v>0</v>
      </c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21" customHeight="1" x14ac:dyDescent="0.25">
      <c r="A4" s="2"/>
      <c r="B4" s="245" t="s">
        <v>214</v>
      </c>
      <c r="C4" s="1599">
        <f>'Блок ввода'!$I$4+6</f>
        <v>40097</v>
      </c>
      <c r="D4" s="1599"/>
      <c r="E4" s="1599"/>
      <c r="F4" s="1599"/>
      <c r="G4" s="1599"/>
      <c r="H4" s="1599"/>
      <c r="I4" s="1219"/>
      <c r="J4" s="1219"/>
      <c r="K4" s="1219"/>
      <c r="L4" s="2"/>
      <c r="M4" s="1232">
        <v>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7.100000000000001" customHeight="1" x14ac:dyDescent="0.25">
      <c r="A5" s="144"/>
      <c r="B5" s="1582" t="s">
        <v>375</v>
      </c>
      <c r="C5" s="1582"/>
      <c r="D5" s="1582"/>
      <c r="E5" s="1582"/>
      <c r="F5" s="1582"/>
      <c r="G5" s="1582"/>
      <c r="H5" s="1582"/>
      <c r="I5" s="1582"/>
      <c r="J5" s="1582"/>
      <c r="K5" s="1583"/>
      <c r="L5" s="137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9.899999999999999" customHeight="1" thickBot="1" x14ac:dyDescent="0.3">
      <c r="A6" s="144"/>
      <c r="B6" s="245" t="s">
        <v>234</v>
      </c>
      <c r="C6" s="1611" t="s">
        <v>449</v>
      </c>
      <c r="D6" s="1611"/>
      <c r="E6" s="1611"/>
      <c r="F6" s="1611"/>
      <c r="G6" s="1611"/>
      <c r="H6" s="1611"/>
      <c r="I6" s="1611"/>
      <c r="J6" s="1611"/>
      <c r="K6" s="1611"/>
      <c r="L6" s="2"/>
      <c r="M6" s="246"/>
      <c r="N6" s="2"/>
      <c r="O6" s="2"/>
      <c r="P6" s="2"/>
      <c r="Q6" s="2"/>
      <c r="R6" s="2"/>
      <c r="S6" s="2"/>
      <c r="T6" s="2"/>
      <c r="U6" s="142" t="b">
        <f>IF(OR('Раскладка продуктов'!A132=1750,'Раскладка продуктов'!A132=1745),0,FALSE)</f>
        <v>0</v>
      </c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3.5" customHeight="1" thickBot="1" x14ac:dyDescent="0.25">
      <c r="A7" s="2"/>
      <c r="B7" s="1574" t="s">
        <v>223</v>
      </c>
      <c r="C7" s="1626" t="s">
        <v>167</v>
      </c>
      <c r="D7" s="1578" t="s">
        <v>284</v>
      </c>
      <c r="E7" s="1604" t="s">
        <v>261</v>
      </c>
      <c r="F7" s="1605"/>
      <c r="G7" s="1606"/>
      <c r="H7" s="1604" t="s">
        <v>262</v>
      </c>
      <c r="I7" s="1605"/>
      <c r="J7" s="1606"/>
      <c r="K7" s="248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58.15" customHeight="1" thickBot="1" x14ac:dyDescent="0.25">
      <c r="A8" s="2"/>
      <c r="B8" s="1613"/>
      <c r="C8" s="1627"/>
      <c r="D8" s="1579"/>
      <c r="E8" s="275" t="s">
        <v>123</v>
      </c>
      <c r="F8" s="275" t="s">
        <v>124</v>
      </c>
      <c r="G8" s="275" t="s">
        <v>125</v>
      </c>
      <c r="H8" s="276" t="s">
        <v>123</v>
      </c>
      <c r="I8" s="276" t="s">
        <v>124</v>
      </c>
      <c r="J8" s="276" t="s">
        <v>125</v>
      </c>
      <c r="K8" s="252" t="s">
        <v>161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5" customHeight="1" x14ac:dyDescent="0.25">
      <c r="A9" s="2"/>
      <c r="B9" s="486" t="str">
        <f>Расчёт!B393</f>
        <v>ХЛЕБ ИЗ СМЕСИ МУКИ РЖАНОЙ</v>
      </c>
      <c r="C9" s="1221" t="s">
        <v>163</v>
      </c>
      <c r="D9" s="506">
        <f>Цены!D9</f>
        <v>0</v>
      </c>
      <c r="E9" s="488">
        <v>0</v>
      </c>
      <c r="F9" s="488">
        <v>0</v>
      </c>
      <c r="G9" s="488">
        <v>0</v>
      </c>
      <c r="H9" s="489">
        <f>Расчёт!G393</f>
        <v>0</v>
      </c>
      <c r="I9" s="490">
        <f>Расчёт!H393</f>
        <v>0</v>
      </c>
      <c r="J9" s="491">
        <f>Расчёт!I393</f>
        <v>0</v>
      </c>
      <c r="K9" s="492">
        <f>SUM(E9:J9)-K66</f>
        <v>0</v>
      </c>
      <c r="L9" s="2"/>
      <c r="M9" s="253"/>
      <c r="N9" s="254"/>
      <c r="O9" s="2"/>
      <c r="P9" s="2"/>
      <c r="Q9" s="2"/>
      <c r="R9" s="2"/>
      <c r="S9" s="2"/>
      <c r="T9" s="2"/>
      <c r="U9" s="2"/>
      <c r="V9" s="154">
        <f t="shared" ref="V9:V70" si="0">IF(K9&gt;0,1,0)</f>
        <v>0</v>
      </c>
      <c r="W9" s="2"/>
      <c r="X9" s="2"/>
      <c r="Y9" s="2"/>
      <c r="Z9" s="155">
        <f>D9*K9</f>
        <v>0</v>
      </c>
      <c r="AA9" s="2"/>
      <c r="AB9" s="2"/>
      <c r="AC9" s="2"/>
      <c r="AD9" s="2"/>
      <c r="AE9" s="2"/>
      <c r="AF9" s="2"/>
      <c r="AG9" s="2"/>
      <c r="AH9" s="2"/>
    </row>
    <row r="10" spans="1:34" ht="15" customHeight="1" x14ac:dyDescent="0.25">
      <c r="A10" s="2"/>
      <c r="B10" s="493" t="str">
        <f>Расчёт!B394</f>
        <v>ХЛЕБ ИЗ МУКИ ПШ. 1 С.</v>
      </c>
      <c r="C10" s="1233" t="s">
        <v>163</v>
      </c>
      <c r="D10" s="640">
        <f>Цены!D10</f>
        <v>0</v>
      </c>
      <c r="E10" s="488">
        <v>0</v>
      </c>
      <c r="F10" s="488">
        <v>0</v>
      </c>
      <c r="G10" s="488">
        <v>0</v>
      </c>
      <c r="H10" s="494">
        <f>Расчёт!G394</f>
        <v>0</v>
      </c>
      <c r="I10" s="495">
        <f>Расчёт!H394</f>
        <v>0</v>
      </c>
      <c r="J10" s="496">
        <f>Расчёт!I394</f>
        <v>0</v>
      </c>
      <c r="K10" s="497">
        <f>E10+F10+G10+H10+I10+J10-K67</f>
        <v>0</v>
      </c>
      <c r="L10" s="2"/>
      <c r="M10" s="253"/>
      <c r="N10" s="254"/>
      <c r="O10" s="2"/>
      <c r="P10" s="2"/>
      <c r="Q10" s="2"/>
      <c r="R10" s="2"/>
      <c r="S10" s="2"/>
      <c r="T10" s="2"/>
      <c r="U10" s="2"/>
      <c r="V10" s="154">
        <f t="shared" si="0"/>
        <v>0</v>
      </c>
      <c r="W10" s="2"/>
      <c r="X10" s="2"/>
      <c r="Y10" s="2"/>
      <c r="Z10" s="155">
        <f t="shared" ref="Z10:Z71" si="1">D10*K10</f>
        <v>0</v>
      </c>
      <c r="AA10" s="2"/>
      <c r="AB10" s="2"/>
      <c r="AC10" s="2"/>
      <c r="AD10" s="2"/>
      <c r="AE10" s="2"/>
      <c r="AF10" s="2"/>
      <c r="AG10" s="2"/>
      <c r="AH10" s="2"/>
    </row>
    <row r="11" spans="1:34" ht="15" customHeight="1" thickBot="1" x14ac:dyDescent="0.3">
      <c r="A11" s="2"/>
      <c r="B11" s="498" t="str">
        <f>Расчёт!B395</f>
        <v>СУХАРИ (ХЛЕБЦЫ) ИЗ ПШ. МУКИ 1 С.</v>
      </c>
      <c r="C11" s="1234" t="s">
        <v>163</v>
      </c>
      <c r="D11" s="1244">
        <f>Цены!D11</f>
        <v>0</v>
      </c>
      <c r="E11" s="500">
        <v>0</v>
      </c>
      <c r="F11" s="500">
        <v>0</v>
      </c>
      <c r="G11" s="500">
        <v>0</v>
      </c>
      <c r="H11" s="501">
        <f>Расчёт!G395</f>
        <v>0</v>
      </c>
      <c r="I11" s="502">
        <f>Расчёт!H395</f>
        <v>0</v>
      </c>
      <c r="J11" s="503">
        <f>Расчёт!I395</f>
        <v>0</v>
      </c>
      <c r="K11" s="504">
        <f t="shared" ref="K11:K63" si="2">E11+F11+G11+H11+I11+J11</f>
        <v>0</v>
      </c>
      <c r="L11" s="2"/>
      <c r="M11" s="253"/>
      <c r="N11" s="254"/>
      <c r="O11" s="2"/>
      <c r="P11" s="2"/>
      <c r="Q11" s="2"/>
      <c r="R11" s="2"/>
      <c r="S11" s="2"/>
      <c r="T11" s="2"/>
      <c r="U11" s="2"/>
      <c r="V11" s="154"/>
      <c r="W11" s="2"/>
      <c r="X11" s="2"/>
      <c r="Y11" s="2"/>
      <c r="Z11" s="155">
        <f t="shared" si="1"/>
        <v>0</v>
      </c>
      <c r="AA11" s="2"/>
      <c r="AB11" s="2"/>
      <c r="AC11" s="2"/>
      <c r="AD11" s="2"/>
      <c r="AE11" s="2"/>
      <c r="AF11" s="2"/>
      <c r="AG11" s="2"/>
      <c r="AH11" s="2"/>
    </row>
    <row r="12" spans="1:34" ht="15" customHeight="1" x14ac:dyDescent="0.2">
      <c r="A12" s="2"/>
      <c r="B12" s="505" t="str">
        <f>Расчёт!B396</f>
        <v>МУКА ПШЕНИЧНАЯ 1 С. (ЗА ХЛЕБ)</v>
      </c>
      <c r="C12" s="527" t="s">
        <v>163</v>
      </c>
      <c r="D12" s="506">
        <f>Цены!D12</f>
        <v>0</v>
      </c>
      <c r="E12" s="507">
        <v>0</v>
      </c>
      <c r="F12" s="507">
        <v>0</v>
      </c>
      <c r="G12" s="508">
        <v>0</v>
      </c>
      <c r="H12" s="509">
        <f>Расчёт!G396</f>
        <v>0</v>
      </c>
      <c r="I12" s="510">
        <f>Расчёт!H396</f>
        <v>0</v>
      </c>
      <c r="J12" s="511">
        <f>Расчёт!I396</f>
        <v>0</v>
      </c>
      <c r="K12" s="512">
        <f t="shared" si="2"/>
        <v>0</v>
      </c>
      <c r="L12" s="2"/>
      <c r="M12" s="2"/>
      <c r="N12" s="2"/>
      <c r="O12" s="2"/>
      <c r="P12" s="2"/>
      <c r="Q12" s="2"/>
      <c r="R12" s="2"/>
      <c r="S12" s="2"/>
      <c r="T12" s="2"/>
      <c r="U12" s="2"/>
      <c r="V12" s="154">
        <f t="shared" si="0"/>
        <v>0</v>
      </c>
      <c r="W12" s="2"/>
      <c r="X12" s="2"/>
      <c r="Y12" s="2"/>
      <c r="Z12" s="155">
        <f t="shared" si="1"/>
        <v>0</v>
      </c>
      <c r="AA12" s="2"/>
      <c r="AB12" s="2"/>
      <c r="AC12" s="2"/>
      <c r="AD12" s="2"/>
      <c r="AE12" s="2"/>
      <c r="AF12" s="2"/>
      <c r="AG12" s="2"/>
      <c r="AH12" s="2"/>
    </row>
    <row r="13" spans="1:34" ht="15" customHeight="1" thickBot="1" x14ac:dyDescent="0.25">
      <c r="A13" s="2"/>
      <c r="B13" s="513" t="str">
        <f>Расчёт!B397</f>
        <v>МУКА ПШЕНИЧНАЯ 1 С.</v>
      </c>
      <c r="C13" s="549" t="s">
        <v>163</v>
      </c>
      <c r="D13" s="1244">
        <f>Цены!D13</f>
        <v>0</v>
      </c>
      <c r="E13" s="516">
        <v>0</v>
      </c>
      <c r="F13" s="516">
        <v>0</v>
      </c>
      <c r="G13" s="517">
        <v>0</v>
      </c>
      <c r="H13" s="515">
        <f>Расчёт!G397</f>
        <v>0</v>
      </c>
      <c r="I13" s="518">
        <f>Расчёт!H397</f>
        <v>0</v>
      </c>
      <c r="J13" s="519">
        <f>Расчёт!I397</f>
        <v>0</v>
      </c>
      <c r="K13" s="520">
        <f t="shared" si="2"/>
        <v>0</v>
      </c>
      <c r="L13" s="2"/>
      <c r="M13" s="255"/>
      <c r="N13" s="2"/>
      <c r="O13" s="2"/>
      <c r="P13" s="2"/>
      <c r="Q13" s="2"/>
      <c r="R13" s="2"/>
      <c r="S13" s="2"/>
      <c r="T13" s="2"/>
      <c r="U13" s="2"/>
      <c r="V13" s="154">
        <f t="shared" si="0"/>
        <v>0</v>
      </c>
      <c r="W13" s="2"/>
      <c r="X13" s="2"/>
      <c r="Y13" s="2"/>
      <c r="Z13" s="155">
        <f t="shared" si="1"/>
        <v>0</v>
      </c>
      <c r="AA13" s="2"/>
      <c r="AB13" s="2"/>
      <c r="AC13" s="2"/>
      <c r="AD13" s="2"/>
      <c r="AE13" s="2"/>
      <c r="AF13" s="2"/>
      <c r="AG13" s="2"/>
      <c r="AH13" s="2"/>
    </row>
    <row r="14" spans="1:34" ht="15" customHeight="1" x14ac:dyDescent="0.2">
      <c r="A14" s="2"/>
      <c r="B14" s="521" t="str">
        <f>Расчёт!B398</f>
        <v>РИС</v>
      </c>
      <c r="C14" s="527" t="s">
        <v>163</v>
      </c>
      <c r="D14" s="506">
        <f>Цены!D14</f>
        <v>0</v>
      </c>
      <c r="E14" s="488">
        <v>0</v>
      </c>
      <c r="F14" s="488">
        <v>0</v>
      </c>
      <c r="G14" s="488">
        <v>0</v>
      </c>
      <c r="H14" s="489">
        <f>Расчёт!G398</f>
        <v>0</v>
      </c>
      <c r="I14" s="490">
        <f>Расчёт!H398</f>
        <v>0</v>
      </c>
      <c r="J14" s="491">
        <f>Расчёт!I398</f>
        <v>0</v>
      </c>
      <c r="K14" s="522">
        <f t="shared" si="2"/>
        <v>0</v>
      </c>
      <c r="L14" s="2"/>
      <c r="M14" s="2"/>
      <c r="N14" s="2"/>
      <c r="O14" s="2"/>
      <c r="P14" s="2"/>
      <c r="Q14" s="2"/>
      <c r="R14" s="2"/>
      <c r="S14" s="2"/>
      <c r="T14" s="2" t="str">
        <f>'Блок ввода'!O15</f>
        <v>Ю.АРТЕМОВ</v>
      </c>
      <c r="U14" s="2"/>
      <c r="V14" s="154">
        <f t="shared" si="0"/>
        <v>0</v>
      </c>
      <c r="W14" s="2"/>
      <c r="X14" s="2"/>
      <c r="Y14" s="2"/>
      <c r="Z14" s="155">
        <f t="shared" si="1"/>
        <v>0</v>
      </c>
      <c r="AA14" s="2"/>
      <c r="AB14" s="2"/>
      <c r="AC14" s="2"/>
      <c r="AD14" s="2"/>
      <c r="AE14" s="2"/>
      <c r="AF14" s="2"/>
      <c r="AG14" s="2"/>
      <c r="AH14" s="2"/>
    </row>
    <row r="15" spans="1:34" ht="15" customHeight="1" x14ac:dyDescent="0.2">
      <c r="A15" s="256"/>
      <c r="B15" s="523" t="str">
        <f>Расчёт!B399</f>
        <v>КРУПА ГРЕЧНЕВАЯ</v>
      </c>
      <c r="C15" s="530" t="s">
        <v>163</v>
      </c>
      <c r="D15" s="640">
        <f>Цены!D15</f>
        <v>0</v>
      </c>
      <c r="E15" s="488">
        <v>0</v>
      </c>
      <c r="F15" s="488">
        <v>0</v>
      </c>
      <c r="G15" s="488">
        <v>0</v>
      </c>
      <c r="H15" s="509">
        <f>Расчёт!G399</f>
        <v>0</v>
      </c>
      <c r="I15" s="510">
        <f>Расчёт!H399</f>
        <v>0</v>
      </c>
      <c r="J15" s="511">
        <f>Расчёт!I399</f>
        <v>0</v>
      </c>
      <c r="K15" s="512">
        <f t="shared" si="2"/>
        <v>0</v>
      </c>
      <c r="L15" s="2"/>
      <c r="M15" s="2"/>
      <c r="N15" s="2"/>
      <c r="O15" s="2"/>
      <c r="P15" s="2"/>
      <c r="Q15" s="2">
        <f>'Раскладка продуктов'!A37</f>
        <v>2075</v>
      </c>
      <c r="R15" s="2"/>
      <c r="S15" s="2"/>
      <c r="T15" s="2" t="str">
        <f>'Блок ввода'!O16</f>
        <v>Е.КАЛУГИН</v>
      </c>
      <c r="U15" s="2"/>
      <c r="V15" s="154">
        <f t="shared" si="0"/>
        <v>0</v>
      </c>
      <c r="W15" s="2"/>
      <c r="X15" s="2"/>
      <c r="Y15" s="2"/>
      <c r="Z15" s="155">
        <f t="shared" si="1"/>
        <v>0</v>
      </c>
      <c r="AA15" s="2"/>
      <c r="AB15" s="2"/>
      <c r="AC15" s="2"/>
      <c r="AD15" s="2"/>
      <c r="AE15" s="2"/>
      <c r="AF15" s="2"/>
      <c r="AG15" s="2"/>
      <c r="AH15" s="2"/>
    </row>
    <row r="16" spans="1:34" ht="15" customHeight="1" x14ac:dyDescent="0.2">
      <c r="A16" s="2"/>
      <c r="B16" s="523" t="str">
        <f>Расчёт!B400</f>
        <v>КРУПА ПЕРЛОВАЯ</v>
      </c>
      <c r="C16" s="530" t="s">
        <v>163</v>
      </c>
      <c r="D16" s="640">
        <f>Цены!D16</f>
        <v>0</v>
      </c>
      <c r="E16" s="488">
        <v>0</v>
      </c>
      <c r="F16" s="488">
        <v>0</v>
      </c>
      <c r="G16" s="488">
        <v>0</v>
      </c>
      <c r="H16" s="509">
        <f>Расчёт!G400</f>
        <v>0</v>
      </c>
      <c r="I16" s="510">
        <f>Расчёт!H400</f>
        <v>0</v>
      </c>
      <c r="J16" s="511">
        <f>Расчёт!I400</f>
        <v>0</v>
      </c>
      <c r="K16" s="512">
        <f t="shared" si="2"/>
        <v>0</v>
      </c>
      <c r="L16" s="2"/>
      <c r="M16" s="2"/>
      <c r="N16" s="2"/>
      <c r="O16" s="2"/>
      <c r="P16" s="2"/>
      <c r="Q16" s="239" t="str">
        <f>MID(B2,13,6)</f>
        <v/>
      </c>
      <c r="R16" s="2"/>
      <c r="S16" s="2"/>
      <c r="T16" s="2"/>
      <c r="U16" s="2"/>
      <c r="V16" s="154">
        <f t="shared" si="0"/>
        <v>0</v>
      </c>
      <c r="W16" s="2"/>
      <c r="X16" s="2"/>
      <c r="Y16" s="2"/>
      <c r="Z16" s="155">
        <f t="shared" si="1"/>
        <v>0</v>
      </c>
      <c r="AA16" s="2"/>
      <c r="AB16" s="2"/>
      <c r="AC16" s="2"/>
      <c r="AD16" s="2"/>
      <c r="AE16" s="2"/>
      <c r="AF16" s="2"/>
      <c r="AG16" s="2"/>
      <c r="AH16" s="2"/>
    </row>
    <row r="17" spans="1:34" ht="15" customHeight="1" x14ac:dyDescent="0.2">
      <c r="A17" s="2"/>
      <c r="B17" s="523" t="str">
        <f>Расчёт!B401</f>
        <v>КРУПА ГОРОХ</v>
      </c>
      <c r="C17" s="530" t="s">
        <v>163</v>
      </c>
      <c r="D17" s="640">
        <f>Цены!D17</f>
        <v>0</v>
      </c>
      <c r="E17" s="488">
        <v>0</v>
      </c>
      <c r="F17" s="488">
        <v>0</v>
      </c>
      <c r="G17" s="488">
        <v>0</v>
      </c>
      <c r="H17" s="509">
        <f>Расчёт!G401</f>
        <v>0</v>
      </c>
      <c r="I17" s="510">
        <f>Расчёт!H401</f>
        <v>0</v>
      </c>
      <c r="J17" s="511">
        <f>Расчёт!I401</f>
        <v>0</v>
      </c>
      <c r="K17" s="512">
        <f t="shared" si="2"/>
        <v>0</v>
      </c>
      <c r="L17" s="2"/>
      <c r="M17" s="2"/>
      <c r="N17" s="2"/>
      <c r="O17" s="2"/>
      <c r="P17" s="2"/>
      <c r="Q17" s="763" t="b">
        <v>1</v>
      </c>
      <c r="R17" s="2"/>
      <c r="S17" s="2"/>
      <c r="T17" s="2"/>
      <c r="U17" s="2"/>
      <c r="V17" s="154">
        <f t="shared" si="0"/>
        <v>0</v>
      </c>
      <c r="W17" s="2"/>
      <c r="X17" s="2"/>
      <c r="Y17" s="2"/>
      <c r="Z17" s="155">
        <f t="shared" si="1"/>
        <v>0</v>
      </c>
      <c r="AA17" s="2"/>
      <c r="AB17" s="2"/>
      <c r="AC17" s="2"/>
      <c r="AD17" s="2"/>
      <c r="AE17" s="2"/>
      <c r="AF17" s="2"/>
      <c r="AG17" s="2"/>
      <c r="AH17" s="2"/>
    </row>
    <row r="18" spans="1:34" ht="15" customHeight="1" x14ac:dyDescent="0.2">
      <c r="A18" s="2"/>
      <c r="B18" s="523" t="str">
        <f>Расчёт!B402</f>
        <v>КРУПА ПШЕНО</v>
      </c>
      <c r="C18" s="530" t="s">
        <v>163</v>
      </c>
      <c r="D18" s="640">
        <f>Цены!D18</f>
        <v>0</v>
      </c>
      <c r="E18" s="488">
        <v>0</v>
      </c>
      <c r="F18" s="488">
        <v>0</v>
      </c>
      <c r="G18" s="488">
        <v>0</v>
      </c>
      <c r="H18" s="509">
        <f>Расчёт!G402</f>
        <v>0</v>
      </c>
      <c r="I18" s="510">
        <f>Расчёт!H402</f>
        <v>0</v>
      </c>
      <c r="J18" s="511">
        <f>Расчёт!I402</f>
        <v>0</v>
      </c>
      <c r="K18" s="524">
        <f t="shared" si="2"/>
        <v>0</v>
      </c>
      <c r="L18" s="2"/>
      <c r="M18" s="2"/>
      <c r="N18" s="2"/>
      <c r="O18" s="2"/>
      <c r="P18" s="2"/>
      <c r="Q18" s="2"/>
      <c r="R18" s="2"/>
      <c r="S18" s="2"/>
      <c r="T18" s="2"/>
      <c r="U18" s="2"/>
      <c r="V18" s="154">
        <f t="shared" si="0"/>
        <v>0</v>
      </c>
      <c r="W18" s="2"/>
      <c r="X18" s="2"/>
      <c r="Y18" s="2"/>
      <c r="Z18" s="155">
        <f t="shared" si="1"/>
        <v>0</v>
      </c>
      <c r="AA18" s="2"/>
      <c r="AB18" s="2"/>
      <c r="AC18" s="2"/>
      <c r="AD18" s="2"/>
      <c r="AE18" s="2"/>
      <c r="AF18" s="2"/>
      <c r="AG18" s="2"/>
      <c r="AH18" s="2"/>
    </row>
    <row r="19" spans="1:34" ht="15" customHeight="1" x14ac:dyDescent="0.2">
      <c r="A19" s="2"/>
      <c r="B19" s="523" t="str">
        <f>Расчёт!B403</f>
        <v>КРУПА ПШЕНИЧНАЯ</v>
      </c>
      <c r="C19" s="530" t="s">
        <v>163</v>
      </c>
      <c r="D19" s="640">
        <f>Цены!D19</f>
        <v>0</v>
      </c>
      <c r="E19" s="488">
        <v>0</v>
      </c>
      <c r="F19" s="488">
        <v>0</v>
      </c>
      <c r="G19" s="488">
        <v>0</v>
      </c>
      <c r="H19" s="509">
        <f>Расчёт!G403</f>
        <v>0</v>
      </c>
      <c r="I19" s="510">
        <f>Расчёт!H403</f>
        <v>0</v>
      </c>
      <c r="J19" s="511">
        <f>Расчёт!I403</f>
        <v>0</v>
      </c>
      <c r="K19" s="524">
        <f t="shared" si="2"/>
        <v>0</v>
      </c>
      <c r="L19" s="2"/>
      <c r="M19" s="2"/>
      <c r="N19" s="2"/>
      <c r="O19" s="2"/>
      <c r="P19" s="2"/>
      <c r="Q19" s="2"/>
      <c r="R19" s="2"/>
      <c r="S19" s="2"/>
      <c r="T19" s="2"/>
      <c r="U19" s="2"/>
      <c r="V19" s="154">
        <f t="shared" si="0"/>
        <v>0</v>
      </c>
      <c r="W19" s="2"/>
      <c r="X19" s="2"/>
      <c r="Y19" s="2"/>
      <c r="Z19" s="155">
        <f t="shared" si="1"/>
        <v>0</v>
      </c>
      <c r="AA19" s="2"/>
      <c r="AB19" s="2"/>
      <c r="AC19" s="2"/>
      <c r="AD19" s="2"/>
      <c r="AE19" s="2"/>
      <c r="AF19" s="2"/>
      <c r="AG19" s="2"/>
      <c r="AH19" s="2"/>
    </row>
    <row r="20" spans="1:34" ht="15" customHeight="1" x14ac:dyDescent="0.2">
      <c r="A20" s="2"/>
      <c r="B20" s="523" t="str">
        <f>Расчёт!B404</f>
        <v>КРУПА ОВСЯНАЯ</v>
      </c>
      <c r="C20" s="530" t="s">
        <v>163</v>
      </c>
      <c r="D20" s="640">
        <f>Цены!D20</f>
        <v>0</v>
      </c>
      <c r="E20" s="488">
        <v>0</v>
      </c>
      <c r="F20" s="488">
        <v>0</v>
      </c>
      <c r="G20" s="488">
        <v>0</v>
      </c>
      <c r="H20" s="509">
        <f>Расчёт!G404</f>
        <v>0</v>
      </c>
      <c r="I20" s="510">
        <f>Расчёт!H404</f>
        <v>0</v>
      </c>
      <c r="J20" s="511">
        <f>Расчёт!I404</f>
        <v>0</v>
      </c>
      <c r="K20" s="524">
        <f t="shared" si="2"/>
        <v>0</v>
      </c>
      <c r="L20" s="2"/>
      <c r="M20" s="2"/>
      <c r="N20" s="2"/>
      <c r="O20" s="2"/>
      <c r="P20" s="2"/>
      <c r="Q20" s="2"/>
      <c r="R20" s="2"/>
      <c r="S20" s="2"/>
      <c r="T20" s="2"/>
      <c r="U20" s="2"/>
      <c r="V20" s="154">
        <f t="shared" si="0"/>
        <v>0</v>
      </c>
      <c r="W20" s="2"/>
      <c r="X20" s="2"/>
      <c r="Y20" s="2"/>
      <c r="Z20" s="155">
        <f t="shared" si="1"/>
        <v>0</v>
      </c>
      <c r="AA20" s="2"/>
      <c r="AB20" s="2"/>
      <c r="AC20" s="2"/>
      <c r="AD20" s="2"/>
      <c r="AE20" s="2"/>
      <c r="AF20" s="2"/>
      <c r="AG20" s="2"/>
      <c r="AH20" s="2"/>
    </row>
    <row r="21" spans="1:34" ht="15" customHeight="1" x14ac:dyDescent="0.2">
      <c r="A21" s="2"/>
      <c r="B21" s="523" t="str">
        <f>Расчёт!B405</f>
        <v>КРУПА ЯЧНЕВАЯ</v>
      </c>
      <c r="C21" s="530" t="s">
        <v>163</v>
      </c>
      <c r="D21" s="640">
        <f>Цены!D21</f>
        <v>0</v>
      </c>
      <c r="E21" s="488">
        <v>0</v>
      </c>
      <c r="F21" s="488">
        <v>0</v>
      </c>
      <c r="G21" s="488">
        <v>0</v>
      </c>
      <c r="H21" s="509">
        <f>Расчёт!G405</f>
        <v>0</v>
      </c>
      <c r="I21" s="510">
        <f>Расчёт!H405</f>
        <v>0</v>
      </c>
      <c r="J21" s="511">
        <f>Расчёт!I405</f>
        <v>0</v>
      </c>
      <c r="K21" s="524">
        <f t="shared" si="2"/>
        <v>0</v>
      </c>
      <c r="L21" s="2"/>
      <c r="M21" s="2"/>
      <c r="N21" s="2"/>
      <c r="O21" s="2"/>
      <c r="P21" s="2"/>
      <c r="Q21" s="2"/>
      <c r="R21" s="2"/>
      <c r="S21" s="2"/>
      <c r="T21" s="2"/>
      <c r="U21" s="2"/>
      <c r="V21" s="154">
        <f t="shared" si="0"/>
        <v>0</v>
      </c>
      <c r="W21" s="2"/>
      <c r="X21" s="2"/>
      <c r="Y21" s="2"/>
      <c r="Z21" s="155">
        <f t="shared" si="1"/>
        <v>0</v>
      </c>
      <c r="AA21" s="2"/>
      <c r="AB21" s="2"/>
      <c r="AC21" s="2"/>
      <c r="AD21" s="2"/>
      <c r="AE21" s="2"/>
      <c r="AF21" s="2"/>
      <c r="AG21" s="2"/>
      <c r="AH21" s="2"/>
    </row>
    <row r="22" spans="1:34" ht="15" customHeight="1" thickBot="1" x14ac:dyDescent="0.25">
      <c r="A22" s="2"/>
      <c r="B22" s="525" t="str">
        <f>Расчёт!B406</f>
        <v>МАКАРОННЫЕ ИЗДЕЛИЯ</v>
      </c>
      <c r="C22" s="549" t="s">
        <v>163</v>
      </c>
      <c r="D22" s="1244">
        <f>Цены!D22</f>
        <v>0</v>
      </c>
      <c r="E22" s="500">
        <v>0</v>
      </c>
      <c r="F22" s="500">
        <v>0</v>
      </c>
      <c r="G22" s="500">
        <v>0</v>
      </c>
      <c r="H22" s="515">
        <f>Расчёт!G406</f>
        <v>0</v>
      </c>
      <c r="I22" s="518">
        <f>Расчёт!H406</f>
        <v>0</v>
      </c>
      <c r="J22" s="519">
        <f>Расчёт!I406</f>
        <v>0</v>
      </c>
      <c r="K22" s="526">
        <f t="shared" si="2"/>
        <v>0</v>
      </c>
      <c r="L22" s="2"/>
      <c r="M22" s="2"/>
      <c r="N22" s="2"/>
      <c r="O22" s="2"/>
      <c r="P22" s="2"/>
      <c r="Q22" s="2"/>
      <c r="R22" s="2"/>
      <c r="S22" s="2"/>
      <c r="T22" s="2"/>
      <c r="U22" s="2"/>
      <c r="V22" s="154">
        <f t="shared" si="0"/>
        <v>0</v>
      </c>
      <c r="W22" s="2"/>
      <c r="X22" s="2"/>
      <c r="Y22" s="2"/>
      <c r="Z22" s="155">
        <f t="shared" si="1"/>
        <v>0</v>
      </c>
      <c r="AA22" s="2"/>
      <c r="AB22" s="2"/>
      <c r="AC22" s="2"/>
      <c r="AD22" s="2"/>
      <c r="AE22" s="2"/>
      <c r="AF22" s="2"/>
      <c r="AG22" s="2"/>
      <c r="AH22" s="2"/>
    </row>
    <row r="23" spans="1:34" ht="15" customHeight="1" x14ac:dyDescent="0.2">
      <c r="A23" s="2"/>
      <c r="B23" s="486" t="str">
        <f>Расчёт!B407</f>
        <v>МЯСО  ГОВЯДИНА</v>
      </c>
      <c r="C23" s="527" t="s">
        <v>163</v>
      </c>
      <c r="D23" s="506">
        <f>Цены!D23</f>
        <v>0</v>
      </c>
      <c r="E23" s="507">
        <v>0</v>
      </c>
      <c r="F23" s="490">
        <v>0</v>
      </c>
      <c r="G23" s="491">
        <v>0</v>
      </c>
      <c r="H23" s="488">
        <f>Расчёт!G407</f>
        <v>0</v>
      </c>
      <c r="I23" s="510">
        <f>Расчёт!H407</f>
        <v>0</v>
      </c>
      <c r="J23" s="528">
        <f>Расчёт!I407</f>
        <v>0</v>
      </c>
      <c r="K23" s="529">
        <f t="shared" si="2"/>
        <v>0</v>
      </c>
      <c r="L23" s="2"/>
      <c r="M23" s="2"/>
      <c r="N23" s="2"/>
      <c r="O23" s="2"/>
      <c r="P23" s="2"/>
      <c r="Q23" s="2"/>
      <c r="R23" s="2"/>
      <c r="S23" s="2"/>
      <c r="T23" s="2"/>
      <c r="U23" s="2"/>
      <c r="V23" s="154">
        <f t="shared" si="0"/>
        <v>0</v>
      </c>
      <c r="W23" s="2"/>
      <c r="X23" s="2"/>
      <c r="Y23" s="2"/>
      <c r="Z23" s="155">
        <f t="shared" si="1"/>
        <v>0</v>
      </c>
      <c r="AA23" s="2"/>
      <c r="AB23" s="2"/>
      <c r="AC23" s="2"/>
      <c r="AD23" s="2"/>
      <c r="AE23" s="2"/>
      <c r="AF23" s="2"/>
      <c r="AG23" s="2"/>
      <c r="AH23" s="2"/>
    </row>
    <row r="24" spans="1:34" ht="15" customHeight="1" x14ac:dyDescent="0.2">
      <c r="A24" s="2"/>
      <c r="B24" s="493" t="str">
        <f>Расчёт!B408</f>
        <v>МЯСО ПТИЦЫ</v>
      </c>
      <c r="C24" s="530" t="s">
        <v>163</v>
      </c>
      <c r="D24" s="640">
        <f>Цены!D24</f>
        <v>0</v>
      </c>
      <c r="E24" s="672">
        <v>0</v>
      </c>
      <c r="F24" s="495">
        <v>0</v>
      </c>
      <c r="G24" s="496">
        <v>0</v>
      </c>
      <c r="H24" s="488">
        <f>Расчёт!G408</f>
        <v>0</v>
      </c>
      <c r="I24" s="510">
        <f>Расчёт!H408</f>
        <v>0</v>
      </c>
      <c r="J24" s="528">
        <f>Расчёт!I408</f>
        <v>0</v>
      </c>
      <c r="K24" s="524">
        <f t="shared" si="2"/>
        <v>0</v>
      </c>
      <c r="L24" s="2"/>
      <c r="M24" s="2"/>
      <c r="N24" s="2"/>
      <c r="O24" s="2"/>
      <c r="P24" s="2"/>
      <c r="Q24" s="2"/>
      <c r="R24" s="2"/>
      <c r="S24" s="2"/>
      <c r="T24" s="2"/>
      <c r="U24" s="2"/>
      <c r="V24" s="154">
        <f t="shared" si="0"/>
        <v>0</v>
      </c>
      <c r="W24" s="2"/>
      <c r="X24" s="2"/>
      <c r="Y24" s="2"/>
      <c r="Z24" s="155">
        <f t="shared" si="1"/>
        <v>0</v>
      </c>
      <c r="AA24" s="2"/>
      <c r="AB24" s="2"/>
      <c r="AC24" s="2"/>
      <c r="AD24" s="2"/>
      <c r="AE24" s="2"/>
      <c r="AF24" s="2"/>
      <c r="AG24" s="2"/>
      <c r="AH24" s="2"/>
    </row>
    <row r="25" spans="1:34" ht="15" customHeight="1" x14ac:dyDescent="0.2">
      <c r="A25" s="2"/>
      <c r="B25" s="493" t="str">
        <f>Расчёт!B409</f>
        <v>КОЛБАСА</v>
      </c>
      <c r="C25" s="530" t="s">
        <v>163</v>
      </c>
      <c r="D25" s="640">
        <f>Цены!D25</f>
        <v>0</v>
      </c>
      <c r="E25" s="672">
        <v>0</v>
      </c>
      <c r="F25" s="495">
        <v>0</v>
      </c>
      <c r="G25" s="496">
        <v>0</v>
      </c>
      <c r="H25" s="488">
        <f>Расчёт!G409</f>
        <v>0</v>
      </c>
      <c r="I25" s="510">
        <f>Расчёт!H409</f>
        <v>0</v>
      </c>
      <c r="J25" s="528">
        <f>Расчёт!I409</f>
        <v>0</v>
      </c>
      <c r="K25" s="524">
        <f t="shared" si="2"/>
        <v>0</v>
      </c>
      <c r="L25" s="2"/>
      <c r="M25" s="2"/>
      <c r="N25" s="2"/>
      <c r="O25" s="2"/>
      <c r="P25" s="2"/>
      <c r="Q25" s="2"/>
      <c r="R25" s="2"/>
      <c r="S25" s="2"/>
      <c r="T25" s="2"/>
      <c r="U25" s="2"/>
      <c r="V25" s="154">
        <f t="shared" si="0"/>
        <v>0</v>
      </c>
      <c r="W25" s="2"/>
      <c r="X25" s="2"/>
      <c r="Y25" s="2"/>
      <c r="Z25" s="155">
        <f t="shared" si="1"/>
        <v>0</v>
      </c>
      <c r="AA25" s="2"/>
      <c r="AB25" s="2"/>
      <c r="AC25" s="2"/>
      <c r="AD25" s="2"/>
      <c r="AE25" s="2"/>
      <c r="AF25" s="2"/>
      <c r="AG25" s="2"/>
      <c r="AH25" s="2"/>
    </row>
    <row r="26" spans="1:34" ht="15" customHeight="1" x14ac:dyDescent="0.2">
      <c r="A26" s="2"/>
      <c r="B26" s="493" t="str">
        <f>Расчёт!B410</f>
        <v>КОНСЕРВЫ МЯСНЫЕ</v>
      </c>
      <c r="C26" s="530" t="s">
        <v>163</v>
      </c>
      <c r="D26" s="640">
        <f>Цены!D26</f>
        <v>0</v>
      </c>
      <c r="E26" s="672">
        <v>0</v>
      </c>
      <c r="F26" s="495">
        <v>0</v>
      </c>
      <c r="G26" s="496">
        <v>0</v>
      </c>
      <c r="H26" s="488">
        <f>Расчёт!G410</f>
        <v>0</v>
      </c>
      <c r="I26" s="510">
        <f>Расчёт!H410</f>
        <v>0</v>
      </c>
      <c r="J26" s="528">
        <f>Расчёт!I410</f>
        <v>0</v>
      </c>
      <c r="K26" s="524">
        <f t="shared" si="2"/>
        <v>0</v>
      </c>
      <c r="L26" s="2"/>
      <c r="M26" s="2"/>
      <c r="N26" s="2"/>
      <c r="O26" s="2"/>
      <c r="P26" s="2"/>
      <c r="Q26" s="2"/>
      <c r="R26" s="2"/>
      <c r="S26" s="2"/>
      <c r="T26" s="2"/>
      <c r="U26" s="2"/>
      <c r="V26" s="154">
        <f t="shared" si="0"/>
        <v>0</v>
      </c>
      <c r="W26" s="2"/>
      <c r="X26" s="2"/>
      <c r="Y26" s="2"/>
      <c r="Z26" s="155">
        <f t="shared" si="1"/>
        <v>0</v>
      </c>
      <c r="AA26" s="2"/>
      <c r="AB26" s="2"/>
      <c r="AC26" s="2"/>
      <c r="AD26" s="2"/>
      <c r="AE26" s="2"/>
      <c r="AF26" s="2"/>
      <c r="AG26" s="2"/>
      <c r="AH26" s="2"/>
    </row>
    <row r="27" spans="1:34" ht="15" customHeight="1" x14ac:dyDescent="0.2">
      <c r="A27" s="2"/>
      <c r="B27" s="493" t="str">
        <f>Расчёт!B411</f>
        <v>РЫБА БЕЗ ГОЛОВЫ/СЕЛЬДЬ С ГОЛ.</v>
      </c>
      <c r="C27" s="530" t="s">
        <v>163</v>
      </c>
      <c r="D27" s="640">
        <f>Цены!D27</f>
        <v>0</v>
      </c>
      <c r="E27" s="672">
        <v>0</v>
      </c>
      <c r="F27" s="495">
        <v>0</v>
      </c>
      <c r="G27" s="496">
        <v>0</v>
      </c>
      <c r="H27" s="488">
        <f>Расчёт!G411</f>
        <v>0</v>
      </c>
      <c r="I27" s="510">
        <f>Расчёт!H411</f>
        <v>0</v>
      </c>
      <c r="J27" s="528">
        <f>Расчёт!I411</f>
        <v>0</v>
      </c>
      <c r="K27" s="524">
        <f t="shared" si="2"/>
        <v>0</v>
      </c>
      <c r="L27" s="2"/>
      <c r="M27" s="2"/>
      <c r="N27" s="2"/>
      <c r="O27" s="2"/>
      <c r="P27" s="2"/>
      <c r="Q27" s="2"/>
      <c r="R27" s="2"/>
      <c r="S27" s="2"/>
      <c r="T27" s="2"/>
      <c r="U27" s="2"/>
      <c r="V27" s="154">
        <f t="shared" si="0"/>
        <v>0</v>
      </c>
      <c r="W27" s="2"/>
      <c r="X27" s="2"/>
      <c r="Y27" s="2"/>
      <c r="Z27" s="155">
        <f t="shared" si="1"/>
        <v>0</v>
      </c>
      <c r="AA27" s="2"/>
      <c r="AB27" s="2"/>
      <c r="AC27" s="2"/>
      <c r="AD27" s="2"/>
      <c r="AE27" s="2"/>
      <c r="AF27" s="2"/>
      <c r="AG27" s="2"/>
      <c r="AH27" s="2"/>
    </row>
    <row r="28" spans="1:34" ht="15" customHeight="1" x14ac:dyDescent="0.2">
      <c r="A28" s="2"/>
      <c r="B28" s="531" t="str">
        <f>Расчёт!B412</f>
        <v xml:space="preserve">КОНС. РЫБНЫЕ - КИЛЬКА В ТОМ. СОУСЕ  </v>
      </c>
      <c r="C28" s="530" t="s">
        <v>163</v>
      </c>
      <c r="D28" s="640">
        <f>Цены!D28</f>
        <v>0</v>
      </c>
      <c r="E28" s="672">
        <v>0</v>
      </c>
      <c r="F28" s="495">
        <v>0</v>
      </c>
      <c r="G28" s="496">
        <v>0</v>
      </c>
      <c r="H28" s="488">
        <f>Расчёт!G412</f>
        <v>0</v>
      </c>
      <c r="I28" s="510">
        <f>Расчёт!H412</f>
        <v>0</v>
      </c>
      <c r="J28" s="528">
        <f>Расчёт!I412</f>
        <v>0</v>
      </c>
      <c r="K28" s="524">
        <f t="shared" si="2"/>
        <v>0</v>
      </c>
      <c r="L28" s="2"/>
      <c r="M28" s="2"/>
      <c r="N28" s="2"/>
      <c r="O28" s="2"/>
      <c r="P28" s="2"/>
      <c r="Q28" s="2"/>
      <c r="R28" s="2"/>
      <c r="S28" s="2"/>
      <c r="T28" s="2"/>
      <c r="U28" s="2"/>
      <c r="V28" s="154">
        <f t="shared" si="0"/>
        <v>0</v>
      </c>
      <c r="W28" s="2"/>
      <c r="X28" s="2"/>
      <c r="Y28" s="2"/>
      <c r="Z28" s="155">
        <f t="shared" si="1"/>
        <v>0</v>
      </c>
      <c r="AA28" s="2"/>
      <c r="AB28" s="2"/>
      <c r="AC28" s="2"/>
      <c r="AD28" s="2"/>
      <c r="AE28" s="2"/>
      <c r="AF28" s="2"/>
      <c r="AG28" s="2"/>
      <c r="AH28" s="2"/>
    </row>
    <row r="29" spans="1:34" ht="15" customHeight="1" x14ac:dyDescent="0.2">
      <c r="A29" s="2"/>
      <c r="B29" s="493" t="str">
        <f>Расчёт!B413</f>
        <v>МАСЛО РАСТИТЕЛЬНОЕ</v>
      </c>
      <c r="C29" s="530" t="s">
        <v>163</v>
      </c>
      <c r="D29" s="640">
        <f>Цены!D29</f>
        <v>0</v>
      </c>
      <c r="E29" s="672">
        <v>0</v>
      </c>
      <c r="F29" s="495">
        <v>0</v>
      </c>
      <c r="G29" s="496">
        <v>0</v>
      </c>
      <c r="H29" s="488">
        <f>Расчёт!G413</f>
        <v>0</v>
      </c>
      <c r="I29" s="510">
        <f>Расчёт!H413</f>
        <v>0</v>
      </c>
      <c r="J29" s="528">
        <f>Расчёт!I413</f>
        <v>0</v>
      </c>
      <c r="K29" s="524">
        <f t="shared" si="2"/>
        <v>0</v>
      </c>
      <c r="L29" s="2"/>
      <c r="M29" s="2"/>
      <c r="N29" s="2"/>
      <c r="O29" s="2"/>
      <c r="P29" s="2"/>
      <c r="Q29" s="2"/>
      <c r="R29" s="2"/>
      <c r="S29" s="2"/>
      <c r="T29" s="2"/>
      <c r="U29" s="2"/>
      <c r="V29" s="154">
        <f t="shared" si="0"/>
        <v>0</v>
      </c>
      <c r="W29" s="2"/>
      <c r="X29" s="2"/>
      <c r="Y29" s="2"/>
      <c r="Z29" s="155">
        <f t="shared" si="1"/>
        <v>0</v>
      </c>
      <c r="AA29" s="2"/>
      <c r="AB29" s="2"/>
      <c r="AC29" s="2"/>
      <c r="AD29" s="2"/>
      <c r="AE29" s="2"/>
      <c r="AF29" s="2"/>
      <c r="AG29" s="2"/>
      <c r="AH29" s="2"/>
    </row>
    <row r="30" spans="1:34" ht="15" customHeight="1" x14ac:dyDescent="0.2">
      <c r="A30" s="2"/>
      <c r="B30" s="493" t="str">
        <f>Расчёт!B414</f>
        <v>МАСЛО КОРОВЬЕ</v>
      </c>
      <c r="C30" s="530" t="s">
        <v>163</v>
      </c>
      <c r="D30" s="640">
        <f>Цены!D30</f>
        <v>0</v>
      </c>
      <c r="E30" s="672">
        <v>0</v>
      </c>
      <c r="F30" s="495">
        <v>0</v>
      </c>
      <c r="G30" s="496">
        <v>0</v>
      </c>
      <c r="H30" s="488">
        <f>Расчёт!G414</f>
        <v>0</v>
      </c>
      <c r="I30" s="510">
        <f>Расчёт!H414</f>
        <v>0</v>
      </c>
      <c r="J30" s="528">
        <f>Расчёт!I414</f>
        <v>0</v>
      </c>
      <c r="K30" s="524">
        <f t="shared" si="2"/>
        <v>0</v>
      </c>
      <c r="L30" s="2"/>
      <c r="M30" s="2"/>
      <c r="N30" s="2"/>
      <c r="O30" s="2"/>
      <c r="P30" s="2"/>
      <c r="Q30" s="2"/>
      <c r="R30" s="2"/>
      <c r="S30" s="2"/>
      <c r="T30" s="2"/>
      <c r="U30" s="2"/>
      <c r="V30" s="154">
        <f t="shared" si="0"/>
        <v>0</v>
      </c>
      <c r="W30" s="2"/>
      <c r="X30" s="2"/>
      <c r="Y30" s="2"/>
      <c r="Z30" s="155">
        <f t="shared" si="1"/>
        <v>0</v>
      </c>
      <c r="AA30" s="2"/>
      <c r="AB30" s="2"/>
      <c r="AC30" s="2"/>
      <c r="AD30" s="2"/>
      <c r="AE30" s="2"/>
      <c r="AF30" s="2"/>
      <c r="AG30" s="2"/>
      <c r="AH30" s="2"/>
    </row>
    <row r="31" spans="1:34" ht="15" customHeight="1" x14ac:dyDescent="0.2">
      <c r="A31" s="2"/>
      <c r="B31" s="493" t="str">
        <f>Расчёт!B415</f>
        <v>ЖИРЫ ЖИВОТНЫЕ</v>
      </c>
      <c r="C31" s="530" t="s">
        <v>163</v>
      </c>
      <c r="D31" s="640">
        <f>Цены!D31</f>
        <v>0</v>
      </c>
      <c r="E31" s="672">
        <v>0</v>
      </c>
      <c r="F31" s="495">
        <v>0</v>
      </c>
      <c r="G31" s="496">
        <v>0</v>
      </c>
      <c r="H31" s="488">
        <f>Расчёт!G415</f>
        <v>0</v>
      </c>
      <c r="I31" s="510">
        <f>Расчёт!H415</f>
        <v>0</v>
      </c>
      <c r="J31" s="528">
        <f>Расчёт!I415</f>
        <v>0</v>
      </c>
      <c r="K31" s="524">
        <f t="shared" si="2"/>
        <v>0</v>
      </c>
      <c r="L31" s="2"/>
      <c r="M31" s="2"/>
      <c r="N31" s="2"/>
      <c r="O31" s="2"/>
      <c r="P31" s="2"/>
      <c r="Q31" s="2"/>
      <c r="R31" s="2"/>
      <c r="S31" s="2"/>
      <c r="T31" s="2"/>
      <c r="U31" s="2"/>
      <c r="V31" s="154">
        <f t="shared" si="0"/>
        <v>0</v>
      </c>
      <c r="W31" s="2"/>
      <c r="X31" s="2"/>
      <c r="Y31" s="2"/>
      <c r="Z31" s="155">
        <f t="shared" si="1"/>
        <v>0</v>
      </c>
      <c r="AA31" s="2"/>
      <c r="AB31" s="2"/>
      <c r="AC31" s="2"/>
      <c r="AD31" s="2"/>
      <c r="AE31" s="2"/>
      <c r="AF31" s="2"/>
      <c r="AG31" s="2"/>
      <c r="AH31" s="2"/>
    </row>
    <row r="32" spans="1:34" ht="15" customHeight="1" x14ac:dyDescent="0.2">
      <c r="A32" s="2"/>
      <c r="B32" s="493" t="str">
        <f>Расчёт!B416</f>
        <v>МОЛОКО СВЕЖЕЕ</v>
      </c>
      <c r="C32" s="530" t="s">
        <v>163</v>
      </c>
      <c r="D32" s="640">
        <f>Цены!D32</f>
        <v>0</v>
      </c>
      <c r="E32" s="672">
        <v>0</v>
      </c>
      <c r="F32" s="495">
        <v>0</v>
      </c>
      <c r="G32" s="496">
        <v>0</v>
      </c>
      <c r="H32" s="532">
        <f>Расчёт!G416</f>
        <v>0</v>
      </c>
      <c r="I32" s="533">
        <f>Расчёт!H416</f>
        <v>0</v>
      </c>
      <c r="J32" s="534">
        <f>Расчёт!I416</f>
        <v>0</v>
      </c>
      <c r="K32" s="524">
        <f t="shared" si="2"/>
        <v>0</v>
      </c>
      <c r="L32" s="2"/>
      <c r="M32" s="2"/>
      <c r="N32" s="2"/>
      <c r="O32" s="2"/>
      <c r="P32" s="2"/>
      <c r="Q32" s="2"/>
      <c r="R32" s="2"/>
      <c r="S32" s="2"/>
      <c r="T32" s="2"/>
      <c r="U32" s="2"/>
      <c r="V32" s="154">
        <f t="shared" si="0"/>
        <v>0</v>
      </c>
      <c r="W32" s="2"/>
      <c r="X32" s="2"/>
      <c r="Y32" s="2"/>
      <c r="Z32" s="155">
        <f t="shared" si="1"/>
        <v>0</v>
      </c>
      <c r="AA32" s="2"/>
      <c r="AB32" s="2"/>
      <c r="AC32" s="2"/>
      <c r="AD32" s="2"/>
      <c r="AE32" s="2"/>
      <c r="AF32" s="2"/>
      <c r="AG32" s="2"/>
      <c r="AH32" s="2"/>
    </row>
    <row r="33" spans="1:34" ht="15" customHeight="1" x14ac:dyDescent="0.2">
      <c r="A33" s="2"/>
      <c r="B33" s="493" t="str">
        <f>Расчёт!B417</f>
        <v>СМЕТАНА</v>
      </c>
      <c r="C33" s="530" t="s">
        <v>163</v>
      </c>
      <c r="D33" s="640">
        <f>Цены!D33</f>
        <v>0</v>
      </c>
      <c r="E33" s="672">
        <v>0</v>
      </c>
      <c r="F33" s="495">
        <v>0</v>
      </c>
      <c r="G33" s="496">
        <v>0</v>
      </c>
      <c r="H33" s="532">
        <f>Расчёт!G417</f>
        <v>0</v>
      </c>
      <c r="I33" s="533">
        <f>Расчёт!H417</f>
        <v>0</v>
      </c>
      <c r="J33" s="534">
        <f>Расчёт!I417</f>
        <v>0</v>
      </c>
      <c r="K33" s="524">
        <f t="shared" si="2"/>
        <v>0</v>
      </c>
      <c r="L33" s="2"/>
      <c r="M33" s="2"/>
      <c r="N33" s="2"/>
      <c r="O33" s="2"/>
      <c r="P33" s="2"/>
      <c r="Q33" s="2"/>
      <c r="R33" s="2"/>
      <c r="S33" s="2"/>
      <c r="T33" s="2"/>
      <c r="U33" s="2"/>
      <c r="V33" s="154">
        <f t="shared" si="0"/>
        <v>0</v>
      </c>
      <c r="W33" s="2"/>
      <c r="X33" s="2"/>
      <c r="Y33" s="2"/>
      <c r="Z33" s="155">
        <f t="shared" si="1"/>
        <v>0</v>
      </c>
      <c r="AA33" s="2"/>
      <c r="AB33" s="2"/>
      <c r="AC33" s="2"/>
      <c r="AD33" s="2"/>
      <c r="AE33" s="2"/>
      <c r="AF33" s="2"/>
      <c r="AG33" s="2"/>
      <c r="AH33" s="2"/>
    </row>
    <row r="34" spans="1:34" ht="15" customHeight="1" x14ac:dyDescent="0.2">
      <c r="A34" s="2"/>
      <c r="B34" s="493" t="str">
        <f>Расчёт!B418</f>
        <v>ТВОРОГ</v>
      </c>
      <c r="C34" s="530" t="s">
        <v>163</v>
      </c>
      <c r="D34" s="640">
        <f>Цены!D34</f>
        <v>0</v>
      </c>
      <c r="E34" s="672">
        <v>0</v>
      </c>
      <c r="F34" s="495">
        <v>0</v>
      </c>
      <c r="G34" s="496">
        <v>0</v>
      </c>
      <c r="H34" s="532">
        <f>Расчёт!G418</f>
        <v>0</v>
      </c>
      <c r="I34" s="533">
        <f>Расчёт!H418</f>
        <v>0</v>
      </c>
      <c r="J34" s="534">
        <f>Расчёт!I418</f>
        <v>0</v>
      </c>
      <c r="K34" s="524">
        <f t="shared" si="2"/>
        <v>0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154">
        <f t="shared" si="0"/>
        <v>0</v>
      </c>
      <c r="W34" s="2"/>
      <c r="X34" s="2"/>
      <c r="Y34" s="2"/>
      <c r="Z34" s="155">
        <f t="shared" si="1"/>
        <v>0</v>
      </c>
      <c r="AA34" s="2"/>
      <c r="AB34" s="2"/>
      <c r="AC34" s="2"/>
      <c r="AD34" s="2"/>
      <c r="AE34" s="2"/>
      <c r="AF34" s="2"/>
      <c r="AG34" s="2"/>
      <c r="AH34" s="2"/>
    </row>
    <row r="35" spans="1:34" ht="15" customHeight="1" x14ac:dyDescent="0.2">
      <c r="A35" s="2"/>
      <c r="B35" s="493" t="str">
        <f>Расчёт!B419</f>
        <v>МОЛОКО СУХОЕ</v>
      </c>
      <c r="C35" s="530" t="s">
        <v>164</v>
      </c>
      <c r="D35" s="640">
        <f>Цены!D35</f>
        <v>0</v>
      </c>
      <c r="E35" s="672">
        <v>0</v>
      </c>
      <c r="F35" s="495">
        <v>0</v>
      </c>
      <c r="G35" s="496">
        <v>0</v>
      </c>
      <c r="H35" s="532">
        <f>Расчёт!G419</f>
        <v>0</v>
      </c>
      <c r="I35" s="533">
        <f>Расчёт!H419</f>
        <v>0</v>
      </c>
      <c r="J35" s="534">
        <f>Расчёт!I419</f>
        <v>0</v>
      </c>
      <c r="K35" s="524">
        <f t="shared" si="2"/>
        <v>0</v>
      </c>
      <c r="L35" s="2"/>
      <c r="M35" s="2"/>
      <c r="N35" s="2"/>
      <c r="O35" s="2"/>
      <c r="P35" s="2"/>
      <c r="Q35" s="2"/>
      <c r="R35" s="2"/>
      <c r="S35" s="2"/>
      <c r="T35" s="2"/>
      <c r="U35" s="2"/>
      <c r="V35" s="154">
        <f t="shared" si="0"/>
        <v>0</v>
      </c>
      <c r="W35" s="2"/>
      <c r="X35" s="2"/>
      <c r="Y35" s="2"/>
      <c r="Z35" s="155">
        <f t="shared" si="1"/>
        <v>0</v>
      </c>
      <c r="AA35" s="2"/>
      <c r="AB35" s="2"/>
      <c r="AC35" s="2"/>
      <c r="AD35" s="2"/>
      <c r="AE35" s="2"/>
      <c r="AF35" s="2"/>
      <c r="AG35" s="2"/>
      <c r="AH35" s="2"/>
    </row>
    <row r="36" spans="1:34" ht="15" customHeight="1" x14ac:dyDescent="0.2">
      <c r="A36" s="2"/>
      <c r="B36" s="493" t="str">
        <f>Расчёт!B420</f>
        <v>СЫР ПЛАВЛЕНЫЙ</v>
      </c>
      <c r="C36" s="530" t="s">
        <v>163</v>
      </c>
      <c r="D36" s="640">
        <f>Цены!D36</f>
        <v>0</v>
      </c>
      <c r="E36" s="672">
        <v>0</v>
      </c>
      <c r="F36" s="495">
        <v>0</v>
      </c>
      <c r="G36" s="496">
        <v>0</v>
      </c>
      <c r="H36" s="532">
        <f>Расчёт!G420</f>
        <v>0</v>
      </c>
      <c r="I36" s="533">
        <f>Расчёт!H420</f>
        <v>0</v>
      </c>
      <c r="J36" s="534">
        <f>Расчёт!I420</f>
        <v>0</v>
      </c>
      <c r="K36" s="524">
        <f t="shared" si="2"/>
        <v>0</v>
      </c>
      <c r="L36" s="2"/>
      <c r="M36" s="2"/>
      <c r="N36" s="2"/>
      <c r="O36" s="2"/>
      <c r="P36" s="2"/>
      <c r="Q36" s="2"/>
      <c r="R36" s="2"/>
      <c r="S36" s="2"/>
      <c r="T36" s="2"/>
      <c r="U36" s="2"/>
      <c r="V36" s="154">
        <f t="shared" si="0"/>
        <v>0</v>
      </c>
      <c r="W36" s="2"/>
      <c r="X36" s="2"/>
      <c r="Y36" s="2"/>
      <c r="Z36" s="155">
        <f t="shared" si="1"/>
        <v>0</v>
      </c>
      <c r="AA36" s="2"/>
      <c r="AB36" s="2"/>
      <c r="AC36" s="2"/>
      <c r="AD36" s="2"/>
      <c r="AE36" s="2"/>
      <c r="AF36" s="2"/>
      <c r="AG36" s="2"/>
      <c r="AH36" s="2"/>
    </row>
    <row r="37" spans="1:34" ht="15" customHeight="1" x14ac:dyDescent="0.2">
      <c r="A37" s="239"/>
      <c r="B37" s="493" t="str">
        <f>Расчёт!B421</f>
        <v>ЯЙЦА КУРИНЫЕ</v>
      </c>
      <c r="C37" s="530" t="str">
        <f>IF('Блок ввода'!G32=TRUE,"кг.","шт.")</f>
        <v>шт.</v>
      </c>
      <c r="D37" s="640">
        <f>Цены!D37</f>
        <v>0</v>
      </c>
      <c r="E37" s="672">
        <v>0</v>
      </c>
      <c r="F37" s="495">
        <v>0</v>
      </c>
      <c r="G37" s="496">
        <v>0</v>
      </c>
      <c r="H37" s="535">
        <f>Расчёт!G421</f>
        <v>0</v>
      </c>
      <c r="I37" s="536">
        <f>Расчёт!H421</f>
        <v>0</v>
      </c>
      <c r="J37" s="537">
        <f>Расчёт!I421</f>
        <v>0</v>
      </c>
      <c r="K37" s="538">
        <f t="shared" si="2"/>
        <v>0</v>
      </c>
      <c r="L37" s="2"/>
      <c r="M37" s="2"/>
      <c r="N37" s="2"/>
      <c r="O37" s="2"/>
      <c r="P37" s="2"/>
      <c r="Q37" s="2"/>
      <c r="R37" s="2"/>
      <c r="S37" s="2"/>
      <c r="T37" s="2"/>
      <c r="U37" s="2"/>
      <c r="V37" s="154">
        <f t="shared" si="0"/>
        <v>0</v>
      </c>
      <c r="W37" s="2"/>
      <c r="X37" s="2"/>
      <c r="Y37" s="2"/>
      <c r="Z37" s="155">
        <f t="shared" si="1"/>
        <v>0</v>
      </c>
      <c r="AA37" s="2"/>
      <c r="AB37" s="2"/>
      <c r="AC37" s="2"/>
      <c r="AD37" s="2"/>
      <c r="AE37" s="2"/>
      <c r="AF37" s="2"/>
      <c r="AG37" s="2"/>
      <c r="AH37" s="2"/>
    </row>
    <row r="38" spans="1:34" ht="15" customHeight="1" x14ac:dyDescent="0.2">
      <c r="A38" s="2"/>
      <c r="B38" s="493" t="str">
        <f>Расчёт!B422</f>
        <v>САХАР</v>
      </c>
      <c r="C38" s="530" t="s">
        <v>163</v>
      </c>
      <c r="D38" s="640">
        <f>Цены!D38</f>
        <v>0</v>
      </c>
      <c r="E38" s="672">
        <v>0</v>
      </c>
      <c r="F38" s="495">
        <v>0</v>
      </c>
      <c r="G38" s="496">
        <v>0</v>
      </c>
      <c r="H38" s="488">
        <f>Расчёт!G422</f>
        <v>0</v>
      </c>
      <c r="I38" s="510">
        <f>Расчёт!H422</f>
        <v>0</v>
      </c>
      <c r="J38" s="528">
        <f>Расчёт!I422</f>
        <v>0</v>
      </c>
      <c r="K38" s="524">
        <f t="shared" si="2"/>
        <v>0</v>
      </c>
      <c r="L38" s="2"/>
      <c r="M38" s="2"/>
      <c r="N38" s="2"/>
      <c r="O38" s="2"/>
      <c r="P38" s="2"/>
      <c r="Q38" s="2"/>
      <c r="R38" s="2"/>
      <c r="S38" s="2"/>
      <c r="T38" s="2"/>
      <c r="U38" s="2"/>
      <c r="V38" s="154">
        <f t="shared" si="0"/>
        <v>0</v>
      </c>
      <c r="W38" s="2"/>
      <c r="X38" s="2"/>
      <c r="Y38" s="2"/>
      <c r="Z38" s="155">
        <f t="shared" si="1"/>
        <v>0</v>
      </c>
      <c r="AA38" s="2"/>
      <c r="AB38" s="2"/>
      <c r="AC38" s="2"/>
      <c r="AD38" s="2"/>
      <c r="AE38" s="2"/>
      <c r="AF38" s="2"/>
      <c r="AG38" s="2"/>
      <c r="AH38" s="2"/>
    </row>
    <row r="39" spans="1:34" ht="15" customHeight="1" x14ac:dyDescent="0.2">
      <c r="A39" s="2"/>
      <c r="B39" s="493" t="str">
        <f>Расчёт!B423</f>
        <v>СОЛЬ ПИЩЕВАЯ</v>
      </c>
      <c r="C39" s="530" t="s">
        <v>163</v>
      </c>
      <c r="D39" s="640">
        <f>Цены!D39</f>
        <v>0</v>
      </c>
      <c r="E39" s="672">
        <v>0</v>
      </c>
      <c r="F39" s="495">
        <v>0</v>
      </c>
      <c r="G39" s="496">
        <v>0</v>
      </c>
      <c r="H39" s="488">
        <f>Расчёт!G423</f>
        <v>0</v>
      </c>
      <c r="I39" s="510">
        <f>Расчёт!H423</f>
        <v>0</v>
      </c>
      <c r="J39" s="528">
        <f>Расчёт!I423</f>
        <v>0</v>
      </c>
      <c r="K39" s="524">
        <f t="shared" si="2"/>
        <v>0</v>
      </c>
      <c r="L39" s="2"/>
      <c r="M39" s="2"/>
      <c r="N39" s="2"/>
      <c r="O39" s="2"/>
      <c r="P39" s="2"/>
      <c r="Q39" s="2"/>
      <c r="R39" s="2"/>
      <c r="S39" s="2"/>
      <c r="T39" s="2"/>
      <c r="U39" s="2"/>
      <c r="V39" s="154">
        <f t="shared" si="0"/>
        <v>0</v>
      </c>
      <c r="W39" s="2"/>
      <c r="X39" s="2"/>
      <c r="Y39" s="2"/>
      <c r="Z39" s="155">
        <f t="shared" si="1"/>
        <v>0</v>
      </c>
      <c r="AA39" s="2"/>
      <c r="AB39" s="2"/>
      <c r="AC39" s="2"/>
      <c r="AD39" s="2"/>
      <c r="AE39" s="2"/>
      <c r="AF39" s="2"/>
      <c r="AG39" s="2"/>
      <c r="AH39" s="2"/>
    </row>
    <row r="40" spans="1:34" ht="15" customHeight="1" x14ac:dyDescent="0.2">
      <c r="A40" s="2"/>
      <c r="B40" s="493" t="str">
        <f>Расчёт!B424</f>
        <v>ЧАЙ</v>
      </c>
      <c r="C40" s="530" t="s">
        <v>163</v>
      </c>
      <c r="D40" s="640">
        <f>Цены!D40</f>
        <v>0</v>
      </c>
      <c r="E40" s="672">
        <v>0</v>
      </c>
      <c r="F40" s="495">
        <v>0</v>
      </c>
      <c r="G40" s="496">
        <v>0</v>
      </c>
      <c r="H40" s="539">
        <f>Расчёт!G424</f>
        <v>0</v>
      </c>
      <c r="I40" s="540">
        <f>Расчёт!H424</f>
        <v>0</v>
      </c>
      <c r="J40" s="541">
        <f>Расчёт!I424</f>
        <v>0</v>
      </c>
      <c r="K40" s="542">
        <f t="shared" si="2"/>
        <v>0</v>
      </c>
      <c r="L40" s="2"/>
      <c r="M40" s="2"/>
      <c r="N40" s="2"/>
      <c r="O40" s="2"/>
      <c r="P40" s="2"/>
      <c r="Q40" s="2"/>
      <c r="R40" s="2"/>
      <c r="S40" s="2"/>
      <c r="T40" s="2"/>
      <c r="U40" s="2"/>
      <c r="V40" s="154">
        <f t="shared" si="0"/>
        <v>0</v>
      </c>
      <c r="W40" s="2"/>
      <c r="X40" s="2"/>
      <c r="Y40" s="2"/>
      <c r="Z40" s="155">
        <f t="shared" si="1"/>
        <v>0</v>
      </c>
      <c r="AA40" s="2"/>
      <c r="AB40" s="2"/>
      <c r="AC40" s="2"/>
      <c r="AD40" s="2"/>
      <c r="AE40" s="2"/>
      <c r="AF40" s="2"/>
      <c r="AG40" s="2"/>
      <c r="AH40" s="2"/>
    </row>
    <row r="41" spans="1:34" ht="15" customHeight="1" x14ac:dyDescent="0.2">
      <c r="A41" s="2"/>
      <c r="B41" s="493" t="str">
        <f>Расчёт!B425</f>
        <v>КОФЕ НАТУРАЛЬНЫЙ</v>
      </c>
      <c r="C41" s="530" t="s">
        <v>163</v>
      </c>
      <c r="D41" s="640">
        <f>Цены!D41</f>
        <v>0</v>
      </c>
      <c r="E41" s="672">
        <v>0</v>
      </c>
      <c r="F41" s="495">
        <v>0</v>
      </c>
      <c r="G41" s="496">
        <v>0</v>
      </c>
      <c r="H41" s="539">
        <f>Расчёт!G425</f>
        <v>0</v>
      </c>
      <c r="I41" s="540">
        <f>Расчёт!H425</f>
        <v>0</v>
      </c>
      <c r="J41" s="541">
        <f>Расчёт!I425</f>
        <v>0</v>
      </c>
      <c r="K41" s="542">
        <f t="shared" si="2"/>
        <v>0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154">
        <f t="shared" si="0"/>
        <v>0</v>
      </c>
      <c r="W41" s="2"/>
      <c r="X41" s="2"/>
      <c r="Y41" s="2"/>
      <c r="Z41" s="155">
        <f t="shared" si="1"/>
        <v>0</v>
      </c>
      <c r="AA41" s="2"/>
      <c r="AB41" s="2"/>
      <c r="AC41" s="2"/>
      <c r="AD41" s="2"/>
      <c r="AE41" s="2"/>
      <c r="AF41" s="2"/>
      <c r="AG41" s="2"/>
      <c r="AH41" s="2"/>
    </row>
    <row r="42" spans="1:34" ht="15" customHeight="1" x14ac:dyDescent="0.2">
      <c r="A42" s="2"/>
      <c r="B42" s="493" t="str">
        <f>Расчёт!B426</f>
        <v>КОФЕЙНЫЙ НАПИТОК</v>
      </c>
      <c r="C42" s="530" t="s">
        <v>163</v>
      </c>
      <c r="D42" s="640">
        <f>Цены!D42</f>
        <v>0</v>
      </c>
      <c r="E42" s="672">
        <v>0</v>
      </c>
      <c r="F42" s="495">
        <v>0</v>
      </c>
      <c r="G42" s="496">
        <v>0</v>
      </c>
      <c r="H42" s="539">
        <f>Расчёт!G426</f>
        <v>0</v>
      </c>
      <c r="I42" s="540">
        <f>Расчёт!H426</f>
        <v>0</v>
      </c>
      <c r="J42" s="541">
        <f>Расчёт!I426</f>
        <v>0</v>
      </c>
      <c r="K42" s="542">
        <f>E42+F42+G42+H42+I42+J42</f>
        <v>0</v>
      </c>
      <c r="L42" s="2"/>
      <c r="M42" s="2"/>
      <c r="N42" s="2"/>
      <c r="O42" s="2"/>
      <c r="P42" s="2"/>
      <c r="Q42" s="2"/>
      <c r="R42" s="2"/>
      <c r="S42" s="2"/>
      <c r="T42" s="2"/>
      <c r="U42" s="2"/>
      <c r="V42" s="154"/>
      <c r="W42" s="2"/>
      <c r="X42" s="2"/>
      <c r="Y42" s="2"/>
      <c r="Z42" s="155">
        <f t="shared" si="1"/>
        <v>0</v>
      </c>
      <c r="AA42" s="2"/>
      <c r="AB42" s="2"/>
      <c r="AC42" s="2"/>
      <c r="AD42" s="2"/>
      <c r="AE42" s="2"/>
      <c r="AF42" s="2"/>
      <c r="AG42" s="2"/>
      <c r="AH42" s="2"/>
    </row>
    <row r="43" spans="1:34" ht="15" customHeight="1" x14ac:dyDescent="0.2">
      <c r="A43" s="2"/>
      <c r="B43" s="493" t="str">
        <f>Расчёт!B427</f>
        <v>ЛАВРОВЫЙ ЛИСТ</v>
      </c>
      <c r="C43" s="530" t="s">
        <v>163</v>
      </c>
      <c r="D43" s="640">
        <f>Цены!D43</f>
        <v>0</v>
      </c>
      <c r="E43" s="672">
        <v>0</v>
      </c>
      <c r="F43" s="495">
        <v>0</v>
      </c>
      <c r="G43" s="496">
        <v>0</v>
      </c>
      <c r="H43" s="539">
        <f>Расчёт!G427</f>
        <v>0</v>
      </c>
      <c r="I43" s="540">
        <f>Расчёт!H427</f>
        <v>0</v>
      </c>
      <c r="J43" s="541">
        <f>Расчёт!I427</f>
        <v>0</v>
      </c>
      <c r="K43" s="542">
        <f t="shared" si="2"/>
        <v>0</v>
      </c>
      <c r="L43" s="2"/>
      <c r="M43" s="2"/>
      <c r="N43" s="2"/>
      <c r="O43" s="2"/>
      <c r="P43" s="2"/>
      <c r="Q43" s="2"/>
      <c r="R43" s="2"/>
      <c r="S43" s="2"/>
      <c r="T43" s="2"/>
      <c r="U43" s="2"/>
      <c r="V43" s="154">
        <f t="shared" si="0"/>
        <v>0</v>
      </c>
      <c r="W43" s="2"/>
      <c r="X43" s="2"/>
      <c r="Y43" s="2"/>
      <c r="Z43" s="155">
        <f t="shared" si="1"/>
        <v>0</v>
      </c>
      <c r="AA43" s="2"/>
      <c r="AB43" s="2"/>
      <c r="AC43" s="2"/>
      <c r="AD43" s="2"/>
      <c r="AE43" s="2"/>
      <c r="AF43" s="2"/>
      <c r="AG43" s="2"/>
      <c r="AH43" s="2"/>
    </row>
    <row r="44" spans="1:34" ht="15" customHeight="1" x14ac:dyDescent="0.2">
      <c r="A44" s="2"/>
      <c r="B44" s="493" t="str">
        <f>Расчёт!B428</f>
        <v>ПЕРЕЦ</v>
      </c>
      <c r="C44" s="543" t="s">
        <v>163</v>
      </c>
      <c r="D44" s="640">
        <f>Цены!D44</f>
        <v>0</v>
      </c>
      <c r="E44" s="672">
        <v>0</v>
      </c>
      <c r="F44" s="495">
        <v>0</v>
      </c>
      <c r="G44" s="496">
        <v>0</v>
      </c>
      <c r="H44" s="544">
        <f>Расчёт!G428</f>
        <v>0</v>
      </c>
      <c r="I44" s="545">
        <f>Расчёт!H428</f>
        <v>0</v>
      </c>
      <c r="J44" s="546">
        <f>Расчёт!I428</f>
        <v>0</v>
      </c>
      <c r="K44" s="547">
        <f t="shared" si="2"/>
        <v>0</v>
      </c>
      <c r="L44" s="2"/>
      <c r="M44" s="2"/>
      <c r="N44" s="2"/>
      <c r="O44" s="2"/>
      <c r="P44" s="2"/>
      <c r="Q44" s="2"/>
      <c r="R44" s="2"/>
      <c r="S44" s="2"/>
      <c r="T44" s="2"/>
      <c r="U44" s="2"/>
      <c r="V44" s="154">
        <f t="shared" si="0"/>
        <v>0</v>
      </c>
      <c r="W44" s="2"/>
      <c r="X44" s="2"/>
      <c r="Y44" s="2"/>
      <c r="Z44" s="155">
        <f t="shared" si="1"/>
        <v>0</v>
      </c>
      <c r="AA44" s="2"/>
      <c r="AB44" s="2"/>
      <c r="AC44" s="2"/>
      <c r="AD44" s="2"/>
      <c r="AE44" s="2"/>
      <c r="AF44" s="2"/>
      <c r="AG44" s="2"/>
      <c r="AH44" s="2"/>
    </row>
    <row r="45" spans="1:34" ht="15" customHeight="1" x14ac:dyDescent="0.2">
      <c r="A45" s="2"/>
      <c r="B45" s="493" t="str">
        <f>Расчёт!B429</f>
        <v>ГОРЧИЧНЫЙ ПОРОШОК</v>
      </c>
      <c r="C45" s="530" t="s">
        <v>163</v>
      </c>
      <c r="D45" s="640">
        <f>Цены!D45</f>
        <v>0</v>
      </c>
      <c r="E45" s="672">
        <v>0</v>
      </c>
      <c r="F45" s="495">
        <v>0</v>
      </c>
      <c r="G45" s="496">
        <v>0</v>
      </c>
      <c r="H45" s="539">
        <f>Расчёт!G429</f>
        <v>0</v>
      </c>
      <c r="I45" s="540">
        <f>Расчёт!H429</f>
        <v>0</v>
      </c>
      <c r="J45" s="541">
        <f>Расчёт!I429</f>
        <v>0</v>
      </c>
      <c r="K45" s="542">
        <f t="shared" si="2"/>
        <v>0</v>
      </c>
      <c r="L45" s="2"/>
      <c r="M45" s="2"/>
      <c r="N45" s="2"/>
      <c r="O45" s="2"/>
      <c r="P45" s="2"/>
      <c r="Q45" s="2"/>
      <c r="R45" s="2"/>
      <c r="S45" s="2"/>
      <c r="T45" s="2"/>
      <c r="U45" s="2"/>
      <c r="V45" s="154">
        <f t="shared" si="0"/>
        <v>0</v>
      </c>
      <c r="W45" s="2"/>
      <c r="X45" s="2"/>
      <c r="Y45" s="2"/>
      <c r="Z45" s="155">
        <f t="shared" si="1"/>
        <v>0</v>
      </c>
      <c r="AA45" s="2"/>
      <c r="AB45" s="2"/>
      <c r="AC45" s="2"/>
      <c r="AD45" s="2"/>
      <c r="AE45" s="2"/>
      <c r="AF45" s="2"/>
      <c r="AG45" s="2"/>
      <c r="AH45" s="2"/>
    </row>
    <row r="46" spans="1:34" ht="15" customHeight="1" x14ac:dyDescent="0.2">
      <c r="A46" s="2"/>
      <c r="B46" s="493" t="str">
        <f>Расчёт!B430</f>
        <v>УКСУС</v>
      </c>
      <c r="C46" s="543" t="s">
        <v>163</v>
      </c>
      <c r="D46" s="640">
        <f>Цены!D46</f>
        <v>0</v>
      </c>
      <c r="E46" s="672">
        <v>0</v>
      </c>
      <c r="F46" s="495">
        <v>0</v>
      </c>
      <c r="G46" s="496">
        <v>0</v>
      </c>
      <c r="H46" s="544">
        <f>Расчёт!G430</f>
        <v>0</v>
      </c>
      <c r="I46" s="545">
        <f>Расчёт!H430</f>
        <v>0</v>
      </c>
      <c r="J46" s="546">
        <f>Расчёт!I430</f>
        <v>0</v>
      </c>
      <c r="K46" s="547">
        <f t="shared" si="2"/>
        <v>0</v>
      </c>
      <c r="L46" s="2"/>
      <c r="M46" s="2"/>
      <c r="N46" s="2"/>
      <c r="O46" s="2"/>
      <c r="P46" s="2"/>
      <c r="Q46" s="2"/>
      <c r="R46" s="2"/>
      <c r="S46" s="2"/>
      <c r="T46" s="2"/>
      <c r="U46" s="2"/>
      <c r="V46" s="154">
        <f t="shared" si="0"/>
        <v>0</v>
      </c>
      <c r="W46" s="2"/>
      <c r="X46" s="2"/>
      <c r="Y46" s="2"/>
      <c r="Z46" s="155">
        <f t="shared" si="1"/>
        <v>0</v>
      </c>
      <c r="AA46" s="2"/>
      <c r="AB46" s="2"/>
      <c r="AC46" s="2"/>
      <c r="AD46" s="2"/>
      <c r="AE46" s="2"/>
      <c r="AF46" s="2"/>
      <c r="AG46" s="2"/>
      <c r="AH46" s="2"/>
    </row>
    <row r="47" spans="1:34" ht="15" customHeight="1" x14ac:dyDescent="0.2">
      <c r="A47" s="2"/>
      <c r="B47" s="493" t="str">
        <f>Расчёт!B431</f>
        <v>ТОМАТНАЯ ПАСТА</v>
      </c>
      <c r="C47" s="530" t="s">
        <v>163</v>
      </c>
      <c r="D47" s="640">
        <f>Цены!D47</f>
        <v>0</v>
      </c>
      <c r="E47" s="672">
        <v>0</v>
      </c>
      <c r="F47" s="495">
        <v>0</v>
      </c>
      <c r="G47" s="496">
        <v>0</v>
      </c>
      <c r="H47" s="539">
        <f>Расчёт!G431</f>
        <v>0</v>
      </c>
      <c r="I47" s="540">
        <f>Расчёт!H431</f>
        <v>0</v>
      </c>
      <c r="J47" s="541">
        <f>Расчёт!I431</f>
        <v>0</v>
      </c>
      <c r="K47" s="542">
        <f t="shared" si="2"/>
        <v>0</v>
      </c>
      <c r="L47" s="2"/>
      <c r="M47" s="2"/>
      <c r="N47" s="2"/>
      <c r="O47" s="2"/>
      <c r="P47" s="2"/>
      <c r="Q47" s="2"/>
      <c r="R47" s="2"/>
      <c r="S47" s="2"/>
      <c r="T47" s="2"/>
      <c r="U47" s="2"/>
      <c r="V47" s="154">
        <f t="shared" si="0"/>
        <v>0</v>
      </c>
      <c r="W47" s="2"/>
      <c r="X47" s="2"/>
      <c r="Y47" s="2"/>
      <c r="Z47" s="155">
        <f t="shared" si="1"/>
        <v>0</v>
      </c>
      <c r="AA47" s="2"/>
      <c r="AB47" s="2"/>
      <c r="AC47" s="2"/>
      <c r="AD47" s="2"/>
      <c r="AE47" s="2"/>
      <c r="AF47" s="2"/>
      <c r="AG47" s="2"/>
      <c r="AH47" s="2"/>
    </row>
    <row r="48" spans="1:34" ht="15" customHeight="1" x14ac:dyDescent="0.2">
      <c r="A48" s="2"/>
      <c r="B48" s="493" t="str">
        <f>Расчёт!B432</f>
        <v>КАРАМЕЛЬ</v>
      </c>
      <c r="C48" s="530" t="s">
        <v>163</v>
      </c>
      <c r="D48" s="640">
        <f>Цены!D48</f>
        <v>0</v>
      </c>
      <c r="E48" s="672">
        <v>0</v>
      </c>
      <c r="F48" s="495">
        <v>0</v>
      </c>
      <c r="G48" s="496">
        <v>0</v>
      </c>
      <c r="H48" s="539">
        <f>Расчёт!G432+IF(AND(X1=7,'Блок ввода'!Z26=1),X2,0)</f>
        <v>0</v>
      </c>
      <c r="I48" s="540">
        <f>Расчёт!H432</f>
        <v>0</v>
      </c>
      <c r="J48" s="541">
        <f>Расчёт!I432+IF(AND(X1=8,'Блок ввода'!Z26=1),X2,0)</f>
        <v>0</v>
      </c>
      <c r="K48" s="542">
        <f t="shared" si="2"/>
        <v>0</v>
      </c>
      <c r="L48" s="2"/>
      <c r="M48" s="2"/>
      <c r="N48" s="2"/>
      <c r="O48" s="2"/>
      <c r="P48" s="2"/>
      <c r="Q48" s="2"/>
      <c r="R48" s="2"/>
      <c r="S48" s="2"/>
      <c r="T48" s="2"/>
      <c r="U48" s="2"/>
      <c r="V48" s="154">
        <f t="shared" si="0"/>
        <v>0</v>
      </c>
      <c r="W48" s="2"/>
      <c r="X48" s="2"/>
      <c r="Y48" s="2"/>
      <c r="Z48" s="155">
        <f t="shared" si="1"/>
        <v>0</v>
      </c>
      <c r="AA48" s="2"/>
      <c r="AB48" s="2"/>
      <c r="AC48" s="2"/>
      <c r="AD48" s="2"/>
      <c r="AE48" s="2"/>
      <c r="AF48" s="2"/>
      <c r="AG48" s="2"/>
      <c r="AH48" s="2"/>
    </row>
    <row r="49" spans="1:34" ht="15" customHeight="1" x14ac:dyDescent="0.2">
      <c r="A49" s="2"/>
      <c r="B49" s="493" t="str">
        <f>Расчёт!B433</f>
        <v>ЖЕЛАТИН</v>
      </c>
      <c r="C49" s="543" t="s">
        <v>163</v>
      </c>
      <c r="D49" s="640">
        <f>Цены!D49</f>
        <v>0</v>
      </c>
      <c r="E49" s="672">
        <v>0</v>
      </c>
      <c r="F49" s="495">
        <v>0</v>
      </c>
      <c r="G49" s="496">
        <v>0</v>
      </c>
      <c r="H49" s="539">
        <f>Расчёт!G433</f>
        <v>0</v>
      </c>
      <c r="I49" s="540">
        <f>Расчёт!H433</f>
        <v>0</v>
      </c>
      <c r="J49" s="541">
        <f>Расчёт!I433</f>
        <v>0</v>
      </c>
      <c r="K49" s="542">
        <f t="shared" si="2"/>
        <v>0</v>
      </c>
      <c r="L49" s="2"/>
      <c r="M49" s="2"/>
      <c r="N49" s="2"/>
      <c r="O49" s="2"/>
      <c r="P49" s="2"/>
      <c r="Q49" s="2"/>
      <c r="R49" s="2"/>
      <c r="S49" s="2"/>
      <c r="T49" s="2"/>
      <c r="U49" s="2"/>
      <c r="V49" s="154">
        <f t="shared" si="0"/>
        <v>0</v>
      </c>
      <c r="W49" s="2"/>
      <c r="X49" s="2"/>
      <c r="Y49" s="2"/>
      <c r="Z49" s="155">
        <f t="shared" si="1"/>
        <v>0</v>
      </c>
      <c r="AA49" s="2"/>
      <c r="AB49" s="2"/>
      <c r="AC49" s="2"/>
      <c r="AD49" s="2"/>
      <c r="AE49" s="2"/>
      <c r="AF49" s="2"/>
      <c r="AG49" s="2"/>
      <c r="AH49" s="2"/>
    </row>
    <row r="50" spans="1:34" ht="15" customHeight="1" thickBot="1" x14ac:dyDescent="0.25">
      <c r="A50" s="2"/>
      <c r="B50" s="548" t="str">
        <f>Расчёт!B434</f>
        <v>ДРОЖЖИ ПРЕСОВАННЫЕ</v>
      </c>
      <c r="C50" s="549" t="s">
        <v>163</v>
      </c>
      <c r="D50" s="1244">
        <f>Цены!D50</f>
        <v>0</v>
      </c>
      <c r="E50" s="1247">
        <v>0</v>
      </c>
      <c r="F50" s="502">
        <v>0</v>
      </c>
      <c r="G50" s="503">
        <v>0</v>
      </c>
      <c r="H50" s="550">
        <f>Расчёт!G434</f>
        <v>0</v>
      </c>
      <c r="I50" s="551">
        <f>Расчёт!H434</f>
        <v>0</v>
      </c>
      <c r="J50" s="552">
        <f>Расчёт!I434</f>
        <v>0</v>
      </c>
      <c r="K50" s="553">
        <f t="shared" si="2"/>
        <v>0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154">
        <f t="shared" si="0"/>
        <v>0</v>
      </c>
      <c r="W50" s="2"/>
      <c r="X50" s="2"/>
      <c r="Y50" s="2"/>
      <c r="Z50" s="155">
        <f t="shared" si="1"/>
        <v>0</v>
      </c>
      <c r="AA50" s="2"/>
      <c r="AB50" s="2"/>
      <c r="AC50" s="2"/>
      <c r="AD50" s="2"/>
      <c r="AE50" s="2"/>
      <c r="AF50" s="2"/>
      <c r="AG50" s="2"/>
      <c r="AH50" s="2"/>
    </row>
    <row r="51" spans="1:34" ht="15" customHeight="1" x14ac:dyDescent="0.2">
      <c r="A51" s="2"/>
      <c r="B51" s="521" t="str">
        <f>Расчёт!B435</f>
        <v>КАРТОФЕЛЬ</v>
      </c>
      <c r="C51" s="527" t="s">
        <v>163</v>
      </c>
      <c r="D51" s="506">
        <f>Цены!D51</f>
        <v>0</v>
      </c>
      <c r="E51" s="507">
        <v>0</v>
      </c>
      <c r="F51" s="507">
        <v>0</v>
      </c>
      <c r="G51" s="507">
        <v>0</v>
      </c>
      <c r="H51" s="554">
        <f>Расчёт!G435</f>
        <v>0</v>
      </c>
      <c r="I51" s="555">
        <f>Расчёт!H435</f>
        <v>0</v>
      </c>
      <c r="J51" s="556">
        <f>Расчёт!I435</f>
        <v>0</v>
      </c>
      <c r="K51" s="557">
        <f t="shared" si="2"/>
        <v>0</v>
      </c>
      <c r="L51" s="2"/>
      <c r="M51" s="2"/>
      <c r="N51" s="2"/>
      <c r="O51" s="2"/>
      <c r="P51" s="2"/>
      <c r="Q51" s="2"/>
      <c r="R51" s="2"/>
      <c r="S51" s="2"/>
      <c r="T51" s="2"/>
      <c r="U51" s="2"/>
      <c r="V51" s="154">
        <f t="shared" si="0"/>
        <v>0</v>
      </c>
      <c r="W51" s="2"/>
      <c r="X51" s="2"/>
      <c r="Y51" s="2"/>
      <c r="Z51" s="155">
        <f t="shared" si="1"/>
        <v>0</v>
      </c>
      <c r="AA51" s="2"/>
      <c r="AB51" s="2"/>
      <c r="AC51" s="2"/>
      <c r="AD51" s="2"/>
      <c r="AE51" s="2"/>
      <c r="AF51" s="2"/>
      <c r="AG51" s="2"/>
      <c r="AH51" s="2"/>
    </row>
    <row r="52" spans="1:34" ht="15" customHeight="1" x14ac:dyDescent="0.2">
      <c r="A52" s="2"/>
      <c r="B52" s="523" t="str">
        <f>Расчёт!B436</f>
        <v xml:space="preserve">КАПУСТА  </v>
      </c>
      <c r="C52" s="530" t="s">
        <v>163</v>
      </c>
      <c r="D52" s="640">
        <f>Цены!D52</f>
        <v>0</v>
      </c>
      <c r="E52" s="488">
        <v>0</v>
      </c>
      <c r="F52" s="488">
        <v>0</v>
      </c>
      <c r="G52" s="488">
        <v>0</v>
      </c>
      <c r="H52" s="558">
        <f>Расчёт!G436</f>
        <v>0</v>
      </c>
      <c r="I52" s="559">
        <f>Расчёт!H436</f>
        <v>0</v>
      </c>
      <c r="J52" s="560">
        <f>Расчёт!I436</f>
        <v>0</v>
      </c>
      <c r="K52" s="561">
        <f t="shared" si="2"/>
        <v>0</v>
      </c>
      <c r="L52" s="2"/>
      <c r="M52" s="2"/>
      <c r="N52" s="2"/>
      <c r="O52" s="2"/>
      <c r="P52" s="2"/>
      <c r="Q52" s="2"/>
      <c r="R52" s="2"/>
      <c r="S52" s="2"/>
      <c r="T52" s="2"/>
      <c r="U52" s="2"/>
      <c r="V52" s="154">
        <f t="shared" si="0"/>
        <v>0</v>
      </c>
      <c r="W52" s="2"/>
      <c r="X52" s="2"/>
      <c r="Y52" s="2"/>
      <c r="Z52" s="155">
        <f t="shared" si="1"/>
        <v>0</v>
      </c>
      <c r="AA52" s="2"/>
      <c r="AB52" s="2"/>
      <c r="AC52" s="2"/>
      <c r="AD52" s="2"/>
      <c r="AE52" s="2"/>
      <c r="AF52" s="2"/>
      <c r="AG52" s="2"/>
      <c r="AH52" s="2"/>
    </row>
    <row r="53" spans="1:34" ht="15" customHeight="1" x14ac:dyDescent="0.2">
      <c r="A53" s="2"/>
      <c r="B53" s="523" t="str">
        <f>Расчёт!B437</f>
        <v>СВЕКЛА</v>
      </c>
      <c r="C53" s="530" t="s">
        <v>163</v>
      </c>
      <c r="D53" s="640">
        <f>Цены!D53</f>
        <v>0</v>
      </c>
      <c r="E53" s="488">
        <v>0</v>
      </c>
      <c r="F53" s="488">
        <v>0</v>
      </c>
      <c r="G53" s="488">
        <v>0</v>
      </c>
      <c r="H53" s="558">
        <f>Расчёт!G437</f>
        <v>0</v>
      </c>
      <c r="I53" s="562">
        <f>Расчёт!H437</f>
        <v>0</v>
      </c>
      <c r="J53" s="560">
        <f>Расчёт!I437</f>
        <v>0</v>
      </c>
      <c r="K53" s="561">
        <f t="shared" si="2"/>
        <v>0</v>
      </c>
      <c r="L53" s="2"/>
      <c r="M53" s="2"/>
      <c r="N53" s="2"/>
      <c r="O53" s="2"/>
      <c r="P53" s="2"/>
      <c r="Q53" s="2"/>
      <c r="R53" s="2"/>
      <c r="S53" s="2"/>
      <c r="T53" s="2"/>
      <c r="U53" s="2"/>
      <c r="V53" s="154">
        <f t="shared" si="0"/>
        <v>0</v>
      </c>
      <c r="W53" s="2"/>
      <c r="X53" s="2"/>
      <c r="Y53" s="2"/>
      <c r="Z53" s="155">
        <f t="shared" si="1"/>
        <v>0</v>
      </c>
      <c r="AA53" s="2"/>
      <c r="AB53" s="2"/>
      <c r="AC53" s="2"/>
      <c r="AD53" s="2"/>
      <c r="AE53" s="2"/>
      <c r="AF53" s="2"/>
      <c r="AG53" s="2"/>
      <c r="AH53" s="2"/>
    </row>
    <row r="54" spans="1:34" ht="15" customHeight="1" x14ac:dyDescent="0.2">
      <c r="A54" s="2"/>
      <c r="B54" s="523" t="str">
        <f>Расчёт!B438</f>
        <v>МОРКОВЬ</v>
      </c>
      <c r="C54" s="530" t="s">
        <v>163</v>
      </c>
      <c r="D54" s="640">
        <f>Цены!D54</f>
        <v>0</v>
      </c>
      <c r="E54" s="488">
        <v>0</v>
      </c>
      <c r="F54" s="488">
        <v>0</v>
      </c>
      <c r="G54" s="488">
        <v>0</v>
      </c>
      <c r="H54" s="558">
        <f>Расчёт!G438</f>
        <v>0</v>
      </c>
      <c r="I54" s="562">
        <f>Расчёт!H438</f>
        <v>0</v>
      </c>
      <c r="J54" s="560">
        <f>Расчёт!I438</f>
        <v>0</v>
      </c>
      <c r="K54" s="561">
        <f t="shared" si="2"/>
        <v>0</v>
      </c>
      <c r="L54" s="2"/>
      <c r="M54" s="2"/>
      <c r="N54" s="2"/>
      <c r="O54" s="2"/>
      <c r="P54" s="2"/>
      <c r="Q54" s="2"/>
      <c r="R54" s="2"/>
      <c r="S54" s="2"/>
      <c r="T54" s="2"/>
      <c r="U54" s="2"/>
      <c r="V54" s="154">
        <f t="shared" si="0"/>
        <v>0</v>
      </c>
      <c r="W54" s="2"/>
      <c r="X54" s="2"/>
      <c r="Y54" s="2"/>
      <c r="Z54" s="155">
        <f t="shared" si="1"/>
        <v>0</v>
      </c>
      <c r="AA54" s="2"/>
      <c r="AB54" s="2"/>
      <c r="AC54" s="2"/>
      <c r="AD54" s="2"/>
      <c r="AE54" s="2"/>
      <c r="AF54" s="2"/>
      <c r="AG54" s="2"/>
      <c r="AH54" s="2"/>
    </row>
    <row r="55" spans="1:34" ht="15" customHeight="1" x14ac:dyDescent="0.2">
      <c r="A55" s="2"/>
      <c r="B55" s="523" t="str">
        <f>Расчёт!B439</f>
        <v>ЛУК РЕПЧАТЫЙ</v>
      </c>
      <c r="C55" s="530" t="s">
        <v>163</v>
      </c>
      <c r="D55" s="640">
        <f>Цены!D55</f>
        <v>0</v>
      </c>
      <c r="E55" s="488">
        <v>0</v>
      </c>
      <c r="F55" s="488">
        <v>0</v>
      </c>
      <c r="G55" s="488">
        <v>0</v>
      </c>
      <c r="H55" s="558">
        <f>Расчёт!G439</f>
        <v>0</v>
      </c>
      <c r="I55" s="562">
        <f>Расчёт!H439</f>
        <v>0</v>
      </c>
      <c r="J55" s="560">
        <f>Расчёт!I439</f>
        <v>0</v>
      </c>
      <c r="K55" s="561">
        <f t="shared" si="2"/>
        <v>0</v>
      </c>
      <c r="L55" s="2"/>
      <c r="M55" s="2"/>
      <c r="N55" s="2"/>
      <c r="O55" s="2"/>
      <c r="P55" s="2"/>
      <c r="Q55" s="2"/>
      <c r="R55" s="2"/>
      <c r="S55" s="2"/>
      <c r="T55" s="2"/>
      <c r="U55" s="2"/>
      <c r="V55" s="154">
        <f t="shared" si="0"/>
        <v>0</v>
      </c>
      <c r="W55" s="2"/>
      <c r="X55" s="2"/>
      <c r="Y55" s="2"/>
      <c r="Z55" s="155">
        <f t="shared" si="1"/>
        <v>0</v>
      </c>
      <c r="AA55" s="2"/>
      <c r="AB55" s="2"/>
      <c r="AC55" s="2"/>
      <c r="AD55" s="2"/>
      <c r="AE55" s="2"/>
      <c r="AF55" s="2"/>
      <c r="AG55" s="2"/>
      <c r="AH55" s="2"/>
    </row>
    <row r="56" spans="1:34" ht="15" customHeight="1" x14ac:dyDescent="0.2">
      <c r="A56" s="2"/>
      <c r="B56" s="523" t="str">
        <f>Расчёт!B440</f>
        <v>ОГУРЦЫ СОЛЕНЫЕ</v>
      </c>
      <c r="C56" s="530" t="s">
        <v>163</v>
      </c>
      <c r="D56" s="640">
        <f>Цены!D56</f>
        <v>0</v>
      </c>
      <c r="E56" s="488">
        <v>0</v>
      </c>
      <c r="F56" s="488">
        <v>0</v>
      </c>
      <c r="G56" s="488">
        <v>0</v>
      </c>
      <c r="H56" s="558">
        <f>Расчёт!G440</f>
        <v>0</v>
      </c>
      <c r="I56" s="510">
        <f>Расчёт!H440</f>
        <v>0</v>
      </c>
      <c r="J56" s="528">
        <f>Расчёт!I440</f>
        <v>0</v>
      </c>
      <c r="K56" s="563">
        <f t="shared" si="2"/>
        <v>0</v>
      </c>
      <c r="L56" s="2"/>
      <c r="M56" s="2"/>
      <c r="N56" s="2"/>
      <c r="O56" s="2"/>
      <c r="P56" s="2"/>
      <c r="Q56" s="2"/>
      <c r="R56" s="2"/>
      <c r="S56" s="2"/>
      <c r="T56" s="2"/>
      <c r="U56" s="2"/>
      <c r="V56" s="154">
        <f t="shared" si="0"/>
        <v>0</v>
      </c>
      <c r="W56" s="2"/>
      <c r="X56" s="2"/>
      <c r="Y56" s="2"/>
      <c r="Z56" s="155">
        <f t="shared" si="1"/>
        <v>0</v>
      </c>
      <c r="AA56" s="2"/>
      <c r="AB56" s="2"/>
      <c r="AC56" s="2"/>
      <c r="AD56" s="2"/>
      <c r="AE56" s="2"/>
      <c r="AF56" s="2"/>
      <c r="AG56" s="2"/>
      <c r="AH56" s="2"/>
    </row>
    <row r="57" spans="1:34" ht="15" customHeight="1" x14ac:dyDescent="0.2">
      <c r="A57" s="2"/>
      <c r="B57" s="523" t="str">
        <f>Расчёт!B441</f>
        <v>ПОМИДОРЫ СОЛЁНЫЕ</v>
      </c>
      <c r="C57" s="530" t="s">
        <v>163</v>
      </c>
      <c r="D57" s="640">
        <f>Цены!D57</f>
        <v>0</v>
      </c>
      <c r="E57" s="488">
        <v>0</v>
      </c>
      <c r="F57" s="488">
        <v>0</v>
      </c>
      <c r="G57" s="488">
        <v>0</v>
      </c>
      <c r="H57" s="558">
        <f>Расчёт!G441</f>
        <v>0</v>
      </c>
      <c r="I57" s="510">
        <f>Расчёт!H441</f>
        <v>0</v>
      </c>
      <c r="J57" s="528">
        <f>Расчёт!I441</f>
        <v>0</v>
      </c>
      <c r="K57" s="563">
        <f t="shared" si="2"/>
        <v>0</v>
      </c>
      <c r="L57" s="2"/>
      <c r="M57" s="2"/>
      <c r="N57" s="2"/>
      <c r="O57" s="2"/>
      <c r="P57" s="2"/>
      <c r="Q57" s="2"/>
      <c r="R57" s="2"/>
      <c r="S57" s="2"/>
      <c r="T57" s="2"/>
      <c r="U57" s="2"/>
      <c r="V57" s="154">
        <f t="shared" si="0"/>
        <v>0</v>
      </c>
      <c r="W57" s="2"/>
      <c r="X57" s="2"/>
      <c r="Y57" s="2"/>
      <c r="Z57" s="155">
        <f t="shared" si="1"/>
        <v>0</v>
      </c>
      <c r="AA57" s="2"/>
      <c r="AB57" s="2"/>
      <c r="AC57" s="2"/>
      <c r="AD57" s="2"/>
      <c r="AE57" s="2"/>
      <c r="AF57" s="2"/>
      <c r="AG57" s="2"/>
      <c r="AH57" s="2"/>
    </row>
    <row r="58" spans="1:34" ht="15" customHeight="1" thickBot="1" x14ac:dyDescent="0.25">
      <c r="A58" s="2"/>
      <c r="B58" s="525" t="str">
        <f>Расчёт!B442</f>
        <v>КАБАЧКИ</v>
      </c>
      <c r="C58" s="549" t="s">
        <v>163</v>
      </c>
      <c r="D58" s="1244">
        <f>Цены!D58</f>
        <v>0</v>
      </c>
      <c r="E58" s="516">
        <v>0</v>
      </c>
      <c r="F58" s="516">
        <v>0</v>
      </c>
      <c r="G58" s="516">
        <v>0</v>
      </c>
      <c r="H58" s="564">
        <f>Расчёт!G442</f>
        <v>0</v>
      </c>
      <c r="I58" s="565">
        <f>Расчёт!H442</f>
        <v>0</v>
      </c>
      <c r="J58" s="566">
        <f>Расчёт!I442</f>
        <v>0</v>
      </c>
      <c r="K58" s="567">
        <f>E58+F58+G58+H58+I58+J58</f>
        <v>0</v>
      </c>
      <c r="L58" s="2"/>
      <c r="M58" s="2"/>
      <c r="N58" s="2"/>
      <c r="O58" s="2"/>
      <c r="P58" s="2"/>
      <c r="Q58" s="2"/>
      <c r="R58" s="2"/>
      <c r="S58" s="2"/>
      <c r="T58" s="2"/>
      <c r="U58" s="2"/>
      <c r="V58" s="154"/>
      <c r="W58" s="2"/>
      <c r="X58" s="2"/>
      <c r="Y58" s="2"/>
      <c r="Z58" s="155">
        <f t="shared" si="1"/>
        <v>0</v>
      </c>
      <c r="AA58" s="2"/>
      <c r="AB58" s="2"/>
      <c r="AC58" s="2"/>
      <c r="AD58" s="2"/>
      <c r="AE58" s="2"/>
      <c r="AF58" s="2"/>
      <c r="AG58" s="2"/>
      <c r="AH58" s="2"/>
    </row>
    <row r="59" spans="1:34" ht="15" customHeight="1" x14ac:dyDescent="0.2">
      <c r="A59" s="2"/>
      <c r="B59" s="505" t="str">
        <f>Расчёт!B443</f>
        <v>ФРУКТЫ СУШЁНЫЕ</v>
      </c>
      <c r="C59" s="527" t="s">
        <v>163</v>
      </c>
      <c r="D59" s="506">
        <f>Цены!D59</f>
        <v>0</v>
      </c>
      <c r="E59" s="507">
        <v>0</v>
      </c>
      <c r="F59" s="507">
        <v>0</v>
      </c>
      <c r="G59" s="508">
        <v>0</v>
      </c>
      <c r="H59" s="582">
        <f>Расчёт!G443</f>
        <v>0</v>
      </c>
      <c r="I59" s="580">
        <f>Расчёт!H443</f>
        <v>0</v>
      </c>
      <c r="J59" s="584">
        <f>Расчёт!I443</f>
        <v>0</v>
      </c>
      <c r="K59" s="529">
        <f t="shared" si="2"/>
        <v>0</v>
      </c>
      <c r="L59" s="2"/>
      <c r="M59" s="2"/>
      <c r="N59" s="2"/>
      <c r="O59" s="2"/>
      <c r="P59" s="2"/>
      <c r="Q59" s="2"/>
      <c r="R59" s="2"/>
      <c r="S59" s="2"/>
      <c r="T59" s="2"/>
      <c r="U59" s="2"/>
      <c r="V59" s="154">
        <f t="shared" si="0"/>
        <v>0</v>
      </c>
      <c r="W59" s="2"/>
      <c r="X59" s="2"/>
      <c r="Y59" s="2"/>
      <c r="Z59" s="155">
        <f t="shared" si="1"/>
        <v>0</v>
      </c>
      <c r="AA59" s="2"/>
      <c r="AB59" s="2"/>
      <c r="AC59" s="2"/>
      <c r="AD59" s="2"/>
      <c r="AE59" s="2"/>
      <c r="AF59" s="2"/>
      <c r="AG59" s="2"/>
      <c r="AH59" s="2"/>
    </row>
    <row r="60" spans="1:34" ht="15" customHeight="1" x14ac:dyDescent="0.2">
      <c r="A60" s="2"/>
      <c r="B60" s="570" t="str">
        <f>Расчёт!B444</f>
        <v>КИСЕЛЬ ПЛОДОВЫЙ ИЛИ ЯГОДНЫЙ</v>
      </c>
      <c r="C60" s="530" t="s">
        <v>163</v>
      </c>
      <c r="D60" s="640">
        <f>Цены!D60</f>
        <v>0</v>
      </c>
      <c r="E60" s="488">
        <v>0</v>
      </c>
      <c r="F60" s="488">
        <v>0</v>
      </c>
      <c r="G60" s="571">
        <v>0</v>
      </c>
      <c r="H60" s="509">
        <f>Расчёт!G444</f>
        <v>0</v>
      </c>
      <c r="I60" s="510">
        <f>Расчёт!H444</f>
        <v>0</v>
      </c>
      <c r="J60" s="511">
        <f>Расчёт!I444</f>
        <v>0</v>
      </c>
      <c r="K60" s="524">
        <f t="shared" si="2"/>
        <v>0</v>
      </c>
      <c r="L60" s="2"/>
      <c r="M60" s="2"/>
      <c r="N60" s="2"/>
      <c r="O60" s="2"/>
      <c r="P60" s="2"/>
      <c r="Q60" s="2"/>
      <c r="R60" s="2"/>
      <c r="S60" s="2"/>
      <c r="T60" s="2"/>
      <c r="U60" s="2"/>
      <c r="V60" s="154">
        <f t="shared" si="0"/>
        <v>0</v>
      </c>
      <c r="W60" s="2"/>
      <c r="X60" s="2"/>
      <c r="Y60" s="2"/>
      <c r="Z60" s="155">
        <f t="shared" si="1"/>
        <v>0</v>
      </c>
      <c r="AA60" s="2"/>
      <c r="AB60" s="2"/>
      <c r="AC60" s="2"/>
      <c r="AD60" s="2"/>
      <c r="AE60" s="2"/>
      <c r="AF60" s="2"/>
      <c r="AG60" s="2"/>
      <c r="AH60" s="2"/>
    </row>
    <row r="61" spans="1:34" ht="15" customHeight="1" x14ac:dyDescent="0.2">
      <c r="A61" s="2"/>
      <c r="B61" s="570" t="str">
        <f>Расчёт!B445</f>
        <v>АПЕЛЬСИНЫ</v>
      </c>
      <c r="C61" s="530" t="s">
        <v>163</v>
      </c>
      <c r="D61" s="640">
        <f>Цены!D61</f>
        <v>0</v>
      </c>
      <c r="E61" s="488">
        <v>0</v>
      </c>
      <c r="F61" s="488">
        <v>0</v>
      </c>
      <c r="G61" s="571">
        <v>0</v>
      </c>
      <c r="H61" s="568">
        <f>Расчёт!G445</f>
        <v>0</v>
      </c>
      <c r="I61" s="533">
        <f>Расчёт!H445</f>
        <v>0</v>
      </c>
      <c r="J61" s="569">
        <f>Расчёт!I445</f>
        <v>0</v>
      </c>
      <c r="K61" s="524">
        <f t="shared" si="2"/>
        <v>0</v>
      </c>
      <c r="L61" s="2"/>
      <c r="M61" s="2"/>
      <c r="N61" s="2"/>
      <c r="O61" s="2"/>
      <c r="P61" s="2"/>
      <c r="Q61" s="2"/>
      <c r="R61" s="2"/>
      <c r="S61" s="2"/>
      <c r="T61" s="2"/>
      <c r="U61" s="2"/>
      <c r="V61" s="154">
        <f t="shared" si="0"/>
        <v>0</v>
      </c>
      <c r="W61" s="2"/>
      <c r="X61" s="2"/>
      <c r="Y61" s="2"/>
      <c r="Z61" s="155">
        <f t="shared" si="1"/>
        <v>0</v>
      </c>
      <c r="AA61" s="2"/>
      <c r="AB61" s="2"/>
      <c r="AC61" s="2"/>
      <c r="AD61" s="2"/>
      <c r="AE61" s="2"/>
      <c r="AF61" s="2"/>
      <c r="AG61" s="2"/>
      <c r="AH61" s="2"/>
    </row>
    <row r="62" spans="1:34" ht="15" customHeight="1" x14ac:dyDescent="0.2">
      <c r="A62" s="2"/>
      <c r="B62" s="570" t="str">
        <f>Расчёт!B446</f>
        <v>СОК</v>
      </c>
      <c r="C62" s="530" t="s">
        <v>163</v>
      </c>
      <c r="D62" s="640">
        <f>Цены!D62</f>
        <v>0</v>
      </c>
      <c r="E62" s="488">
        <v>0</v>
      </c>
      <c r="F62" s="488">
        <v>0</v>
      </c>
      <c r="G62" s="571">
        <v>0</v>
      </c>
      <c r="H62" s="568">
        <f>Расчёт!G446</f>
        <v>0</v>
      </c>
      <c r="I62" s="533">
        <f>Расчёт!H446</f>
        <v>0</v>
      </c>
      <c r="J62" s="569">
        <f>Расчёт!I446</f>
        <v>0</v>
      </c>
      <c r="K62" s="524">
        <f t="shared" si="2"/>
        <v>0</v>
      </c>
      <c r="L62" s="2"/>
      <c r="M62" s="2"/>
      <c r="N62" s="2"/>
      <c r="O62" s="2"/>
      <c r="P62" s="2"/>
      <c r="Q62" s="2"/>
      <c r="R62" s="2"/>
      <c r="S62" s="2"/>
      <c r="T62" s="2"/>
      <c r="U62" s="2"/>
      <c r="V62" s="154">
        <f t="shared" si="0"/>
        <v>0</v>
      </c>
      <c r="W62" s="2"/>
      <c r="X62" s="2"/>
      <c r="Y62" s="2"/>
      <c r="Z62" s="155">
        <f t="shared" si="1"/>
        <v>0</v>
      </c>
      <c r="AA62" s="2"/>
      <c r="AB62" s="2"/>
      <c r="AC62" s="2"/>
      <c r="AD62" s="2"/>
      <c r="AE62" s="2"/>
      <c r="AF62" s="2"/>
      <c r="AG62" s="2"/>
      <c r="AH62" s="2"/>
    </row>
    <row r="63" spans="1:34" ht="15" customHeight="1" x14ac:dyDescent="0.2">
      <c r="A63" s="2"/>
      <c r="B63" s="570" t="str">
        <f>Расчёт!B447</f>
        <v>ПОВИДЛО, ВАРЕНЬЕ</v>
      </c>
      <c r="C63" s="530" t="s">
        <v>163</v>
      </c>
      <c r="D63" s="640">
        <f>Цены!D63</f>
        <v>0</v>
      </c>
      <c r="E63" s="488">
        <v>0</v>
      </c>
      <c r="F63" s="488">
        <v>0</v>
      </c>
      <c r="G63" s="571">
        <v>0</v>
      </c>
      <c r="H63" s="568">
        <f>Расчёт!G447</f>
        <v>0</v>
      </c>
      <c r="I63" s="533">
        <f>Расчёт!H447</f>
        <v>0</v>
      </c>
      <c r="J63" s="569">
        <f>Расчёт!I447</f>
        <v>0</v>
      </c>
      <c r="K63" s="524">
        <f t="shared" si="2"/>
        <v>0</v>
      </c>
      <c r="L63" s="2"/>
      <c r="M63" s="2"/>
      <c r="N63" s="2"/>
      <c r="O63" s="2"/>
      <c r="P63" s="2"/>
      <c r="Q63" s="2"/>
      <c r="R63" s="2"/>
      <c r="S63" s="2"/>
      <c r="T63" s="2"/>
      <c r="U63" s="2"/>
      <c r="V63" s="154">
        <f t="shared" si="0"/>
        <v>0</v>
      </c>
      <c r="W63" s="2"/>
      <c r="X63" s="2"/>
      <c r="Y63" s="2"/>
      <c r="Z63" s="155">
        <f t="shared" si="1"/>
        <v>0</v>
      </c>
      <c r="AA63" s="2"/>
      <c r="AB63" s="2"/>
      <c r="AC63" s="2"/>
      <c r="AD63" s="2"/>
      <c r="AE63" s="2"/>
      <c r="AF63" s="2"/>
      <c r="AG63" s="2"/>
      <c r="AH63" s="2"/>
    </row>
    <row r="64" spans="1:34" ht="15" customHeight="1" x14ac:dyDescent="0.2">
      <c r="A64" s="2"/>
      <c r="B64" s="570" t="str">
        <f>Расчёт!B448</f>
        <v>КОМПОТ КОНС.</v>
      </c>
      <c r="C64" s="530" t="s">
        <v>163</v>
      </c>
      <c r="D64" s="640">
        <f>Цены!D64</f>
        <v>0</v>
      </c>
      <c r="E64" s="488">
        <v>0</v>
      </c>
      <c r="F64" s="488">
        <v>0</v>
      </c>
      <c r="G64" s="571">
        <v>0</v>
      </c>
      <c r="H64" s="568">
        <f>Расчёт!G448</f>
        <v>0</v>
      </c>
      <c r="I64" s="533">
        <f>Расчёт!H448</f>
        <v>0</v>
      </c>
      <c r="J64" s="569">
        <f>Расчёт!I448</f>
        <v>0</v>
      </c>
      <c r="K64" s="524">
        <f>E64+F64+G64+H64+I64+J64</f>
        <v>0</v>
      </c>
      <c r="L64" s="2"/>
      <c r="M64" s="2"/>
      <c r="N64" s="2"/>
      <c r="O64" s="2"/>
      <c r="P64" s="2"/>
      <c r="Q64" s="2"/>
      <c r="R64" s="2"/>
      <c r="S64" s="2"/>
      <c r="T64" s="2"/>
      <c r="U64" s="2"/>
      <c r="V64" s="154">
        <f t="shared" si="0"/>
        <v>0</v>
      </c>
      <c r="W64" s="2"/>
      <c r="X64" s="2"/>
      <c r="Y64" s="2"/>
      <c r="Z64" s="155">
        <f t="shared" si="1"/>
        <v>0</v>
      </c>
      <c r="AA64" s="2"/>
      <c r="AB64" s="2"/>
      <c r="AC64" s="2"/>
      <c r="AD64" s="2"/>
      <c r="AE64" s="2"/>
      <c r="AF64" s="2"/>
      <c r="AG64" s="2"/>
      <c r="AH64" s="2"/>
    </row>
    <row r="65" spans="1:34" ht="15" customHeight="1" thickBot="1" x14ac:dyDescent="0.25">
      <c r="A65" s="2"/>
      <c r="B65" s="513" t="str">
        <f>Расчёт!B449</f>
        <v>КОНСЕРВЫ ОВ. ЗАКУС.</v>
      </c>
      <c r="C65" s="549" t="s">
        <v>163</v>
      </c>
      <c r="D65" s="1244">
        <f>Цены!D65</f>
        <v>0</v>
      </c>
      <c r="E65" s="516">
        <v>0</v>
      </c>
      <c r="F65" s="516">
        <v>0</v>
      </c>
      <c r="G65" s="517">
        <v>0</v>
      </c>
      <c r="H65" s="572">
        <f>Расчёт!G449</f>
        <v>0</v>
      </c>
      <c r="I65" s="573">
        <f>Расчёт!H449</f>
        <v>0</v>
      </c>
      <c r="J65" s="574">
        <f>Расчёт!I449</f>
        <v>0</v>
      </c>
      <c r="K65" s="526">
        <f>E65+F65+G65+H65+I65+J65</f>
        <v>0</v>
      </c>
      <c r="L65" s="2"/>
      <c r="M65" s="2"/>
      <c r="N65" s="2"/>
      <c r="O65" s="2"/>
      <c r="P65" s="2"/>
      <c r="Q65" s="2"/>
      <c r="R65" s="2"/>
      <c r="S65" s="2"/>
      <c r="T65" s="2"/>
      <c r="U65" s="2"/>
      <c r="V65" s="154">
        <f t="shared" si="0"/>
        <v>0</v>
      </c>
      <c r="W65" s="2"/>
      <c r="X65" s="2"/>
      <c r="Y65" s="2"/>
      <c r="Z65" s="155">
        <f t="shared" si="1"/>
        <v>0</v>
      </c>
      <c r="AA65" s="2"/>
      <c r="AB65" s="2"/>
      <c r="AC65" s="2"/>
      <c r="AD65" s="2"/>
      <c r="AE65" s="2"/>
      <c r="AF65" s="2"/>
      <c r="AG65" s="2"/>
      <c r="AH65" s="2"/>
    </row>
    <row r="66" spans="1:34" ht="15" customHeight="1" x14ac:dyDescent="0.2">
      <c r="A66" s="2"/>
      <c r="B66" s="575" t="str">
        <f>IF(K66&gt;0,B9,"")</f>
        <v/>
      </c>
      <c r="C66" s="527" t="s">
        <v>163</v>
      </c>
      <c r="D66" s="506">
        <f>Цены!D66</f>
        <v>0</v>
      </c>
      <c r="E66" s="1561"/>
      <c r="F66" s="1561"/>
      <c r="G66" s="1561"/>
      <c r="H66" s="1561"/>
      <c r="I66" s="1561"/>
      <c r="J66" s="1609"/>
      <c r="K66" s="576">
        <v>0</v>
      </c>
      <c r="L66" s="2"/>
      <c r="M66" s="2"/>
      <c r="N66" s="2"/>
      <c r="O66" s="2"/>
      <c r="P66" s="2"/>
      <c r="Q66" s="2"/>
      <c r="R66" s="2"/>
      <c r="S66" s="2"/>
      <c r="T66" s="2"/>
      <c r="U66" s="2"/>
      <c r="V66" s="154">
        <f t="shared" si="0"/>
        <v>0</v>
      </c>
      <c r="W66" s="2"/>
      <c r="X66" s="2"/>
      <c r="Y66" s="2"/>
      <c r="Z66" s="155">
        <f t="shared" si="1"/>
        <v>0</v>
      </c>
      <c r="AA66" s="2"/>
      <c r="AB66" s="2"/>
      <c r="AC66" s="2"/>
      <c r="AD66" s="2"/>
      <c r="AE66" s="2"/>
      <c r="AF66" s="2"/>
      <c r="AG66" s="2"/>
      <c r="AH66" s="2"/>
    </row>
    <row r="67" spans="1:34" ht="15" customHeight="1" thickBot="1" x14ac:dyDescent="0.25">
      <c r="A67" s="2"/>
      <c r="B67" s="577" t="str">
        <f>IF(K67&gt;0,B10,"")</f>
        <v/>
      </c>
      <c r="C67" s="1253" t="s">
        <v>163</v>
      </c>
      <c r="D67" s="1244">
        <f>Цены!D67</f>
        <v>0</v>
      </c>
      <c r="E67" s="1564"/>
      <c r="F67" s="1564"/>
      <c r="G67" s="1564"/>
      <c r="H67" s="1565"/>
      <c r="I67" s="1565"/>
      <c r="J67" s="1566"/>
      <c r="K67" s="578">
        <v>0</v>
      </c>
      <c r="L67" s="2"/>
      <c r="M67" s="2"/>
      <c r="N67" s="2"/>
      <c r="O67" s="2"/>
      <c r="P67" s="2"/>
      <c r="Q67" s="2"/>
      <c r="R67" s="2"/>
      <c r="S67" s="2"/>
      <c r="T67" s="2"/>
      <c r="U67" s="2"/>
      <c r="V67" s="154">
        <f t="shared" si="0"/>
        <v>0</v>
      </c>
      <c r="W67" s="2"/>
      <c r="X67" s="2"/>
      <c r="Y67" s="2"/>
      <c r="Z67" s="155">
        <f t="shared" si="1"/>
        <v>0</v>
      </c>
      <c r="AA67" s="2"/>
      <c r="AB67" s="2"/>
      <c r="AC67" s="2"/>
      <c r="AD67" s="2"/>
      <c r="AE67" s="2"/>
      <c r="AF67" s="2"/>
      <c r="AG67" s="2"/>
      <c r="AH67" s="2"/>
    </row>
    <row r="68" spans="1:34" ht="15" customHeight="1" x14ac:dyDescent="0.2">
      <c r="A68" s="2"/>
      <c r="B68" s="505" t="str">
        <f>Расчёт!B452</f>
        <v>ЧЕСНОК</v>
      </c>
      <c r="C68" s="527" t="s">
        <v>163</v>
      </c>
      <c r="D68" s="506">
        <f>Цены!D68</f>
        <v>0</v>
      </c>
      <c r="E68" s="579">
        <v>0</v>
      </c>
      <c r="F68" s="580">
        <v>0</v>
      </c>
      <c r="G68" s="581">
        <v>0</v>
      </c>
      <c r="H68" s="582">
        <f>Расчёт!G449</f>
        <v>0</v>
      </c>
      <c r="I68" s="583">
        <f>Расчёт!H452</f>
        <v>0</v>
      </c>
      <c r="J68" s="584">
        <f>Расчёт!I449</f>
        <v>0</v>
      </c>
      <c r="K68" s="585">
        <f>E68+F68+G68+H68+I68+J68</f>
        <v>0</v>
      </c>
      <c r="L68" s="2"/>
      <c r="M68" s="2"/>
      <c r="N68" s="2"/>
      <c r="O68" s="2"/>
      <c r="P68" s="2"/>
      <c r="Q68" s="2"/>
      <c r="R68" s="2"/>
      <c r="S68" s="2"/>
      <c r="T68" s="2"/>
      <c r="U68" s="2"/>
      <c r="V68" s="154">
        <f t="shared" si="0"/>
        <v>0</v>
      </c>
      <c r="W68" s="2"/>
      <c r="X68" s="2"/>
      <c r="Y68" s="2"/>
      <c r="Z68" s="155">
        <f t="shared" si="1"/>
        <v>0</v>
      </c>
      <c r="AA68" s="2"/>
      <c r="AB68" s="2"/>
      <c r="AC68" s="2"/>
      <c r="AD68" s="2"/>
      <c r="AE68" s="2"/>
      <c r="AF68" s="2"/>
      <c r="AG68" s="2"/>
      <c r="AH68" s="2"/>
    </row>
    <row r="69" spans="1:34" ht="15" customHeight="1" x14ac:dyDescent="0.2">
      <c r="A69" s="2"/>
      <c r="B69" s="570" t="str">
        <f>Расчёт!B453</f>
        <v>ДРАЖЕ "ГЕКСАВИТ"</v>
      </c>
      <c r="C69" s="543" t="s">
        <v>163</v>
      </c>
      <c r="D69" s="640">
        <f>Цены!D69</f>
        <v>0</v>
      </c>
      <c r="E69" s="586"/>
      <c r="F69" s="587">
        <v>0</v>
      </c>
      <c r="G69" s="588"/>
      <c r="H69" s="589">
        <f>Расчёт!G450</f>
        <v>0</v>
      </c>
      <c r="I69" s="590">
        <f>Расчёт!H453</f>
        <v>0</v>
      </c>
      <c r="J69" s="591">
        <f>Расчёт!I450</f>
        <v>0</v>
      </c>
      <c r="K69" s="592">
        <f>SUM(E69:J69)</f>
        <v>0</v>
      </c>
      <c r="L69" s="2"/>
      <c r="M69" s="2"/>
      <c r="N69" s="2"/>
      <c r="O69" s="2"/>
      <c r="P69" s="2"/>
      <c r="Q69" s="2"/>
      <c r="R69" s="2"/>
      <c r="S69" s="2"/>
      <c r="T69" s="2"/>
      <c r="U69" s="2"/>
      <c r="V69" s="154">
        <f t="shared" si="0"/>
        <v>0</v>
      </c>
      <c r="W69" s="2"/>
      <c r="X69" s="2"/>
      <c r="Y69" s="2"/>
      <c r="Z69" s="155">
        <f t="shared" si="1"/>
        <v>0</v>
      </c>
      <c r="AA69" s="2"/>
      <c r="AB69" s="2"/>
      <c r="AC69" s="2"/>
      <c r="AD69" s="2"/>
      <c r="AE69" s="2"/>
      <c r="AF69" s="2"/>
      <c r="AG69" s="2"/>
      <c r="AH69" s="2"/>
    </row>
    <row r="70" spans="1:34" ht="15" customHeight="1" x14ac:dyDescent="0.2">
      <c r="A70" s="2"/>
      <c r="B70" s="570" t="str">
        <f>Расчёт!B454</f>
        <v>КОНСЕРВЫ МЯСОРАСТИТЕЛЬНЫЕ</v>
      </c>
      <c r="C70" s="543" t="s">
        <v>163</v>
      </c>
      <c r="D70" s="640">
        <f>Цены!D70</f>
        <v>0</v>
      </c>
      <c r="E70" s="586">
        <v>0</v>
      </c>
      <c r="F70" s="587">
        <v>0</v>
      </c>
      <c r="G70" s="588"/>
      <c r="H70" s="589">
        <f>Расчёт!G451</f>
        <v>0</v>
      </c>
      <c r="I70" s="590">
        <f>Расчёт!H454</f>
        <v>0</v>
      </c>
      <c r="J70" s="591">
        <f>Расчёт!I451</f>
        <v>0</v>
      </c>
      <c r="K70" s="497">
        <f>SUM(E70:J70)</f>
        <v>0</v>
      </c>
      <c r="L70" s="2"/>
      <c r="M70" s="2"/>
      <c r="N70" s="2"/>
      <c r="O70" s="2"/>
      <c r="P70" s="2"/>
      <c r="Q70" s="2"/>
      <c r="R70" s="2"/>
      <c r="S70" s="2"/>
      <c r="T70" s="2"/>
      <c r="U70" s="2"/>
      <c r="V70" s="154">
        <f t="shared" si="0"/>
        <v>0</v>
      </c>
      <c r="W70" s="2"/>
      <c r="X70" s="2"/>
      <c r="Y70" s="2"/>
      <c r="Z70" s="155">
        <f t="shared" si="1"/>
        <v>0</v>
      </c>
      <c r="AA70" s="2"/>
      <c r="AB70" s="2"/>
      <c r="AC70" s="2"/>
      <c r="AD70" s="2"/>
      <c r="AE70" s="2"/>
      <c r="AF70" s="2"/>
      <c r="AG70" s="2"/>
      <c r="AH70" s="2"/>
    </row>
    <row r="71" spans="1:34" ht="15" customHeight="1" thickBot="1" x14ac:dyDescent="0.25">
      <c r="A71" s="2"/>
      <c r="B71" s="513" t="str">
        <f>Расчёт!B455</f>
        <v>КОНСЕРВЫ 1 ОБ. БЛЮДА</v>
      </c>
      <c r="C71" s="1220" t="s">
        <v>163</v>
      </c>
      <c r="D71" s="648">
        <f>Цены!D71</f>
        <v>0</v>
      </c>
      <c r="E71" s="593">
        <v>0</v>
      </c>
      <c r="F71" s="502">
        <v>0</v>
      </c>
      <c r="G71" s="594"/>
      <c r="H71" s="595">
        <f>Расчёт!G452</f>
        <v>0</v>
      </c>
      <c r="I71" s="596">
        <f>Расчёт!H455</f>
        <v>0</v>
      </c>
      <c r="J71" s="597">
        <f>Расчёт!I452</f>
        <v>0</v>
      </c>
      <c r="K71" s="504">
        <f>SUM(E71:J71)</f>
        <v>0</v>
      </c>
      <c r="L71" s="2"/>
      <c r="M71" s="2"/>
      <c r="N71" s="2"/>
      <c r="O71" s="2"/>
      <c r="P71" s="2"/>
      <c r="Q71" s="2"/>
      <c r="R71" s="2"/>
      <c r="S71" s="2"/>
      <c r="T71" s="2"/>
      <c r="U71" s="2"/>
      <c r="V71" s="10">
        <f>SUM(V9:V70)</f>
        <v>0</v>
      </c>
      <c r="W71" s="2"/>
      <c r="X71" s="2"/>
      <c r="Y71" s="2"/>
      <c r="Z71" s="155">
        <f t="shared" si="1"/>
        <v>0</v>
      </c>
      <c r="AA71" s="2"/>
      <c r="AB71" s="2"/>
      <c r="AC71" s="2"/>
      <c r="AD71" s="2"/>
      <c r="AE71" s="2"/>
      <c r="AF71" s="2"/>
      <c r="AG71" s="2"/>
      <c r="AH71" s="2"/>
    </row>
    <row r="72" spans="1:34" ht="18" x14ac:dyDescent="0.25">
      <c r="A72" s="2"/>
      <c r="B72" s="185" t="s">
        <v>280</v>
      </c>
      <c r="C72" s="257"/>
      <c r="D72" s="187">
        <f>V71</f>
        <v>0</v>
      </c>
      <c r="E72" s="1595" t="str">
        <f>IF(Вс!$C$72&lt;&gt;31,CONCATENATE("(",Примеры!A186),CONCATENATE("(",Примеры!D24))</f>
        <v>( Ноль ) наименований</v>
      </c>
      <c r="F72" s="1595"/>
      <c r="G72" s="1595"/>
      <c r="H72" s="1595"/>
      <c r="I72" s="1595"/>
      <c r="J72" s="1568" t="str">
        <f>CONCATENATE("на сумму ",ROUND(Z72,2)," р.")</f>
        <v>на сумму 0 р.</v>
      </c>
      <c r="K72" s="1568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188">
        <f>SUM(Z9:Z71)</f>
        <v>0</v>
      </c>
      <c r="AA72" s="2"/>
      <c r="AB72" s="2"/>
      <c r="AC72" s="2"/>
      <c r="AD72" s="2"/>
      <c r="AE72" s="2"/>
      <c r="AF72" s="2"/>
      <c r="AG72" s="2"/>
      <c r="AH72" s="2"/>
    </row>
    <row r="73" spans="1:34" ht="18" x14ac:dyDescent="0.25">
      <c r="A73" s="2"/>
      <c r="B73" s="1560" t="s">
        <v>364</v>
      </c>
      <c r="C73" s="1560"/>
      <c r="D73" s="1560"/>
      <c r="E73" s="1560"/>
      <c r="F73" s="1560"/>
      <c r="G73" s="1560"/>
      <c r="H73" s="1560"/>
      <c r="I73" s="1560"/>
      <c r="J73" s="1560"/>
      <c r="K73" s="1560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ht="18" x14ac:dyDescent="0.25">
      <c r="A74" s="2"/>
      <c r="B74" s="1567" t="str">
        <f>'Блок ввода'!M10</f>
        <v>ст. лейтенант</v>
      </c>
      <c r="C74" s="1567"/>
      <c r="D74" s="1567"/>
      <c r="E74" s="191"/>
      <c r="F74" s="191"/>
      <c r="G74" s="191"/>
      <c r="H74" s="191"/>
      <c r="J74" s="191" t="str">
        <f>'Блок ввода'!O10</f>
        <v>А. Демидов11111111</v>
      </c>
      <c r="K74" s="191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ht="17.45" customHeight="1" x14ac:dyDescent="0.25">
      <c r="A75" s="2"/>
      <c r="B75" s="1218" t="str">
        <f>CONCATENATE("ДЕЛОПРОИЗВОДИТЕЛЬ: ",'Блок ввода'!M13)</f>
        <v>ДЕЛОПРОИЗВОДИТЕЛЬ: служащая РА</v>
      </c>
      <c r="C75" s="1218"/>
      <c r="D75" s="1218"/>
      <c r="E75" s="189"/>
      <c r="F75" s="189"/>
      <c r="G75" s="189"/>
      <c r="I75" s="189"/>
      <c r="J75" s="258" t="str">
        <f>'Блок ввода'!O13</f>
        <v>С.ФЕДОРОВА</v>
      </c>
      <c r="K75" s="189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ht="18" x14ac:dyDescent="0.25">
      <c r="A76" s="2"/>
      <c r="B76" s="1559">
        <f>C4-1</f>
        <v>40096</v>
      </c>
      <c r="C76" s="1559"/>
      <c r="D76" s="1559"/>
      <c r="E76" s="1559"/>
      <c r="F76" s="1559"/>
      <c r="G76" s="1559"/>
      <c r="H76" s="1559"/>
      <c r="I76" s="1559"/>
      <c r="J76" s="1559"/>
      <c r="K76" s="1559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ht="15.75" thickBot="1" x14ac:dyDescent="0.25">
      <c r="A77" s="2"/>
      <c r="B77" s="2"/>
      <c r="C77" s="2"/>
      <c r="D77" s="2"/>
      <c r="E77" s="2"/>
      <c r="F77" s="2"/>
      <c r="G77" s="2"/>
      <c r="H77" s="2"/>
      <c r="I77" s="2"/>
      <c r="J77" s="253"/>
      <c r="K77" s="253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ht="15.75" thickBot="1" x14ac:dyDescent="0.25">
      <c r="A78" s="2"/>
      <c r="B78" s="277"/>
      <c r="C78" s="278"/>
      <c r="D78" s="278"/>
      <c r="E78" s="278"/>
      <c r="F78" s="278"/>
      <c r="G78" s="279"/>
      <c r="H78" s="280" t="s">
        <v>203</v>
      </c>
      <c r="I78" s="280" t="s">
        <v>204</v>
      </c>
      <c r="J78" s="281" t="s">
        <v>205</v>
      </c>
      <c r="K78" s="192" t="s">
        <v>276</v>
      </c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ht="15" x14ac:dyDescent="0.2">
      <c r="A79" s="2"/>
      <c r="B79" s="282" t="s">
        <v>165</v>
      </c>
      <c r="C79" s="283"/>
      <c r="D79" s="283"/>
      <c r="E79" s="283"/>
      <c r="F79" s="283"/>
      <c r="G79" s="283"/>
      <c r="H79" s="1556"/>
      <c r="I79" s="1556"/>
      <c r="J79" s="1556"/>
      <c r="K79" s="1548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ht="15" x14ac:dyDescent="0.2">
      <c r="A80" s="2"/>
      <c r="B80" s="284" t="str">
        <f>CONCATENATE('Блок ввода'!M12,'Блок ввода'!O12)</f>
        <v>прапорщик  К.МИХАЙЛОВА</v>
      </c>
      <c r="C80" s="285"/>
      <c r="D80" s="283"/>
      <c r="E80" s="283"/>
      <c r="F80" s="283"/>
      <c r="G80" s="283"/>
      <c r="H80" s="1546"/>
      <c r="I80" s="1546"/>
      <c r="J80" s="1546"/>
      <c r="K80" s="1549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ht="15" x14ac:dyDescent="0.2">
      <c r="A81" s="2"/>
      <c r="B81" s="201" t="s">
        <v>166</v>
      </c>
      <c r="C81" s="286"/>
      <c r="D81" s="286"/>
      <c r="E81" s="286"/>
      <c r="F81" s="286"/>
      <c r="G81" s="286"/>
      <c r="H81" s="1545"/>
      <c r="I81" s="1545"/>
      <c r="J81" s="1545"/>
      <c r="K81" s="1550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ht="15" x14ac:dyDescent="0.2">
      <c r="A82" s="2"/>
      <c r="B82" s="292" t="s">
        <v>449</v>
      </c>
      <c r="C82" s="283"/>
      <c r="D82" s="283"/>
      <c r="E82" s="283"/>
      <c r="F82" s="283"/>
      <c r="G82" s="283"/>
      <c r="H82" s="1546"/>
      <c r="I82" s="1546"/>
      <c r="J82" s="1546"/>
      <c r="K82" s="1551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ht="15" x14ac:dyDescent="0.2">
      <c r="A83" s="200"/>
      <c r="B83" s="201" t="s">
        <v>275</v>
      </c>
      <c r="C83" s="286"/>
      <c r="D83" s="286"/>
      <c r="E83" s="286"/>
      <c r="F83" s="286"/>
      <c r="G83" s="286"/>
      <c r="H83" s="1545"/>
      <c r="I83" s="1545"/>
      <c r="J83" s="1545"/>
      <c r="K83" s="1550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ht="15.75" thickBot="1" x14ac:dyDescent="0.25">
      <c r="A84" s="200"/>
      <c r="B84" s="287" t="str">
        <f>CONCATENATE('Блок ввода'!M11," ",'Блок ввода'!O11)</f>
        <v>ст. лейтенант М.СОКОЛОВ</v>
      </c>
      <c r="C84" s="288"/>
      <c r="D84" s="288"/>
      <c r="E84" s="288"/>
      <c r="F84" s="288"/>
      <c r="G84" s="288"/>
      <c r="H84" s="1557"/>
      <c r="I84" s="1557"/>
      <c r="J84" s="1557"/>
      <c r="K84" s="155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x14ac:dyDescent="0.2">
      <c r="A85" s="200"/>
      <c r="B85" s="289"/>
      <c r="C85" s="2"/>
      <c r="D85" s="2"/>
      <c r="E85" s="2"/>
      <c r="F85" s="2"/>
      <c r="G85" s="2"/>
      <c r="H85" s="2"/>
      <c r="I85" s="2"/>
      <c r="J85" s="2"/>
      <c r="K85" s="290">
        <f>M2</f>
        <v>0</v>
      </c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x14ac:dyDescent="0.2">
      <c r="A86" s="200"/>
      <c r="B86" s="207" t="s">
        <v>354</v>
      </c>
      <c r="C86" s="208"/>
      <c r="D86" s="207" t="s">
        <v>355</v>
      </c>
      <c r="E86" s="207" t="s">
        <v>356</v>
      </c>
      <c r="F86" s="207" t="s">
        <v>357</v>
      </c>
      <c r="G86" s="2"/>
      <c r="H86" s="2"/>
      <c r="I86" s="2"/>
      <c r="J86" s="2"/>
      <c r="K86" s="290">
        <f>M4</f>
        <v>0</v>
      </c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x14ac:dyDescent="0.2">
      <c r="A87" s="2"/>
      <c r="B87" s="789" t="str">
        <f>'Блок ввода'!AI4</f>
        <v>ПОДРАЗДЕЛЕНИЕ № 1</v>
      </c>
      <c r="C87" s="790" t="s">
        <v>546</v>
      </c>
      <c r="D87" s="224"/>
      <c r="E87" s="224"/>
      <c r="F87" s="224"/>
      <c r="G87" s="2"/>
      <c r="H87" s="2"/>
      <c r="I87" s="2"/>
      <c r="J87" s="1623" t="str">
        <f>CONCATENATE("ОКГ = ",'Раскладка продуктов'!A132)</f>
        <v>ОКГ = 1650</v>
      </c>
      <c r="K87" s="1623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x14ac:dyDescent="0.2">
      <c r="A88" s="2"/>
      <c r="B88" s="789" t="str">
        <f>'Блок ввода'!AI5</f>
        <v>ПОДРАЗДЕЛЕНИЕ № 2</v>
      </c>
      <c r="C88" s="790" t="s">
        <v>546</v>
      </c>
      <c r="D88" s="224"/>
      <c r="E88" s="224"/>
      <c r="F88" s="224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x14ac:dyDescent="0.2">
      <c r="A89" s="2"/>
      <c r="B89" s="789" t="str">
        <f>'Блок ввода'!AI6</f>
        <v>ПОДРАЗДЕЛЕНИЕ № 3</v>
      </c>
      <c r="C89" s="790" t="s">
        <v>546</v>
      </c>
      <c r="D89" s="224"/>
      <c r="E89" s="224"/>
      <c r="F89" s="224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x14ac:dyDescent="0.2">
      <c r="A90" s="2"/>
      <c r="B90" s="789" t="str">
        <f>'Блок ввода'!AI7</f>
        <v>ПОДРАЗДЕЛЕНИЕ № 4</v>
      </c>
      <c r="C90" s="790" t="s">
        <v>546</v>
      </c>
      <c r="D90" s="224"/>
      <c r="E90" s="224"/>
      <c r="F90" s="224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x14ac:dyDescent="0.2">
      <c r="A91" s="2"/>
      <c r="B91" s="789" t="str">
        <f>'Блок ввода'!AI8</f>
        <v>ПОДРАЗДЕЛЕНИЕ № 5</v>
      </c>
      <c r="C91" s="790" t="s">
        <v>546</v>
      </c>
      <c r="D91" s="224"/>
      <c r="E91" s="224"/>
      <c r="F91" s="224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x14ac:dyDescent="0.2">
      <c r="A92" s="2"/>
      <c r="B92" s="789" t="str">
        <f>'Блок ввода'!AI9</f>
        <v>ПОДРАЗДЕЛЕНИЕ № 6</v>
      </c>
      <c r="C92" s="790" t="s">
        <v>546</v>
      </c>
      <c r="D92" s="224"/>
      <c r="E92" s="224"/>
      <c r="F92" s="224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x14ac:dyDescent="0.2">
      <c r="A93" s="2"/>
      <c r="B93" s="789" t="str">
        <f>'Блок ввода'!AI10</f>
        <v>ПОДРАЗДЕЛЕНИЕ № 7</v>
      </c>
      <c r="C93" s="790" t="s">
        <v>546</v>
      </c>
      <c r="D93" s="224"/>
      <c r="E93" s="224"/>
      <c r="F93" s="224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x14ac:dyDescent="0.2">
      <c r="A94" s="2"/>
      <c r="B94" s="789" t="str">
        <f>'Блок ввода'!AI11</f>
        <v>ПОДРАЗДЕЛЕНИЕ № 8</v>
      </c>
      <c r="C94" s="790" t="s">
        <v>546</v>
      </c>
      <c r="D94" s="224"/>
      <c r="E94" s="224"/>
      <c r="F94" s="224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x14ac:dyDescent="0.2">
      <c r="A95" s="2"/>
      <c r="B95" s="789" t="str">
        <f>'Блок ввода'!AI12</f>
        <v>ПОДРАЗДЕЛЕНИЕ № 9</v>
      </c>
      <c r="C95" s="790" t="s">
        <v>546</v>
      </c>
      <c r="D95" s="5"/>
      <c r="E95" s="5"/>
      <c r="F95" s="5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x14ac:dyDescent="0.2">
      <c r="A96" s="2"/>
      <c r="B96" s="789" t="str">
        <f>'Блок ввода'!AI13</f>
        <v>ПОДРАЗДЕЛЕНИЕ № 10</v>
      </c>
      <c r="C96" s="790" t="s">
        <v>546</v>
      </c>
      <c r="D96" s="5"/>
      <c r="E96" s="5"/>
      <c r="F96" s="5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x14ac:dyDescent="0.2">
      <c r="A97" s="2"/>
      <c r="B97" s="132" t="s">
        <v>358</v>
      </c>
      <c r="C97" s="790" t="s">
        <v>546</v>
      </c>
      <c r="D97" s="209">
        <f>SUM(D87:D96)</f>
        <v>0</v>
      </c>
      <c r="E97" s="209">
        <f>SUM(E87:E96)</f>
        <v>0</v>
      </c>
      <c r="F97" s="209">
        <f>SUM(F87:F96)</f>
        <v>0</v>
      </c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ht="13.5" thickBot="1" x14ac:dyDescent="0.25">
      <c r="A98" s="2"/>
      <c r="B98" s="1621" t="s">
        <v>236</v>
      </c>
      <c r="C98" s="1621"/>
      <c r="D98" s="1621"/>
      <c r="E98" s="1621"/>
      <c r="F98" s="1621"/>
      <c r="G98" s="1621"/>
      <c r="H98" s="1621"/>
      <c r="I98" s="1621"/>
      <c r="J98" s="1621"/>
      <c r="K98" s="1621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x14ac:dyDescent="0.2">
      <c r="A100" s="2"/>
      <c r="B100" s="79" t="s">
        <v>235</v>
      </c>
      <c r="C100" s="79"/>
      <c r="D100" s="79"/>
      <c r="E100" s="1622">
        <f>C4</f>
        <v>40097</v>
      </c>
      <c r="F100" s="1622"/>
      <c r="G100" s="162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ht="13.5" thickBot="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96">
        <v>2</v>
      </c>
      <c r="V101" s="478">
        <v>100</v>
      </c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ht="16.5" thickBot="1" x14ac:dyDescent="0.3">
      <c r="A102" s="2"/>
      <c r="B102" s="211" t="s">
        <v>162</v>
      </c>
      <c r="C102" s="212" t="s">
        <v>163</v>
      </c>
      <c r="D102" s="213"/>
      <c r="E102" s="214"/>
      <c r="F102" s="215"/>
      <c r="G102" s="216">
        <f>J102/('Блок ввода'!$H$22/1000)</f>
        <v>0</v>
      </c>
      <c r="H102" s="215" t="s">
        <v>545</v>
      </c>
      <c r="I102" s="217"/>
      <c r="J102" s="218">
        <f>IF(U101=1,U102,K9)</f>
        <v>0</v>
      </c>
      <c r="K102" s="219" t="s">
        <v>163</v>
      </c>
      <c r="L102" s="2"/>
      <c r="M102" s="2"/>
      <c r="N102" s="2"/>
      <c r="O102" s="2"/>
      <c r="P102" s="2"/>
      <c r="Q102" s="2"/>
      <c r="R102" s="2"/>
      <c r="S102" s="2"/>
      <c r="T102" s="2"/>
      <c r="U102" s="296">
        <f>0</f>
        <v>0</v>
      </c>
      <c r="V102" s="478">
        <v>0</v>
      </c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ht="16.5" thickBot="1" x14ac:dyDescent="0.3">
      <c r="A103" s="2"/>
      <c r="B103" s="220" t="str">
        <f>IF('Блок ввода'!H120=TRUE,"ХЛЕБ ИЗ ПШЕНИЧНОЙ МУКИ В\С","ХЛЕБ ПШЕНИЧНЫЙ ИЗ МУКИ 1 С.")</f>
        <v>ХЛЕБ ПШЕНИЧНЫЙ ИЗ МУКИ 1 С.</v>
      </c>
      <c r="C103" s="212" t="s">
        <v>163</v>
      </c>
      <c r="D103" s="221"/>
      <c r="E103" s="214"/>
      <c r="F103" s="215"/>
      <c r="G103" s="216">
        <f>J103/('Блок ввода'!$H$23/1000)</f>
        <v>0</v>
      </c>
      <c r="H103" s="215" t="s">
        <v>545</v>
      </c>
      <c r="I103" s="217"/>
      <c r="J103" s="218">
        <f>IF(U101=1,U103,K10)</f>
        <v>0</v>
      </c>
      <c r="K103" s="219" t="s">
        <v>163</v>
      </c>
      <c r="L103" s="2"/>
      <c r="M103" s="2"/>
      <c r="N103" s="2"/>
      <c r="O103" s="2"/>
      <c r="P103" s="2"/>
      <c r="Q103" s="2"/>
      <c r="R103" s="2"/>
      <c r="S103" s="2"/>
      <c r="T103" s="2"/>
      <c r="U103" s="296">
        <f>0</f>
        <v>0</v>
      </c>
      <c r="V103" s="296">
        <v>2</v>
      </c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  <row r="104" spans="1:34" ht="15" x14ac:dyDescent="0.2">
      <c r="A104" s="2"/>
      <c r="B104" s="291" t="s">
        <v>237</v>
      </c>
      <c r="C104" s="2"/>
      <c r="D104" s="2"/>
      <c r="E104" s="136"/>
      <c r="F104" s="136"/>
      <c r="G104" s="1620" t="str">
        <f>J75</f>
        <v>С.ФЕДОРОВА</v>
      </c>
      <c r="H104" s="1620"/>
      <c r="I104" s="1620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96"/>
      <c r="V104" s="296">
        <v>2</v>
      </c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</row>
    <row r="105" spans="1:34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</row>
    <row r="106" spans="1:34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</row>
    <row r="107" spans="1:34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</row>
    <row r="108" spans="1:34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</row>
    <row r="109" spans="1:34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</row>
    <row r="110" spans="1:34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</row>
    <row r="111" spans="1:34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</row>
    <row r="112" spans="1:34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</row>
    <row r="113" spans="1:34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</row>
    <row r="114" spans="1:34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</row>
    <row r="115" spans="1:34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</row>
    <row r="116" spans="1:34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</row>
    <row r="117" spans="1:34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</row>
    <row r="118" spans="1:34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</row>
    <row r="119" spans="1:34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</row>
    <row r="120" spans="1:34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</row>
    <row r="121" spans="1:34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</row>
    <row r="122" spans="1:34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</row>
    <row r="123" spans="1:34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</row>
    <row r="124" spans="1:34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</row>
    <row r="125" spans="1:34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</row>
    <row r="126" spans="1:34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</row>
    <row r="127" spans="1:34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</row>
    <row r="128" spans="1:34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</row>
  </sheetData>
  <sheetProtection password="C4B7" sheet="1" objects="1" scenarios="1" selectLockedCells="1"/>
  <customSheetViews>
    <customSheetView guid="{4DE99834-7080-40E5-9A2F-2BF27F7EDEBF}" scale="60" showPageBreaks="1" showGridLines="0" zeroValues="0" printArea="1" view="pageBreakPreview" showRuler="0">
      <selection activeCell="L20" sqref="L20"/>
      <rowBreaks count="1" manualBreakCount="1">
        <brk id="41" min="1" max="9" man="1"/>
      </rowBreaks>
      <pageMargins left="0.78740157480314965" right="0.19685039370078741" top="0.98425196850393704" bottom="0.98425196850393704" header="0.51181102362204722" footer="0.51181102362204722"/>
      <printOptions horizontalCentered="1" verticalCentered="1"/>
      <pageSetup paperSize="9" scale="88" orientation="portrait" horizontalDpi="120" verticalDpi="144" r:id="rId1"/>
      <headerFooter alignWithMargins="0"/>
    </customSheetView>
  </customSheetViews>
  <mergeCells count="33">
    <mergeCell ref="B2:K2"/>
    <mergeCell ref="B3:K3"/>
    <mergeCell ref="B7:B8"/>
    <mergeCell ref="E7:G7"/>
    <mergeCell ref="H7:J7"/>
    <mergeCell ref="C7:C8"/>
    <mergeCell ref="C6:K6"/>
    <mergeCell ref="D7:D8"/>
    <mergeCell ref="C4:H4"/>
    <mergeCell ref="B76:K76"/>
    <mergeCell ref="E66:J66"/>
    <mergeCell ref="E67:J67"/>
    <mergeCell ref="B5:K5"/>
    <mergeCell ref="B73:K73"/>
    <mergeCell ref="B74:D74"/>
    <mergeCell ref="J72:K72"/>
    <mergeCell ref="E72:I72"/>
    <mergeCell ref="H79:H80"/>
    <mergeCell ref="I79:I80"/>
    <mergeCell ref="J79:J80"/>
    <mergeCell ref="K81:K82"/>
    <mergeCell ref="H81:H82"/>
    <mergeCell ref="K79:K80"/>
    <mergeCell ref="G104:I104"/>
    <mergeCell ref="I81:I82"/>
    <mergeCell ref="J81:J82"/>
    <mergeCell ref="H83:H84"/>
    <mergeCell ref="I83:I84"/>
    <mergeCell ref="J83:J84"/>
    <mergeCell ref="B98:K98"/>
    <mergeCell ref="E100:G100"/>
    <mergeCell ref="J87:K87"/>
    <mergeCell ref="K83:K84"/>
  </mergeCells>
  <phoneticPr fontId="38" type="noConversion"/>
  <conditionalFormatting sqref="Y1">
    <cfRule type="cellIs" dxfId="9" priority="1" stopIfTrue="1" operator="notEqual">
      <formula>$Y$1=0</formula>
    </cfRule>
  </conditionalFormatting>
  <conditionalFormatting sqref="B98:K104">
    <cfRule type="expression" dxfId="8" priority="2" stopIfTrue="1">
      <formula>$Q$17=FALSE</formula>
    </cfRule>
  </conditionalFormatting>
  <conditionalFormatting sqref="B7:K71">
    <cfRule type="expression" dxfId="7" priority="3" stopIfTrue="1">
      <formula>$Y$1=0</formula>
    </cfRule>
  </conditionalFormatting>
  <conditionalFormatting sqref="M2">
    <cfRule type="cellIs" dxfId="6" priority="4" stopIfTrue="1" operator="equal">
      <formula>0</formula>
    </cfRule>
  </conditionalFormatting>
  <conditionalFormatting sqref="M4">
    <cfRule type="cellIs" dxfId="5" priority="5" stopIfTrue="1" operator="equal">
      <formula>0</formula>
    </cfRule>
  </conditionalFormatting>
  <dataValidations xWindow="1089" yWindow="96" count="1">
    <dataValidation type="decimal" allowBlank="1" showInputMessage="1" showErrorMessage="1" promptTitle="ВНИМАНИЕ" prompt="Введите количество личного состава по общевойсковому пайку!" sqref="M2">
      <formula1>0</formula1>
      <formula2>5000</formula2>
    </dataValidation>
  </dataValidations>
  <hyperlinks>
    <hyperlink ref="A2" location="'Раскладка продуктов'!B120" tooltip="Переход в раскладку продуктов" display="ВОСКРЕСЕНЬЕ"/>
  </hyperlinks>
  <pageMargins left="0.78740157480314965" right="0.19685039370078741" top="0.59055118110236227" bottom="0.59055118110236227" header="0.51181102362204722" footer="0.51181102362204722"/>
  <pageSetup paperSize="9" scale="69" orientation="portrait" horizontalDpi="120" verticalDpi="144" r:id="rId2"/>
  <headerFooter alignWithMargins="0"/>
  <rowBreaks count="1" manualBreakCount="1">
    <brk id="58" min="1" max="10" man="1"/>
  </rowBreaks>
  <drawing r:id="rId3"/>
  <legacyDrawing r:id="rId4"/>
  <controls>
    <mc:AlternateContent xmlns:mc="http://schemas.openxmlformats.org/markup-compatibility/2006">
      <mc:Choice Requires="x14">
        <control shapeId="19520" r:id="rId5" name="CommandButton1">
          <controlPr locked="0" defaultSize="0" autoLine="0" r:id="rId6">
            <anchor moveWithCells="1">
              <from>
                <xdr:col>11</xdr:col>
                <xdr:colOff>314325</xdr:colOff>
                <xdr:row>3</xdr:row>
                <xdr:rowOff>0</xdr:rowOff>
              </from>
              <to>
                <xdr:col>13</xdr:col>
                <xdr:colOff>514350</xdr:colOff>
                <xdr:row>4</xdr:row>
                <xdr:rowOff>76200</xdr:rowOff>
              </to>
            </anchor>
          </controlPr>
        </control>
      </mc:Choice>
      <mc:Fallback>
        <control shapeId="19520" r:id="rId5" name="CommandButton1"/>
      </mc:Fallback>
    </mc:AlternateContent>
    <mc:AlternateContent xmlns:mc="http://schemas.openxmlformats.org/markup-compatibility/2006">
      <mc:Choice Requires="x14">
        <control shapeId="19459" r:id="rId7" name="Spinner 3">
          <controlPr defaultSize="0" autoPict="0">
            <anchor moveWithCells="1" sizeWithCells="1">
              <from>
                <xdr:col>13</xdr:col>
                <xdr:colOff>28575</xdr:colOff>
                <xdr:row>0</xdr:row>
                <xdr:rowOff>104775</xdr:rowOff>
              </from>
              <to>
                <xdr:col>13</xdr:col>
                <xdr:colOff>466725</xdr:colOff>
                <xdr:row>2</xdr:row>
                <xdr:rowOff>104775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1:X91"/>
  <sheetViews>
    <sheetView showGridLines="0" showZeros="0" zoomScaleNormal="100" workbookViewId="0">
      <selection activeCell="B10" sqref="B10:Q10"/>
    </sheetView>
  </sheetViews>
  <sheetFormatPr defaultRowHeight="12.75" x14ac:dyDescent="0.2"/>
  <cols>
    <col min="1" max="1" width="2.5703125" customWidth="1"/>
    <col min="9" max="12" width="10.42578125" customWidth="1"/>
    <col min="14" max="14" width="7.85546875" customWidth="1"/>
    <col min="24" max="24" width="0" hidden="1" customWidth="1"/>
  </cols>
  <sheetData>
    <row r="1" spans="2:24" ht="18.75" x14ac:dyDescent="0.3">
      <c r="I1" s="6"/>
      <c r="J1" s="1675" t="s">
        <v>28</v>
      </c>
      <c r="K1" s="1675"/>
      <c r="L1" s="1675"/>
      <c r="M1" s="1675"/>
      <c r="N1" s="1675"/>
      <c r="O1" s="1675"/>
      <c r="P1" s="1675"/>
      <c r="Q1" s="1675"/>
      <c r="X1" s="402">
        <v>1</v>
      </c>
    </row>
    <row r="2" spans="2:24" ht="18" x14ac:dyDescent="0.25">
      <c r="I2" s="135"/>
      <c r="J2" s="1426" t="str">
        <f>CONCATENATE('Блок ввода'!F8," ",'Блок ввода'!G8,"  ",'Блок ввода'!N1)</f>
        <v>Командир войсковой части  00000</v>
      </c>
      <c r="K2" s="1426"/>
      <c r="L2" s="1426"/>
      <c r="M2" s="1426"/>
      <c r="N2" s="1426"/>
      <c r="O2" s="1426"/>
      <c r="P2" s="1426"/>
      <c r="Q2" s="1426"/>
    </row>
    <row r="3" spans="2:24" ht="20.25" x14ac:dyDescent="0.25">
      <c r="I3" s="395"/>
      <c r="J3" s="1382" t="str">
        <f>'Блок ввода'!M8</f>
        <v>генерал-майор</v>
      </c>
      <c r="K3" s="1382"/>
      <c r="L3" s="393"/>
      <c r="M3" s="393"/>
      <c r="N3" s="393"/>
      <c r="O3" s="1436" t="str">
        <f>'Блок ввода'!O8</f>
        <v>В.ПЕТРОВ</v>
      </c>
      <c r="P3" s="1436"/>
      <c r="Q3" s="1436"/>
    </row>
    <row r="4" spans="2:24" ht="18.75" x14ac:dyDescent="0.3">
      <c r="I4" s="6"/>
      <c r="J4" s="1674"/>
      <c r="K4" s="1674"/>
      <c r="L4" s="1674"/>
      <c r="M4" s="1674"/>
      <c r="N4" s="394"/>
      <c r="O4" s="394"/>
      <c r="P4" s="1493"/>
      <c r="Q4" s="1493"/>
    </row>
    <row r="5" spans="2:24" x14ac:dyDescent="0.2">
      <c r="I5" s="6"/>
      <c r="J5" s="1669" t="s">
        <v>547</v>
      </c>
      <c r="K5" s="1669"/>
      <c r="L5" s="1669"/>
      <c r="M5" s="1669"/>
      <c r="N5" s="1669"/>
      <c r="O5" s="1669"/>
      <c r="P5" s="1669"/>
      <c r="Q5" s="1669"/>
    </row>
    <row r="6" spans="2:24" ht="20.25" x14ac:dyDescent="0.3">
      <c r="I6" s="26"/>
      <c r="J6" s="1668"/>
      <c r="K6" s="1668"/>
      <c r="L6" s="1668"/>
      <c r="M6" s="1668"/>
      <c r="N6" s="1668"/>
      <c r="O6" s="1668"/>
      <c r="P6" s="1668"/>
      <c r="Q6" s="27"/>
    </row>
    <row r="7" spans="2:24" ht="19.5" customHeight="1" x14ac:dyDescent="0.25">
      <c r="B7" s="1677" t="str">
        <f>CONCATENATE("АКТ № ",'Блок ввода'!S13)</f>
        <v>АКТ № 52</v>
      </c>
      <c r="C7" s="1678"/>
      <c r="D7" s="1678"/>
      <c r="E7" s="1678"/>
      <c r="F7" s="1678"/>
      <c r="G7" s="1678"/>
      <c r="H7" s="1678"/>
      <c r="I7" s="1678"/>
      <c r="J7" s="1678"/>
      <c r="K7" s="1678"/>
      <c r="L7" s="1678"/>
      <c r="M7" s="1678"/>
      <c r="N7" s="1678"/>
      <c r="O7" s="1678"/>
      <c r="P7" s="1678"/>
      <c r="Q7" s="1678"/>
    </row>
    <row r="8" spans="2:24" ht="15" x14ac:dyDescent="0.25">
      <c r="B8" s="1679" t="s">
        <v>465</v>
      </c>
      <c r="C8" s="1680"/>
      <c r="D8" s="1680"/>
      <c r="E8" s="1680"/>
      <c r="F8" s="1680"/>
      <c r="G8" s="1680"/>
      <c r="H8" s="1680"/>
      <c r="I8" s="1680"/>
      <c r="J8" s="1680"/>
      <c r="K8" s="1680"/>
      <c r="L8" s="1680"/>
      <c r="M8" s="1680"/>
      <c r="N8" s="1680"/>
      <c r="O8" s="1680"/>
      <c r="P8" s="1680"/>
      <c r="Q8" s="1680"/>
    </row>
    <row r="9" spans="2:24" ht="15" x14ac:dyDescent="0.25">
      <c r="B9" s="1679"/>
      <c r="C9" s="1680"/>
      <c r="D9" s="1680"/>
      <c r="E9" s="1680"/>
      <c r="F9" s="1680"/>
      <c r="G9" s="1680"/>
      <c r="H9" s="1680"/>
      <c r="I9" s="1680"/>
      <c r="J9" s="1680"/>
      <c r="K9" s="1680"/>
      <c r="L9" s="1680"/>
      <c r="M9" s="1680"/>
      <c r="N9" s="1680"/>
      <c r="O9" s="1680"/>
      <c r="P9" s="1680"/>
      <c r="Q9" s="1680"/>
    </row>
    <row r="10" spans="2:24" ht="33.75" customHeight="1" x14ac:dyDescent="0.2">
      <c r="B10" s="1670" t="str">
        <f>CONCATENATE("В соответствии с требованиями Устава внутренней службы ВС РФ, мной, начальником продовольственной службы ",'Блок ввода'!G8," ",'Блок ввода'!N1," проведена контрольно-показательная варка пищи в солдатской столовой ",'Блок ввода'!G8," с приготовлением для всего личного состава обеда.")</f>
        <v>В соответствии с требованиями Устава внутренней службы ВС РФ, мной, начальником продовольственной службы войсковой части 00000 проведена контрольно-показательная варка пищи в солдатской столовой войсковой части с приготовлением для всего личного состава обеда.</v>
      </c>
      <c r="C10" s="1670"/>
      <c r="D10" s="1670"/>
      <c r="E10" s="1670"/>
      <c r="F10" s="1670"/>
      <c r="G10" s="1670"/>
      <c r="H10" s="1670"/>
      <c r="I10" s="1670"/>
      <c r="J10" s="1670"/>
      <c r="K10" s="1670"/>
      <c r="L10" s="1670"/>
      <c r="M10" s="1670"/>
      <c r="N10" s="1670"/>
      <c r="O10" s="1670"/>
      <c r="P10" s="1670"/>
      <c r="Q10" s="1670"/>
    </row>
    <row r="11" spans="2:24" ht="20.100000000000001" customHeight="1" x14ac:dyDescent="0.2">
      <c r="B11" s="1673" t="s">
        <v>500</v>
      </c>
      <c r="C11" s="1673"/>
      <c r="D11" s="1673"/>
      <c r="E11" s="1673"/>
      <c r="F11" s="1673"/>
      <c r="G11" s="1673"/>
      <c r="H11" s="1673"/>
      <c r="I11" s="1673"/>
      <c r="J11" s="1672"/>
      <c r="K11" s="1672"/>
      <c r="L11" s="1672"/>
      <c r="M11" s="1672"/>
      <c r="N11" s="1672"/>
      <c r="O11" s="1672"/>
      <c r="P11" s="1672"/>
      <c r="Q11" s="1672"/>
    </row>
    <row r="12" spans="2:24" ht="20.100000000000001" customHeight="1" x14ac:dyDescent="0.2">
      <c r="B12" s="1661" t="str">
        <f>'Блок ввода'!AA12</f>
        <v xml:space="preserve">начальник столовой, инструктор-повар (старший повар), повара -  чел., 11111111111111111, 222222222222222222, 33333333333333333. </v>
      </c>
      <c r="C12" s="1661"/>
      <c r="D12" s="1661"/>
      <c r="E12" s="1661"/>
      <c r="F12" s="1661"/>
      <c r="G12" s="1661"/>
      <c r="H12" s="1661"/>
      <c r="I12" s="1661"/>
      <c r="J12" s="1661"/>
      <c r="K12" s="1661"/>
      <c r="L12" s="1661"/>
      <c r="M12" s="1661"/>
      <c r="N12" s="1661"/>
      <c r="O12" s="1661"/>
      <c r="P12" s="1661"/>
      <c r="Q12" s="1661"/>
    </row>
    <row r="13" spans="2:24" ht="20.100000000000001" customHeight="1" x14ac:dyDescent="0.2">
      <c r="B13" s="1631"/>
      <c r="C13" s="1631"/>
      <c r="D13" s="1631"/>
      <c r="E13" s="1631"/>
      <c r="F13" s="1631"/>
      <c r="G13" s="1631"/>
      <c r="H13" s="1631"/>
      <c r="I13" s="1631"/>
      <c r="J13" s="1631"/>
      <c r="K13" s="1631"/>
      <c r="L13" s="1631"/>
      <c r="M13" s="1631"/>
      <c r="N13" s="1631"/>
      <c r="O13" s="1631"/>
      <c r="P13" s="1631"/>
      <c r="Q13" s="1631"/>
    </row>
    <row r="14" spans="2:24" ht="20.100000000000001" customHeight="1" x14ac:dyDescent="0.2"/>
    <row r="15" spans="2:24" ht="20.100000000000001" customHeight="1" x14ac:dyDescent="0.2">
      <c r="B15" t="str">
        <f>CONCATENATE("Всего: ",'Блок ввода'!V13," человек(а).")</f>
        <v>Всего: 5 человек(а).</v>
      </c>
    </row>
    <row r="16" spans="2:24" ht="20.100000000000001" customHeight="1" x14ac:dyDescent="0.2"/>
    <row r="17" spans="2:17" ht="20.100000000000001" customHeight="1" x14ac:dyDescent="0.2">
      <c r="B17" s="1636" t="s">
        <v>497</v>
      </c>
      <c r="C17" s="1636"/>
      <c r="D17" s="1636"/>
      <c r="E17" s="1636"/>
      <c r="F17" s="1636"/>
      <c r="G17" s="1636"/>
      <c r="H17" s="1636"/>
      <c r="I17" s="1636"/>
      <c r="J17" s="1636"/>
      <c r="K17" s="1630" t="str">
        <f>'Блок ввода'!U16</f>
        <v>Отличное</v>
      </c>
      <c r="L17" s="1630"/>
      <c r="M17" s="1630"/>
      <c r="N17" s="1630"/>
      <c r="O17" s="1630"/>
      <c r="P17" s="1630"/>
      <c r="Q17" s="1630"/>
    </row>
    <row r="18" spans="2:17" ht="20.100000000000001" customHeight="1" x14ac:dyDescent="0.2"/>
    <row r="19" spans="2:17" ht="20.100000000000001" customHeight="1" x14ac:dyDescent="0.2">
      <c r="B19" s="1636" t="s">
        <v>498</v>
      </c>
      <c r="C19" s="1636"/>
      <c r="D19" s="1636"/>
      <c r="E19" s="1636"/>
      <c r="F19" s="1636"/>
      <c r="G19" s="1636"/>
      <c r="H19" s="1636"/>
      <c r="I19" s="1636"/>
      <c r="J19" s="1636"/>
      <c r="K19" s="1636"/>
      <c r="L19" s="1662"/>
      <c r="M19" s="1662"/>
      <c r="N19" s="1662"/>
      <c r="O19" s="1662"/>
      <c r="P19" s="1662"/>
      <c r="Q19" s="1662"/>
    </row>
    <row r="20" spans="2:17" ht="20.100000000000001" customHeight="1" x14ac:dyDescent="0.2">
      <c r="B20" s="1630" t="str">
        <f>'Блок ввода'!U19</f>
        <v>Проверка знаний поваров порядка приготовления пищи</v>
      </c>
      <c r="C20" s="1630"/>
      <c r="D20" s="1630"/>
      <c r="E20" s="1630"/>
      <c r="F20" s="1630"/>
      <c r="G20" s="1630"/>
      <c r="H20" s="1630"/>
      <c r="I20" s="1630"/>
      <c r="J20" s="1630"/>
      <c r="K20" s="1630"/>
      <c r="L20" s="1630"/>
      <c r="M20" s="1630"/>
      <c r="N20" s="1630"/>
      <c r="O20" s="1630"/>
      <c r="P20" s="1630"/>
      <c r="Q20" s="1630"/>
    </row>
    <row r="21" spans="2:17" ht="20.100000000000001" customHeight="1" x14ac:dyDescent="0.2">
      <c r="B21" t="s">
        <v>466</v>
      </c>
    </row>
    <row r="22" spans="2:17" ht="20.100000000000001" customHeight="1" x14ac:dyDescent="0.2">
      <c r="B22" t="s">
        <v>467</v>
      </c>
      <c r="D22" s="400" t="str">
        <f>'Блок ввода'!AA14</f>
        <v>Икра овощная</v>
      </c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9"/>
    </row>
    <row r="23" spans="2:17" ht="20.100000000000001" customHeight="1" x14ac:dyDescent="0.2">
      <c r="B23" t="s">
        <v>468</v>
      </c>
      <c r="D23" s="401" t="str">
        <f>'Блок ввода'!AB15</f>
        <v>Борщ, Суп карт.с макарон.издел.</v>
      </c>
      <c r="E23" s="398"/>
      <c r="F23" s="398"/>
      <c r="G23" s="398"/>
      <c r="H23" s="398"/>
      <c r="I23" s="398"/>
      <c r="J23" s="398"/>
      <c r="K23" s="398"/>
      <c r="L23" s="398"/>
      <c r="M23" s="398"/>
      <c r="N23" s="398"/>
      <c r="O23" s="398"/>
      <c r="P23" s="398"/>
      <c r="Q23" s="398"/>
    </row>
    <row r="24" spans="2:17" ht="20.100000000000001" customHeight="1" x14ac:dyDescent="0.2">
      <c r="B24" t="s">
        <v>469</v>
      </c>
      <c r="D24" s="401" t="str">
        <f>'Блок ввода'!AB17</f>
        <v xml:space="preserve">Мясо отвар. с соусом  с кашей ячневой рас,   Мясо отвар. с соусом   с  гороховым пюре,  </v>
      </c>
      <c r="E24" s="398"/>
      <c r="F24" s="398"/>
      <c r="G24" s="398"/>
      <c r="H24" s="398"/>
      <c r="I24" s="398"/>
      <c r="J24" s="398"/>
      <c r="K24" s="398"/>
      <c r="L24" s="398"/>
      <c r="M24" s="398"/>
      <c r="N24" s="398"/>
      <c r="O24" s="398"/>
      <c r="P24" s="398"/>
      <c r="Q24" s="398"/>
    </row>
    <row r="25" spans="2:17" ht="20.100000000000001" customHeight="1" x14ac:dyDescent="0.2">
      <c r="B25" t="s">
        <v>470</v>
      </c>
      <c r="D25" s="401" t="str">
        <f>'Блок ввода'!AA19</f>
        <v>Компот, сок, хлеб</v>
      </c>
      <c r="E25" s="398"/>
      <c r="F25" s="398"/>
      <c r="G25" s="398"/>
      <c r="H25" s="398"/>
      <c r="I25" s="398"/>
      <c r="J25" s="398"/>
      <c r="K25" s="398"/>
      <c r="L25" s="398"/>
      <c r="M25" s="398"/>
      <c r="N25" s="398"/>
      <c r="O25" s="398"/>
      <c r="P25" s="398"/>
      <c r="Q25" s="398"/>
    </row>
    <row r="26" spans="2:17" ht="20.100000000000001" customHeight="1" x14ac:dyDescent="0.2">
      <c r="B26" s="1671" t="str">
        <f>CONCATENATE('Блок ввода'!V12," от ",J5,"  в соответствии с раскладкой продуктов и количеством питающихся.")</f>
        <v>Продукты получены по накладной №  от 16 октября 2007 г.  в соответствии с раскладкой продуктов и количеством питающихся.</v>
      </c>
      <c r="C26" s="1671"/>
      <c r="D26" s="1671"/>
      <c r="E26" s="1671"/>
      <c r="F26" s="1671"/>
      <c r="G26" s="1671"/>
      <c r="H26" s="1671"/>
      <c r="I26" s="1671"/>
      <c r="J26" s="1671"/>
      <c r="K26" s="1671"/>
      <c r="L26" s="1671"/>
      <c r="M26" s="1671"/>
      <c r="N26" s="1671"/>
      <c r="O26" s="1671"/>
      <c r="P26" s="1671"/>
      <c r="Q26" s="1671"/>
    </row>
    <row r="27" spans="2:17" ht="20.100000000000001" customHeight="1" x14ac:dyDescent="0.2">
      <c r="B27" s="1636" t="s">
        <v>499</v>
      </c>
      <c r="C27" s="1636"/>
      <c r="D27" s="1636"/>
      <c r="E27" s="1636"/>
      <c r="F27" s="1636"/>
      <c r="G27" s="1636"/>
      <c r="H27" s="1636"/>
      <c r="I27" s="1636"/>
      <c r="J27" s="1636"/>
      <c r="K27" s="1636"/>
      <c r="L27" s="1636"/>
      <c r="M27" s="1636"/>
      <c r="N27" s="1636"/>
      <c r="O27" s="1636"/>
      <c r="P27" s="1636"/>
      <c r="Q27" s="1636"/>
    </row>
    <row r="28" spans="2:17" ht="20.100000000000001" customHeight="1" x14ac:dyDescent="0.2"/>
    <row r="29" spans="2:17" ht="20.100000000000001" customHeight="1" x14ac:dyDescent="0.2">
      <c r="B29" s="1628" t="s">
        <v>471</v>
      </c>
      <c r="C29" s="1628"/>
      <c r="D29" s="1628"/>
      <c r="E29" s="1628"/>
      <c r="F29" s="1628"/>
      <c r="G29" s="1628"/>
      <c r="H29" s="1628"/>
      <c r="I29" s="1628"/>
      <c r="J29" s="1628"/>
      <c r="K29" s="1628"/>
      <c r="L29" s="1628"/>
      <c r="M29" s="1628"/>
      <c r="N29" s="1628"/>
      <c r="O29" s="1628"/>
      <c r="P29" s="1628"/>
      <c r="Q29" s="1628"/>
    </row>
    <row r="30" spans="2:17" ht="20.100000000000001" customHeight="1" x14ac:dyDescent="0.2"/>
    <row r="31" spans="2:17" ht="20.100000000000001" customHeight="1" x14ac:dyDescent="0.2"/>
    <row r="32" spans="2:17" ht="20.100000000000001" customHeight="1" x14ac:dyDescent="0.2">
      <c r="B32" s="397"/>
      <c r="C32" s="1642" t="s">
        <v>483</v>
      </c>
      <c r="D32" s="1656"/>
      <c r="E32" s="1656"/>
      <c r="F32" s="1639"/>
      <c r="G32" s="1638" t="s">
        <v>491</v>
      </c>
      <c r="H32" s="1663"/>
      <c r="I32" s="1646" t="s">
        <v>472</v>
      </c>
      <c r="J32" s="1647"/>
      <c r="K32" s="1647"/>
      <c r="L32" s="1648"/>
      <c r="M32" s="1642" t="s">
        <v>482</v>
      </c>
      <c r="N32" s="1656"/>
      <c r="O32" s="1656"/>
      <c r="P32" s="1639"/>
      <c r="Q32" s="396"/>
    </row>
    <row r="33" spans="2:17" ht="20.100000000000001" customHeight="1" x14ac:dyDescent="0.2">
      <c r="B33" s="397"/>
      <c r="C33" s="1657"/>
      <c r="D33" s="1658"/>
      <c r="E33" s="1658"/>
      <c r="F33" s="1659"/>
      <c r="G33" s="1664"/>
      <c r="H33" s="1665"/>
      <c r="I33" s="1646" t="s">
        <v>473</v>
      </c>
      <c r="J33" s="1648"/>
      <c r="K33" s="1646" t="s">
        <v>474</v>
      </c>
      <c r="L33" s="1648"/>
      <c r="M33" s="1657"/>
      <c r="N33" s="1658"/>
      <c r="O33" s="1658"/>
      <c r="P33" s="1659"/>
      <c r="Q33" s="396"/>
    </row>
    <row r="34" spans="2:17" ht="20.100000000000001" customHeight="1" x14ac:dyDescent="0.2">
      <c r="B34" s="397"/>
      <c r="C34" s="1640"/>
      <c r="D34" s="1660"/>
      <c r="E34" s="1660"/>
      <c r="F34" s="1641"/>
      <c r="G34" s="1666"/>
      <c r="H34" s="1667"/>
      <c r="I34" s="1646" t="s">
        <v>475</v>
      </c>
      <c r="J34" s="1648"/>
      <c r="K34" s="1646" t="s">
        <v>475</v>
      </c>
      <c r="L34" s="1648"/>
      <c r="M34" s="1640"/>
      <c r="N34" s="1660"/>
      <c r="O34" s="1660"/>
      <c r="P34" s="1641"/>
      <c r="Q34" s="396"/>
    </row>
    <row r="35" spans="2:17" ht="20.100000000000001" customHeight="1" x14ac:dyDescent="0.2">
      <c r="B35" s="397"/>
      <c r="C35" s="1649"/>
      <c r="D35" s="1650"/>
      <c r="E35" s="1650"/>
      <c r="F35" s="1651"/>
      <c r="G35" s="1649"/>
      <c r="H35" s="1651"/>
      <c r="I35" s="1649"/>
      <c r="J35" s="1651"/>
      <c r="K35" s="1649"/>
      <c r="L35" s="1651"/>
      <c r="M35" s="1652">
        <f>G35-K35</f>
        <v>0</v>
      </c>
      <c r="N35" s="1653"/>
      <c r="O35" s="1653"/>
      <c r="P35" s="1654"/>
      <c r="Q35" s="396"/>
    </row>
    <row r="36" spans="2:17" ht="20.100000000000001" customHeight="1" x14ac:dyDescent="0.2">
      <c r="B36" s="397"/>
      <c r="C36" s="1649"/>
      <c r="D36" s="1650"/>
      <c r="E36" s="1650"/>
      <c r="F36" s="1651"/>
      <c r="G36" s="1649"/>
      <c r="H36" s="1651"/>
      <c r="I36" s="1649"/>
      <c r="J36" s="1651"/>
      <c r="K36" s="1649"/>
      <c r="L36" s="1651"/>
      <c r="M36" s="1652">
        <f t="shared" ref="M36:M43" si="0">G36-K36</f>
        <v>0</v>
      </c>
      <c r="N36" s="1653"/>
      <c r="O36" s="1653"/>
      <c r="P36" s="1654"/>
      <c r="Q36" s="396"/>
    </row>
    <row r="37" spans="2:17" ht="20.100000000000001" customHeight="1" x14ac:dyDescent="0.2">
      <c r="B37" s="397"/>
      <c r="C37" s="1649"/>
      <c r="D37" s="1650"/>
      <c r="E37" s="1650"/>
      <c r="F37" s="1651"/>
      <c r="G37" s="1649"/>
      <c r="H37" s="1651"/>
      <c r="I37" s="1649"/>
      <c r="J37" s="1651"/>
      <c r="K37" s="1649"/>
      <c r="L37" s="1651"/>
      <c r="M37" s="1652">
        <f t="shared" si="0"/>
        <v>0</v>
      </c>
      <c r="N37" s="1653"/>
      <c r="O37" s="1653"/>
      <c r="P37" s="1654"/>
      <c r="Q37" s="396"/>
    </row>
    <row r="38" spans="2:17" ht="20.100000000000001" customHeight="1" x14ac:dyDescent="0.2">
      <c r="B38" s="397"/>
      <c r="C38" s="1649"/>
      <c r="D38" s="1650"/>
      <c r="E38" s="1650"/>
      <c r="F38" s="1651"/>
      <c r="G38" s="1649"/>
      <c r="H38" s="1651"/>
      <c r="I38" s="1649"/>
      <c r="J38" s="1651"/>
      <c r="K38" s="1649"/>
      <c r="L38" s="1651"/>
      <c r="M38" s="1652">
        <f t="shared" si="0"/>
        <v>0</v>
      </c>
      <c r="N38" s="1653"/>
      <c r="O38" s="1653"/>
      <c r="P38" s="1654"/>
      <c r="Q38" s="396"/>
    </row>
    <row r="39" spans="2:17" ht="20.100000000000001" customHeight="1" x14ac:dyDescent="0.2">
      <c r="B39" s="397"/>
      <c r="C39" s="1649"/>
      <c r="D39" s="1650"/>
      <c r="E39" s="1650"/>
      <c r="F39" s="1651"/>
      <c r="G39" s="1649"/>
      <c r="H39" s="1651"/>
      <c r="I39" s="1649"/>
      <c r="J39" s="1651"/>
      <c r="K39" s="1649"/>
      <c r="L39" s="1651"/>
      <c r="M39" s="1652">
        <f t="shared" si="0"/>
        <v>0</v>
      </c>
      <c r="N39" s="1653"/>
      <c r="O39" s="1653"/>
      <c r="P39" s="1654"/>
      <c r="Q39" s="396"/>
    </row>
    <row r="40" spans="2:17" ht="20.100000000000001" customHeight="1" x14ac:dyDescent="0.2">
      <c r="B40" s="397"/>
      <c r="C40" s="1649"/>
      <c r="D40" s="1650"/>
      <c r="E40" s="1650"/>
      <c r="F40" s="1651"/>
      <c r="G40" s="1649"/>
      <c r="H40" s="1651"/>
      <c r="I40" s="1649"/>
      <c r="J40" s="1651"/>
      <c r="K40" s="1649"/>
      <c r="L40" s="1651"/>
      <c r="M40" s="1652">
        <f t="shared" si="0"/>
        <v>0</v>
      </c>
      <c r="N40" s="1653"/>
      <c r="O40" s="1653"/>
      <c r="P40" s="1654"/>
      <c r="Q40" s="396"/>
    </row>
    <row r="41" spans="2:17" ht="20.100000000000001" customHeight="1" x14ac:dyDescent="0.2">
      <c r="B41" s="397"/>
      <c r="C41" s="1649"/>
      <c r="D41" s="1650"/>
      <c r="E41" s="1650"/>
      <c r="F41" s="1651"/>
      <c r="G41" s="1649"/>
      <c r="H41" s="1651"/>
      <c r="I41" s="1649"/>
      <c r="J41" s="1651"/>
      <c r="K41" s="1649"/>
      <c r="L41" s="1651"/>
      <c r="M41" s="1652">
        <f t="shared" si="0"/>
        <v>0</v>
      </c>
      <c r="N41" s="1653"/>
      <c r="O41" s="1653"/>
      <c r="P41" s="1654"/>
      <c r="Q41" s="396"/>
    </row>
    <row r="42" spans="2:17" ht="20.100000000000001" customHeight="1" x14ac:dyDescent="0.2">
      <c r="B42" s="397"/>
      <c r="C42" s="1649"/>
      <c r="D42" s="1650"/>
      <c r="E42" s="1650"/>
      <c r="F42" s="1651"/>
      <c r="G42" s="1649"/>
      <c r="H42" s="1651"/>
      <c r="I42" s="1649"/>
      <c r="J42" s="1651"/>
      <c r="K42" s="1649"/>
      <c r="L42" s="1651"/>
      <c r="M42" s="1652">
        <f t="shared" si="0"/>
        <v>0</v>
      </c>
      <c r="N42" s="1653"/>
      <c r="O42" s="1653"/>
      <c r="P42" s="1654"/>
      <c r="Q42" s="396"/>
    </row>
    <row r="43" spans="2:17" ht="20.100000000000001" customHeight="1" x14ac:dyDescent="0.2">
      <c r="B43" s="397"/>
      <c r="C43" s="1649"/>
      <c r="D43" s="1650"/>
      <c r="E43" s="1650"/>
      <c r="F43" s="1651"/>
      <c r="G43" s="1649"/>
      <c r="H43" s="1651"/>
      <c r="I43" s="1649"/>
      <c r="J43" s="1651"/>
      <c r="K43" s="1649"/>
      <c r="L43" s="1651"/>
      <c r="M43" s="1652">
        <f t="shared" si="0"/>
        <v>0</v>
      </c>
      <c r="N43" s="1653"/>
      <c r="O43" s="1653"/>
      <c r="P43" s="1654"/>
      <c r="Q43" s="396"/>
    </row>
    <row r="44" spans="2:17" ht="20.100000000000001" customHeight="1" x14ac:dyDescent="0.2"/>
    <row r="45" spans="2:17" ht="20.100000000000001" customHeight="1" x14ac:dyDescent="0.2">
      <c r="C45" s="1645" t="s">
        <v>478</v>
      </c>
      <c r="D45" s="1645"/>
      <c r="E45" s="1645"/>
      <c r="F45" s="1645"/>
      <c r="G45" s="1645"/>
      <c r="H45" s="1645"/>
      <c r="I45" s="1645"/>
      <c r="J45" s="1645"/>
      <c r="K45" s="1645"/>
      <c r="L45" s="1645"/>
      <c r="M45" s="1645"/>
      <c r="N45" s="1645"/>
      <c r="O45" s="1645"/>
    </row>
    <row r="46" spans="2:17" ht="20.100000000000001" customHeight="1" x14ac:dyDescent="0.2">
      <c r="B46" s="1630" t="str">
        <f>'Блок ввода'!W24</f>
        <v/>
      </c>
      <c r="C46" s="1630"/>
      <c r="D46" s="1630"/>
      <c r="E46" s="1630"/>
      <c r="F46" s="1630"/>
      <c r="G46" s="1630"/>
      <c r="H46" s="1630"/>
      <c r="I46" s="1630"/>
      <c r="J46" s="1630"/>
      <c r="K46" s="1630"/>
      <c r="L46" s="1630"/>
      <c r="M46" s="1630"/>
      <c r="N46" s="1630"/>
      <c r="O46" s="1630"/>
      <c r="P46" s="1630"/>
      <c r="Q46" s="1630"/>
    </row>
    <row r="47" spans="2:17" ht="20.100000000000001" customHeight="1" x14ac:dyDescent="0.2">
      <c r="B47" s="1631"/>
      <c r="C47" s="1631"/>
      <c r="D47" s="1631"/>
      <c r="E47" s="1631"/>
      <c r="F47" s="1631"/>
      <c r="G47" s="1631"/>
      <c r="H47" s="1631"/>
      <c r="I47" s="1631"/>
      <c r="J47" s="1631"/>
      <c r="K47" s="1631"/>
      <c r="L47" s="1631"/>
      <c r="M47" s="1631"/>
      <c r="N47" s="1631"/>
      <c r="O47" s="1631"/>
      <c r="P47" s="1631"/>
      <c r="Q47" s="1631"/>
    </row>
    <row r="48" spans="2:17" ht="20.100000000000001" customHeight="1" x14ac:dyDescent="0.2">
      <c r="B48" s="1655" t="s">
        <v>476</v>
      </c>
      <c r="C48" s="1655"/>
      <c r="D48" s="1655"/>
      <c r="E48" s="1655"/>
      <c r="F48" s="1655"/>
      <c r="G48" s="1655"/>
      <c r="H48" s="1655"/>
      <c r="I48" s="1655"/>
      <c r="J48" s="1655"/>
      <c r="K48" s="1655"/>
      <c r="L48" s="1655"/>
      <c r="M48" s="1655"/>
      <c r="N48" s="1655"/>
      <c r="O48" s="1655"/>
      <c r="P48" s="1655"/>
      <c r="Q48" s="1655"/>
    </row>
    <row r="49" spans="2:17" ht="20.100000000000001" customHeight="1" x14ac:dyDescent="0.2">
      <c r="B49" s="1630" t="str">
        <f>CONCATENATE('Блок ввода'!S5," ",'Блок ввода'!S6," ",'Блок ввода'!S7)</f>
        <v>Варка Жаренье Тушенье</v>
      </c>
      <c r="C49" s="1630"/>
      <c r="D49" s="1630"/>
      <c r="E49" s="1630"/>
      <c r="F49" s="1630"/>
      <c r="G49" s="1630"/>
      <c r="H49" s="1630"/>
      <c r="I49" s="1630"/>
      <c r="J49" s="1630"/>
      <c r="K49" s="1630"/>
      <c r="L49" s="1630"/>
      <c r="M49" s="1630"/>
      <c r="N49" s="1630"/>
      <c r="O49" s="1630"/>
      <c r="P49" s="1630"/>
      <c r="Q49" s="1630"/>
    </row>
    <row r="50" spans="2:17" ht="20.100000000000001" customHeight="1" x14ac:dyDescent="0.2">
      <c r="B50" s="1631"/>
      <c r="C50" s="1631"/>
      <c r="D50" s="1631"/>
      <c r="E50" s="1631"/>
      <c r="F50" s="1631"/>
      <c r="G50" s="1631"/>
      <c r="H50" s="1631"/>
      <c r="I50" s="1631"/>
      <c r="J50" s="1631"/>
      <c r="K50" s="1631"/>
      <c r="L50" s="1631"/>
      <c r="M50" s="1631"/>
      <c r="N50" s="1631"/>
      <c r="O50" s="1631"/>
      <c r="P50" s="1631"/>
      <c r="Q50" s="1631"/>
    </row>
    <row r="51" spans="2:17" ht="20.100000000000001" customHeight="1" x14ac:dyDescent="0.2"/>
    <row r="52" spans="2:17" ht="20.100000000000001" customHeight="1" x14ac:dyDescent="0.2"/>
    <row r="53" spans="2:17" ht="20.100000000000001" customHeight="1" x14ac:dyDescent="0.2">
      <c r="C53" s="1628" t="s">
        <v>477</v>
      </c>
      <c r="D53" s="1628"/>
      <c r="E53" s="1628"/>
      <c r="F53" s="1628"/>
      <c r="G53" s="1628"/>
      <c r="H53" s="1628"/>
      <c r="I53" s="1628"/>
      <c r="J53" s="1628"/>
      <c r="K53" s="1628"/>
      <c r="L53" s="1628"/>
      <c r="M53" s="1628"/>
      <c r="N53" s="1628"/>
      <c r="O53" s="1628"/>
      <c r="P53" s="1628"/>
    </row>
    <row r="54" spans="2:17" ht="20.100000000000001" customHeight="1" x14ac:dyDescent="0.2"/>
    <row r="55" spans="2:17" ht="20.100000000000001" customHeight="1" x14ac:dyDescent="0.2"/>
    <row r="56" spans="2:17" ht="20.100000000000001" customHeight="1" x14ac:dyDescent="0.2">
      <c r="C56" s="1642" t="s">
        <v>490</v>
      </c>
      <c r="D56" s="1656"/>
      <c r="E56" s="1656"/>
      <c r="F56" s="1656"/>
      <c r="G56" s="1656"/>
      <c r="H56" s="1639"/>
      <c r="I56" s="1646" t="s">
        <v>484</v>
      </c>
      <c r="J56" s="1647"/>
      <c r="K56" s="1647"/>
      <c r="L56" s="1648"/>
      <c r="M56" s="1646" t="s">
        <v>485</v>
      </c>
      <c r="N56" s="1647"/>
      <c r="O56" s="1647"/>
      <c r="P56" s="1648"/>
    </row>
    <row r="57" spans="2:17" ht="20.100000000000001" customHeight="1" x14ac:dyDescent="0.2">
      <c r="C57" s="1657"/>
      <c r="D57" s="1658"/>
      <c r="E57" s="1658"/>
      <c r="F57" s="1658"/>
      <c r="G57" s="1658"/>
      <c r="H57" s="1659"/>
      <c r="I57" s="1642" t="s">
        <v>486</v>
      </c>
      <c r="J57" s="1639"/>
      <c r="K57" s="1642" t="s">
        <v>487</v>
      </c>
      <c r="L57" s="1639"/>
      <c r="M57" s="1638" t="s">
        <v>488</v>
      </c>
      <c r="N57" s="1639"/>
      <c r="O57" s="1638" t="s">
        <v>489</v>
      </c>
      <c r="P57" s="1639"/>
    </row>
    <row r="58" spans="2:17" ht="20.100000000000001" customHeight="1" x14ac:dyDescent="0.2">
      <c r="C58" s="1640"/>
      <c r="D58" s="1660"/>
      <c r="E58" s="1660"/>
      <c r="F58" s="1660"/>
      <c r="G58" s="1660"/>
      <c r="H58" s="1641"/>
      <c r="I58" s="1640"/>
      <c r="J58" s="1641"/>
      <c r="K58" s="1640"/>
      <c r="L58" s="1641"/>
      <c r="M58" s="1640"/>
      <c r="N58" s="1641"/>
      <c r="O58" s="1640"/>
      <c r="P58" s="1641"/>
    </row>
    <row r="59" spans="2:17" ht="20.100000000000001" customHeight="1" x14ac:dyDescent="0.2">
      <c r="C59" s="1632" t="str">
        <f>D22</f>
        <v>Икра овощная</v>
      </c>
      <c r="D59" s="1633"/>
      <c r="E59" s="1633"/>
      <c r="F59" s="1633"/>
      <c r="G59" s="1633"/>
      <c r="H59" s="1634"/>
      <c r="I59" s="1643"/>
      <c r="J59" s="1644"/>
      <c r="K59" s="1643" t="str">
        <f>'Блок ввода'!Z14</f>
        <v>123,3</v>
      </c>
      <c r="L59" s="1644"/>
      <c r="M59" s="1643">
        <f t="shared" ref="M59:M64" si="1">IF((I59-K59)&gt;0,(I59-K59),0)</f>
        <v>0</v>
      </c>
      <c r="N59" s="1644"/>
      <c r="O59" s="1643">
        <f t="shared" ref="O59:O64" si="2">IF((I59-K59)&lt;0,-(I59-K59),0)</f>
        <v>123.3</v>
      </c>
      <c r="P59" s="1644"/>
    </row>
    <row r="60" spans="2:17" ht="20.100000000000001" customHeight="1" x14ac:dyDescent="0.2">
      <c r="C60" s="1632" t="str">
        <f>'Блок ввода'!AA15</f>
        <v>Борщ</v>
      </c>
      <c r="D60" s="1633"/>
      <c r="E60" s="1633"/>
      <c r="F60" s="1633"/>
      <c r="G60" s="1633"/>
      <c r="H60" s="1634"/>
      <c r="I60" s="1643"/>
      <c r="J60" s="1644"/>
      <c r="K60" s="1643">
        <f>'Блок ввода'!Z15</f>
        <v>600</v>
      </c>
      <c r="L60" s="1644"/>
      <c r="M60" s="1643">
        <f t="shared" si="1"/>
        <v>0</v>
      </c>
      <c r="N60" s="1644"/>
      <c r="O60" s="1643">
        <f t="shared" si="2"/>
        <v>600</v>
      </c>
      <c r="P60" s="1644"/>
    </row>
    <row r="61" spans="2:17" ht="20.100000000000001" customHeight="1" x14ac:dyDescent="0.2">
      <c r="C61" s="1632" t="str">
        <f>'Блок ввода'!AA16</f>
        <v>Суп карт.с макарон.издел.</v>
      </c>
      <c r="D61" s="1633"/>
      <c r="E61" s="1633"/>
      <c r="F61" s="1633"/>
      <c r="G61" s="1633"/>
      <c r="H61" s="1634"/>
      <c r="I61" s="1643"/>
      <c r="J61" s="1644"/>
      <c r="K61" s="1643">
        <f>'Блок ввода'!Z16</f>
        <v>600</v>
      </c>
      <c r="L61" s="1644"/>
      <c r="M61" s="1643">
        <f t="shared" si="1"/>
        <v>0</v>
      </c>
      <c r="N61" s="1644"/>
      <c r="O61" s="1643">
        <f t="shared" si="2"/>
        <v>600</v>
      </c>
      <c r="P61" s="1644"/>
    </row>
    <row r="62" spans="2:17" ht="20.100000000000001" customHeight="1" x14ac:dyDescent="0.2">
      <c r="C62" s="1632" t="str">
        <f>'Блок ввода'!AA17</f>
        <v xml:space="preserve">Мясо отвар. с соусом  с кашей ячневой рас,  </v>
      </c>
      <c r="D62" s="1633"/>
      <c r="E62" s="1633"/>
      <c r="F62" s="1633"/>
      <c r="G62" s="1633"/>
      <c r="H62" s="1634"/>
      <c r="I62" s="1643"/>
      <c r="J62" s="1644"/>
      <c r="K62" s="1643">
        <f>'Блок ввода'!Z17</f>
        <v>333</v>
      </c>
      <c r="L62" s="1644"/>
      <c r="M62" s="1643">
        <f t="shared" si="1"/>
        <v>0</v>
      </c>
      <c r="N62" s="1644"/>
      <c r="O62" s="1643">
        <f t="shared" si="2"/>
        <v>333</v>
      </c>
      <c r="P62" s="1644"/>
    </row>
    <row r="63" spans="2:17" ht="20.100000000000001" customHeight="1" x14ac:dyDescent="0.2">
      <c r="C63" s="1632" t="str">
        <f>'Блок ввода'!AA18</f>
        <v xml:space="preserve">Мясо отвар. с соусом   с  гороховым пюре,  </v>
      </c>
      <c r="D63" s="1633"/>
      <c r="E63" s="1633"/>
      <c r="F63" s="1633"/>
      <c r="G63" s="1633"/>
      <c r="H63" s="1634"/>
      <c r="I63" s="1643"/>
      <c r="J63" s="1644"/>
      <c r="K63" s="1643" t="str">
        <f>'Блок ввода'!Z18</f>
        <v>264,6</v>
      </c>
      <c r="L63" s="1644"/>
      <c r="M63" s="1643">
        <f t="shared" si="1"/>
        <v>0</v>
      </c>
      <c r="N63" s="1644"/>
      <c r="O63" s="1643">
        <f t="shared" si="2"/>
        <v>264.60000000000002</v>
      </c>
      <c r="P63" s="1644"/>
    </row>
    <row r="64" spans="2:17" ht="20.100000000000001" customHeight="1" x14ac:dyDescent="0.2">
      <c r="C64" s="1632" t="str">
        <f>'Блок ввода'!AA19</f>
        <v>Компот, сок, хлеб</v>
      </c>
      <c r="D64" s="1633"/>
      <c r="E64" s="1633"/>
      <c r="F64" s="1633"/>
      <c r="G64" s="1633"/>
      <c r="H64" s="1634"/>
      <c r="I64" s="1643"/>
      <c r="J64" s="1644"/>
      <c r="K64" s="1643">
        <f>'Блок ввода'!Z19</f>
        <v>250</v>
      </c>
      <c r="L64" s="1644"/>
      <c r="M64" s="1643">
        <f t="shared" si="1"/>
        <v>0</v>
      </c>
      <c r="N64" s="1644"/>
      <c r="O64" s="1643">
        <f t="shared" si="2"/>
        <v>250</v>
      </c>
      <c r="P64" s="1644"/>
    </row>
    <row r="65" spans="2:17" ht="20.100000000000001" customHeight="1" x14ac:dyDescent="0.2"/>
    <row r="66" spans="2:17" ht="20.100000000000001" customHeight="1" x14ac:dyDescent="0.2">
      <c r="C66" s="1645" t="s">
        <v>479</v>
      </c>
      <c r="D66" s="1645"/>
      <c r="E66" s="1645"/>
      <c r="F66" s="1645"/>
      <c r="G66" s="1645"/>
      <c r="H66" s="1645"/>
      <c r="I66" s="1645"/>
      <c r="J66" s="1645"/>
      <c r="K66" s="1645"/>
      <c r="L66" s="1645"/>
      <c r="M66" s="1645"/>
      <c r="N66" s="1645"/>
      <c r="O66" s="1645"/>
      <c r="P66" s="1645"/>
    </row>
    <row r="67" spans="2:17" ht="20.100000000000001" customHeight="1" x14ac:dyDescent="0.2">
      <c r="B67" s="1630" t="str">
        <f>'Блок ввода'!V21</f>
        <v/>
      </c>
      <c r="C67" s="1630"/>
      <c r="D67" s="1630"/>
      <c r="E67" s="1630"/>
      <c r="F67" s="1630"/>
      <c r="G67" s="1630"/>
      <c r="H67" s="1630"/>
      <c r="I67" s="1630"/>
      <c r="J67" s="1630"/>
      <c r="K67" s="1630"/>
      <c r="L67" s="1630"/>
      <c r="M67" s="1630"/>
      <c r="N67" s="1630"/>
      <c r="O67" s="1630"/>
      <c r="P67" s="1630"/>
      <c r="Q67" s="1630"/>
    </row>
    <row r="68" spans="2:17" ht="20.100000000000001" customHeight="1" x14ac:dyDescent="0.2">
      <c r="B68" s="1631"/>
      <c r="C68" s="1631"/>
      <c r="D68" s="1631"/>
      <c r="E68" s="1631"/>
      <c r="F68" s="1631"/>
      <c r="G68" s="1631"/>
      <c r="H68" s="1631"/>
      <c r="I68" s="1631"/>
      <c r="J68" s="1631"/>
      <c r="K68" s="1631"/>
      <c r="L68" s="1631"/>
      <c r="M68" s="1631"/>
      <c r="N68" s="1631"/>
      <c r="O68" s="1631"/>
      <c r="P68" s="1631"/>
      <c r="Q68" s="1631"/>
    </row>
    <row r="69" spans="2:17" ht="20.100000000000001" customHeight="1" x14ac:dyDescent="0.2">
      <c r="C69" s="1628" t="s">
        <v>480</v>
      </c>
      <c r="D69" s="1628"/>
      <c r="E69" s="1628"/>
      <c r="F69" s="1628"/>
      <c r="G69" s="1628"/>
      <c r="H69" s="1628"/>
      <c r="I69" s="1628"/>
      <c r="J69" s="1628"/>
      <c r="K69" s="1628"/>
      <c r="L69" s="1628"/>
      <c r="M69" s="1628"/>
      <c r="N69" s="1628"/>
      <c r="O69" s="1628"/>
      <c r="P69" s="1628"/>
    </row>
    <row r="70" spans="2:17" ht="20.100000000000001" customHeight="1" x14ac:dyDescent="0.2">
      <c r="B70" t="s">
        <v>467</v>
      </c>
      <c r="D70" s="1635" t="str">
        <f>CONCATENATE("''",D22,"''")</f>
        <v>''Икра овощная''</v>
      </c>
      <c r="E70" s="1635"/>
      <c r="F70" s="1635"/>
      <c r="G70" s="1635"/>
      <c r="H70" s="1635"/>
      <c r="I70" s="1635"/>
      <c r="J70" s="1635"/>
      <c r="K70" s="1635"/>
      <c r="L70" s="1635"/>
    </row>
    <row r="71" spans="2:17" ht="20.100000000000001" customHeight="1" x14ac:dyDescent="0.2">
      <c r="B71" t="s">
        <v>468</v>
      </c>
      <c r="D71" s="1635" t="str">
        <f>CONCATENATE("''",D23,"''")</f>
        <v>''Борщ, Суп карт.с макарон.издел.''</v>
      </c>
      <c r="E71" s="1635"/>
      <c r="F71" s="1635"/>
      <c r="G71" s="1635"/>
      <c r="H71" s="1635"/>
      <c r="I71" s="1635"/>
      <c r="J71" s="1635"/>
      <c r="K71" s="1635"/>
      <c r="L71" s="1635"/>
    </row>
    <row r="72" spans="2:17" ht="20.100000000000001" customHeight="1" x14ac:dyDescent="0.2">
      <c r="B72" t="s">
        <v>469</v>
      </c>
      <c r="D72" s="1635" t="str">
        <f>CONCATENATE("''",D24,"''")</f>
        <v>''Мясо отвар. с соусом  с кашей ячневой рас,   Мясо отвар. с соусом   с  гороховым пюре,  ''</v>
      </c>
      <c r="E72" s="1635"/>
      <c r="F72" s="1635"/>
      <c r="G72" s="1635"/>
      <c r="H72" s="1635"/>
      <c r="I72" s="1635"/>
      <c r="J72" s="1635"/>
      <c r="K72" s="1635"/>
      <c r="L72" s="1635"/>
      <c r="M72" s="1635"/>
    </row>
    <row r="73" spans="2:17" ht="20.100000000000001" customHeight="1" x14ac:dyDescent="0.2">
      <c r="B73" t="s">
        <v>470</v>
      </c>
      <c r="D73" s="1635" t="str">
        <f>CONCATENATE("''",D25,"''")</f>
        <v>''Компот, сок, хлеб''</v>
      </c>
      <c r="E73" s="1635"/>
      <c r="F73" s="1635"/>
      <c r="G73" s="1635"/>
      <c r="H73" s="1635"/>
      <c r="I73" s="1635"/>
      <c r="J73" s="1635"/>
      <c r="K73" s="1635"/>
      <c r="L73" s="1635"/>
    </row>
    <row r="74" spans="2:17" ht="20.100000000000001" customHeight="1" x14ac:dyDescent="0.2"/>
    <row r="75" spans="2:17" ht="20.100000000000001" customHeight="1" x14ac:dyDescent="0.2">
      <c r="B75" s="1636" t="s">
        <v>494</v>
      </c>
      <c r="C75" s="1636"/>
      <c r="D75" s="1636"/>
      <c r="E75" s="1630" t="str">
        <f>'Блок ввода'!V17</f>
        <v>методом самообслуживания</v>
      </c>
      <c r="F75" s="1630"/>
      <c r="G75" s="1630"/>
      <c r="H75" s="1630"/>
      <c r="I75" s="1630"/>
      <c r="J75" s="1630"/>
      <c r="K75" s="1630"/>
      <c r="L75" s="1630"/>
      <c r="M75" s="1630"/>
      <c r="N75" s="1630"/>
      <c r="O75" s="1630"/>
      <c r="P75" s="1630"/>
      <c r="Q75" s="1630"/>
    </row>
    <row r="76" spans="2:17" ht="20.100000000000001" customHeight="1" x14ac:dyDescent="0.2"/>
    <row r="77" spans="2:17" ht="20.100000000000001" customHeight="1" x14ac:dyDescent="0.2">
      <c r="B77" s="1636" t="s">
        <v>495</v>
      </c>
      <c r="C77" s="1636"/>
      <c r="D77" s="1636"/>
      <c r="E77" s="1636"/>
      <c r="F77" s="1636"/>
      <c r="G77" s="1636"/>
      <c r="H77" s="1636"/>
      <c r="I77" s="1630" t="str">
        <f>'Блок ввода'!W13</f>
        <v>отлично</v>
      </c>
      <c r="J77" s="1630"/>
      <c r="K77" s="1630"/>
      <c r="L77" s="1630"/>
      <c r="M77" s="1630"/>
      <c r="N77" s="1630"/>
      <c r="O77" s="1630"/>
      <c r="P77" s="1630"/>
      <c r="Q77" s="1630"/>
    </row>
    <row r="78" spans="2:17" ht="20.100000000000001" customHeight="1" x14ac:dyDescent="0.2">
      <c r="B78" s="1636" t="s">
        <v>503</v>
      </c>
      <c r="C78" s="1636"/>
      <c r="D78" s="1636"/>
      <c r="E78" s="1636"/>
      <c r="F78" s="1636"/>
      <c r="G78" s="1636"/>
      <c r="H78" s="1636"/>
      <c r="I78" s="1636"/>
      <c r="J78" s="1676" t="str">
        <f>'Блок ввода'!V22</f>
        <v xml:space="preserve"> хлеб, масло, сахар, чай </v>
      </c>
      <c r="K78" s="1676"/>
      <c r="L78" s="1676"/>
      <c r="M78" s="1676"/>
      <c r="N78" s="1676"/>
      <c r="O78" s="1676"/>
      <c r="P78" s="1676"/>
      <c r="Q78" s="1676"/>
    </row>
    <row r="79" spans="2:17" ht="20.100000000000001" customHeight="1" x14ac:dyDescent="0.2">
      <c r="B79" s="1637" t="s">
        <v>496</v>
      </c>
      <c r="C79" s="1637"/>
      <c r="D79" s="1637"/>
      <c r="E79" s="1637"/>
      <c r="F79" s="1637"/>
      <c r="G79" s="1637"/>
      <c r="H79" s="1637"/>
      <c r="I79" s="1637"/>
      <c r="J79" s="1637"/>
      <c r="K79" s="1637"/>
      <c r="L79" s="1637"/>
      <c r="M79" s="1637"/>
      <c r="N79" s="1637"/>
      <c r="O79" s="1637"/>
      <c r="P79" s="1637"/>
    </row>
    <row r="80" spans="2:17" ht="20.100000000000001" customHeight="1" x14ac:dyDescent="0.2">
      <c r="B80" s="1630" t="str">
        <f>'Блок ввода'!U23</f>
        <v xml:space="preserve"> хлеб, масло, сахар, кофе натур. с молоком, омлет</v>
      </c>
      <c r="C80" s="1630"/>
      <c r="D80" s="1630"/>
      <c r="E80" s="1630"/>
      <c r="F80" s="1630"/>
      <c r="G80" s="1630"/>
      <c r="H80" s="1630"/>
      <c r="I80" s="1630"/>
      <c r="J80" s="1630"/>
      <c r="K80" s="1630"/>
      <c r="L80" s="1630"/>
      <c r="M80" s="1630"/>
      <c r="N80" s="1630"/>
      <c r="O80" s="1630"/>
      <c r="P80" s="1630"/>
      <c r="Q80" s="1630"/>
    </row>
    <row r="81" spans="2:17" ht="20.100000000000001" customHeight="1" x14ac:dyDescent="0.2">
      <c r="B81" s="1631"/>
      <c r="C81" s="1631"/>
      <c r="D81" s="1631"/>
      <c r="E81" s="1631"/>
      <c r="F81" s="1631"/>
      <c r="G81" s="1631"/>
      <c r="H81" s="1631"/>
      <c r="I81" s="1631"/>
      <c r="J81" s="1631"/>
      <c r="K81" s="1631"/>
      <c r="L81" s="1631"/>
      <c r="M81" s="1631"/>
      <c r="N81" s="1631"/>
      <c r="O81" s="1631"/>
      <c r="P81" s="1631"/>
      <c r="Q81" s="1631"/>
    </row>
    <row r="82" spans="2:17" ht="20.100000000000001" customHeight="1" x14ac:dyDescent="0.2">
      <c r="B82" s="1636" t="s">
        <v>493</v>
      </c>
      <c r="C82" s="1636"/>
      <c r="D82" s="1636"/>
      <c r="E82" s="1636"/>
      <c r="F82" s="1636"/>
      <c r="G82" s="1636"/>
      <c r="H82" s="1636"/>
      <c r="I82" s="1636"/>
      <c r="J82" s="1636"/>
      <c r="K82" s="1636"/>
      <c r="L82" s="1636"/>
      <c r="M82" s="1636"/>
      <c r="N82" s="1636"/>
      <c r="O82" s="1636"/>
      <c r="P82" s="1636"/>
      <c r="Q82" s="1636"/>
    </row>
    <row r="83" spans="2:17" ht="20.100000000000001" customHeight="1" x14ac:dyDescent="0.2">
      <c r="B83" s="1630" t="str">
        <f>'Блок ввода'!W14</f>
        <v>квреаоенгоне</v>
      </c>
      <c r="C83" s="1630"/>
      <c r="D83" s="1630"/>
      <c r="E83" s="1630"/>
      <c r="F83" s="1630"/>
      <c r="G83" s="1630"/>
      <c r="H83" s="1630"/>
      <c r="I83" s="1630"/>
      <c r="J83" s="1630"/>
      <c r="K83" s="1630"/>
      <c r="L83" s="1630"/>
      <c r="M83" s="1630"/>
      <c r="N83" s="1630"/>
      <c r="O83" s="1630"/>
      <c r="P83" s="1630"/>
      <c r="Q83" s="1630"/>
    </row>
    <row r="84" spans="2:17" ht="20.100000000000001" customHeight="1" x14ac:dyDescent="0.2">
      <c r="B84" s="1631"/>
      <c r="C84" s="1631"/>
      <c r="D84" s="1631"/>
      <c r="E84" s="1631"/>
      <c r="F84" s="1631"/>
      <c r="G84" s="1631"/>
      <c r="H84" s="1631"/>
      <c r="I84" s="1631"/>
      <c r="J84" s="1631"/>
      <c r="K84" s="1631"/>
      <c r="L84" s="1631"/>
      <c r="M84" s="1631"/>
      <c r="N84" s="1631"/>
      <c r="O84" s="1631"/>
      <c r="P84" s="1631"/>
      <c r="Q84" s="1631"/>
    </row>
    <row r="85" spans="2:17" ht="20.100000000000001" customHeight="1" x14ac:dyDescent="0.2">
      <c r="B85" s="1636" t="s">
        <v>492</v>
      </c>
      <c r="C85" s="1636"/>
      <c r="D85" s="1636"/>
      <c r="E85" s="1636"/>
      <c r="F85" s="1636"/>
      <c r="G85" s="1636"/>
      <c r="H85" s="1636"/>
      <c r="I85" s="1636"/>
      <c r="J85" s="1636"/>
      <c r="K85" s="1636"/>
      <c r="L85" s="1636"/>
      <c r="M85" s="1636"/>
      <c r="N85" s="1636"/>
      <c r="O85" s="1636"/>
      <c r="P85" s="1636"/>
      <c r="Q85" s="1636"/>
    </row>
    <row r="86" spans="2:17" ht="20.100000000000001" customHeight="1" x14ac:dyDescent="0.2">
      <c r="B86" s="1630" t="str">
        <f>'Блок ввода'!W15</f>
        <v/>
      </c>
      <c r="C86" s="1630"/>
      <c r="D86" s="1630"/>
      <c r="E86" s="1630"/>
      <c r="F86" s="1630"/>
      <c r="G86" s="1630"/>
      <c r="H86" s="1630"/>
      <c r="I86" s="1630"/>
      <c r="J86" s="1630"/>
      <c r="K86" s="1630"/>
      <c r="L86" s="1630"/>
      <c r="M86" s="1630"/>
      <c r="N86" s="1630"/>
      <c r="O86" s="1630"/>
      <c r="P86" s="1630"/>
      <c r="Q86" s="1630"/>
    </row>
    <row r="87" spans="2:17" ht="20.100000000000001" customHeight="1" x14ac:dyDescent="0.2">
      <c r="B87" s="1631"/>
      <c r="C87" s="1631"/>
      <c r="D87" s="1631"/>
      <c r="E87" s="1631"/>
      <c r="F87" s="1631"/>
      <c r="G87" s="1631"/>
      <c r="H87" s="1631"/>
      <c r="I87" s="1631"/>
      <c r="J87" s="1631"/>
      <c r="K87" s="1631"/>
      <c r="L87" s="1631"/>
      <c r="M87" s="1631"/>
      <c r="N87" s="1631"/>
      <c r="O87" s="1631"/>
      <c r="P87" s="1631"/>
      <c r="Q87" s="1631"/>
    </row>
    <row r="88" spans="2:17" ht="20.100000000000001" customHeight="1" x14ac:dyDescent="0.2">
      <c r="C88" s="1628" t="s">
        <v>481</v>
      </c>
      <c r="D88" s="1628"/>
      <c r="E88" s="1628"/>
      <c r="F88" s="1628"/>
      <c r="G88" s="1628"/>
      <c r="H88" s="1628"/>
      <c r="I88" s="1628"/>
      <c r="J88" s="1628"/>
      <c r="K88" s="1628"/>
      <c r="L88" s="1628"/>
      <c r="M88" s="1628"/>
      <c r="N88" s="1628"/>
      <c r="O88" s="1628"/>
      <c r="P88" s="1628"/>
    </row>
    <row r="89" spans="2:17" ht="20.100000000000001" customHeight="1" x14ac:dyDescent="0.2">
      <c r="C89" s="1628" t="str">
        <f>CONCATENATE("Начальник продовольственной службы в/ч ",'Блок ввода'!N1,)</f>
        <v>Начальник продовольственной службы в/ч 00000</v>
      </c>
      <c r="D89" s="1628"/>
      <c r="E89" s="1628"/>
      <c r="F89" s="1628"/>
      <c r="G89" s="1628"/>
      <c r="H89" s="1628"/>
      <c r="I89" s="1628"/>
      <c r="J89" s="1628"/>
      <c r="K89" s="1628"/>
      <c r="L89" s="1628"/>
      <c r="M89" s="1628"/>
      <c r="N89" s="1628"/>
      <c r="O89" s="1628"/>
      <c r="P89" s="1628"/>
    </row>
    <row r="90" spans="2:17" ht="20.100000000000001" customHeight="1" x14ac:dyDescent="0.2">
      <c r="C90" s="1628" t="str">
        <f>'Блок ввода'!M10</f>
        <v>ст. лейтенант</v>
      </c>
      <c r="D90" s="1628"/>
      <c r="E90" s="1628"/>
      <c r="F90" s="1628"/>
      <c r="G90" s="1628"/>
      <c r="H90" s="1628"/>
      <c r="I90" s="1628"/>
      <c r="J90" s="1628"/>
      <c r="K90" s="1628"/>
      <c r="L90" s="1628"/>
      <c r="M90" s="1628"/>
      <c r="N90" s="1628"/>
      <c r="O90" s="1628"/>
      <c r="P90" s="1628"/>
    </row>
    <row r="91" spans="2:17" ht="20.100000000000001" customHeight="1" x14ac:dyDescent="0.2">
      <c r="C91" s="1629" t="str">
        <f>'Блок ввода'!O10</f>
        <v>А. Демидов11111111</v>
      </c>
      <c r="D91" s="1629"/>
      <c r="E91" s="1629"/>
      <c r="F91" s="1629"/>
      <c r="G91" s="1629"/>
      <c r="H91" s="1629"/>
      <c r="I91" s="1629"/>
      <c r="J91" s="1629"/>
      <c r="K91" s="1629"/>
      <c r="L91" s="1629"/>
      <c r="M91" s="1629"/>
      <c r="N91" s="1629"/>
      <c r="O91" s="1629"/>
      <c r="P91" s="1629"/>
    </row>
  </sheetData>
  <sheetProtection selectLockedCells="1"/>
  <mergeCells count="148">
    <mergeCell ref="B7:Q7"/>
    <mergeCell ref="B8:Q8"/>
    <mergeCell ref="B9:Q9"/>
    <mergeCell ref="I38:J38"/>
    <mergeCell ref="G38:H38"/>
    <mergeCell ref="I35:J35"/>
    <mergeCell ref="I36:J36"/>
    <mergeCell ref="G36:H36"/>
    <mergeCell ref="J4:M4"/>
    <mergeCell ref="J1:Q1"/>
    <mergeCell ref="O3:Q3"/>
    <mergeCell ref="J2:Q2"/>
    <mergeCell ref="J3:K3"/>
    <mergeCell ref="P4:Q4"/>
    <mergeCell ref="J6:P6"/>
    <mergeCell ref="J5:Q5"/>
    <mergeCell ref="I37:J37"/>
    <mergeCell ref="B10:Q10"/>
    <mergeCell ref="B26:Q26"/>
    <mergeCell ref="B29:Q29"/>
    <mergeCell ref="J11:Q11"/>
    <mergeCell ref="B11:I11"/>
    <mergeCell ref="K17:Q17"/>
    <mergeCell ref="G37:H37"/>
    <mergeCell ref="K41:L41"/>
    <mergeCell ref="K37:L37"/>
    <mergeCell ref="K38:L38"/>
    <mergeCell ref="B20:Q20"/>
    <mergeCell ref="G32:H34"/>
    <mergeCell ref="G35:H35"/>
    <mergeCell ref="I32:L32"/>
    <mergeCell ref="I33:J33"/>
    <mergeCell ref="K33:L33"/>
    <mergeCell ref="I34:J34"/>
    <mergeCell ref="I39:J39"/>
    <mergeCell ref="G39:H39"/>
    <mergeCell ref="G40:H40"/>
    <mergeCell ref="I40:J40"/>
    <mergeCell ref="K39:L39"/>
    <mergeCell ref="K40:L40"/>
    <mergeCell ref="C40:F40"/>
    <mergeCell ref="C41:F41"/>
    <mergeCell ref="I41:J41"/>
    <mergeCell ref="I42:J42"/>
    <mergeCell ref="I43:J43"/>
    <mergeCell ref="G43:H43"/>
    <mergeCell ref="G42:H42"/>
    <mergeCell ref="G41:H41"/>
    <mergeCell ref="B27:Q27"/>
    <mergeCell ref="M36:P36"/>
    <mergeCell ref="M37:P37"/>
    <mergeCell ref="K36:L36"/>
    <mergeCell ref="M32:P34"/>
    <mergeCell ref="C38:F38"/>
    <mergeCell ref="K34:L34"/>
    <mergeCell ref="K35:L35"/>
    <mergeCell ref="C32:F34"/>
    <mergeCell ref="B75:D75"/>
    <mergeCell ref="E75:Q75"/>
    <mergeCell ref="M61:N61"/>
    <mergeCell ref="O61:P61"/>
    <mergeCell ref="M62:N62"/>
    <mergeCell ref="B68:Q68"/>
    <mergeCell ref="I63:J63"/>
    <mergeCell ref="K63:L63"/>
    <mergeCell ref="I64:J64"/>
    <mergeCell ref="M64:N64"/>
    <mergeCell ref="B12:Q12"/>
    <mergeCell ref="B13:Q13"/>
    <mergeCell ref="B17:J17"/>
    <mergeCell ref="B19:K19"/>
    <mergeCell ref="L19:Q19"/>
    <mergeCell ref="I60:J60"/>
    <mergeCell ref="K60:L60"/>
    <mergeCell ref="C43:F43"/>
    <mergeCell ref="M35:P35"/>
    <mergeCell ref="M38:P38"/>
    <mergeCell ref="C35:F35"/>
    <mergeCell ref="C36:F36"/>
    <mergeCell ref="C37:F37"/>
    <mergeCell ref="C39:F39"/>
    <mergeCell ref="O64:P64"/>
    <mergeCell ref="M63:N63"/>
    <mergeCell ref="O63:P63"/>
    <mergeCell ref="K64:L64"/>
    <mergeCell ref="I59:J59"/>
    <mergeCell ref="K59:L59"/>
    <mergeCell ref="K62:L62"/>
    <mergeCell ref="C56:H58"/>
    <mergeCell ref="C59:H59"/>
    <mergeCell ref="C60:H60"/>
    <mergeCell ref="M39:P39"/>
    <mergeCell ref="M40:P40"/>
    <mergeCell ref="M41:P41"/>
    <mergeCell ref="K61:L61"/>
    <mergeCell ref="I61:J61"/>
    <mergeCell ref="I62:J62"/>
    <mergeCell ref="I56:L56"/>
    <mergeCell ref="C45:O45"/>
    <mergeCell ref="M42:P42"/>
    <mergeCell ref="C53:P53"/>
    <mergeCell ref="B50:Q50"/>
    <mergeCell ref="B49:Q49"/>
    <mergeCell ref="B46:Q46"/>
    <mergeCell ref="B47:Q47"/>
    <mergeCell ref="M60:N60"/>
    <mergeCell ref="O60:P60"/>
    <mergeCell ref="B67:Q67"/>
    <mergeCell ref="C66:P66"/>
    <mergeCell ref="M56:P56"/>
    <mergeCell ref="C42:F42"/>
    <mergeCell ref="K42:L42"/>
    <mergeCell ref="K43:L43"/>
    <mergeCell ref="M43:P43"/>
    <mergeCell ref="B48:Q48"/>
    <mergeCell ref="M57:N58"/>
    <mergeCell ref="O57:P58"/>
    <mergeCell ref="I57:J58"/>
    <mergeCell ref="K57:L58"/>
    <mergeCell ref="M59:N59"/>
    <mergeCell ref="O59:P59"/>
    <mergeCell ref="B77:H77"/>
    <mergeCell ref="B79:P79"/>
    <mergeCell ref="I77:Q77"/>
    <mergeCell ref="B82:Q82"/>
    <mergeCell ref="B86:Q86"/>
    <mergeCell ref="B87:Q87"/>
    <mergeCell ref="B85:Q85"/>
    <mergeCell ref="B78:I78"/>
    <mergeCell ref="J78:Q78"/>
    <mergeCell ref="C61:H61"/>
    <mergeCell ref="C62:H62"/>
    <mergeCell ref="C63:H63"/>
    <mergeCell ref="D71:L71"/>
    <mergeCell ref="D70:L70"/>
    <mergeCell ref="D73:L73"/>
    <mergeCell ref="D72:M72"/>
    <mergeCell ref="C64:H64"/>
    <mergeCell ref="C69:P69"/>
    <mergeCell ref="O62:P62"/>
    <mergeCell ref="C90:P90"/>
    <mergeCell ref="C91:P91"/>
    <mergeCell ref="B80:Q80"/>
    <mergeCell ref="B81:Q81"/>
    <mergeCell ref="B83:Q83"/>
    <mergeCell ref="B84:Q84"/>
    <mergeCell ref="C88:P88"/>
    <mergeCell ref="C89:P89"/>
  </mergeCells>
  <phoneticPr fontId="38" type="noConversion"/>
  <printOptions horizontalCentered="1"/>
  <pageMargins left="0.78740157480314965" right="0.39370078740157483" top="0.78740157480314965" bottom="0.59055118110236227" header="0.51181102362204722" footer="0.51181102362204722"/>
  <pageSetup paperSize="9" scale="55" orientation="portrait" verticalDpi="300" r:id="rId1"/>
  <headerFooter alignWithMargins="0"/>
  <rowBreaks count="1" manualBreakCount="1">
    <brk id="68" min="1" max="16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AO55"/>
  <sheetViews>
    <sheetView showGridLines="0" showZeros="0" view="pageBreakPreview" zoomScale="70" zoomScaleNormal="78" workbookViewId="0">
      <selection activeCell="AL10" sqref="AL10"/>
    </sheetView>
  </sheetViews>
  <sheetFormatPr defaultRowHeight="12.75" x14ac:dyDescent="0.2"/>
  <cols>
    <col min="1" max="1" width="4.140625" style="381" customWidth="1"/>
    <col min="2" max="2" width="17" style="384" customWidth="1"/>
    <col min="3" max="3" width="6" style="384" customWidth="1"/>
    <col min="4" max="9" width="5.85546875" style="384" customWidth="1"/>
    <col min="10" max="10" width="6" style="384" customWidth="1"/>
    <col min="11" max="16" width="5.85546875" style="384" customWidth="1"/>
    <col min="17" max="17" width="6.42578125" style="384" customWidth="1"/>
    <col min="18" max="18" width="5.85546875" style="384" customWidth="1"/>
    <col min="19" max="19" width="5.28515625" style="384" customWidth="1"/>
    <col min="20" max="22" width="5.85546875" style="384" customWidth="1"/>
    <col min="23" max="23" width="6" style="384" customWidth="1"/>
    <col min="24" max="33" width="5.85546875" style="384" customWidth="1"/>
    <col min="34" max="34" width="5.28515625" style="384" customWidth="1"/>
    <col min="35" max="35" width="5" style="384" customWidth="1"/>
    <col min="36" max="36" width="9.140625" style="381"/>
    <col min="37" max="37" width="9.140625" style="381" hidden="1" customWidth="1"/>
    <col min="38" max="41" width="9.140625" style="381"/>
    <col min="42" max="16384" width="9.140625" style="384"/>
  </cols>
  <sheetData>
    <row r="1" spans="1:41" x14ac:dyDescent="0.2">
      <c r="B1" s="382"/>
      <c r="C1" s="382"/>
      <c r="D1" s="382"/>
      <c r="E1" s="382"/>
      <c r="F1" s="382"/>
      <c r="G1" s="382"/>
      <c r="H1" s="382"/>
      <c r="I1" s="382"/>
      <c r="J1" s="382"/>
      <c r="K1" s="382"/>
      <c r="L1" s="382"/>
      <c r="M1" s="382"/>
      <c r="N1" s="382"/>
      <c r="O1" s="382"/>
      <c r="P1" s="382"/>
      <c r="Q1" s="382"/>
      <c r="R1" s="382"/>
      <c r="S1" s="382"/>
      <c r="T1" s="382"/>
      <c r="U1" s="382"/>
      <c r="V1" s="382"/>
      <c r="W1" s="382"/>
      <c r="X1" s="382"/>
      <c r="Y1" s="382"/>
      <c r="Z1" s="382"/>
      <c r="AA1" s="382"/>
      <c r="AB1" s="382"/>
      <c r="AC1" s="382"/>
      <c r="AD1" s="382"/>
      <c r="AE1" s="382"/>
      <c r="AF1" s="382"/>
      <c r="AG1" s="382"/>
      <c r="AH1" s="382"/>
      <c r="AI1" s="382"/>
      <c r="AJ1" s="383"/>
      <c r="AK1" s="383">
        <f>'Блок ввода'!G4</f>
        <v>0</v>
      </c>
      <c r="AL1" s="383"/>
      <c r="AM1" s="383"/>
      <c r="AN1" s="383"/>
      <c r="AO1" s="383"/>
    </row>
    <row r="2" spans="1:41" ht="15.75" x14ac:dyDescent="0.2">
      <c r="B2" s="1681" t="s">
        <v>569</v>
      </c>
      <c r="C2" s="1681"/>
      <c r="D2" s="1681"/>
      <c r="E2" s="1681"/>
      <c r="F2" s="1681"/>
      <c r="G2" s="1681"/>
      <c r="H2" s="1681"/>
      <c r="I2" s="1681"/>
      <c r="J2" s="1681"/>
      <c r="K2" s="1681"/>
      <c r="L2" s="1681"/>
      <c r="M2" s="1681"/>
      <c r="N2" s="1681"/>
      <c r="O2" s="1681"/>
      <c r="P2" s="1681"/>
      <c r="Q2" s="1681"/>
      <c r="R2" s="1681"/>
      <c r="S2" s="1681"/>
      <c r="T2" s="1681"/>
      <c r="U2" s="1681"/>
      <c r="V2" s="1681"/>
      <c r="W2" s="1681"/>
      <c r="X2" s="1681"/>
      <c r="Y2" s="1681"/>
      <c r="Z2" s="1681"/>
      <c r="AA2" s="1681"/>
      <c r="AB2" s="1681"/>
      <c r="AC2" s="1681"/>
      <c r="AD2" s="1681"/>
      <c r="AE2" s="1681"/>
      <c r="AF2" s="1681"/>
      <c r="AG2" s="1681"/>
      <c r="AH2" s="1681"/>
      <c r="AI2" s="1681"/>
      <c r="AJ2" s="383"/>
      <c r="AK2" s="383"/>
      <c r="AL2" s="383"/>
      <c r="AM2" s="383"/>
      <c r="AN2" s="383"/>
      <c r="AO2" s="383"/>
    </row>
    <row r="3" spans="1:41" ht="15" x14ac:dyDescent="0.2">
      <c r="B3" s="1682" t="s">
        <v>459</v>
      </c>
      <c r="C3" s="1682"/>
      <c r="D3" s="1682"/>
      <c r="E3" s="1682"/>
      <c r="F3" s="1682"/>
      <c r="G3" s="1682"/>
      <c r="H3" s="1682"/>
      <c r="I3" s="1682"/>
      <c r="J3" s="1682"/>
      <c r="K3" s="1682"/>
      <c r="L3" s="1682"/>
      <c r="M3" s="1682"/>
      <c r="N3" s="1682"/>
      <c r="O3" s="1682"/>
      <c r="P3" s="1682"/>
      <c r="Q3" s="1682"/>
      <c r="R3" s="1682"/>
      <c r="S3" s="1682"/>
      <c r="T3" s="1682"/>
      <c r="U3" s="1682"/>
      <c r="V3" s="1682"/>
      <c r="W3" s="1682"/>
      <c r="X3" s="1682"/>
      <c r="Y3" s="1682"/>
      <c r="Z3" s="1682"/>
      <c r="AA3" s="1682"/>
      <c r="AB3" s="1682"/>
      <c r="AC3" s="1682"/>
      <c r="AD3" s="1682"/>
      <c r="AE3" s="1682"/>
      <c r="AF3" s="1682"/>
      <c r="AG3" s="1682"/>
      <c r="AH3" s="1682"/>
      <c r="AI3" s="1682"/>
      <c r="AJ3" s="383"/>
      <c r="AK3" s="383"/>
      <c r="AL3" s="383"/>
      <c r="AM3" s="383"/>
      <c r="AN3" s="383"/>
      <c r="AO3" s="383"/>
    </row>
    <row r="4" spans="1:41" ht="15" x14ac:dyDescent="0.2">
      <c r="B4" s="1682" t="str">
        <f>CONCATENATE('Блок ввода'!G8," ",'Блок ввода'!N1)</f>
        <v>войсковой части 00000</v>
      </c>
      <c r="C4" s="1682"/>
      <c r="D4" s="1682"/>
      <c r="E4" s="1682"/>
      <c r="F4" s="1682"/>
      <c r="G4" s="1682"/>
      <c r="H4" s="1682"/>
      <c r="I4" s="1682"/>
      <c r="J4" s="1682"/>
      <c r="K4" s="1682"/>
      <c r="L4" s="1682"/>
      <c r="M4" s="1682"/>
      <c r="N4" s="1682"/>
      <c r="O4" s="1682"/>
      <c r="P4" s="1682"/>
      <c r="Q4" s="1682"/>
      <c r="R4" s="1682"/>
      <c r="S4" s="1682"/>
      <c r="T4" s="1682"/>
      <c r="U4" s="1682"/>
      <c r="V4" s="1682"/>
      <c r="W4" s="1682"/>
      <c r="X4" s="1682"/>
      <c r="Y4" s="1682"/>
      <c r="Z4" s="1682"/>
      <c r="AA4" s="1682"/>
      <c r="AB4" s="1682"/>
      <c r="AC4" s="1682"/>
      <c r="AD4" s="1682"/>
      <c r="AE4" s="1682"/>
      <c r="AF4" s="1682"/>
      <c r="AG4" s="1682"/>
      <c r="AH4" s="1682"/>
      <c r="AI4" s="1682"/>
      <c r="AJ4" s="383"/>
      <c r="AK4" s="383" t="str">
        <f>MID(B2,22,6)</f>
        <v/>
      </c>
      <c r="AL4" s="383"/>
      <c r="AM4" s="383"/>
      <c r="AN4" s="383"/>
      <c r="AO4" s="383"/>
    </row>
    <row r="5" spans="1:41" ht="15.75" x14ac:dyDescent="0.2">
      <c r="B5" s="385"/>
      <c r="C5" s="385"/>
      <c r="D5" s="385"/>
      <c r="E5" s="385"/>
      <c r="F5" s="385"/>
      <c r="G5" s="385"/>
      <c r="H5" s="385"/>
      <c r="I5" s="385"/>
      <c r="J5" s="385"/>
      <c r="K5" s="385"/>
      <c r="L5" s="386" t="s">
        <v>346</v>
      </c>
      <c r="M5" s="1689">
        <f>'Раскладка продуктов'!$C$25</f>
        <v>40091</v>
      </c>
      <c r="N5" s="1689"/>
      <c r="O5" s="1689"/>
      <c r="P5" s="1689"/>
      <c r="Q5" s="386" t="s">
        <v>46</v>
      </c>
      <c r="R5" s="1690">
        <f>M5+6</f>
        <v>40097</v>
      </c>
      <c r="S5" s="1690"/>
      <c r="T5" s="1690"/>
      <c r="U5" s="1690"/>
      <c r="V5" s="1690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3"/>
      <c r="AK5" s="383"/>
      <c r="AL5" s="383"/>
      <c r="AM5" s="383"/>
      <c r="AN5" s="383"/>
      <c r="AO5" s="383"/>
    </row>
    <row r="6" spans="1:41" x14ac:dyDescent="0.2">
      <c r="B6" s="387"/>
      <c r="C6" s="387"/>
      <c r="D6" s="387"/>
      <c r="E6" s="387"/>
      <c r="F6" s="387"/>
      <c r="G6" s="387"/>
      <c r="H6" s="387"/>
      <c r="I6" s="387"/>
      <c r="J6" s="387"/>
      <c r="K6" s="387"/>
      <c r="L6" s="387"/>
      <c r="M6" s="387"/>
      <c r="N6" s="387"/>
      <c r="O6" s="387"/>
      <c r="P6" s="387"/>
      <c r="Q6" s="387"/>
      <c r="R6" s="387"/>
      <c r="S6" s="387"/>
      <c r="T6" s="387"/>
      <c r="U6" s="387"/>
      <c r="V6" s="387"/>
      <c r="W6" s="387"/>
      <c r="X6" s="387"/>
      <c r="Y6" s="387"/>
      <c r="Z6" s="387"/>
      <c r="AA6" s="387"/>
      <c r="AB6" s="387"/>
      <c r="AC6" s="387"/>
      <c r="AD6" s="387"/>
      <c r="AE6" s="387"/>
      <c r="AF6" s="387"/>
      <c r="AG6" s="387"/>
      <c r="AH6" s="387"/>
      <c r="AI6" s="387"/>
      <c r="AJ6" s="383"/>
      <c r="AK6" s="383"/>
      <c r="AL6" s="383"/>
      <c r="AM6" s="383"/>
      <c r="AN6" s="383"/>
      <c r="AO6" s="383"/>
    </row>
    <row r="7" spans="1:41" x14ac:dyDescent="0.2">
      <c r="B7" s="382"/>
      <c r="C7" s="382"/>
      <c r="D7" s="382"/>
      <c r="E7" s="382"/>
      <c r="F7" s="382"/>
      <c r="G7" s="382"/>
      <c r="H7" s="382"/>
      <c r="I7" s="382"/>
      <c r="J7" s="382"/>
      <c r="K7" s="382"/>
      <c r="L7" s="382"/>
      <c r="M7" s="382"/>
      <c r="N7" s="382"/>
      <c r="O7" s="382"/>
      <c r="P7" s="382"/>
      <c r="Q7" s="382"/>
      <c r="R7" s="382"/>
      <c r="S7" s="382"/>
      <c r="T7" s="382"/>
      <c r="U7" s="382"/>
      <c r="V7" s="382"/>
      <c r="W7" s="382"/>
      <c r="X7" s="382"/>
      <c r="Y7" s="382"/>
      <c r="Z7" s="382"/>
      <c r="AA7" s="382"/>
      <c r="AB7" s="382"/>
      <c r="AC7" s="382"/>
      <c r="AD7" s="382"/>
      <c r="AE7" s="382"/>
      <c r="AF7" s="382"/>
      <c r="AG7" s="382"/>
      <c r="AH7" s="382"/>
      <c r="AI7" s="382"/>
      <c r="AJ7" s="383"/>
      <c r="AK7" s="383"/>
      <c r="AL7" s="383"/>
      <c r="AM7" s="383"/>
      <c r="AN7" s="383"/>
      <c r="AO7" s="383"/>
    </row>
    <row r="8" spans="1:41" ht="18" customHeight="1" x14ac:dyDescent="0.2">
      <c r="B8" s="1686" t="s">
        <v>456</v>
      </c>
      <c r="C8" s="1687" t="s">
        <v>457</v>
      </c>
      <c r="D8" s="1687"/>
      <c r="E8" s="1687"/>
      <c r="F8" s="1687"/>
      <c r="G8" s="1687"/>
      <c r="H8" s="1687"/>
      <c r="I8" s="1687"/>
      <c r="J8" s="1687"/>
      <c r="K8" s="1687"/>
      <c r="L8" s="1687"/>
      <c r="M8" s="1687"/>
      <c r="N8" s="1687"/>
      <c r="O8" s="1687"/>
      <c r="P8" s="1687"/>
      <c r="Q8" s="1687"/>
      <c r="R8" s="1687"/>
      <c r="S8" s="1687"/>
      <c r="T8" s="1687"/>
      <c r="U8" s="1687"/>
      <c r="V8" s="1687"/>
      <c r="W8" s="1687"/>
      <c r="X8" s="1687"/>
      <c r="Y8" s="1687"/>
      <c r="Z8" s="1687"/>
      <c r="AA8" s="1687"/>
      <c r="AB8" s="1687"/>
      <c r="AC8" s="1687"/>
      <c r="AD8" s="1687"/>
      <c r="AE8" s="1687"/>
      <c r="AF8" s="1687"/>
      <c r="AG8" s="1687"/>
      <c r="AH8" s="1687"/>
      <c r="AI8" s="1687"/>
      <c r="AJ8" s="383"/>
      <c r="AK8" s="383"/>
      <c r="AL8" s="383"/>
      <c r="AM8" s="383"/>
      <c r="AN8" s="383"/>
      <c r="AO8" s="383"/>
    </row>
    <row r="9" spans="1:41" ht="71.25" x14ac:dyDescent="0.2">
      <c r="B9" s="1686"/>
      <c r="C9" s="831" t="s">
        <v>391</v>
      </c>
      <c r="D9" s="831" t="s">
        <v>560</v>
      </c>
      <c r="E9" s="831" t="s">
        <v>425</v>
      </c>
      <c r="F9" s="831" t="s">
        <v>404</v>
      </c>
      <c r="G9" s="831" t="s">
        <v>561</v>
      </c>
      <c r="H9" s="831" t="s">
        <v>132</v>
      </c>
      <c r="I9" s="831" t="s">
        <v>133</v>
      </c>
      <c r="J9" s="831" t="s">
        <v>134</v>
      </c>
      <c r="K9" s="831" t="s">
        <v>135</v>
      </c>
      <c r="L9" s="832" t="s">
        <v>136</v>
      </c>
      <c r="M9" s="831" t="s">
        <v>137</v>
      </c>
      <c r="N9" s="831" t="s">
        <v>548</v>
      </c>
      <c r="O9" s="831" t="s">
        <v>169</v>
      </c>
      <c r="P9" s="831" t="s">
        <v>138</v>
      </c>
      <c r="Q9" s="831" t="s">
        <v>431</v>
      </c>
      <c r="R9" s="831" t="s">
        <v>563</v>
      </c>
      <c r="S9" s="831" t="s">
        <v>139</v>
      </c>
      <c r="T9" s="831" t="s">
        <v>140</v>
      </c>
      <c r="U9" s="831" t="s">
        <v>184</v>
      </c>
      <c r="V9" s="831" t="s">
        <v>564</v>
      </c>
      <c r="W9" s="831" t="s">
        <v>565</v>
      </c>
      <c r="X9" s="831" t="s">
        <v>566</v>
      </c>
      <c r="Y9" s="831" t="s">
        <v>141</v>
      </c>
      <c r="Z9" s="831" t="s">
        <v>142</v>
      </c>
      <c r="AA9" s="831" t="s">
        <v>143</v>
      </c>
      <c r="AB9" s="831" t="s">
        <v>362</v>
      </c>
      <c r="AC9" s="831" t="s">
        <v>144</v>
      </c>
      <c r="AD9" s="831" t="s">
        <v>145</v>
      </c>
      <c r="AE9" s="831" t="s">
        <v>549</v>
      </c>
      <c r="AF9" s="831" t="s">
        <v>550</v>
      </c>
      <c r="AG9" s="831" t="s">
        <v>567</v>
      </c>
      <c r="AH9" s="831" t="s">
        <v>551</v>
      </c>
      <c r="AI9" s="831" t="s">
        <v>146</v>
      </c>
      <c r="AJ9" s="383"/>
      <c r="AK9" s="383"/>
      <c r="AL9" s="383"/>
      <c r="AM9" s="383"/>
      <c r="AN9" s="383"/>
      <c r="AO9" s="383"/>
    </row>
    <row r="10" spans="1:41" ht="15" customHeight="1" x14ac:dyDescent="0.2">
      <c r="B10" s="833">
        <v>1</v>
      </c>
      <c r="C10" s="833">
        <v>2</v>
      </c>
      <c r="D10" s="833">
        <v>3</v>
      </c>
      <c r="E10" s="833">
        <v>4</v>
      </c>
      <c r="F10" s="833">
        <v>5</v>
      </c>
      <c r="G10" s="833">
        <v>6</v>
      </c>
      <c r="H10" s="833">
        <v>7</v>
      </c>
      <c r="I10" s="833">
        <v>8</v>
      </c>
      <c r="J10" s="833">
        <v>9</v>
      </c>
      <c r="K10" s="833">
        <v>10</v>
      </c>
      <c r="L10" s="833">
        <v>11</v>
      </c>
      <c r="M10" s="833">
        <v>12</v>
      </c>
      <c r="N10" s="833">
        <v>13</v>
      </c>
      <c r="O10" s="833">
        <v>14</v>
      </c>
      <c r="P10" s="833">
        <v>15</v>
      </c>
      <c r="Q10" s="833">
        <v>16</v>
      </c>
      <c r="R10" s="833">
        <v>17</v>
      </c>
      <c r="S10" s="833">
        <v>18</v>
      </c>
      <c r="T10" s="833">
        <v>19</v>
      </c>
      <c r="U10" s="833">
        <v>20</v>
      </c>
      <c r="V10" s="833">
        <v>21</v>
      </c>
      <c r="W10" s="833">
        <v>22</v>
      </c>
      <c r="X10" s="833">
        <v>23</v>
      </c>
      <c r="Y10" s="833">
        <v>24</v>
      </c>
      <c r="Z10" s="833">
        <v>25</v>
      </c>
      <c r="AA10" s="833">
        <v>26</v>
      </c>
      <c r="AB10" s="833">
        <v>27</v>
      </c>
      <c r="AC10" s="833">
        <v>28</v>
      </c>
      <c r="AD10" s="833">
        <v>29</v>
      </c>
      <c r="AE10" s="833">
        <v>30</v>
      </c>
      <c r="AF10" s="833">
        <v>31</v>
      </c>
      <c r="AG10" s="833">
        <v>32</v>
      </c>
      <c r="AH10" s="833">
        <v>33</v>
      </c>
      <c r="AI10" s="833">
        <v>34</v>
      </c>
      <c r="AJ10" s="383"/>
      <c r="AK10" s="383"/>
      <c r="AL10" s="383"/>
      <c r="AM10" s="383"/>
      <c r="AN10" s="383"/>
      <c r="AO10" s="383"/>
    </row>
    <row r="11" spans="1:41" ht="24.95" customHeight="1" x14ac:dyDescent="0.2">
      <c r="A11" s="388"/>
      <c r="B11" s="830" t="str">
        <f>Пн!B2</f>
        <v xml:space="preserve">Накладная № </v>
      </c>
      <c r="C11" s="389">
        <f>Пн!$K$9</f>
        <v>0</v>
      </c>
      <c r="D11" s="389">
        <f>Пн!$K$10</f>
        <v>0</v>
      </c>
      <c r="E11" s="841">
        <f>Пн!$K$11</f>
        <v>0</v>
      </c>
      <c r="F11" s="389">
        <f>Пн!$K$12</f>
        <v>0</v>
      </c>
      <c r="G11" s="389">
        <f>Пн!$K$13</f>
        <v>0</v>
      </c>
      <c r="H11" s="841">
        <f>Пн!$K$14</f>
        <v>0</v>
      </c>
      <c r="I11" s="841">
        <f>Пн!$K$15</f>
        <v>0</v>
      </c>
      <c r="J11" s="389">
        <f>Пн!$K$16</f>
        <v>0</v>
      </c>
      <c r="K11" s="389">
        <f>Пн!$K$17</f>
        <v>0</v>
      </c>
      <c r="L11" s="389">
        <f>Пн!$K$18</f>
        <v>0</v>
      </c>
      <c r="M11" s="389">
        <f>Пн!$K$19</f>
        <v>0</v>
      </c>
      <c r="N11" s="389">
        <f>Пн!$K$20</f>
        <v>0</v>
      </c>
      <c r="O11" s="389">
        <f>Пн!$K$21</f>
        <v>0</v>
      </c>
      <c r="P11" s="389">
        <f>Пн!$K$22</f>
        <v>0</v>
      </c>
      <c r="Q11" s="389">
        <f>Пн!$K$23</f>
        <v>0</v>
      </c>
      <c r="R11" s="389">
        <f>Пн!$K$23</f>
        <v>0</v>
      </c>
      <c r="S11" s="389">
        <f>Пн!$K$24</f>
        <v>0</v>
      </c>
      <c r="T11" s="389">
        <f>Пн!$K$25</f>
        <v>0</v>
      </c>
      <c r="U11" s="389">
        <f>Пн!$K$26</f>
        <v>0</v>
      </c>
      <c r="V11" s="389">
        <f>Пн!$K$27</f>
        <v>0</v>
      </c>
      <c r="W11" s="389">
        <f>Пн!$K$28</f>
        <v>0</v>
      </c>
      <c r="X11" s="389">
        <f>Пн!$K$28</f>
        <v>0</v>
      </c>
      <c r="Y11" s="389">
        <f>Пн!$K$29</f>
        <v>0</v>
      </c>
      <c r="Z11" s="389">
        <f>Пн!$K$30</f>
        <v>0</v>
      </c>
      <c r="AA11" s="389">
        <f>Пн!$K$31</f>
        <v>0</v>
      </c>
      <c r="AB11" s="389">
        <f>Пн!$K$32</f>
        <v>0</v>
      </c>
      <c r="AC11" s="389">
        <f>Пн!$K$33</f>
        <v>0</v>
      </c>
      <c r="AD11" s="389">
        <f>Пн!$K$34</f>
        <v>0</v>
      </c>
      <c r="AE11" s="389">
        <f>Пн!$K$35</f>
        <v>0</v>
      </c>
      <c r="AF11" s="389">
        <f>Пн!$K$36</f>
        <v>0</v>
      </c>
      <c r="AG11" s="389">
        <f>Пн!$K$36</f>
        <v>0</v>
      </c>
      <c r="AH11" s="389">
        <f>Пн!$K$37</f>
        <v>0</v>
      </c>
      <c r="AI11" s="389">
        <f>Пн!$K$38</f>
        <v>0</v>
      </c>
      <c r="AJ11" s="383"/>
      <c r="AK11" s="829">
        <f>Пн!K14</f>
        <v>0</v>
      </c>
      <c r="AL11" s="383"/>
      <c r="AM11" s="383"/>
      <c r="AN11" s="383"/>
      <c r="AO11" s="383"/>
    </row>
    <row r="12" spans="1:41" ht="24.95" customHeight="1" x14ac:dyDescent="0.2">
      <c r="A12" s="388"/>
      <c r="B12" s="830" t="str">
        <f>Вт!B2</f>
        <v xml:space="preserve">Накладная № </v>
      </c>
      <c r="C12" s="389">
        <f>Вт!$K$9</f>
        <v>0</v>
      </c>
      <c r="D12" s="389">
        <f>Вт!$K$10</f>
        <v>0</v>
      </c>
      <c r="E12" s="841">
        <f>Вт!$K$11</f>
        <v>0</v>
      </c>
      <c r="F12" s="389">
        <f>Вт!$K$12</f>
        <v>0</v>
      </c>
      <c r="G12" s="389">
        <f>Вт!$K$13</f>
        <v>0</v>
      </c>
      <c r="H12" s="841">
        <f>Вт!$K$14</f>
        <v>0</v>
      </c>
      <c r="I12" s="841">
        <f>Вт!$K$15</f>
        <v>0</v>
      </c>
      <c r="J12" s="389">
        <f>Вт!$K$16</f>
        <v>0</v>
      </c>
      <c r="K12" s="389">
        <f>Вт!$K$17</f>
        <v>0</v>
      </c>
      <c r="L12" s="389">
        <f>Вт!$K$18</f>
        <v>0</v>
      </c>
      <c r="M12" s="389">
        <f>Вт!$K$19</f>
        <v>0</v>
      </c>
      <c r="N12" s="389">
        <f>Вт!$K$20</f>
        <v>0</v>
      </c>
      <c r="O12" s="389">
        <f>Вт!$K$21</f>
        <v>0</v>
      </c>
      <c r="P12" s="389">
        <f>Вт!$K$22</f>
        <v>0</v>
      </c>
      <c r="Q12" s="389">
        <f>Вт!$K$23</f>
        <v>0</v>
      </c>
      <c r="R12" s="389">
        <f>Вт!$K$23</f>
        <v>0</v>
      </c>
      <c r="S12" s="389">
        <f>Вт!$K$24</f>
        <v>0</v>
      </c>
      <c r="T12" s="389">
        <f>Вт!$K$25</f>
        <v>0</v>
      </c>
      <c r="U12" s="389">
        <f>Вт!$K$26</f>
        <v>0</v>
      </c>
      <c r="V12" s="389">
        <f>Вт!$K$27</f>
        <v>0</v>
      </c>
      <c r="W12" s="389">
        <f>Вт!$K$28</f>
        <v>0</v>
      </c>
      <c r="X12" s="389">
        <f>Вт!$K$28</f>
        <v>0</v>
      </c>
      <c r="Y12" s="389">
        <f>Вт!$K$29</f>
        <v>0</v>
      </c>
      <c r="Z12" s="389">
        <f>Вт!$K$30</f>
        <v>0</v>
      </c>
      <c r="AA12" s="389">
        <f>Вт!$K$31</f>
        <v>0</v>
      </c>
      <c r="AB12" s="389">
        <f>Вт!$K$32</f>
        <v>0</v>
      </c>
      <c r="AC12" s="389">
        <f>Вт!$K$33</f>
        <v>0</v>
      </c>
      <c r="AD12" s="389">
        <f>Вт!$K$34</f>
        <v>0</v>
      </c>
      <c r="AE12" s="389">
        <f>Вт!$K$35</f>
        <v>0</v>
      </c>
      <c r="AF12" s="389">
        <f>Вт!$K$36</f>
        <v>0</v>
      </c>
      <c r="AG12" s="389">
        <f>Вт!$K$36</f>
        <v>0</v>
      </c>
      <c r="AH12" s="389">
        <f>Вт!$K$37</f>
        <v>0</v>
      </c>
      <c r="AI12" s="389">
        <f>Вт!$K$38</f>
        <v>0</v>
      </c>
      <c r="AJ12" s="383"/>
      <c r="AK12" s="829">
        <f>Пн!K15</f>
        <v>0</v>
      </c>
      <c r="AL12" s="383"/>
      <c r="AM12" s="383"/>
      <c r="AN12" s="383"/>
      <c r="AO12" s="383"/>
    </row>
    <row r="13" spans="1:41" ht="24.95" customHeight="1" x14ac:dyDescent="0.2">
      <c r="A13" s="388"/>
      <c r="B13" s="830" t="str">
        <f>Ср!B2</f>
        <v xml:space="preserve">Накладная № </v>
      </c>
      <c r="C13" s="389">
        <f>Ср!$K$9</f>
        <v>0</v>
      </c>
      <c r="D13" s="389">
        <f>Ср!$K$10</f>
        <v>0</v>
      </c>
      <c r="E13" s="841">
        <f>Ср!$K$11</f>
        <v>0</v>
      </c>
      <c r="F13" s="389">
        <f>Ср!$K$12</f>
        <v>0</v>
      </c>
      <c r="G13" s="389">
        <f>Ср!$K$13</f>
        <v>0</v>
      </c>
      <c r="H13" s="841">
        <f>Ср!$K$14</f>
        <v>0</v>
      </c>
      <c r="I13" s="841">
        <f>Ср!$K$15</f>
        <v>0</v>
      </c>
      <c r="J13" s="389">
        <f>Ср!$K$16</f>
        <v>0</v>
      </c>
      <c r="K13" s="389">
        <f>Ср!$K$17</f>
        <v>0</v>
      </c>
      <c r="L13" s="389">
        <f>Ср!$K$18</f>
        <v>0</v>
      </c>
      <c r="M13" s="389">
        <f>Ср!$K$19</f>
        <v>0</v>
      </c>
      <c r="N13" s="389">
        <f>Ср!$K$20</f>
        <v>0</v>
      </c>
      <c r="O13" s="389">
        <f>Ср!$K$21</f>
        <v>0</v>
      </c>
      <c r="P13" s="389">
        <f>Ср!$K$22</f>
        <v>0</v>
      </c>
      <c r="Q13" s="389">
        <f>Ср!$K$23</f>
        <v>0</v>
      </c>
      <c r="R13" s="389">
        <f>Ср!$K$23</f>
        <v>0</v>
      </c>
      <c r="S13" s="389">
        <f>Ср!$K$24</f>
        <v>0</v>
      </c>
      <c r="T13" s="389">
        <f>Ср!$K$25</f>
        <v>0</v>
      </c>
      <c r="U13" s="389">
        <f>Ср!$K$26</f>
        <v>0</v>
      </c>
      <c r="V13" s="389">
        <f>Ср!$K$27</f>
        <v>0</v>
      </c>
      <c r="W13" s="389">
        <f>Ср!$K$28</f>
        <v>0</v>
      </c>
      <c r="X13" s="389">
        <f>Ср!$K$28</f>
        <v>0</v>
      </c>
      <c r="Y13" s="389">
        <f>Ср!$K$29</f>
        <v>0</v>
      </c>
      <c r="Z13" s="389">
        <f>Ср!$K$30</f>
        <v>0</v>
      </c>
      <c r="AA13" s="389">
        <f>Ср!$K$31</f>
        <v>0</v>
      </c>
      <c r="AB13" s="389">
        <f>Ср!$K$32</f>
        <v>0</v>
      </c>
      <c r="AC13" s="389">
        <f>Ср!$K$33</f>
        <v>0</v>
      </c>
      <c r="AD13" s="389">
        <f>Ср!$K$34</f>
        <v>0</v>
      </c>
      <c r="AE13" s="389">
        <f>Ср!$K$35</f>
        <v>0</v>
      </c>
      <c r="AF13" s="389">
        <f>Ср!$K$36</f>
        <v>0</v>
      </c>
      <c r="AG13" s="389">
        <f>Ср!$K$36</f>
        <v>0</v>
      </c>
      <c r="AH13" s="389">
        <f>Ср!$K$37</f>
        <v>0</v>
      </c>
      <c r="AI13" s="389">
        <f>Ср!$K$38</f>
        <v>0</v>
      </c>
      <c r="AJ13" s="383"/>
      <c r="AK13" s="829">
        <f>Пн!K16</f>
        <v>0</v>
      </c>
      <c r="AL13" s="383"/>
      <c r="AM13" s="383"/>
      <c r="AN13" s="383"/>
      <c r="AO13" s="383"/>
    </row>
    <row r="14" spans="1:41" ht="24.95" customHeight="1" x14ac:dyDescent="0.2">
      <c r="A14" s="388"/>
      <c r="B14" s="830" t="str">
        <f>Чт!B2</f>
        <v xml:space="preserve">Накладная № </v>
      </c>
      <c r="C14" s="389">
        <f>Чт!$K$9</f>
        <v>0</v>
      </c>
      <c r="D14" s="389">
        <f>Чт!$K$10</f>
        <v>0</v>
      </c>
      <c r="E14" s="841">
        <f>Чт!$K$11</f>
        <v>0</v>
      </c>
      <c r="F14" s="389">
        <f>Чт!$K$12</f>
        <v>0</v>
      </c>
      <c r="G14" s="389">
        <f>Чт!$K$13</f>
        <v>0</v>
      </c>
      <c r="H14" s="841">
        <f>Чт!$K$14</f>
        <v>0</v>
      </c>
      <c r="I14" s="841">
        <f>Чт!$K$15</f>
        <v>0</v>
      </c>
      <c r="J14" s="389">
        <f>Чт!$K$16</f>
        <v>0</v>
      </c>
      <c r="K14" s="389">
        <f>Чт!$K$17</f>
        <v>0</v>
      </c>
      <c r="L14" s="389">
        <f>Чт!$K$18</f>
        <v>0</v>
      </c>
      <c r="M14" s="389">
        <f>Чт!$K$19</f>
        <v>0</v>
      </c>
      <c r="N14" s="389">
        <f>Чт!$K$20</f>
        <v>0</v>
      </c>
      <c r="O14" s="389">
        <f>Чт!$K$21</f>
        <v>0</v>
      </c>
      <c r="P14" s="389">
        <f>Чт!$K$22</f>
        <v>0</v>
      </c>
      <c r="Q14" s="389">
        <f>Чт!$K$23</f>
        <v>0</v>
      </c>
      <c r="R14" s="389">
        <f>Чт!$K$23</f>
        <v>0</v>
      </c>
      <c r="S14" s="389">
        <f>Чт!$K$24</f>
        <v>0</v>
      </c>
      <c r="T14" s="389">
        <f>Чт!$K$25</f>
        <v>0</v>
      </c>
      <c r="U14" s="389">
        <f>Чт!$K$26</f>
        <v>0</v>
      </c>
      <c r="V14" s="389">
        <f>Чт!$K$27</f>
        <v>0</v>
      </c>
      <c r="W14" s="389">
        <f>Чт!$K$28</f>
        <v>0</v>
      </c>
      <c r="X14" s="389">
        <f>Чт!$K$28</f>
        <v>0</v>
      </c>
      <c r="Y14" s="389">
        <f>Чт!$K$29</f>
        <v>0</v>
      </c>
      <c r="Z14" s="389">
        <f>Чт!$K$30</f>
        <v>0</v>
      </c>
      <c r="AA14" s="389">
        <f>Чт!$K$31</f>
        <v>0</v>
      </c>
      <c r="AB14" s="389">
        <f>Чт!$K$32</f>
        <v>0</v>
      </c>
      <c r="AC14" s="389">
        <f>Чт!$K$33</f>
        <v>0</v>
      </c>
      <c r="AD14" s="389">
        <f>Чт!$K$34</f>
        <v>0</v>
      </c>
      <c r="AE14" s="389">
        <f>Чт!$K$35</f>
        <v>0</v>
      </c>
      <c r="AF14" s="389">
        <f>Чт!$K$36</f>
        <v>0</v>
      </c>
      <c r="AG14" s="389">
        <f>Чт!$K$36</f>
        <v>0</v>
      </c>
      <c r="AH14" s="389">
        <f>Чт!$K$37</f>
        <v>0</v>
      </c>
      <c r="AI14" s="389">
        <f>Чт!$K$38</f>
        <v>0</v>
      </c>
      <c r="AJ14" s="383"/>
      <c r="AK14" s="829">
        <f>Пн!K17</f>
        <v>0</v>
      </c>
      <c r="AL14" s="383"/>
      <c r="AM14" s="383"/>
      <c r="AN14" s="383"/>
      <c r="AO14" s="383"/>
    </row>
    <row r="15" spans="1:41" ht="24.95" customHeight="1" x14ac:dyDescent="0.2">
      <c r="A15" s="388"/>
      <c r="B15" s="830" t="str">
        <f>Пт!B2</f>
        <v xml:space="preserve">Накладная № </v>
      </c>
      <c r="C15" s="389">
        <f>Пт!$K$9</f>
        <v>0</v>
      </c>
      <c r="D15" s="389">
        <f>Пт!$K$10</f>
        <v>0</v>
      </c>
      <c r="E15" s="841">
        <f>Пт!$K$11</f>
        <v>0</v>
      </c>
      <c r="F15" s="389">
        <f>Пт!$K$12</f>
        <v>0</v>
      </c>
      <c r="G15" s="389">
        <f>Пт!$K$13</f>
        <v>0</v>
      </c>
      <c r="H15" s="841">
        <f>Пт!$K$14</f>
        <v>0</v>
      </c>
      <c r="I15" s="841">
        <f>Пт!$K$15</f>
        <v>0</v>
      </c>
      <c r="J15" s="389">
        <f>Пт!$K$16</f>
        <v>0</v>
      </c>
      <c r="K15" s="389">
        <f>Пт!$K$17</f>
        <v>0</v>
      </c>
      <c r="L15" s="389">
        <f>Пт!$K$18</f>
        <v>0</v>
      </c>
      <c r="M15" s="389">
        <f>Пт!$K$19</f>
        <v>0</v>
      </c>
      <c r="N15" s="389">
        <f>Пт!$K$20</f>
        <v>0</v>
      </c>
      <c r="O15" s="389">
        <f>Пт!$K$21</f>
        <v>0</v>
      </c>
      <c r="P15" s="389">
        <f>Пт!$K$22</f>
        <v>0</v>
      </c>
      <c r="Q15" s="389">
        <f>Пт!$K$23</f>
        <v>0</v>
      </c>
      <c r="R15" s="389">
        <f>Пт!$K$23</f>
        <v>0</v>
      </c>
      <c r="S15" s="389">
        <f>Пт!$K$24</f>
        <v>0</v>
      </c>
      <c r="T15" s="389">
        <f>Пт!$K$25</f>
        <v>0</v>
      </c>
      <c r="U15" s="389">
        <f>Пт!$K$26</f>
        <v>0</v>
      </c>
      <c r="V15" s="389">
        <f>Пт!$K$27</f>
        <v>0</v>
      </c>
      <c r="W15" s="389">
        <f>Пт!$K$28</f>
        <v>0</v>
      </c>
      <c r="X15" s="389">
        <f>Пт!$K$28</f>
        <v>0</v>
      </c>
      <c r="Y15" s="389">
        <f>Пт!$K$29</f>
        <v>0</v>
      </c>
      <c r="Z15" s="389">
        <f>Пт!$K$30</f>
        <v>0</v>
      </c>
      <c r="AA15" s="389">
        <f>Пт!$K$31</f>
        <v>0</v>
      </c>
      <c r="AB15" s="389">
        <f>Пт!$K$32</f>
        <v>0</v>
      </c>
      <c r="AC15" s="389">
        <f>Пт!$K$33</f>
        <v>0</v>
      </c>
      <c r="AD15" s="389">
        <f>Пт!$K$34</f>
        <v>0</v>
      </c>
      <c r="AE15" s="389">
        <f>Пт!$K$35</f>
        <v>0</v>
      </c>
      <c r="AF15" s="389">
        <f>Пт!$K$36</f>
        <v>0</v>
      </c>
      <c r="AG15" s="389">
        <f>Пт!$K$36</f>
        <v>0</v>
      </c>
      <c r="AH15" s="389">
        <f>Пт!$K$37</f>
        <v>0</v>
      </c>
      <c r="AI15" s="389">
        <f>Пт!$K$38</f>
        <v>0</v>
      </c>
      <c r="AJ15" s="383"/>
      <c r="AK15" s="829">
        <f>Пн!K18</f>
        <v>0</v>
      </c>
      <c r="AL15" s="383"/>
      <c r="AM15" s="383"/>
      <c r="AN15" s="383"/>
      <c r="AO15" s="383"/>
    </row>
    <row r="16" spans="1:41" ht="24.95" customHeight="1" x14ac:dyDescent="0.2">
      <c r="A16" s="388"/>
      <c r="B16" s="830" t="str">
        <f>Сб!B2</f>
        <v xml:space="preserve">Накладная № </v>
      </c>
      <c r="C16" s="389">
        <f>Сб!$K$9</f>
        <v>0</v>
      </c>
      <c r="D16" s="389">
        <f>Сб!$K$10</f>
        <v>0</v>
      </c>
      <c r="E16" s="841">
        <f>Сб!$K$11</f>
        <v>0</v>
      </c>
      <c r="F16" s="389">
        <f>Сб!$K$12</f>
        <v>0</v>
      </c>
      <c r="G16" s="389">
        <f>Сб!$K$13</f>
        <v>0</v>
      </c>
      <c r="H16" s="841">
        <f>Сб!$K$14</f>
        <v>0</v>
      </c>
      <c r="I16" s="841">
        <f>Сб!$K$15</f>
        <v>0</v>
      </c>
      <c r="J16" s="389">
        <f>Сб!$K$16</f>
        <v>0</v>
      </c>
      <c r="K16" s="389">
        <f>Сб!$K$17</f>
        <v>0</v>
      </c>
      <c r="L16" s="389">
        <f>Сб!$K$18</f>
        <v>0</v>
      </c>
      <c r="M16" s="389">
        <f>Сб!$K$19</f>
        <v>0</v>
      </c>
      <c r="N16" s="389">
        <f>Сб!$K$20</f>
        <v>0</v>
      </c>
      <c r="O16" s="389">
        <f>Сб!$K$21</f>
        <v>0</v>
      </c>
      <c r="P16" s="389">
        <f>Сб!$K$22</f>
        <v>0</v>
      </c>
      <c r="Q16" s="389">
        <f>Сб!$K$23</f>
        <v>0</v>
      </c>
      <c r="R16" s="389">
        <f>Сб!$K$23</f>
        <v>0</v>
      </c>
      <c r="S16" s="389">
        <f>Сб!$K$24</f>
        <v>0</v>
      </c>
      <c r="T16" s="389">
        <f>Сб!$K$25</f>
        <v>0</v>
      </c>
      <c r="U16" s="389">
        <f>Сб!$K$26</f>
        <v>0</v>
      </c>
      <c r="V16" s="389">
        <f>Сб!$K$27</f>
        <v>0</v>
      </c>
      <c r="W16" s="389">
        <f>Сб!$K$28</f>
        <v>0</v>
      </c>
      <c r="X16" s="389">
        <f>Сб!$K$28</f>
        <v>0</v>
      </c>
      <c r="Y16" s="389">
        <f>Сб!$K$29</f>
        <v>0</v>
      </c>
      <c r="Z16" s="389">
        <f>Сб!$K$30</f>
        <v>0</v>
      </c>
      <c r="AA16" s="389">
        <f>Сб!$K$31</f>
        <v>0</v>
      </c>
      <c r="AB16" s="389">
        <f>Сб!$K$32</f>
        <v>0</v>
      </c>
      <c r="AC16" s="389">
        <f>Сб!$K$33</f>
        <v>0</v>
      </c>
      <c r="AD16" s="389">
        <f>Сб!$K$34</f>
        <v>0</v>
      </c>
      <c r="AE16" s="389">
        <f>Сб!$K$35</f>
        <v>0</v>
      </c>
      <c r="AF16" s="389">
        <f>Сб!$K$36</f>
        <v>0</v>
      </c>
      <c r="AG16" s="389">
        <f>Сб!$K$36</f>
        <v>0</v>
      </c>
      <c r="AH16" s="389">
        <f>Сб!$K$37</f>
        <v>0</v>
      </c>
      <c r="AI16" s="389">
        <f>Сб!$K$38</f>
        <v>0</v>
      </c>
      <c r="AJ16" s="383"/>
      <c r="AK16" s="829">
        <f>Пн!K19</f>
        <v>0</v>
      </c>
      <c r="AL16" s="383"/>
      <c r="AM16" s="383"/>
      <c r="AN16" s="383"/>
      <c r="AO16" s="383"/>
    </row>
    <row r="17" spans="1:41" ht="24.95" customHeight="1" x14ac:dyDescent="0.2">
      <c r="A17" s="388"/>
      <c r="B17" s="830" t="str">
        <f>Вс!B2</f>
        <v xml:space="preserve">Накладная № </v>
      </c>
      <c r="C17" s="389">
        <f>Вс!$K$9</f>
        <v>0</v>
      </c>
      <c r="D17" s="389">
        <f>Вс!$K$10</f>
        <v>0</v>
      </c>
      <c r="E17" s="841">
        <f>Вс!$K$11</f>
        <v>0</v>
      </c>
      <c r="F17" s="389">
        <f>Вс!$K$12</f>
        <v>0</v>
      </c>
      <c r="G17" s="389">
        <f>Вс!$K$13</f>
        <v>0</v>
      </c>
      <c r="H17" s="841">
        <f>Вс!$K$14</f>
        <v>0</v>
      </c>
      <c r="I17" s="841">
        <f>Вс!$K$15</f>
        <v>0</v>
      </c>
      <c r="J17" s="389">
        <f>Вс!$K$16</f>
        <v>0</v>
      </c>
      <c r="K17" s="389">
        <f>Вс!$K$17</f>
        <v>0</v>
      </c>
      <c r="L17" s="389">
        <f>Вс!$K$18</f>
        <v>0</v>
      </c>
      <c r="M17" s="389">
        <f>Вс!$K$19</f>
        <v>0</v>
      </c>
      <c r="N17" s="389">
        <f>Вс!$K$20</f>
        <v>0</v>
      </c>
      <c r="O17" s="389">
        <f>Вс!$K$21</f>
        <v>0</v>
      </c>
      <c r="P17" s="389">
        <f>Вс!$K$22</f>
        <v>0</v>
      </c>
      <c r="Q17" s="389">
        <f>Вс!$K$23</f>
        <v>0</v>
      </c>
      <c r="R17" s="389">
        <f>Вс!$K$23</f>
        <v>0</v>
      </c>
      <c r="S17" s="389">
        <f>Вс!$K$24</f>
        <v>0</v>
      </c>
      <c r="T17" s="389">
        <f>Вс!$K$25</f>
        <v>0</v>
      </c>
      <c r="U17" s="389">
        <f>Вс!$K$26</f>
        <v>0</v>
      </c>
      <c r="V17" s="389">
        <f>Вс!$K$27</f>
        <v>0</v>
      </c>
      <c r="W17" s="389">
        <f>Вс!$K$28</f>
        <v>0</v>
      </c>
      <c r="X17" s="389">
        <f>Вс!$K$28</f>
        <v>0</v>
      </c>
      <c r="Y17" s="389">
        <f>Вс!$K$29</f>
        <v>0</v>
      </c>
      <c r="Z17" s="389">
        <f>Вс!$K$30</f>
        <v>0</v>
      </c>
      <c r="AA17" s="389">
        <f>Вс!$K$31</f>
        <v>0</v>
      </c>
      <c r="AB17" s="389">
        <f>Вс!$K$32</f>
        <v>0</v>
      </c>
      <c r="AC17" s="389">
        <f>Вс!$K$33</f>
        <v>0</v>
      </c>
      <c r="AD17" s="389">
        <f>Вс!$K$34</f>
        <v>0</v>
      </c>
      <c r="AE17" s="389">
        <f>Вс!$K$35</f>
        <v>0</v>
      </c>
      <c r="AF17" s="389">
        <f>Вс!$K$36</f>
        <v>0</v>
      </c>
      <c r="AG17" s="389">
        <f>Вс!$K$36</f>
        <v>0</v>
      </c>
      <c r="AH17" s="389">
        <f>Вс!$K$37</f>
        <v>0</v>
      </c>
      <c r="AI17" s="389">
        <f>Вс!$K$38</f>
        <v>0</v>
      </c>
      <c r="AJ17" s="383"/>
      <c r="AK17" s="829">
        <f>Пн!K20</f>
        <v>0</v>
      </c>
      <c r="AL17" s="383"/>
      <c r="AM17" s="383"/>
      <c r="AN17" s="383"/>
      <c r="AO17" s="383"/>
    </row>
    <row r="18" spans="1:41" ht="24.95" customHeight="1" x14ac:dyDescent="0.2">
      <c r="B18" s="834" t="s">
        <v>458</v>
      </c>
      <c r="C18" s="835">
        <f t="shared" ref="C18:I18" si="0">SUM(C11:C17)</f>
        <v>0</v>
      </c>
      <c r="D18" s="835">
        <f t="shared" si="0"/>
        <v>0</v>
      </c>
      <c r="E18" s="835">
        <f t="shared" si="0"/>
        <v>0</v>
      </c>
      <c r="F18" s="835">
        <f t="shared" si="0"/>
        <v>0</v>
      </c>
      <c r="G18" s="835">
        <f t="shared" si="0"/>
        <v>0</v>
      </c>
      <c r="H18" s="835">
        <f t="shared" si="0"/>
        <v>0</v>
      </c>
      <c r="I18" s="835">
        <f t="shared" si="0"/>
        <v>0</v>
      </c>
      <c r="J18" s="835">
        <f>SUM(K11:K17)</f>
        <v>0</v>
      </c>
      <c r="K18" s="835">
        <f t="shared" ref="K18:X18" si="1">SUM(K11:K17)</f>
        <v>0</v>
      </c>
      <c r="L18" s="835">
        <f t="shared" si="1"/>
        <v>0</v>
      </c>
      <c r="M18" s="835">
        <f t="shared" si="1"/>
        <v>0</v>
      </c>
      <c r="N18" s="835">
        <f t="shared" si="1"/>
        <v>0</v>
      </c>
      <c r="O18" s="835">
        <f t="shared" si="1"/>
        <v>0</v>
      </c>
      <c r="P18" s="835">
        <f t="shared" si="1"/>
        <v>0</v>
      </c>
      <c r="Q18" s="835">
        <f t="shared" si="1"/>
        <v>0</v>
      </c>
      <c r="R18" s="835">
        <f t="shared" si="1"/>
        <v>0</v>
      </c>
      <c r="S18" s="835">
        <f t="shared" si="1"/>
        <v>0</v>
      </c>
      <c r="T18" s="835">
        <f t="shared" si="1"/>
        <v>0</v>
      </c>
      <c r="U18" s="835">
        <f t="shared" si="1"/>
        <v>0</v>
      </c>
      <c r="V18" s="835">
        <f t="shared" si="1"/>
        <v>0</v>
      </c>
      <c r="W18" s="835">
        <f t="shared" si="1"/>
        <v>0</v>
      </c>
      <c r="X18" s="835">
        <f t="shared" si="1"/>
        <v>0</v>
      </c>
      <c r="Y18" s="835">
        <f>SUM(K11:K17)</f>
        <v>0</v>
      </c>
      <c r="Z18" s="835">
        <f t="shared" ref="Z18:AI18" si="2">SUM(Z11:Z17)</f>
        <v>0</v>
      </c>
      <c r="AA18" s="835">
        <f t="shared" si="2"/>
        <v>0</v>
      </c>
      <c r="AB18" s="835">
        <f t="shared" si="2"/>
        <v>0</v>
      </c>
      <c r="AC18" s="835">
        <f t="shared" si="2"/>
        <v>0</v>
      </c>
      <c r="AD18" s="835">
        <f t="shared" si="2"/>
        <v>0</v>
      </c>
      <c r="AE18" s="835">
        <f t="shared" si="2"/>
        <v>0</v>
      </c>
      <c r="AF18" s="835">
        <f t="shared" si="2"/>
        <v>0</v>
      </c>
      <c r="AG18" s="835">
        <f t="shared" si="2"/>
        <v>0</v>
      </c>
      <c r="AH18" s="835">
        <f t="shared" si="2"/>
        <v>0</v>
      </c>
      <c r="AI18" s="835">
        <f t="shared" si="2"/>
        <v>0</v>
      </c>
      <c r="AJ18" s="383"/>
      <c r="AK18" s="829">
        <f>Пн!K21</f>
        <v>0</v>
      </c>
      <c r="AL18" s="383"/>
      <c r="AM18" s="383"/>
      <c r="AN18" s="383"/>
      <c r="AO18" s="383"/>
    </row>
    <row r="19" spans="1:41" x14ac:dyDescent="0.2">
      <c r="B19" s="382"/>
      <c r="C19" s="382"/>
      <c r="D19" s="382"/>
      <c r="E19" s="382"/>
      <c r="F19" s="382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2"/>
      <c r="V19" s="382"/>
      <c r="W19" s="382"/>
      <c r="X19" s="382"/>
      <c r="Y19" s="382"/>
      <c r="Z19" s="382"/>
      <c r="AA19" s="382"/>
      <c r="AB19" s="382"/>
      <c r="AC19" s="382"/>
      <c r="AD19" s="382"/>
      <c r="AE19" s="382"/>
      <c r="AF19" s="382"/>
      <c r="AG19" s="382"/>
      <c r="AH19" s="382"/>
      <c r="AI19" s="382"/>
      <c r="AJ19" s="383"/>
      <c r="AK19" s="829">
        <f>Пн!K22</f>
        <v>0</v>
      </c>
      <c r="AL19" s="383"/>
      <c r="AM19" s="383"/>
      <c r="AN19" s="383"/>
      <c r="AO19" s="383"/>
    </row>
    <row r="20" spans="1:41" x14ac:dyDescent="0.2">
      <c r="B20" s="382"/>
      <c r="C20" s="382"/>
      <c r="D20" s="382"/>
      <c r="E20" s="382"/>
      <c r="F20" s="382"/>
      <c r="G20" s="382"/>
      <c r="H20" s="382"/>
      <c r="I20" s="382"/>
      <c r="J20" s="382"/>
      <c r="K20" s="382"/>
      <c r="L20" s="382"/>
      <c r="M20" s="382"/>
      <c r="N20" s="382"/>
      <c r="O20" s="382"/>
      <c r="P20" s="382"/>
      <c r="Q20" s="382"/>
      <c r="R20" s="382"/>
      <c r="S20" s="382"/>
      <c r="T20" s="382"/>
      <c r="U20" s="382"/>
      <c r="V20" s="382"/>
      <c r="W20" s="382"/>
      <c r="X20" s="382"/>
      <c r="Y20" s="382"/>
      <c r="Z20" s="382"/>
      <c r="AA20" s="382"/>
      <c r="AB20" s="382"/>
      <c r="AC20" s="382"/>
      <c r="AD20" s="382"/>
      <c r="AE20" s="382"/>
      <c r="AF20" s="382"/>
      <c r="AG20" s="382"/>
      <c r="AH20" s="382"/>
      <c r="AI20" s="382"/>
      <c r="AJ20" s="383"/>
      <c r="AK20" s="829">
        <f>Пн!K23</f>
        <v>0</v>
      </c>
      <c r="AL20" s="383"/>
      <c r="AM20" s="383"/>
      <c r="AN20" s="383"/>
      <c r="AO20" s="383"/>
    </row>
    <row r="21" spans="1:41" x14ac:dyDescent="0.2">
      <c r="B21" s="382"/>
      <c r="C21" s="382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  <c r="X21" s="382"/>
      <c r="Y21" s="382"/>
      <c r="Z21" s="382"/>
      <c r="AA21" s="382"/>
      <c r="AB21" s="382"/>
      <c r="AC21" s="382"/>
      <c r="AD21" s="382"/>
      <c r="AE21" s="382"/>
      <c r="AF21" s="382"/>
      <c r="AG21" s="382"/>
      <c r="AH21" s="382"/>
      <c r="AI21" s="382"/>
      <c r="AJ21" s="383"/>
      <c r="AK21" s="829">
        <f>Пн!K24</f>
        <v>0</v>
      </c>
      <c r="AL21" s="383"/>
      <c r="AM21" s="383"/>
      <c r="AN21" s="383"/>
      <c r="AO21" s="383"/>
    </row>
    <row r="22" spans="1:41" ht="23.25" customHeight="1" x14ac:dyDescent="0.2">
      <c r="B22" s="382"/>
      <c r="C22" s="382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2"/>
      <c r="O22" s="382"/>
      <c r="P22" s="382"/>
      <c r="Q22" s="382"/>
      <c r="R22" s="382"/>
      <c r="S22" s="382"/>
      <c r="T22" s="382"/>
      <c r="U22" s="382"/>
      <c r="V22" s="382"/>
      <c r="W22" s="382"/>
      <c r="X22" s="382"/>
      <c r="Y22" s="382"/>
      <c r="Z22" s="382"/>
      <c r="AA22" s="382"/>
      <c r="AB22" s="382"/>
      <c r="AC22" s="382"/>
      <c r="AD22" s="382"/>
      <c r="AE22" s="382"/>
      <c r="AF22" s="382"/>
      <c r="AG22" s="382"/>
      <c r="AH22" s="382"/>
      <c r="AI22" s="382"/>
      <c r="AJ22" s="383"/>
      <c r="AK22" s="829">
        <f>Пн!K25</f>
        <v>0</v>
      </c>
      <c r="AL22" s="383"/>
      <c r="AM22" s="383"/>
      <c r="AN22" s="383"/>
      <c r="AO22" s="383"/>
    </row>
    <row r="23" spans="1:41" ht="18" customHeight="1" x14ac:dyDescent="0.2">
      <c r="B23" s="1686" t="s">
        <v>456</v>
      </c>
      <c r="C23" s="1688" t="s">
        <v>457</v>
      </c>
      <c r="D23" s="1688"/>
      <c r="E23" s="1688"/>
      <c r="F23" s="1688"/>
      <c r="G23" s="1688"/>
      <c r="H23" s="1688"/>
      <c r="I23" s="1688"/>
      <c r="J23" s="1688"/>
      <c r="K23" s="1688"/>
      <c r="L23" s="1688"/>
      <c r="M23" s="1688"/>
      <c r="N23" s="1688"/>
      <c r="O23" s="1688"/>
      <c r="P23" s="1688"/>
      <c r="Q23" s="1688"/>
      <c r="R23" s="1688"/>
      <c r="S23" s="1688"/>
      <c r="T23" s="1688"/>
      <c r="U23" s="1688"/>
      <c r="V23" s="1688"/>
      <c r="W23" s="1688"/>
      <c r="X23" s="1688"/>
      <c r="Y23" s="1688"/>
      <c r="Z23" s="1688"/>
      <c r="AA23" s="1688"/>
      <c r="AB23" s="1688"/>
      <c r="AC23" s="1688"/>
      <c r="AD23" s="1688"/>
      <c r="AE23" s="1688"/>
      <c r="AF23" s="1688"/>
      <c r="AG23" s="1688"/>
      <c r="AH23" s="1688"/>
      <c r="AI23" s="1688"/>
      <c r="AJ23" s="383"/>
      <c r="AK23" s="829">
        <f>Пн!K26</f>
        <v>0</v>
      </c>
      <c r="AL23" s="383"/>
      <c r="AM23" s="383"/>
      <c r="AN23" s="383"/>
      <c r="AO23" s="383"/>
    </row>
    <row r="24" spans="1:41" ht="69" customHeight="1" x14ac:dyDescent="0.2">
      <c r="B24" s="1686"/>
      <c r="C24" s="831" t="s">
        <v>147</v>
      </c>
      <c r="D24" s="831" t="s">
        <v>148</v>
      </c>
      <c r="E24" s="831" t="s">
        <v>149</v>
      </c>
      <c r="F24" s="831" t="s">
        <v>217</v>
      </c>
      <c r="G24" s="831" t="s">
        <v>150</v>
      </c>
      <c r="H24" s="831" t="s">
        <v>151</v>
      </c>
      <c r="I24" s="831" t="s">
        <v>152</v>
      </c>
      <c r="J24" s="831" t="s">
        <v>552</v>
      </c>
      <c r="K24" s="831" t="s">
        <v>553</v>
      </c>
      <c r="L24" s="831" t="s">
        <v>376</v>
      </c>
      <c r="M24" s="831" t="s">
        <v>153</v>
      </c>
      <c r="N24" s="831" t="s">
        <v>554</v>
      </c>
      <c r="O24" s="831" t="s">
        <v>154</v>
      </c>
      <c r="P24" s="831" t="s">
        <v>155</v>
      </c>
      <c r="Q24" s="831" t="s">
        <v>188</v>
      </c>
      <c r="R24" s="831" t="s">
        <v>157</v>
      </c>
      <c r="S24" s="831" t="s">
        <v>555</v>
      </c>
      <c r="T24" s="831" t="s">
        <v>556</v>
      </c>
      <c r="U24" s="831" t="s">
        <v>557</v>
      </c>
      <c r="V24" s="831" t="s">
        <v>227</v>
      </c>
      <c r="W24" s="831" t="s">
        <v>158</v>
      </c>
      <c r="X24" s="831" t="s">
        <v>159</v>
      </c>
      <c r="Y24" s="831" t="s">
        <v>558</v>
      </c>
      <c r="Z24" s="831" t="s">
        <v>559</v>
      </c>
      <c r="AA24" s="831" t="s">
        <v>170</v>
      </c>
      <c r="AB24" s="831" t="s">
        <v>196</v>
      </c>
      <c r="AC24" s="831" t="s">
        <v>239</v>
      </c>
      <c r="AD24" s="831" t="s">
        <v>250</v>
      </c>
      <c r="AE24" s="831" t="s">
        <v>258</v>
      </c>
      <c r="AF24" s="831" t="s">
        <v>263</v>
      </c>
      <c r="AG24" s="840" t="s">
        <v>266</v>
      </c>
      <c r="AH24" s="836"/>
      <c r="AI24" s="836"/>
      <c r="AJ24" s="383"/>
      <c r="AK24" s="829">
        <f>Пн!K27</f>
        <v>0</v>
      </c>
      <c r="AL24" s="383"/>
      <c r="AM24" s="383"/>
      <c r="AN24" s="383"/>
      <c r="AO24" s="383"/>
    </row>
    <row r="25" spans="1:41" ht="15" customHeight="1" x14ac:dyDescent="0.2">
      <c r="B25" s="833">
        <v>34</v>
      </c>
      <c r="C25" s="833">
        <v>35</v>
      </c>
      <c r="D25" s="833">
        <v>36</v>
      </c>
      <c r="E25" s="833">
        <v>37</v>
      </c>
      <c r="F25" s="833">
        <v>38</v>
      </c>
      <c r="G25" s="833">
        <v>39</v>
      </c>
      <c r="H25" s="833">
        <v>40</v>
      </c>
      <c r="I25" s="833">
        <v>41</v>
      </c>
      <c r="J25" s="833">
        <v>42</v>
      </c>
      <c r="K25" s="833">
        <v>43</v>
      </c>
      <c r="L25" s="833">
        <v>44</v>
      </c>
      <c r="M25" s="833">
        <v>45</v>
      </c>
      <c r="N25" s="833">
        <v>46</v>
      </c>
      <c r="O25" s="833">
        <v>47</v>
      </c>
      <c r="P25" s="833">
        <v>48</v>
      </c>
      <c r="Q25" s="833">
        <v>49</v>
      </c>
      <c r="R25" s="833">
        <v>50</v>
      </c>
      <c r="S25" s="833">
        <v>51</v>
      </c>
      <c r="T25" s="833">
        <v>52</v>
      </c>
      <c r="U25" s="833">
        <v>53</v>
      </c>
      <c r="V25" s="833">
        <v>54</v>
      </c>
      <c r="W25" s="833">
        <v>55</v>
      </c>
      <c r="X25" s="833">
        <v>56</v>
      </c>
      <c r="Y25" s="833">
        <v>57</v>
      </c>
      <c r="Z25" s="833">
        <v>58</v>
      </c>
      <c r="AA25" s="833">
        <v>59</v>
      </c>
      <c r="AB25" s="833">
        <v>60</v>
      </c>
      <c r="AC25" s="833">
        <v>61</v>
      </c>
      <c r="AD25" s="833">
        <v>62</v>
      </c>
      <c r="AE25" s="833">
        <v>63</v>
      </c>
      <c r="AF25" s="833">
        <v>64</v>
      </c>
      <c r="AG25" s="833">
        <v>65</v>
      </c>
      <c r="AH25" s="833">
        <v>66</v>
      </c>
      <c r="AI25" s="833">
        <v>67</v>
      </c>
      <c r="AJ25" s="383"/>
      <c r="AK25" s="829">
        <f>Пн!K28</f>
        <v>0</v>
      </c>
      <c r="AL25" s="383"/>
      <c r="AM25" s="383"/>
      <c r="AN25" s="383"/>
      <c r="AO25" s="383"/>
    </row>
    <row r="26" spans="1:41" ht="24.95" customHeight="1" x14ac:dyDescent="0.2">
      <c r="A26" s="388"/>
      <c r="B26" s="830" t="str">
        <f>Пн!B2</f>
        <v xml:space="preserve">Накладная № </v>
      </c>
      <c r="C26" s="391">
        <f>Пн!$K$39</f>
        <v>0</v>
      </c>
      <c r="D26" s="390">
        <f>Пн!$K$40</f>
        <v>0</v>
      </c>
      <c r="E26" s="390">
        <f>Пн!$K$41</f>
        <v>0</v>
      </c>
      <c r="F26" s="390">
        <f>Пн!$K$42</f>
        <v>0</v>
      </c>
      <c r="G26" s="390">
        <f>Пн!$K$43</f>
        <v>0</v>
      </c>
      <c r="H26" s="390">
        <f>Пн!$K$44</f>
        <v>0</v>
      </c>
      <c r="I26" s="390">
        <f>Пн!$K$45</f>
        <v>0</v>
      </c>
      <c r="J26" s="390">
        <f>Пн!$K$46</f>
        <v>0</v>
      </c>
      <c r="K26" s="389">
        <f>Пн!$K$47</f>
        <v>0</v>
      </c>
      <c r="L26" s="389">
        <f>Пн!$K$48</f>
        <v>0</v>
      </c>
      <c r="M26" s="389">
        <f>Пн!$K$49</f>
        <v>0</v>
      </c>
      <c r="N26" s="389">
        <f>Пн!$K$50</f>
        <v>0</v>
      </c>
      <c r="O26" s="391">
        <f>Пн!$K$51</f>
        <v>0</v>
      </c>
      <c r="P26" s="391">
        <f>Пн!$K$52</f>
        <v>0</v>
      </c>
      <c r="Q26" s="391">
        <f>Пн!$K$53</f>
        <v>0</v>
      </c>
      <c r="R26" s="391">
        <f>Пн!$K$54</f>
        <v>0</v>
      </c>
      <c r="S26" s="391">
        <f>Пн!$K$55</f>
        <v>0</v>
      </c>
      <c r="T26" s="391">
        <f>Пн!$K$56</f>
        <v>0</v>
      </c>
      <c r="U26" s="391">
        <f>Пн!$K$57</f>
        <v>0</v>
      </c>
      <c r="V26" s="391">
        <f>Пн!$K$58</f>
        <v>0</v>
      </c>
      <c r="W26" s="389">
        <f>Пн!$K$59</f>
        <v>0</v>
      </c>
      <c r="X26" s="389">
        <f>Пн!$K$60</f>
        <v>0</v>
      </c>
      <c r="Y26" s="389">
        <f>Пн!$K$61</f>
        <v>0</v>
      </c>
      <c r="Z26" s="389">
        <f>Пн!$K$62</f>
        <v>0</v>
      </c>
      <c r="AA26" s="389">
        <f>Пн!$K$63</f>
        <v>0</v>
      </c>
      <c r="AB26" s="389">
        <f>Пн!$K$64</f>
        <v>0</v>
      </c>
      <c r="AC26" s="389">
        <f>Пн!$K$65</f>
        <v>0</v>
      </c>
      <c r="AD26" s="389">
        <f>Пн!$K$68</f>
        <v>0</v>
      </c>
      <c r="AE26" s="389">
        <f>Пн!$K$69</f>
        <v>0</v>
      </c>
      <c r="AF26" s="389">
        <f>Пн!$K$70</f>
        <v>0</v>
      </c>
      <c r="AG26" s="389">
        <f>Пн!$K$71</f>
        <v>0</v>
      </c>
      <c r="AH26" s="389"/>
      <c r="AI26" s="389"/>
      <c r="AJ26" s="383"/>
      <c r="AK26" s="829">
        <f>Пн!K29</f>
        <v>0</v>
      </c>
      <c r="AL26" s="383"/>
      <c r="AM26" s="383"/>
      <c r="AN26" s="383"/>
      <c r="AO26" s="383"/>
    </row>
    <row r="27" spans="1:41" ht="24.95" customHeight="1" x14ac:dyDescent="0.2">
      <c r="A27" s="388"/>
      <c r="B27" s="830" t="str">
        <f>Вт!B2</f>
        <v xml:space="preserve">Накладная № </v>
      </c>
      <c r="C27" s="391">
        <f>Вт!$K$39</f>
        <v>0</v>
      </c>
      <c r="D27" s="390">
        <f>Вт!$K$40</f>
        <v>0</v>
      </c>
      <c r="E27" s="390">
        <f>Вт!$K$41</f>
        <v>0</v>
      </c>
      <c r="F27" s="390">
        <f>Вт!$K$42</f>
        <v>0</v>
      </c>
      <c r="G27" s="390">
        <f>Вт!$K$43</f>
        <v>0</v>
      </c>
      <c r="H27" s="390">
        <f>Вт!$K$44</f>
        <v>0</v>
      </c>
      <c r="I27" s="390">
        <f>Вт!$K$45</f>
        <v>0</v>
      </c>
      <c r="J27" s="390">
        <f>Вт!$K$46</f>
        <v>0</v>
      </c>
      <c r="K27" s="389">
        <f>Вт!$K$47</f>
        <v>0</v>
      </c>
      <c r="L27" s="389">
        <f>Вт!$K$48</f>
        <v>0</v>
      </c>
      <c r="M27" s="389">
        <f>Вт!$K$49</f>
        <v>0</v>
      </c>
      <c r="N27" s="389">
        <f>Вт!$K$50</f>
        <v>0</v>
      </c>
      <c r="O27" s="391">
        <f>Вт!$K$51</f>
        <v>0</v>
      </c>
      <c r="P27" s="391">
        <f>Вт!$K$52</f>
        <v>0</v>
      </c>
      <c r="Q27" s="391">
        <f>Вт!$K$53</f>
        <v>0</v>
      </c>
      <c r="R27" s="391">
        <f>Вт!$K$54</f>
        <v>0</v>
      </c>
      <c r="S27" s="391">
        <f>Вт!$K$55</f>
        <v>0</v>
      </c>
      <c r="T27" s="391">
        <f>Вт!$K$56</f>
        <v>0</v>
      </c>
      <c r="U27" s="391">
        <f>Вт!$K$57</f>
        <v>0</v>
      </c>
      <c r="V27" s="391">
        <f>Вт!$K$58</f>
        <v>0</v>
      </c>
      <c r="W27" s="389">
        <f>Вт!$K$59</f>
        <v>0</v>
      </c>
      <c r="X27" s="389">
        <f>Вт!$K$60</f>
        <v>0</v>
      </c>
      <c r="Y27" s="389">
        <f>Вт!$K$61</f>
        <v>0</v>
      </c>
      <c r="Z27" s="389">
        <f>Вт!$K$62</f>
        <v>0</v>
      </c>
      <c r="AA27" s="389">
        <f>Вт!$K$63</f>
        <v>0</v>
      </c>
      <c r="AB27" s="389">
        <f>Вт!$K$64</f>
        <v>0</v>
      </c>
      <c r="AC27" s="389">
        <f>Вт!$K$65</f>
        <v>0</v>
      </c>
      <c r="AD27" s="389">
        <f>Вт!$K$68</f>
        <v>0</v>
      </c>
      <c r="AE27" s="389">
        <f>Вт!$K$69</f>
        <v>0</v>
      </c>
      <c r="AF27" s="389">
        <f>Вт!$K$70</f>
        <v>0</v>
      </c>
      <c r="AG27" s="389">
        <f>Вт!$K$71</f>
        <v>0</v>
      </c>
      <c r="AH27" s="389"/>
      <c r="AI27" s="389"/>
      <c r="AJ27" s="383"/>
      <c r="AK27" s="829">
        <f>Пн!K30</f>
        <v>0</v>
      </c>
      <c r="AL27" s="383"/>
      <c r="AM27" s="383"/>
      <c r="AN27" s="383"/>
      <c r="AO27" s="383"/>
    </row>
    <row r="28" spans="1:41" ht="24.95" customHeight="1" x14ac:dyDescent="0.2">
      <c r="A28" s="388"/>
      <c r="B28" s="830" t="str">
        <f>Ср!B2</f>
        <v xml:space="preserve">Накладная № </v>
      </c>
      <c r="C28" s="391">
        <f>Ср!$K$39</f>
        <v>0</v>
      </c>
      <c r="D28" s="390">
        <f>Ср!$K$40</f>
        <v>0</v>
      </c>
      <c r="E28" s="390">
        <f>Ср!$K$41</f>
        <v>0</v>
      </c>
      <c r="F28" s="390">
        <f>Ср!$K$42</f>
        <v>0</v>
      </c>
      <c r="G28" s="390">
        <f>Ср!$K$43</f>
        <v>0</v>
      </c>
      <c r="H28" s="390">
        <f>Ср!$K$44</f>
        <v>0</v>
      </c>
      <c r="I28" s="390">
        <f>Ср!$K$45</f>
        <v>0</v>
      </c>
      <c r="J28" s="390">
        <f>Ср!$K$46</f>
        <v>0</v>
      </c>
      <c r="K28" s="389">
        <f>Ср!$K$47</f>
        <v>0</v>
      </c>
      <c r="L28" s="389">
        <f>Ср!$K$48</f>
        <v>0</v>
      </c>
      <c r="M28" s="389">
        <f>Ср!$K$49</f>
        <v>0</v>
      </c>
      <c r="N28" s="389">
        <f>Ср!$K$50</f>
        <v>0</v>
      </c>
      <c r="O28" s="391">
        <f>Ср!$K$51</f>
        <v>0</v>
      </c>
      <c r="P28" s="391">
        <f>Ср!$K$52</f>
        <v>0</v>
      </c>
      <c r="Q28" s="391">
        <f>Ср!$K$53</f>
        <v>0</v>
      </c>
      <c r="R28" s="391">
        <f>Ср!$K$54</f>
        <v>0</v>
      </c>
      <c r="S28" s="391">
        <f>Ср!$K$55</f>
        <v>0</v>
      </c>
      <c r="T28" s="391">
        <f>Ср!$K$56</f>
        <v>0</v>
      </c>
      <c r="U28" s="391">
        <f>Ср!$K$57</f>
        <v>0</v>
      </c>
      <c r="V28" s="391">
        <f>Ср!$K$58</f>
        <v>0</v>
      </c>
      <c r="W28" s="389">
        <f>Ср!$K$59</f>
        <v>0</v>
      </c>
      <c r="X28" s="389">
        <f>Ср!$K$60</f>
        <v>0</v>
      </c>
      <c r="Y28" s="389">
        <f>Ср!$K$61</f>
        <v>0</v>
      </c>
      <c r="Z28" s="389">
        <f>Ср!$K$62</f>
        <v>0</v>
      </c>
      <c r="AA28" s="389">
        <f>Ср!$K$63</f>
        <v>0</v>
      </c>
      <c r="AB28" s="389">
        <f>Ср!$K$64</f>
        <v>0</v>
      </c>
      <c r="AC28" s="389">
        <f>Ср!$K$65</f>
        <v>0</v>
      </c>
      <c r="AD28" s="389">
        <f>Ср!$K$68</f>
        <v>0</v>
      </c>
      <c r="AE28" s="389">
        <f>Ср!$K$69</f>
        <v>0</v>
      </c>
      <c r="AF28" s="389">
        <f>Ср!$K$70</f>
        <v>0</v>
      </c>
      <c r="AG28" s="389">
        <f>Ср!$K$71</f>
        <v>0</v>
      </c>
      <c r="AH28" s="389"/>
      <c r="AI28" s="389"/>
      <c r="AJ28" s="383"/>
      <c r="AK28" s="829">
        <f>Пн!K31</f>
        <v>0</v>
      </c>
      <c r="AL28" s="383"/>
      <c r="AM28" s="383"/>
      <c r="AN28" s="383"/>
      <c r="AO28" s="383"/>
    </row>
    <row r="29" spans="1:41" ht="24.95" customHeight="1" x14ac:dyDescent="0.2">
      <c r="A29" s="388"/>
      <c r="B29" s="830" t="str">
        <f>Чт!B2</f>
        <v xml:space="preserve">Накладная № </v>
      </c>
      <c r="C29" s="391">
        <f>Чт!$K$39</f>
        <v>0</v>
      </c>
      <c r="D29" s="390">
        <f>Чт!$K$40</f>
        <v>0</v>
      </c>
      <c r="E29" s="390">
        <f>Чт!$K$41</f>
        <v>0</v>
      </c>
      <c r="F29" s="390">
        <f>Чт!$K$42</f>
        <v>0</v>
      </c>
      <c r="G29" s="390">
        <f>Чт!$K$43</f>
        <v>0</v>
      </c>
      <c r="H29" s="390">
        <f>Чт!$K$44</f>
        <v>0</v>
      </c>
      <c r="I29" s="390">
        <f>Чт!$K$45</f>
        <v>0</v>
      </c>
      <c r="J29" s="390">
        <f>Чт!$K$46</f>
        <v>0</v>
      </c>
      <c r="K29" s="389">
        <f>Чт!$K$47</f>
        <v>0</v>
      </c>
      <c r="L29" s="389">
        <f>Чт!$K$48</f>
        <v>0</v>
      </c>
      <c r="M29" s="389">
        <f>Чт!$K$49</f>
        <v>0</v>
      </c>
      <c r="N29" s="389">
        <f>Чт!$K$50</f>
        <v>0</v>
      </c>
      <c r="O29" s="391">
        <f>Чт!$K$51</f>
        <v>0</v>
      </c>
      <c r="P29" s="391">
        <f>Чт!$K$52</f>
        <v>0</v>
      </c>
      <c r="Q29" s="391">
        <f>Чт!$K$53</f>
        <v>0</v>
      </c>
      <c r="R29" s="391">
        <f>Чт!$K$54</f>
        <v>0</v>
      </c>
      <c r="S29" s="391">
        <f>Чт!$K$55</f>
        <v>0</v>
      </c>
      <c r="T29" s="391">
        <f>Чт!$K$56</f>
        <v>0</v>
      </c>
      <c r="U29" s="391">
        <f>Чт!$K$57</f>
        <v>0</v>
      </c>
      <c r="V29" s="391">
        <f>Чт!$K$58</f>
        <v>0</v>
      </c>
      <c r="W29" s="389">
        <f>Чт!$K$59</f>
        <v>0</v>
      </c>
      <c r="X29" s="389">
        <f>Чт!$K$60</f>
        <v>0</v>
      </c>
      <c r="Y29" s="389">
        <f>Чт!$K$61</f>
        <v>0</v>
      </c>
      <c r="Z29" s="389">
        <f>Чт!$K$62</f>
        <v>0</v>
      </c>
      <c r="AA29" s="389">
        <f>Чт!$K$63</f>
        <v>0</v>
      </c>
      <c r="AB29" s="389">
        <f>Чт!$K$64</f>
        <v>0</v>
      </c>
      <c r="AC29" s="389">
        <f>Чт!$K$65</f>
        <v>0</v>
      </c>
      <c r="AD29" s="389">
        <f>Чт!$K$68</f>
        <v>0</v>
      </c>
      <c r="AE29" s="389">
        <f>Чт!$K$69</f>
        <v>0</v>
      </c>
      <c r="AF29" s="389">
        <f>Чт!$K$70</f>
        <v>0</v>
      </c>
      <c r="AG29" s="389">
        <f>Чт!$K$71</f>
        <v>0</v>
      </c>
      <c r="AH29" s="389"/>
      <c r="AI29" s="389"/>
      <c r="AJ29" s="383"/>
      <c r="AK29" s="829">
        <f>Пн!K32</f>
        <v>0</v>
      </c>
      <c r="AL29" s="383"/>
      <c r="AM29" s="383"/>
      <c r="AN29" s="383"/>
      <c r="AO29" s="383"/>
    </row>
    <row r="30" spans="1:41" ht="24.95" customHeight="1" x14ac:dyDescent="0.2">
      <c r="A30" s="388"/>
      <c r="B30" s="830" t="str">
        <f>Пт!B2</f>
        <v xml:space="preserve">Накладная № </v>
      </c>
      <c r="C30" s="391">
        <f>Пт!$K$39</f>
        <v>0</v>
      </c>
      <c r="D30" s="390">
        <f>Пт!$K$40</f>
        <v>0</v>
      </c>
      <c r="E30" s="390">
        <f>Пт!$K$41</f>
        <v>0</v>
      </c>
      <c r="F30" s="390">
        <f>Пт!$K$42</f>
        <v>0</v>
      </c>
      <c r="G30" s="390">
        <f>Пт!$K$43</f>
        <v>0</v>
      </c>
      <c r="H30" s="390">
        <f>Пт!$K$44</f>
        <v>0</v>
      </c>
      <c r="I30" s="390">
        <f>Пт!$K$45</f>
        <v>0</v>
      </c>
      <c r="J30" s="390">
        <f>Пт!$K$46</f>
        <v>0</v>
      </c>
      <c r="K30" s="389">
        <f>Пт!$K$47</f>
        <v>0</v>
      </c>
      <c r="L30" s="389">
        <f>Пт!$K$48</f>
        <v>0</v>
      </c>
      <c r="M30" s="389">
        <f>Пт!$K$49</f>
        <v>0</v>
      </c>
      <c r="N30" s="389">
        <f>Пт!$K$50</f>
        <v>0</v>
      </c>
      <c r="O30" s="391">
        <f>Пт!$K$51</f>
        <v>0</v>
      </c>
      <c r="P30" s="391">
        <f>Пт!$K$52</f>
        <v>0</v>
      </c>
      <c r="Q30" s="391">
        <f>Пт!$K$53</f>
        <v>0</v>
      </c>
      <c r="R30" s="391">
        <f>Пт!$K$54</f>
        <v>0</v>
      </c>
      <c r="S30" s="391">
        <f>Пт!$K$55</f>
        <v>0</v>
      </c>
      <c r="T30" s="391">
        <f>Пт!$K$56</f>
        <v>0</v>
      </c>
      <c r="U30" s="391">
        <f>Пт!$K$57</f>
        <v>0</v>
      </c>
      <c r="V30" s="391">
        <f>Пт!$K$58</f>
        <v>0</v>
      </c>
      <c r="W30" s="389">
        <f>Пт!$K$59</f>
        <v>0</v>
      </c>
      <c r="X30" s="389">
        <f>Пт!$K$60</f>
        <v>0</v>
      </c>
      <c r="Y30" s="389">
        <f>Пт!$K$61</f>
        <v>0</v>
      </c>
      <c r="Z30" s="389">
        <f>Пт!$K$62</f>
        <v>0</v>
      </c>
      <c r="AA30" s="389">
        <f>Пт!$K$63</f>
        <v>0</v>
      </c>
      <c r="AB30" s="389">
        <f>Пт!$K$64</f>
        <v>0</v>
      </c>
      <c r="AC30" s="389">
        <f>Пт!$K$65</f>
        <v>0</v>
      </c>
      <c r="AD30" s="389">
        <f>Пт!$K$68</f>
        <v>0</v>
      </c>
      <c r="AE30" s="389">
        <f>Пт!$K$69</f>
        <v>0</v>
      </c>
      <c r="AF30" s="389">
        <f>Пт!$K$70</f>
        <v>0</v>
      </c>
      <c r="AG30" s="389">
        <f>Пт!$K$71</f>
        <v>0</v>
      </c>
      <c r="AH30" s="389"/>
      <c r="AI30" s="389"/>
      <c r="AJ30" s="383"/>
      <c r="AK30" s="829">
        <f>Пн!K33</f>
        <v>0</v>
      </c>
      <c r="AL30" s="383"/>
      <c r="AM30" s="383"/>
      <c r="AN30" s="383"/>
      <c r="AO30" s="383"/>
    </row>
    <row r="31" spans="1:41" ht="24.95" customHeight="1" x14ac:dyDescent="0.2">
      <c r="A31" s="388"/>
      <c r="B31" s="830" t="str">
        <f>Сб!B2</f>
        <v xml:space="preserve">Накладная № </v>
      </c>
      <c r="C31" s="391">
        <f>Сб!$K$39</f>
        <v>0</v>
      </c>
      <c r="D31" s="390">
        <f>Сб!$K$40</f>
        <v>0</v>
      </c>
      <c r="E31" s="390">
        <f>Сб!$K$41</f>
        <v>0</v>
      </c>
      <c r="F31" s="390">
        <f>Сб!$K$42</f>
        <v>0</v>
      </c>
      <c r="G31" s="390">
        <f>Сб!$K$43</f>
        <v>0</v>
      </c>
      <c r="H31" s="390">
        <f>Сб!$K$44</f>
        <v>0</v>
      </c>
      <c r="I31" s="390">
        <f>Сб!$K$45</f>
        <v>0</v>
      </c>
      <c r="J31" s="390">
        <f>Сб!$K$46</f>
        <v>0</v>
      </c>
      <c r="K31" s="389">
        <f>Сб!$K$47</f>
        <v>0</v>
      </c>
      <c r="L31" s="389">
        <f>Сб!$K$48</f>
        <v>0</v>
      </c>
      <c r="M31" s="389">
        <f>Сб!$K$49</f>
        <v>0</v>
      </c>
      <c r="N31" s="389">
        <f>Сб!$K$50</f>
        <v>0</v>
      </c>
      <c r="O31" s="391">
        <f>Сб!$K$51</f>
        <v>0</v>
      </c>
      <c r="P31" s="391">
        <f>Сб!$K$52</f>
        <v>0</v>
      </c>
      <c r="Q31" s="391">
        <f>Сб!$K$53</f>
        <v>0</v>
      </c>
      <c r="R31" s="391">
        <f>Сб!$K$54</f>
        <v>0</v>
      </c>
      <c r="S31" s="391">
        <f>Сб!$K$55</f>
        <v>0</v>
      </c>
      <c r="T31" s="391">
        <f>Сб!$K$56</f>
        <v>0</v>
      </c>
      <c r="U31" s="391">
        <f>Сб!$K$57</f>
        <v>0</v>
      </c>
      <c r="V31" s="391">
        <f>Сб!$K$58</f>
        <v>0</v>
      </c>
      <c r="W31" s="389">
        <f>Сб!$K$59</f>
        <v>0</v>
      </c>
      <c r="X31" s="389">
        <f>Сб!$K$60</f>
        <v>0</v>
      </c>
      <c r="Y31" s="389">
        <f>Сб!$K$61</f>
        <v>0</v>
      </c>
      <c r="Z31" s="389">
        <f>Сб!$K$62</f>
        <v>0</v>
      </c>
      <c r="AA31" s="389">
        <f>Сб!$K$63</f>
        <v>0</v>
      </c>
      <c r="AB31" s="389">
        <f>Сб!$K$64</f>
        <v>0</v>
      </c>
      <c r="AC31" s="389">
        <f>Сб!$K$65</f>
        <v>0</v>
      </c>
      <c r="AD31" s="389">
        <f>Сб!$K$68</f>
        <v>0</v>
      </c>
      <c r="AE31" s="389">
        <f>Сб!$K$69</f>
        <v>0</v>
      </c>
      <c r="AF31" s="389">
        <f>Сб!$K$70</f>
        <v>0</v>
      </c>
      <c r="AG31" s="389">
        <f>Сб!$K$71</f>
        <v>0</v>
      </c>
      <c r="AH31" s="389"/>
      <c r="AI31" s="389"/>
      <c r="AJ31" s="383"/>
      <c r="AK31" s="829">
        <f>Пн!K34</f>
        <v>0</v>
      </c>
      <c r="AL31" s="383"/>
      <c r="AM31" s="383"/>
      <c r="AN31" s="383"/>
      <c r="AO31" s="383"/>
    </row>
    <row r="32" spans="1:41" ht="24.95" customHeight="1" x14ac:dyDescent="0.2">
      <c r="A32" s="388"/>
      <c r="B32" s="830" t="str">
        <f>Вс!B2</f>
        <v xml:space="preserve">Накладная № </v>
      </c>
      <c r="C32" s="391">
        <f>Вс!$K$39</f>
        <v>0</v>
      </c>
      <c r="D32" s="390">
        <f>Вс!$K$40</f>
        <v>0</v>
      </c>
      <c r="E32" s="390">
        <f>Вс!$K$41</f>
        <v>0</v>
      </c>
      <c r="F32" s="390">
        <f>Вс!$K$42</f>
        <v>0</v>
      </c>
      <c r="G32" s="390">
        <f>Вс!$K$43</f>
        <v>0</v>
      </c>
      <c r="H32" s="390">
        <f>Вс!$K$44</f>
        <v>0</v>
      </c>
      <c r="I32" s="390">
        <f>Вс!$K$45</f>
        <v>0</v>
      </c>
      <c r="J32" s="390">
        <f>Вс!$K$46</f>
        <v>0</v>
      </c>
      <c r="K32" s="389">
        <f>Вс!$K$47</f>
        <v>0</v>
      </c>
      <c r="L32" s="389">
        <f>Вс!$K$48</f>
        <v>0</v>
      </c>
      <c r="M32" s="389">
        <f>Вс!$K$49</f>
        <v>0</v>
      </c>
      <c r="N32" s="389">
        <f>Вс!$K$50</f>
        <v>0</v>
      </c>
      <c r="O32" s="391">
        <f>Вс!$K$51</f>
        <v>0</v>
      </c>
      <c r="P32" s="391">
        <f>Вс!$K$52</f>
        <v>0</v>
      </c>
      <c r="Q32" s="391">
        <f>Вс!$K$53</f>
        <v>0</v>
      </c>
      <c r="R32" s="391">
        <f>Вс!$K$54</f>
        <v>0</v>
      </c>
      <c r="S32" s="391">
        <f>Вс!$K$55</f>
        <v>0</v>
      </c>
      <c r="T32" s="391">
        <f>Вс!$K$56</f>
        <v>0</v>
      </c>
      <c r="U32" s="391">
        <f>Вс!$K$57</f>
        <v>0</v>
      </c>
      <c r="V32" s="391">
        <f>Вс!$K$58</f>
        <v>0</v>
      </c>
      <c r="W32" s="389">
        <f>Вс!$K$59</f>
        <v>0</v>
      </c>
      <c r="X32" s="389">
        <f>Вс!$K$60</f>
        <v>0</v>
      </c>
      <c r="Y32" s="389">
        <f>Вс!$K$61</f>
        <v>0</v>
      </c>
      <c r="Z32" s="389">
        <f>Вс!$K$62</f>
        <v>0</v>
      </c>
      <c r="AA32" s="389">
        <f>Вс!$K$63</f>
        <v>0</v>
      </c>
      <c r="AB32" s="389">
        <f>Вс!$K$64</f>
        <v>0</v>
      </c>
      <c r="AC32" s="389">
        <f>Вс!$K$65</f>
        <v>0</v>
      </c>
      <c r="AD32" s="389">
        <f>Вс!$K$68</f>
        <v>0</v>
      </c>
      <c r="AE32" s="389">
        <f>Вс!$K$69</f>
        <v>0</v>
      </c>
      <c r="AF32" s="389">
        <f>Вс!$K$70</f>
        <v>0</v>
      </c>
      <c r="AG32" s="389">
        <f>Вс!$K$71</f>
        <v>0</v>
      </c>
      <c r="AH32" s="389"/>
      <c r="AI32" s="389"/>
      <c r="AJ32" s="383"/>
      <c r="AK32" s="829">
        <f>Пн!K35</f>
        <v>0</v>
      </c>
      <c r="AL32" s="383"/>
      <c r="AM32" s="383"/>
      <c r="AN32" s="383"/>
      <c r="AO32" s="383"/>
    </row>
    <row r="33" spans="2:41" ht="24.95" customHeight="1" x14ac:dyDescent="0.2">
      <c r="B33" s="834" t="s">
        <v>458</v>
      </c>
      <c r="C33" s="837">
        <f t="shared" ref="C33:I33" si="3">SUM(C26:C32)</f>
        <v>0</v>
      </c>
      <c r="D33" s="837">
        <f t="shared" si="3"/>
        <v>0</v>
      </c>
      <c r="E33" s="837">
        <f t="shared" si="3"/>
        <v>0</v>
      </c>
      <c r="F33" s="837">
        <f t="shared" si="3"/>
        <v>0</v>
      </c>
      <c r="G33" s="837">
        <f t="shared" si="3"/>
        <v>0</v>
      </c>
      <c r="H33" s="837">
        <f t="shared" si="3"/>
        <v>0</v>
      </c>
      <c r="I33" s="837">
        <f t="shared" si="3"/>
        <v>0</v>
      </c>
      <c r="J33" s="837">
        <f>SUM(K26:K32)</f>
        <v>0</v>
      </c>
      <c r="K33" s="837">
        <f t="shared" ref="K33:X33" si="4">SUM(K26:K32)</f>
        <v>0</v>
      </c>
      <c r="L33" s="838">
        <f t="shared" si="4"/>
        <v>0</v>
      </c>
      <c r="M33" s="839">
        <f t="shared" si="4"/>
        <v>0</v>
      </c>
      <c r="N33" s="839">
        <f t="shared" si="4"/>
        <v>0</v>
      </c>
      <c r="O33" s="839">
        <f t="shared" si="4"/>
        <v>0</v>
      </c>
      <c r="P33" s="839">
        <f t="shared" si="4"/>
        <v>0</v>
      </c>
      <c r="Q33" s="839">
        <f t="shared" si="4"/>
        <v>0</v>
      </c>
      <c r="R33" s="839">
        <f t="shared" si="4"/>
        <v>0</v>
      </c>
      <c r="S33" s="839">
        <f t="shared" si="4"/>
        <v>0</v>
      </c>
      <c r="T33" s="839">
        <f t="shared" si="4"/>
        <v>0</v>
      </c>
      <c r="U33" s="838">
        <f t="shared" si="4"/>
        <v>0</v>
      </c>
      <c r="V33" s="834">
        <f t="shared" si="4"/>
        <v>0</v>
      </c>
      <c r="W33" s="834">
        <f t="shared" si="4"/>
        <v>0</v>
      </c>
      <c r="X33" s="834">
        <f t="shared" si="4"/>
        <v>0</v>
      </c>
      <c r="Y33" s="838">
        <f>SUM(K26:K32)</f>
        <v>0</v>
      </c>
      <c r="Z33" s="834">
        <f t="shared" ref="Z33:AI33" si="5">SUM(Z26:Z32)</f>
        <v>0</v>
      </c>
      <c r="AA33" s="838">
        <f t="shared" si="5"/>
        <v>0</v>
      </c>
      <c r="AB33" s="834">
        <f t="shared" si="5"/>
        <v>0</v>
      </c>
      <c r="AC33" s="834">
        <f t="shared" si="5"/>
        <v>0</v>
      </c>
      <c r="AD33" s="834">
        <f t="shared" si="5"/>
        <v>0</v>
      </c>
      <c r="AE33" s="834">
        <f t="shared" si="5"/>
        <v>0</v>
      </c>
      <c r="AF33" s="834">
        <f t="shared" si="5"/>
        <v>0</v>
      </c>
      <c r="AG33" s="834">
        <f t="shared" si="5"/>
        <v>0</v>
      </c>
      <c r="AH33" s="834">
        <f t="shared" si="5"/>
        <v>0</v>
      </c>
      <c r="AI33" s="834">
        <f t="shared" si="5"/>
        <v>0</v>
      </c>
      <c r="AJ33" s="383"/>
      <c r="AK33" s="829">
        <f>Пн!K36</f>
        <v>0</v>
      </c>
      <c r="AL33" s="383"/>
      <c r="AM33" s="383"/>
      <c r="AN33" s="383"/>
      <c r="AO33" s="383"/>
    </row>
    <row r="34" spans="2:41" x14ac:dyDescent="0.2">
      <c r="B34" s="392"/>
      <c r="C34" s="392"/>
      <c r="D34" s="392"/>
      <c r="E34" s="392"/>
      <c r="F34" s="392"/>
      <c r="G34" s="392"/>
      <c r="H34" s="392"/>
      <c r="I34" s="392"/>
      <c r="J34" s="392"/>
      <c r="K34" s="392"/>
      <c r="L34" s="392"/>
      <c r="M34" s="392"/>
      <c r="N34" s="392"/>
      <c r="O34" s="392"/>
      <c r="P34" s="392"/>
      <c r="Q34" s="392"/>
      <c r="R34" s="392"/>
      <c r="S34" s="392"/>
      <c r="T34" s="392"/>
      <c r="U34" s="392"/>
      <c r="V34" s="392"/>
      <c r="W34" s="392"/>
      <c r="X34" s="392"/>
      <c r="Y34" s="392"/>
      <c r="Z34" s="392"/>
      <c r="AA34" s="392"/>
      <c r="AB34" s="392"/>
      <c r="AC34" s="392"/>
      <c r="AD34" s="392"/>
      <c r="AE34" s="392"/>
      <c r="AF34" s="392"/>
      <c r="AG34" s="392"/>
      <c r="AH34" s="392"/>
      <c r="AI34" s="392"/>
      <c r="AJ34" s="383"/>
      <c r="AK34" s="383"/>
      <c r="AL34" s="383"/>
      <c r="AM34" s="383"/>
      <c r="AN34" s="383"/>
      <c r="AO34" s="383"/>
    </row>
    <row r="35" spans="2:41" x14ac:dyDescent="0.2">
      <c r="B35" s="392"/>
      <c r="C35" s="392"/>
      <c r="D35" s="392"/>
      <c r="E35" s="392"/>
      <c r="F35" s="392"/>
      <c r="G35" s="392"/>
      <c r="H35" s="392"/>
      <c r="I35" s="392"/>
      <c r="J35" s="392"/>
      <c r="K35" s="392"/>
      <c r="L35" s="392"/>
      <c r="M35" s="392"/>
      <c r="N35" s="392"/>
      <c r="O35" s="392"/>
      <c r="P35" s="392"/>
      <c r="Q35" s="392"/>
      <c r="R35" s="392"/>
      <c r="S35" s="392"/>
      <c r="T35" s="392"/>
      <c r="U35" s="392"/>
      <c r="V35" s="392"/>
      <c r="W35" s="1683" t="str">
        <f>CONCATENATE("Делопроизводитель продовольственной службы войсковой части ",'Блок ввода'!I2)</f>
        <v>Делопроизводитель продовольственной службы войсковой части 00000</v>
      </c>
      <c r="X35" s="1684"/>
      <c r="Y35" s="1684"/>
      <c r="Z35" s="1684"/>
      <c r="AA35" s="1684"/>
      <c r="AB35" s="1684"/>
      <c r="AC35" s="1684"/>
      <c r="AD35" s="1684"/>
      <c r="AE35" s="1684"/>
      <c r="AF35" s="1684"/>
      <c r="AG35" s="1684"/>
      <c r="AH35" s="1684"/>
      <c r="AI35" s="1684"/>
      <c r="AJ35" s="383"/>
      <c r="AK35" s="383"/>
      <c r="AL35" s="383"/>
      <c r="AM35" s="383"/>
      <c r="AN35" s="383"/>
      <c r="AO35" s="383"/>
    </row>
    <row r="36" spans="2:41" x14ac:dyDescent="0.2">
      <c r="B36" s="392"/>
      <c r="C36" s="392"/>
      <c r="D36" s="392"/>
      <c r="E36" s="392"/>
      <c r="F36" s="392"/>
      <c r="G36" s="392"/>
      <c r="H36" s="392"/>
      <c r="I36" s="392"/>
      <c r="J36" s="392"/>
      <c r="K36" s="392"/>
      <c r="L36" s="392"/>
      <c r="M36" s="392"/>
      <c r="N36" s="392"/>
      <c r="O36" s="392"/>
      <c r="P36" s="392"/>
      <c r="Q36" s="392"/>
      <c r="R36" s="392"/>
      <c r="S36" s="392"/>
      <c r="T36" s="392"/>
      <c r="U36" s="392"/>
      <c r="V36" s="392"/>
      <c r="W36" s="1685" t="str">
        <f>CONCATENATE('Блок ввода'!M13,"                                                            ",'Блок ввода'!O13)</f>
        <v>служащая РА                                                            С.ФЕДОРОВА</v>
      </c>
      <c r="X36" s="1685"/>
      <c r="Y36" s="1685"/>
      <c r="Z36" s="1685"/>
      <c r="AA36" s="1685"/>
      <c r="AB36" s="1685"/>
      <c r="AC36" s="1685"/>
      <c r="AD36" s="1685"/>
      <c r="AE36" s="1685"/>
      <c r="AF36" s="1685"/>
      <c r="AG36" s="1685"/>
      <c r="AH36" s="1685"/>
      <c r="AI36" s="1685"/>
      <c r="AJ36" s="383"/>
      <c r="AK36" s="383"/>
      <c r="AL36" s="383"/>
      <c r="AM36" s="383"/>
      <c r="AN36" s="383"/>
      <c r="AO36" s="383"/>
    </row>
    <row r="37" spans="2:41" x14ac:dyDescent="0.2">
      <c r="B37" s="392"/>
      <c r="C37" s="392"/>
      <c r="D37" s="392"/>
      <c r="E37" s="392"/>
      <c r="F37" s="392"/>
      <c r="G37" s="392"/>
      <c r="H37" s="392"/>
      <c r="I37" s="392"/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  <c r="Z37" s="392"/>
      <c r="AA37" s="392"/>
      <c r="AB37" s="392"/>
      <c r="AC37" s="392"/>
      <c r="AD37" s="392"/>
      <c r="AE37" s="392"/>
      <c r="AF37" s="392"/>
      <c r="AG37" s="392"/>
      <c r="AH37" s="392"/>
      <c r="AI37" s="392"/>
      <c r="AJ37" s="383"/>
      <c r="AK37" s="383"/>
      <c r="AL37" s="383"/>
      <c r="AM37" s="383"/>
      <c r="AN37" s="383"/>
      <c r="AO37" s="383"/>
    </row>
    <row r="38" spans="2:41" x14ac:dyDescent="0.2">
      <c r="B38" s="392"/>
      <c r="C38" s="392"/>
      <c r="D38" s="392"/>
      <c r="E38" s="392"/>
      <c r="F38" s="392"/>
      <c r="G38" s="392"/>
      <c r="H38" s="392"/>
      <c r="I38" s="392"/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392"/>
      <c r="U38" s="392"/>
      <c r="V38" s="392"/>
      <c r="W38" s="392"/>
      <c r="X38" s="392"/>
      <c r="Y38" s="392"/>
      <c r="Z38" s="392"/>
      <c r="AA38" s="392"/>
      <c r="AB38" s="392"/>
      <c r="AC38" s="392"/>
      <c r="AD38" s="392"/>
      <c r="AE38" s="392"/>
      <c r="AF38" s="392"/>
      <c r="AG38" s="392"/>
      <c r="AH38" s="392"/>
      <c r="AI38" s="392"/>
      <c r="AJ38" s="383"/>
      <c r="AK38" s="383"/>
      <c r="AL38" s="383"/>
      <c r="AM38" s="383"/>
      <c r="AN38" s="383"/>
      <c r="AO38" s="383"/>
    </row>
    <row r="39" spans="2:41" x14ac:dyDescent="0.2">
      <c r="B39" s="392"/>
      <c r="C39" s="392"/>
      <c r="D39" s="392"/>
      <c r="E39" s="392"/>
      <c r="F39" s="392"/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  <c r="Z39" s="392"/>
      <c r="AA39" s="392"/>
      <c r="AB39" s="392"/>
      <c r="AC39" s="392"/>
      <c r="AD39" s="392"/>
      <c r="AE39" s="392"/>
      <c r="AF39" s="392"/>
      <c r="AG39" s="392"/>
      <c r="AH39" s="392"/>
      <c r="AI39" s="392"/>
      <c r="AJ39" s="383"/>
      <c r="AK39" s="383"/>
      <c r="AL39" s="383"/>
      <c r="AM39" s="383"/>
      <c r="AN39" s="383"/>
      <c r="AO39" s="383"/>
    </row>
    <row r="40" spans="2:41" x14ac:dyDescent="0.2">
      <c r="B40" s="392"/>
      <c r="C40" s="392"/>
      <c r="D40" s="392"/>
      <c r="E40" s="392"/>
      <c r="F40" s="392"/>
      <c r="G40" s="392"/>
      <c r="H40" s="392"/>
      <c r="I40" s="392"/>
      <c r="J40" s="392"/>
      <c r="K40" s="392"/>
      <c r="L40" s="392"/>
      <c r="M40" s="392"/>
      <c r="N40" s="392"/>
      <c r="O40" s="392"/>
      <c r="P40" s="392"/>
      <c r="Q40" s="392"/>
      <c r="R40" s="392"/>
      <c r="S40" s="392"/>
      <c r="T40" s="392"/>
      <c r="U40" s="392"/>
      <c r="V40" s="392"/>
      <c r="W40" s="392"/>
      <c r="X40" s="392"/>
      <c r="Y40" s="392"/>
      <c r="Z40" s="392"/>
      <c r="AA40" s="392"/>
      <c r="AB40" s="392"/>
      <c r="AC40" s="392"/>
      <c r="AD40" s="392"/>
      <c r="AE40" s="392"/>
      <c r="AF40" s="392"/>
      <c r="AG40" s="392"/>
      <c r="AH40" s="392"/>
      <c r="AI40" s="392"/>
      <c r="AJ40" s="383"/>
      <c r="AK40" s="383"/>
      <c r="AL40" s="383"/>
      <c r="AM40" s="383"/>
      <c r="AN40" s="383"/>
      <c r="AO40" s="383"/>
    </row>
    <row r="41" spans="2:41" x14ac:dyDescent="0.2">
      <c r="B41" s="382"/>
      <c r="C41" s="382"/>
      <c r="D41" s="382"/>
      <c r="E41" s="382"/>
      <c r="F41" s="382"/>
      <c r="G41" s="382"/>
      <c r="H41" s="382"/>
      <c r="I41" s="382"/>
      <c r="J41" s="382"/>
      <c r="K41" s="382"/>
      <c r="L41" s="382"/>
      <c r="M41" s="382"/>
      <c r="N41" s="382"/>
      <c r="O41" s="382"/>
      <c r="P41" s="382"/>
      <c r="Q41" s="382"/>
      <c r="R41" s="382"/>
      <c r="S41" s="382"/>
      <c r="T41" s="382"/>
      <c r="U41" s="382"/>
      <c r="V41" s="382"/>
      <c r="W41" s="382"/>
      <c r="X41" s="382"/>
      <c r="Y41" s="382"/>
      <c r="Z41" s="382"/>
      <c r="AA41" s="382"/>
      <c r="AB41" s="382"/>
      <c r="AC41" s="382"/>
      <c r="AD41" s="382"/>
      <c r="AE41" s="382"/>
      <c r="AF41" s="382"/>
      <c r="AG41" s="382"/>
      <c r="AH41" s="382"/>
      <c r="AI41" s="382"/>
      <c r="AJ41" s="383"/>
      <c r="AK41" s="383"/>
      <c r="AL41" s="383"/>
      <c r="AM41" s="383"/>
      <c r="AN41" s="383"/>
      <c r="AO41" s="383"/>
    </row>
    <row r="42" spans="2:41" x14ac:dyDescent="0.2">
      <c r="B42" s="382"/>
      <c r="C42" s="382"/>
      <c r="D42" s="382"/>
      <c r="E42" s="382"/>
      <c r="F42" s="382"/>
      <c r="G42" s="382"/>
      <c r="H42" s="382"/>
      <c r="I42" s="382"/>
      <c r="J42" s="382"/>
      <c r="K42" s="382"/>
      <c r="L42" s="382"/>
      <c r="M42" s="382"/>
      <c r="N42" s="382"/>
      <c r="O42" s="382"/>
      <c r="P42" s="382"/>
      <c r="Q42" s="382"/>
      <c r="R42" s="382"/>
      <c r="S42" s="382"/>
      <c r="T42" s="382"/>
      <c r="U42" s="382"/>
      <c r="V42" s="382"/>
      <c r="W42" s="382"/>
      <c r="X42" s="382"/>
      <c r="Y42" s="382"/>
      <c r="Z42" s="382"/>
      <c r="AA42" s="382"/>
      <c r="AB42" s="382"/>
      <c r="AC42" s="382"/>
      <c r="AD42" s="382"/>
      <c r="AE42" s="382"/>
      <c r="AF42" s="382"/>
      <c r="AG42" s="382"/>
      <c r="AH42" s="382"/>
      <c r="AI42" s="382"/>
      <c r="AJ42" s="383"/>
      <c r="AK42" s="383"/>
      <c r="AL42" s="383"/>
      <c r="AM42" s="383"/>
      <c r="AN42" s="383"/>
      <c r="AO42" s="383"/>
    </row>
    <row r="43" spans="2:41" x14ac:dyDescent="0.2">
      <c r="B43" s="382"/>
      <c r="C43" s="382"/>
      <c r="D43" s="382"/>
      <c r="E43" s="382"/>
      <c r="F43" s="382"/>
      <c r="G43" s="382"/>
      <c r="H43" s="382"/>
      <c r="I43" s="382"/>
      <c r="J43" s="382"/>
      <c r="K43" s="382"/>
      <c r="L43" s="382"/>
      <c r="M43" s="382"/>
      <c r="N43" s="382"/>
      <c r="O43" s="382"/>
      <c r="P43" s="382"/>
      <c r="Q43" s="382"/>
      <c r="R43" s="382"/>
      <c r="S43" s="382"/>
      <c r="T43" s="382"/>
      <c r="U43" s="382"/>
      <c r="V43" s="382"/>
      <c r="W43" s="382"/>
      <c r="X43" s="382"/>
      <c r="Y43" s="382"/>
      <c r="Z43" s="382"/>
      <c r="AA43" s="382"/>
      <c r="AB43" s="382"/>
      <c r="AC43" s="382"/>
      <c r="AD43" s="382"/>
      <c r="AE43" s="382"/>
      <c r="AF43" s="382"/>
      <c r="AG43" s="382"/>
      <c r="AH43" s="382"/>
      <c r="AI43" s="382"/>
      <c r="AJ43" s="383"/>
      <c r="AK43" s="383"/>
      <c r="AL43" s="383"/>
      <c r="AM43" s="383"/>
      <c r="AN43" s="383"/>
      <c r="AO43" s="383"/>
    </row>
    <row r="44" spans="2:41" x14ac:dyDescent="0.2">
      <c r="B44" s="382"/>
      <c r="C44" s="382"/>
      <c r="D44" s="382"/>
      <c r="E44" s="382"/>
      <c r="F44" s="382"/>
      <c r="G44" s="382"/>
      <c r="H44" s="382"/>
      <c r="I44" s="382"/>
      <c r="J44" s="382"/>
      <c r="K44" s="382"/>
      <c r="L44" s="382"/>
      <c r="M44" s="382"/>
      <c r="N44" s="382"/>
      <c r="O44" s="382"/>
      <c r="P44" s="382"/>
      <c r="Q44" s="382"/>
      <c r="R44" s="382"/>
      <c r="S44" s="382"/>
      <c r="T44" s="382"/>
      <c r="U44" s="382"/>
      <c r="V44" s="382"/>
      <c r="W44" s="382"/>
      <c r="X44" s="382"/>
      <c r="Y44" s="382"/>
      <c r="Z44" s="382"/>
      <c r="AA44" s="382"/>
      <c r="AB44" s="382"/>
      <c r="AC44" s="382"/>
      <c r="AD44" s="382"/>
      <c r="AE44" s="382"/>
      <c r="AF44" s="382"/>
      <c r="AG44" s="382"/>
      <c r="AH44" s="382"/>
      <c r="AI44" s="382"/>
      <c r="AJ44" s="383"/>
      <c r="AK44" s="383"/>
      <c r="AL44" s="383"/>
      <c r="AM44" s="383"/>
      <c r="AN44" s="383"/>
      <c r="AO44" s="383"/>
    </row>
    <row r="45" spans="2:41" x14ac:dyDescent="0.2">
      <c r="B45" s="382"/>
      <c r="C45" s="382"/>
      <c r="D45" s="382"/>
      <c r="E45" s="382"/>
      <c r="F45" s="382"/>
      <c r="G45" s="382"/>
      <c r="H45" s="382"/>
      <c r="I45" s="382"/>
      <c r="J45" s="382"/>
      <c r="K45" s="382"/>
      <c r="L45" s="382"/>
      <c r="M45" s="382"/>
      <c r="N45" s="382"/>
      <c r="O45" s="382"/>
      <c r="P45" s="382"/>
      <c r="Q45" s="382"/>
      <c r="R45" s="382"/>
      <c r="S45" s="382"/>
      <c r="T45" s="382"/>
      <c r="U45" s="382"/>
      <c r="V45" s="382"/>
      <c r="W45" s="382"/>
      <c r="X45" s="382"/>
      <c r="Y45" s="382"/>
      <c r="Z45" s="382"/>
      <c r="AA45" s="382"/>
      <c r="AB45" s="382"/>
      <c r="AC45" s="382"/>
      <c r="AD45" s="382"/>
      <c r="AE45" s="382"/>
      <c r="AF45" s="382"/>
      <c r="AG45" s="382"/>
      <c r="AH45" s="382"/>
      <c r="AI45" s="382"/>
      <c r="AJ45" s="383"/>
      <c r="AK45" s="383"/>
      <c r="AL45" s="383"/>
      <c r="AM45" s="383"/>
      <c r="AN45" s="383"/>
      <c r="AO45" s="383"/>
    </row>
    <row r="46" spans="2:41" x14ac:dyDescent="0.2">
      <c r="B46" s="382"/>
      <c r="C46" s="382"/>
      <c r="D46" s="382"/>
      <c r="E46" s="382"/>
      <c r="F46" s="382"/>
      <c r="G46" s="382"/>
      <c r="H46" s="382"/>
      <c r="I46" s="382"/>
      <c r="J46" s="382"/>
      <c r="K46" s="382"/>
      <c r="L46" s="382"/>
      <c r="M46" s="382"/>
      <c r="N46" s="382"/>
      <c r="O46" s="382"/>
      <c r="P46" s="382"/>
      <c r="Q46" s="382"/>
      <c r="R46" s="382"/>
      <c r="S46" s="382"/>
      <c r="T46" s="382"/>
      <c r="U46" s="382"/>
      <c r="V46" s="382"/>
      <c r="W46" s="382"/>
      <c r="X46" s="382"/>
      <c r="Y46" s="382"/>
      <c r="Z46" s="382"/>
      <c r="AA46" s="382"/>
      <c r="AB46" s="382"/>
      <c r="AC46" s="382"/>
      <c r="AD46" s="382"/>
      <c r="AE46" s="382"/>
      <c r="AF46" s="382"/>
      <c r="AG46" s="382"/>
      <c r="AH46" s="382"/>
      <c r="AI46" s="382"/>
      <c r="AJ46" s="383"/>
      <c r="AK46" s="383"/>
      <c r="AL46" s="383"/>
      <c r="AM46" s="383"/>
      <c r="AN46" s="383"/>
      <c r="AO46" s="383"/>
    </row>
    <row r="47" spans="2:41" x14ac:dyDescent="0.2">
      <c r="B47" s="382"/>
      <c r="C47" s="382"/>
      <c r="D47" s="382"/>
      <c r="E47" s="382"/>
      <c r="F47" s="382"/>
      <c r="G47" s="382"/>
      <c r="H47" s="382"/>
      <c r="I47" s="382"/>
      <c r="J47" s="382"/>
      <c r="K47" s="382"/>
      <c r="L47" s="382"/>
      <c r="M47" s="382"/>
      <c r="N47" s="382"/>
      <c r="O47" s="382"/>
      <c r="P47" s="382"/>
      <c r="Q47" s="382"/>
      <c r="R47" s="382"/>
      <c r="S47" s="382"/>
      <c r="T47" s="382"/>
      <c r="U47" s="382"/>
      <c r="V47" s="382"/>
      <c r="W47" s="382"/>
      <c r="X47" s="382"/>
      <c r="Y47" s="382"/>
      <c r="Z47" s="382"/>
      <c r="AA47" s="382"/>
      <c r="AB47" s="382"/>
      <c r="AC47" s="382"/>
      <c r="AD47" s="382"/>
      <c r="AE47" s="382"/>
      <c r="AF47" s="382"/>
      <c r="AG47" s="382"/>
      <c r="AH47" s="382"/>
      <c r="AI47" s="382"/>
      <c r="AJ47" s="383"/>
      <c r="AK47" s="383"/>
      <c r="AL47" s="383"/>
      <c r="AM47" s="383"/>
      <c r="AN47" s="383"/>
      <c r="AO47" s="383"/>
    </row>
    <row r="48" spans="2:41" x14ac:dyDescent="0.2">
      <c r="B48" s="382"/>
      <c r="C48" s="382"/>
      <c r="D48" s="382"/>
      <c r="E48" s="382"/>
      <c r="F48" s="382"/>
      <c r="G48" s="382"/>
      <c r="H48" s="382"/>
      <c r="I48" s="382"/>
      <c r="J48" s="382"/>
      <c r="K48" s="382"/>
      <c r="L48" s="382"/>
      <c r="M48" s="382"/>
      <c r="N48" s="382"/>
      <c r="O48" s="382"/>
      <c r="P48" s="382"/>
      <c r="Q48" s="382"/>
      <c r="R48" s="382"/>
      <c r="S48" s="382"/>
      <c r="T48" s="382"/>
      <c r="U48" s="382"/>
      <c r="V48" s="382"/>
      <c r="W48" s="382"/>
      <c r="X48" s="382"/>
      <c r="Y48" s="382"/>
      <c r="Z48" s="382"/>
      <c r="AA48" s="382"/>
      <c r="AB48" s="382"/>
      <c r="AC48" s="382"/>
      <c r="AD48" s="382"/>
      <c r="AE48" s="382"/>
      <c r="AF48" s="382"/>
      <c r="AG48" s="382"/>
      <c r="AH48" s="382"/>
      <c r="AI48" s="382"/>
      <c r="AJ48" s="383"/>
      <c r="AK48" s="383"/>
      <c r="AL48" s="383"/>
      <c r="AM48" s="383"/>
      <c r="AN48" s="383"/>
      <c r="AO48" s="383"/>
    </row>
    <row r="49" spans="2:41" x14ac:dyDescent="0.2">
      <c r="B49" s="382"/>
      <c r="C49" s="382"/>
      <c r="D49" s="382"/>
      <c r="E49" s="382"/>
      <c r="F49" s="382"/>
      <c r="G49" s="382"/>
      <c r="H49" s="382"/>
      <c r="I49" s="382"/>
      <c r="J49" s="382"/>
      <c r="K49" s="382"/>
      <c r="L49" s="382"/>
      <c r="M49" s="382"/>
      <c r="N49" s="382"/>
      <c r="O49" s="382"/>
      <c r="P49" s="382"/>
      <c r="Q49" s="382"/>
      <c r="R49" s="382"/>
      <c r="S49" s="382"/>
      <c r="T49" s="382"/>
      <c r="U49" s="382"/>
      <c r="V49" s="382"/>
      <c r="W49" s="382"/>
      <c r="X49" s="382"/>
      <c r="Y49" s="382"/>
      <c r="Z49" s="382"/>
      <c r="AA49" s="382"/>
      <c r="AB49" s="382"/>
      <c r="AC49" s="382"/>
      <c r="AD49" s="382"/>
      <c r="AE49" s="382"/>
      <c r="AF49" s="382"/>
      <c r="AG49" s="382"/>
      <c r="AH49" s="382"/>
      <c r="AI49" s="382"/>
      <c r="AJ49" s="383"/>
      <c r="AK49" s="383"/>
      <c r="AL49" s="383"/>
      <c r="AM49" s="383"/>
      <c r="AN49" s="383"/>
      <c r="AO49" s="383"/>
    </row>
    <row r="50" spans="2:41" s="381" customFormat="1" x14ac:dyDescent="0.2">
      <c r="B50" s="383"/>
      <c r="C50" s="383"/>
      <c r="D50" s="383"/>
      <c r="E50" s="383"/>
      <c r="F50" s="383"/>
      <c r="G50" s="383"/>
      <c r="H50" s="383"/>
      <c r="I50" s="383"/>
      <c r="J50" s="383"/>
      <c r="K50" s="383"/>
      <c r="L50" s="383"/>
      <c r="M50" s="383"/>
      <c r="N50" s="383"/>
      <c r="O50" s="383"/>
      <c r="P50" s="383"/>
      <c r="Q50" s="383"/>
      <c r="R50" s="383"/>
      <c r="S50" s="383"/>
      <c r="T50" s="383"/>
      <c r="U50" s="383"/>
      <c r="V50" s="383"/>
      <c r="W50" s="383"/>
      <c r="X50" s="383"/>
      <c r="Y50" s="383"/>
      <c r="Z50" s="383"/>
      <c r="AA50" s="383"/>
      <c r="AB50" s="383"/>
      <c r="AC50" s="383"/>
      <c r="AD50" s="383"/>
      <c r="AE50" s="383"/>
      <c r="AF50" s="383"/>
      <c r="AG50" s="383"/>
      <c r="AH50" s="383"/>
      <c r="AI50" s="383"/>
      <c r="AJ50" s="383"/>
      <c r="AK50" s="383"/>
      <c r="AL50" s="383"/>
      <c r="AM50" s="383"/>
      <c r="AN50" s="383"/>
      <c r="AO50" s="383"/>
    </row>
    <row r="51" spans="2:41" s="381" customFormat="1" x14ac:dyDescent="0.2">
      <c r="B51" s="383"/>
      <c r="C51" s="383"/>
      <c r="D51" s="383"/>
      <c r="E51" s="383"/>
      <c r="F51" s="383"/>
      <c r="G51" s="383"/>
      <c r="H51" s="383"/>
      <c r="I51" s="383"/>
      <c r="J51" s="383"/>
      <c r="K51" s="383"/>
      <c r="L51" s="383"/>
      <c r="M51" s="383"/>
      <c r="N51" s="383"/>
      <c r="O51" s="383"/>
      <c r="P51" s="383"/>
      <c r="Q51" s="383"/>
      <c r="R51" s="383"/>
      <c r="S51" s="383"/>
      <c r="T51" s="383"/>
      <c r="U51" s="383"/>
      <c r="V51" s="383"/>
      <c r="W51" s="383"/>
      <c r="X51" s="383"/>
      <c r="Y51" s="383"/>
      <c r="Z51" s="383"/>
      <c r="AA51" s="383"/>
      <c r="AB51" s="383"/>
      <c r="AC51" s="383"/>
      <c r="AD51" s="383"/>
      <c r="AE51" s="383"/>
      <c r="AF51" s="383"/>
      <c r="AG51" s="383"/>
      <c r="AH51" s="383"/>
      <c r="AI51" s="383"/>
      <c r="AJ51" s="383"/>
      <c r="AK51" s="383"/>
      <c r="AL51" s="383"/>
      <c r="AM51" s="383"/>
      <c r="AN51" s="383"/>
      <c r="AO51" s="383"/>
    </row>
    <row r="52" spans="2:41" s="381" customFormat="1" x14ac:dyDescent="0.2">
      <c r="B52" s="383"/>
      <c r="C52" s="383"/>
      <c r="D52" s="383"/>
      <c r="E52" s="383"/>
      <c r="F52" s="383"/>
      <c r="G52" s="383"/>
      <c r="H52" s="383"/>
      <c r="I52" s="383"/>
      <c r="J52" s="383"/>
      <c r="K52" s="383"/>
      <c r="L52" s="383"/>
      <c r="M52" s="383"/>
      <c r="N52" s="383"/>
      <c r="O52" s="383"/>
      <c r="P52" s="383"/>
      <c r="Q52" s="383"/>
      <c r="R52" s="383"/>
      <c r="S52" s="383"/>
      <c r="T52" s="383"/>
      <c r="U52" s="383"/>
      <c r="V52" s="383"/>
      <c r="W52" s="383"/>
      <c r="X52" s="383"/>
      <c r="Y52" s="383"/>
      <c r="Z52" s="383"/>
      <c r="AA52" s="383"/>
      <c r="AB52" s="383"/>
      <c r="AC52" s="383"/>
      <c r="AD52" s="383"/>
      <c r="AE52" s="383"/>
      <c r="AF52" s="383"/>
      <c r="AG52" s="383"/>
      <c r="AH52" s="383"/>
      <c r="AI52" s="383"/>
      <c r="AJ52" s="383"/>
      <c r="AK52" s="383"/>
      <c r="AL52" s="383"/>
      <c r="AM52" s="383"/>
      <c r="AN52" s="383"/>
      <c r="AO52" s="383"/>
    </row>
    <row r="53" spans="2:41" s="381" customFormat="1" x14ac:dyDescent="0.2">
      <c r="B53" s="383"/>
      <c r="C53" s="383"/>
      <c r="D53" s="383"/>
      <c r="E53" s="383"/>
      <c r="F53" s="383"/>
      <c r="G53" s="383"/>
      <c r="H53" s="383"/>
      <c r="I53" s="383"/>
      <c r="J53" s="383"/>
      <c r="K53" s="383"/>
      <c r="L53" s="383"/>
      <c r="M53" s="383"/>
      <c r="N53" s="383"/>
      <c r="O53" s="383"/>
      <c r="P53" s="383"/>
      <c r="Q53" s="383"/>
      <c r="R53" s="383"/>
      <c r="S53" s="383"/>
      <c r="T53" s="383"/>
      <c r="U53" s="383"/>
      <c r="V53" s="383"/>
      <c r="W53" s="383"/>
      <c r="X53" s="383"/>
      <c r="Y53" s="383"/>
      <c r="Z53" s="383"/>
      <c r="AA53" s="383"/>
      <c r="AB53" s="383"/>
      <c r="AC53" s="383"/>
      <c r="AD53" s="383"/>
      <c r="AE53" s="383"/>
      <c r="AF53" s="383"/>
      <c r="AG53" s="383"/>
      <c r="AH53" s="383"/>
      <c r="AI53" s="383"/>
      <c r="AJ53" s="383"/>
      <c r="AK53" s="383"/>
      <c r="AL53" s="383"/>
      <c r="AM53" s="383"/>
      <c r="AN53" s="383"/>
      <c r="AO53" s="383"/>
    </row>
    <row r="54" spans="2:41" s="381" customFormat="1" x14ac:dyDescent="0.2">
      <c r="B54" s="383"/>
      <c r="C54" s="383"/>
      <c r="D54" s="383"/>
      <c r="E54" s="383"/>
      <c r="F54" s="383"/>
      <c r="G54" s="383"/>
      <c r="H54" s="383"/>
      <c r="I54" s="383"/>
      <c r="J54" s="383"/>
      <c r="K54" s="383"/>
      <c r="L54" s="383"/>
      <c r="M54" s="383"/>
      <c r="N54" s="383"/>
      <c r="O54" s="383"/>
      <c r="P54" s="383"/>
      <c r="Q54" s="383"/>
      <c r="R54" s="383"/>
      <c r="S54" s="383"/>
      <c r="T54" s="383"/>
      <c r="U54" s="383"/>
      <c r="V54" s="383"/>
      <c r="W54" s="383"/>
      <c r="X54" s="383"/>
      <c r="Y54" s="383"/>
      <c r="Z54" s="383"/>
      <c r="AA54" s="383"/>
      <c r="AB54" s="383"/>
      <c r="AC54" s="383"/>
      <c r="AD54" s="383"/>
      <c r="AE54" s="383"/>
      <c r="AF54" s="383"/>
      <c r="AG54" s="383"/>
      <c r="AH54" s="383"/>
      <c r="AI54" s="383"/>
      <c r="AJ54" s="383"/>
      <c r="AK54" s="383"/>
      <c r="AL54" s="383"/>
      <c r="AM54" s="383"/>
      <c r="AN54" s="383"/>
      <c r="AO54" s="383"/>
    </row>
    <row r="55" spans="2:41" s="381" customFormat="1" x14ac:dyDescent="0.2">
      <c r="B55" s="383"/>
      <c r="C55" s="383"/>
      <c r="D55" s="383"/>
      <c r="E55" s="383"/>
      <c r="F55" s="383"/>
      <c r="G55" s="383"/>
      <c r="H55" s="383"/>
      <c r="I55" s="383"/>
      <c r="J55" s="383"/>
      <c r="K55" s="383"/>
      <c r="L55" s="383"/>
      <c r="M55" s="383"/>
      <c r="N55" s="383"/>
      <c r="O55" s="383"/>
      <c r="P55" s="383"/>
      <c r="Q55" s="383"/>
      <c r="R55" s="383"/>
      <c r="S55" s="383"/>
      <c r="T55" s="383"/>
      <c r="U55" s="383"/>
      <c r="V55" s="383"/>
      <c r="W55" s="383"/>
      <c r="X55" s="383"/>
      <c r="Y55" s="383"/>
      <c r="Z55" s="383"/>
      <c r="AA55" s="383"/>
      <c r="AB55" s="383"/>
      <c r="AC55" s="383"/>
      <c r="AD55" s="383"/>
      <c r="AE55" s="383"/>
      <c r="AF55" s="383"/>
      <c r="AG55" s="383"/>
      <c r="AH55" s="383"/>
      <c r="AI55" s="383"/>
      <c r="AJ55" s="383"/>
      <c r="AK55" s="383"/>
      <c r="AL55" s="383"/>
      <c r="AM55" s="383"/>
      <c r="AN55" s="383"/>
      <c r="AO55" s="383"/>
    </row>
  </sheetData>
  <sheetProtection password="C4B7" sheet="1" objects="1" scenarios="1" selectLockedCells="1" selectUnlockedCells="1"/>
  <mergeCells count="11">
    <mergeCell ref="R5:V5"/>
    <mergeCell ref="B2:AI2"/>
    <mergeCell ref="B3:AI3"/>
    <mergeCell ref="B4:AI4"/>
    <mergeCell ref="W35:AI35"/>
    <mergeCell ref="W36:AI36"/>
    <mergeCell ref="B8:B9"/>
    <mergeCell ref="B23:B24"/>
    <mergeCell ref="C8:AI8"/>
    <mergeCell ref="C23:AI23"/>
    <mergeCell ref="M5:P5"/>
  </mergeCells>
  <phoneticPr fontId="126" type="noConversion"/>
  <conditionalFormatting sqref="B26:B32 B11:B17">
    <cfRule type="cellIs" dxfId="4" priority="1" stopIfTrue="1" operator="greaterThan">
      <formula>0</formula>
    </cfRule>
  </conditionalFormatting>
  <conditionalFormatting sqref="C11:AI17 C26:AI32">
    <cfRule type="expression" dxfId="3" priority="2" stopIfTrue="1">
      <formula>$AK$1=0</formula>
    </cfRule>
  </conditionalFormatting>
  <printOptions horizontalCentered="1"/>
  <pageMargins left="0.19685039370078741" right="0.19685039370078741" top="0.19685039370078741" bottom="0.19685039370078741" header="0.51181102362204722" footer="0.51181102362204722"/>
  <pageSetup paperSize="9" scale="69" orientation="landscape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9" r:id="rId4" name="CommandButton3">
          <controlPr defaultSize="0" print="0" autoLine="0" r:id="rId5">
            <anchor>
              <from>
                <xdr:col>1</xdr:col>
                <xdr:colOff>123825</xdr:colOff>
                <xdr:row>1</xdr:row>
                <xdr:rowOff>133350</xdr:rowOff>
              </from>
              <to>
                <xdr:col>3</xdr:col>
                <xdr:colOff>38100</xdr:colOff>
                <xdr:row>3</xdr:row>
                <xdr:rowOff>76200</xdr:rowOff>
              </to>
            </anchor>
          </controlPr>
        </control>
      </mc:Choice>
      <mc:Fallback>
        <control shapeId="29699" r:id="rId4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ce">
    <tabColor indexed="31"/>
  </sheetPr>
  <dimension ref="A1:CK89"/>
  <sheetViews>
    <sheetView showGridLines="0" showZeros="0" showOutlineSymbols="0" view="pageBreakPreview" zoomScale="65" zoomScaleNormal="75" zoomScaleSheetLayoutView="75" workbookViewId="0">
      <selection activeCell="H10" sqref="H10"/>
    </sheetView>
  </sheetViews>
  <sheetFormatPr defaultRowHeight="12.75" x14ac:dyDescent="0.2"/>
  <cols>
    <col min="1" max="1" width="34.28515625" style="2" customWidth="1"/>
    <col min="2" max="2" width="69.28515625" style="80" customWidth="1"/>
    <col min="3" max="3" width="11.85546875" style="80" customWidth="1"/>
    <col min="4" max="4" width="24.140625" style="80" customWidth="1"/>
    <col min="5" max="5" width="9.140625" style="2"/>
    <col min="6" max="6" width="8.7109375" style="2" customWidth="1"/>
    <col min="7" max="7" width="9.140625" style="2"/>
    <col min="8" max="9" width="10.7109375" style="2" customWidth="1"/>
    <col min="10" max="10" width="10" style="2" hidden="1" customWidth="1"/>
    <col min="11" max="12" width="8.85546875" style="2" hidden="1" customWidth="1"/>
    <col min="13" max="13" width="5.85546875" style="2" hidden="1" customWidth="1"/>
    <col min="14" max="14" width="8.5703125" style="80" hidden="1" customWidth="1"/>
    <col min="15" max="15" width="7.5703125" style="80" hidden="1" customWidth="1"/>
    <col min="16" max="16" width="8.28515625" style="80" hidden="1" customWidth="1"/>
    <col min="17" max="17" width="5.7109375" style="80" hidden="1" customWidth="1"/>
    <col min="18" max="18" width="5.85546875" style="80" hidden="1" customWidth="1"/>
    <col min="19" max="19" width="10.5703125" style="80" hidden="1" customWidth="1"/>
    <col min="20" max="16384" width="9.140625" style="80"/>
  </cols>
  <sheetData>
    <row r="1" spans="1:19" ht="13.9" customHeight="1" x14ac:dyDescent="0.2">
      <c r="B1" s="142"/>
      <c r="C1" s="142"/>
      <c r="D1" s="142"/>
      <c r="E1" s="136"/>
      <c r="F1" s="136"/>
      <c r="G1" s="136"/>
      <c r="H1" s="136"/>
      <c r="I1" s="137"/>
      <c r="O1" s="80">
        <v>1</v>
      </c>
      <c r="P1" s="80">
        <v>1</v>
      </c>
      <c r="Q1" s="302">
        <v>8</v>
      </c>
      <c r="R1" s="290">
        <f>'Блок ввода'!G4</f>
        <v>0</v>
      </c>
    </row>
    <row r="2" spans="1:19" ht="21" customHeight="1" x14ac:dyDescent="0.2">
      <c r="A2" s="485"/>
      <c r="B2" s="1597"/>
      <c r="C2" s="1597"/>
      <c r="D2" s="1597"/>
      <c r="E2" s="140"/>
      <c r="F2" s="1231"/>
      <c r="G2" s="140"/>
      <c r="H2" s="140"/>
      <c r="I2" s="140"/>
      <c r="J2" s="141"/>
      <c r="M2" s="1570"/>
      <c r="N2" s="1570"/>
      <c r="O2" s="1570"/>
      <c r="Q2" s="372">
        <v>0</v>
      </c>
    </row>
    <row r="3" spans="1:19" ht="18.95" customHeight="1" x14ac:dyDescent="0.25">
      <c r="B3" s="1598" t="s">
        <v>611</v>
      </c>
      <c r="C3" s="1598"/>
      <c r="D3" s="1598"/>
      <c r="E3" s="137"/>
      <c r="F3" s="137"/>
      <c r="G3" s="137"/>
      <c r="H3" s="137"/>
      <c r="I3" s="137"/>
      <c r="M3" s="1570"/>
      <c r="N3" s="1570"/>
      <c r="O3" s="1570"/>
      <c r="Q3" s="302">
        <v>0</v>
      </c>
    </row>
    <row r="4" spans="1:19" ht="21" customHeight="1" x14ac:dyDescent="0.25">
      <c r="B4" s="1691" t="s">
        <v>610</v>
      </c>
      <c r="C4" s="1691"/>
      <c r="D4" s="1691"/>
      <c r="E4" s="140"/>
      <c r="F4" s="1232">
        <v>0</v>
      </c>
      <c r="G4" s="140"/>
      <c r="H4" s="140"/>
      <c r="I4" s="140"/>
      <c r="J4" s="141"/>
      <c r="M4" s="1570"/>
      <c r="N4" s="1570"/>
      <c r="O4" s="1570"/>
    </row>
    <row r="5" spans="1:19" ht="17.100000000000001" customHeight="1" x14ac:dyDescent="0.25">
      <c r="A5" s="144"/>
      <c r="B5" s="1582"/>
      <c r="C5" s="1582"/>
      <c r="D5" s="1582"/>
      <c r="E5" s="137"/>
      <c r="F5" s="137"/>
      <c r="G5" s="137"/>
      <c r="H5" s="137"/>
      <c r="I5" s="137"/>
      <c r="M5" s="1570"/>
      <c r="N5" s="1570"/>
      <c r="O5" s="1570"/>
    </row>
    <row r="6" spans="1:19" ht="19.899999999999999" customHeight="1" thickBot="1" x14ac:dyDescent="0.3">
      <c r="A6" s="144"/>
      <c r="B6" s="145"/>
      <c r="C6" s="1580"/>
      <c r="D6" s="1581"/>
      <c r="E6" s="146"/>
      <c r="F6" s="146"/>
      <c r="G6" s="146"/>
      <c r="H6" s="146"/>
      <c r="I6" s="146"/>
      <c r="J6" s="141"/>
      <c r="M6" s="142"/>
      <c r="N6" s="142" t="b">
        <f>IF(OR('Раскладка продуктов'!A37=1750,'Раскладка продуктов'!A37=1745),0,FALSE)</f>
        <v>0</v>
      </c>
      <c r="O6" s="142"/>
    </row>
    <row r="7" spans="1:19" ht="13.5" customHeight="1" x14ac:dyDescent="0.2">
      <c r="B7" s="1574" t="s">
        <v>122</v>
      </c>
      <c r="C7" s="1576" t="s">
        <v>167</v>
      </c>
      <c r="D7" s="1578" t="s">
        <v>284</v>
      </c>
      <c r="E7" s="138"/>
      <c r="F7" s="140"/>
      <c r="G7" s="140"/>
      <c r="H7" s="140"/>
      <c r="I7" s="140"/>
      <c r="J7" s="141"/>
      <c r="M7" s="137"/>
      <c r="N7" s="142"/>
      <c r="O7" s="142"/>
    </row>
    <row r="8" spans="1:19" ht="58.15" customHeight="1" thickBot="1" x14ac:dyDescent="0.25">
      <c r="B8" s="1575"/>
      <c r="C8" s="1577"/>
      <c r="D8" s="1692"/>
      <c r="E8" s="151"/>
      <c r="F8" s="140"/>
      <c r="G8" s="140"/>
      <c r="H8" s="140"/>
      <c r="I8" s="140"/>
      <c r="J8" s="141"/>
    </row>
    <row r="9" spans="1:19" ht="15" customHeight="1" x14ac:dyDescent="0.25">
      <c r="B9" s="720" t="str">
        <f xml:space="preserve"> CONCATENATE(Расчёт!B3)</f>
        <v>ХЛЕБ ИЗ СМЕСИ МУКИ РЖАНОЙ</v>
      </c>
      <c r="C9" s="599" t="s">
        <v>163</v>
      </c>
      <c r="D9" s="157"/>
      <c r="E9" s="137"/>
      <c r="F9" s="152"/>
      <c r="G9" s="153"/>
      <c r="H9" s="137"/>
      <c r="I9" s="137"/>
      <c r="N9" s="80" t="b">
        <v>1</v>
      </c>
      <c r="O9" s="154" t="e">
        <f>IF(#REF!&gt;0,1,0)</f>
        <v>#REF!</v>
      </c>
      <c r="S9" s="155" t="e">
        <f>D9*#REF!</f>
        <v>#REF!</v>
      </c>
    </row>
    <row r="10" spans="1:19" ht="15" customHeight="1" x14ac:dyDescent="0.2">
      <c r="B10" s="722" t="str">
        <f xml:space="preserve"> CONCATENATE(Расчёт!B4)</f>
        <v>ХЛЕБ ИЗ МУКИ ПШ. 1 С.</v>
      </c>
      <c r="C10" s="156" t="s">
        <v>163</v>
      </c>
      <c r="D10" s="157"/>
      <c r="E10" s="140"/>
      <c r="F10" s="161"/>
      <c r="G10" s="162"/>
      <c r="H10" s="140"/>
      <c r="I10" s="140"/>
      <c r="J10" s="141"/>
      <c r="N10" s="80" t="b">
        <v>1</v>
      </c>
      <c r="O10" s="154" t="e">
        <f>IF(#REF!&gt;0,1,0)</f>
        <v>#REF!</v>
      </c>
      <c r="S10" s="155" t="e">
        <f>D10*#REF!</f>
        <v>#REF!</v>
      </c>
    </row>
    <row r="11" spans="1:19" ht="15" customHeight="1" thickBot="1" x14ac:dyDescent="0.3">
      <c r="B11" s="723" t="str">
        <f>Расчёт!B5</f>
        <v>СУХАРИ (ХЛЕБЦЫ) ИЗ ПШ. МУКИ 1 С.</v>
      </c>
      <c r="C11" s="601" t="s">
        <v>163</v>
      </c>
      <c r="D11" s="724"/>
      <c r="E11" s="137"/>
      <c r="F11" s="152"/>
      <c r="G11" s="153"/>
      <c r="H11" s="137"/>
      <c r="I11" s="137"/>
      <c r="O11" s="154"/>
      <c r="S11" s="155" t="e">
        <f>D11*#REF!</f>
        <v>#REF!</v>
      </c>
    </row>
    <row r="12" spans="1:19" ht="15" customHeight="1" x14ac:dyDescent="0.2">
      <c r="B12" s="163" t="str">
        <f xml:space="preserve"> CONCATENATE(Расчёт!B6)</f>
        <v>МУКА ПШЕНИЧНАЯ 1 С. (ЗА ХЛЕБ)</v>
      </c>
      <c r="C12" s="164" t="s">
        <v>163</v>
      </c>
      <c r="D12" s="165"/>
      <c r="E12" s="140"/>
      <c r="F12" s="140"/>
      <c r="G12" s="140"/>
      <c r="H12" s="140"/>
      <c r="I12" s="140"/>
      <c r="J12" s="141"/>
      <c r="O12" s="154" t="e">
        <f>IF(#REF!&gt;0,1,0)</f>
        <v>#REF!</v>
      </c>
      <c r="S12" s="155" t="e">
        <f>D12*#REF!</f>
        <v>#REF!</v>
      </c>
    </row>
    <row r="13" spans="1:19" ht="15" customHeight="1" thickBot="1" x14ac:dyDescent="0.25">
      <c r="B13" s="726" t="str">
        <f xml:space="preserve"> CONCATENATE(Расчёт!B7)</f>
        <v>МУКА ПШЕНИЧНАЯ 1 С.</v>
      </c>
      <c r="C13" s="606" t="s">
        <v>163</v>
      </c>
      <c r="D13" s="727"/>
      <c r="E13" s="137"/>
      <c r="F13" s="172"/>
      <c r="G13" s="137"/>
      <c r="H13" s="137"/>
      <c r="I13" s="137"/>
      <c r="O13" s="154" t="e">
        <f>IF(#REF!&gt;0,1,0)</f>
        <v>#REF!</v>
      </c>
      <c r="S13" s="155" t="e">
        <f>D13*#REF!</f>
        <v>#REF!</v>
      </c>
    </row>
    <row r="14" spans="1:19" ht="15" customHeight="1" x14ac:dyDescent="0.2">
      <c r="B14" s="173" t="str">
        <f xml:space="preserve"> CONCATENATE(Расчёт!B8)</f>
        <v>РИС</v>
      </c>
      <c r="C14" s="164" t="s">
        <v>163</v>
      </c>
      <c r="D14" s="157"/>
      <c r="E14" s="140"/>
      <c r="F14" s="140"/>
      <c r="G14" s="140"/>
      <c r="H14" s="140"/>
      <c r="I14" s="140"/>
      <c r="J14" s="141"/>
      <c r="M14" s="2" t="str">
        <f>'Блок ввода'!O15</f>
        <v>Ю.АРТЕМОВ</v>
      </c>
      <c r="O14" s="154" t="e">
        <f>IF(#REF!&gt;0,1,0)</f>
        <v>#REF!</v>
      </c>
      <c r="S14" s="155" t="e">
        <f>D14*#REF!</f>
        <v>#REF!</v>
      </c>
    </row>
    <row r="15" spans="1:19" ht="15" customHeight="1" x14ac:dyDescent="0.2">
      <c r="A15" s="180"/>
      <c r="B15" s="182" t="str">
        <f xml:space="preserve"> CONCATENATE(Расчёт!B9)</f>
        <v>КРУПА ГРЕЧНЕВАЯ</v>
      </c>
      <c r="C15" s="609" t="s">
        <v>163</v>
      </c>
      <c r="D15" s="157"/>
      <c r="E15" s="137"/>
      <c r="F15" s="137"/>
      <c r="G15" s="137"/>
      <c r="H15" s="137"/>
      <c r="I15" s="137"/>
      <c r="J15" s="2">
        <f>'Раскладка продуктов'!A37</f>
        <v>2075</v>
      </c>
      <c r="M15" s="2" t="str">
        <f>'Блок ввода'!O16</f>
        <v>Е.КАЛУГИН</v>
      </c>
      <c r="O15" s="154" t="e">
        <f>IF(#REF!&gt;0,1,0)</f>
        <v>#REF!</v>
      </c>
      <c r="S15" s="155" t="e">
        <f>D15*#REF!</f>
        <v>#REF!</v>
      </c>
    </row>
    <row r="16" spans="1:19" ht="15" customHeight="1" x14ac:dyDescent="0.2">
      <c r="A16" s="181"/>
      <c r="B16" s="182" t="str">
        <f xml:space="preserve"> CONCATENATE(Расчёт!B10)</f>
        <v>КРУПА ПЕРЛОВАЯ</v>
      </c>
      <c r="C16" s="183" t="s">
        <v>163</v>
      </c>
      <c r="D16" s="157"/>
      <c r="E16" s="140"/>
      <c r="F16" s="140"/>
      <c r="G16" s="140"/>
      <c r="H16" s="140"/>
      <c r="I16" s="140"/>
      <c r="J16" s="239" t="str">
        <f>MID(B2,13,6)</f>
        <v/>
      </c>
      <c r="O16" s="154" t="e">
        <f>IF(#REF!&gt;0,1,0)</f>
        <v>#REF!</v>
      </c>
      <c r="S16" s="155" t="e">
        <f>D16*#REF!</f>
        <v>#REF!</v>
      </c>
    </row>
    <row r="17" spans="1:89" ht="15" customHeight="1" x14ac:dyDescent="0.2">
      <c r="A17" s="181"/>
      <c r="B17" s="182" t="str">
        <f xml:space="preserve"> CONCATENATE(Расчёт!B11)</f>
        <v>КРУПА ГОРОХ</v>
      </c>
      <c r="C17" s="609" t="s">
        <v>163</v>
      </c>
      <c r="D17" s="487"/>
      <c r="E17" s="137"/>
      <c r="F17" s="137"/>
      <c r="G17" s="137"/>
      <c r="H17" s="137"/>
      <c r="I17" s="137"/>
      <c r="J17" s="376" t="b">
        <v>1</v>
      </c>
      <c r="O17" s="154" t="e">
        <f>IF(#REF!&gt;0,1,0)</f>
        <v>#REF!</v>
      </c>
      <c r="S17" s="155" t="e">
        <f>D17*#REF!</f>
        <v>#REF!</v>
      </c>
    </row>
    <row r="18" spans="1:89" ht="15" customHeight="1" x14ac:dyDescent="0.2">
      <c r="A18" s="3"/>
      <c r="B18" s="182" t="str">
        <f xml:space="preserve"> CONCATENATE(Расчёт!B12)</f>
        <v>КРУПА ПШЕНО</v>
      </c>
      <c r="C18" s="609" t="s">
        <v>163</v>
      </c>
      <c r="D18" s="487"/>
      <c r="E18" s="137"/>
      <c r="F18" s="137"/>
      <c r="G18" s="137"/>
      <c r="H18" s="137"/>
      <c r="I18" s="137"/>
      <c r="O18" s="154" t="e">
        <f>IF(#REF!&gt;0,1,0)</f>
        <v>#REF!</v>
      </c>
      <c r="S18" s="155" t="e">
        <f>D18*#REF!</f>
        <v>#REF!</v>
      </c>
    </row>
    <row r="19" spans="1:89" ht="15" customHeight="1" x14ac:dyDescent="0.2">
      <c r="A19" s="3"/>
      <c r="B19" s="182" t="str">
        <f xml:space="preserve"> CONCATENATE(Расчёт!B13)</f>
        <v>КРУПА ПШЕНИЧНАЯ</v>
      </c>
      <c r="C19" s="609" t="s">
        <v>163</v>
      </c>
      <c r="D19" s="487"/>
      <c r="E19" s="137"/>
      <c r="F19" s="137"/>
      <c r="G19" s="137"/>
      <c r="H19" s="137"/>
      <c r="I19" s="137"/>
      <c r="O19" s="154" t="e">
        <f>IF(#REF!&gt;0,1,0)</f>
        <v>#REF!</v>
      </c>
      <c r="S19" s="155" t="e">
        <f>D19*#REF!</f>
        <v>#REF!</v>
      </c>
    </row>
    <row r="20" spans="1:89" ht="15" customHeight="1" x14ac:dyDescent="0.2">
      <c r="A20" s="3"/>
      <c r="B20" s="730" t="str">
        <f xml:space="preserve"> CONCATENATE(Расчёт!B14)</f>
        <v>КРУПА ОВСЯНАЯ</v>
      </c>
      <c r="C20" s="609" t="s">
        <v>163</v>
      </c>
      <c r="D20" s="487"/>
      <c r="E20" s="137"/>
      <c r="F20" s="137"/>
      <c r="G20" s="137"/>
      <c r="H20" s="137"/>
      <c r="I20" s="137"/>
      <c r="O20" s="154" t="e">
        <f>IF(#REF!&gt;0,1,0)</f>
        <v>#REF!</v>
      </c>
      <c r="S20" s="155" t="e">
        <f>D20*#REF!</f>
        <v>#REF!</v>
      </c>
      <c r="CK20" s="80">
        <v>7</v>
      </c>
    </row>
    <row r="21" spans="1:89" ht="15" customHeight="1" x14ac:dyDescent="0.2">
      <c r="A21" s="3"/>
      <c r="B21" s="730" t="str">
        <f xml:space="preserve"> CONCATENATE(Расчёт!B15)</f>
        <v>КРУПА ЯЧНЕВАЯ</v>
      </c>
      <c r="C21" s="609" t="s">
        <v>163</v>
      </c>
      <c r="D21" s="487"/>
      <c r="E21" s="137"/>
      <c r="F21" s="137"/>
      <c r="G21" s="137"/>
      <c r="H21" s="137"/>
      <c r="I21" s="137"/>
      <c r="O21" s="154" t="e">
        <f>IF(#REF!&gt;0,1,0)</f>
        <v>#REF!</v>
      </c>
      <c r="S21" s="155" t="e">
        <f>D21*#REF!</f>
        <v>#REF!</v>
      </c>
    </row>
    <row r="22" spans="1:89" ht="15" customHeight="1" thickBot="1" x14ac:dyDescent="0.25">
      <c r="A22" s="1584"/>
      <c r="B22" s="731" t="str">
        <f xml:space="preserve"> CONCATENATE(Расчёт!B16)</f>
        <v>МАКАРОННЫЕ ИЗДЕЛИЯ</v>
      </c>
      <c r="C22" s="606" t="s">
        <v>163</v>
      </c>
      <c r="D22" s="499"/>
      <c r="E22" s="137"/>
      <c r="F22" s="137"/>
      <c r="G22" s="137"/>
      <c r="H22" s="137"/>
      <c r="I22" s="137"/>
      <c r="O22" s="154" t="e">
        <f>IF(#REF!&gt;0,1,0)</f>
        <v>#REF!</v>
      </c>
      <c r="S22" s="155" t="e">
        <f>D22*#REF!</f>
        <v>#REF!</v>
      </c>
    </row>
    <row r="23" spans="1:89" ht="15" customHeight="1" x14ac:dyDescent="0.2">
      <c r="A23" s="1585"/>
      <c r="B23" s="732" t="str">
        <f xml:space="preserve"> CONCATENATE(Расчёт!B17)</f>
        <v>МЯСО  СВИНИНА</v>
      </c>
      <c r="C23" s="613" t="s">
        <v>163</v>
      </c>
      <c r="D23" s="506"/>
      <c r="E23" s="137"/>
      <c r="F23" s="137"/>
      <c r="G23" s="137" t="s">
        <v>248</v>
      </c>
      <c r="H23" s="137"/>
      <c r="I23" s="137"/>
      <c r="O23" s="154" t="e">
        <f>IF(#REF!&gt;0,1,0)</f>
        <v>#REF!</v>
      </c>
      <c r="S23" s="155" t="e">
        <f>D23*#REF!</f>
        <v>#REF!</v>
      </c>
    </row>
    <row r="24" spans="1:89" ht="15" customHeight="1" x14ac:dyDescent="0.2">
      <c r="A24" s="1558"/>
      <c r="B24" s="733" t="str">
        <f xml:space="preserve"> CONCATENATE(Расчёт!B18)</f>
        <v>МЯСО ПТИЦЫ</v>
      </c>
      <c r="C24" s="613" t="s">
        <v>163</v>
      </c>
      <c r="D24" s="640"/>
      <c r="E24" s="137"/>
      <c r="F24" s="137"/>
      <c r="G24" s="137"/>
      <c r="H24" s="137"/>
      <c r="I24" s="137"/>
      <c r="O24" s="154" t="e">
        <f>IF(#REF!&gt;0,1,0)</f>
        <v>#REF!</v>
      </c>
      <c r="S24" s="155" t="e">
        <f>D24*#REF!</f>
        <v>#REF!</v>
      </c>
    </row>
    <row r="25" spans="1:89" ht="15" customHeight="1" x14ac:dyDescent="0.2">
      <c r="A25" s="1558"/>
      <c r="B25" s="733" t="str">
        <f xml:space="preserve"> CONCATENATE(Расчёт!B19)</f>
        <v>КОЛБАСА</v>
      </c>
      <c r="C25" s="613" t="s">
        <v>163</v>
      </c>
      <c r="D25" s="640"/>
      <c r="E25" s="137"/>
      <c r="F25" s="137"/>
      <c r="G25" s="137"/>
      <c r="H25" s="137"/>
      <c r="I25" s="137"/>
      <c r="O25" s="154" t="e">
        <f>IF(#REF!&gt;0,1,0)</f>
        <v>#REF!</v>
      </c>
      <c r="S25" s="155" t="e">
        <f>D25*#REF!</f>
        <v>#REF!</v>
      </c>
    </row>
    <row r="26" spans="1:89" ht="15" customHeight="1" x14ac:dyDescent="0.2">
      <c r="A26" s="184"/>
      <c r="B26" s="733" t="str">
        <f xml:space="preserve"> CONCATENATE(Расчёт!B20)</f>
        <v>КОНСЕРВЫ МЯСНЫЕ</v>
      </c>
      <c r="C26" s="613" t="s">
        <v>163</v>
      </c>
      <c r="D26" s="640"/>
      <c r="E26" s="137"/>
      <c r="F26" s="137"/>
      <c r="G26" s="137"/>
      <c r="H26" s="137"/>
      <c r="I26" s="137"/>
      <c r="O26" s="154" t="e">
        <f>IF(#REF!&gt;0,1,0)</f>
        <v>#REF!</v>
      </c>
      <c r="S26" s="155" t="e">
        <f>D26*#REF!</f>
        <v>#REF!</v>
      </c>
    </row>
    <row r="27" spans="1:89" ht="15" customHeight="1" x14ac:dyDescent="0.2">
      <c r="A27" s="184"/>
      <c r="B27" s="733" t="str">
        <f xml:space="preserve"> CONCATENATE(Расчёт!B21)</f>
        <v>РЫБА БЕЗ ГОЛОВЫ/СЕЛЬДЬ С ГОЛ.</v>
      </c>
      <c r="C27" s="613" t="s">
        <v>163</v>
      </c>
      <c r="D27" s="640"/>
      <c r="E27" s="137"/>
      <c r="F27" s="137"/>
      <c r="G27" s="137"/>
      <c r="H27" s="137"/>
      <c r="I27" s="137"/>
      <c r="O27" s="154" t="e">
        <f>IF(#REF!&gt;0,1,0)</f>
        <v>#REF!</v>
      </c>
      <c r="S27" s="155" t="e">
        <f>D27*#REF!</f>
        <v>#REF!</v>
      </c>
    </row>
    <row r="28" spans="1:89" ht="15" customHeight="1" x14ac:dyDescent="0.2">
      <c r="A28" s="1558"/>
      <c r="B28" s="732" t="str">
        <f xml:space="preserve"> CONCATENATE(Расчёт!B22)</f>
        <v xml:space="preserve">КОНС. РЫБНЫЕ - КИЛЬКА В ТОМ. СОУСЕ  </v>
      </c>
      <c r="C28" s="613" t="s">
        <v>163</v>
      </c>
      <c r="D28" s="640"/>
      <c r="E28" s="137"/>
      <c r="F28" s="137"/>
      <c r="G28" s="137"/>
      <c r="H28" s="137"/>
      <c r="I28" s="137"/>
      <c r="O28" s="154" t="e">
        <f>IF(#REF!&gt;0,1,0)</f>
        <v>#REF!</v>
      </c>
      <c r="S28" s="155" t="e">
        <f>D28*#REF!</f>
        <v>#REF!</v>
      </c>
    </row>
    <row r="29" spans="1:89" ht="15" customHeight="1" x14ac:dyDescent="0.2">
      <c r="A29" s="1558"/>
      <c r="B29" s="733" t="str">
        <f xml:space="preserve"> CONCATENATE(Расчёт!B23)</f>
        <v>МАСЛО РАСТИТЕЛЬНОЕ</v>
      </c>
      <c r="C29" s="613" t="s">
        <v>163</v>
      </c>
      <c r="D29" s="640"/>
      <c r="E29" s="137"/>
      <c r="F29" s="137"/>
      <c r="G29" s="137"/>
      <c r="H29" s="137"/>
      <c r="I29" s="137"/>
      <c r="O29" s="154" t="e">
        <f>IF(#REF!&gt;0,1,0)</f>
        <v>#REF!</v>
      </c>
      <c r="S29" s="155" t="e">
        <f>D29*#REF!</f>
        <v>#REF!</v>
      </c>
    </row>
    <row r="30" spans="1:89" ht="15" customHeight="1" x14ac:dyDescent="0.2">
      <c r="A30" s="1558"/>
      <c r="B30" s="733" t="str">
        <f xml:space="preserve"> CONCATENATE(Расчёт!B24)</f>
        <v>МАСЛО КОРОВЬЕ</v>
      </c>
      <c r="C30" s="613" t="s">
        <v>163</v>
      </c>
      <c r="D30" s="640"/>
      <c r="E30" s="137"/>
      <c r="F30" s="137"/>
      <c r="G30" s="137"/>
      <c r="H30" s="137"/>
      <c r="I30" s="137"/>
      <c r="O30" s="154" t="e">
        <f>IF(#REF!&gt;0,1,0)</f>
        <v>#REF!</v>
      </c>
      <c r="S30" s="155" t="e">
        <f>D30*#REF!</f>
        <v>#REF!</v>
      </c>
    </row>
    <row r="31" spans="1:89" ht="15" customHeight="1" x14ac:dyDescent="0.2">
      <c r="B31" s="733" t="str">
        <f xml:space="preserve"> CONCATENATE(Расчёт!B25)</f>
        <v>ЖИРЫ ЖИВОТНЫЕ</v>
      </c>
      <c r="C31" s="613" t="s">
        <v>163</v>
      </c>
      <c r="D31" s="640"/>
      <c r="E31" s="137"/>
      <c r="F31" s="137"/>
      <c r="G31" s="137"/>
      <c r="H31" s="137"/>
      <c r="I31" s="137"/>
      <c r="O31" s="154" t="e">
        <f>IF(#REF!&gt;0,1,0)</f>
        <v>#REF!</v>
      </c>
      <c r="S31" s="155" t="e">
        <f>D31*#REF!</f>
        <v>#REF!</v>
      </c>
    </row>
    <row r="32" spans="1:89" ht="15" customHeight="1" x14ac:dyDescent="0.2">
      <c r="B32" s="733" t="str">
        <f xml:space="preserve"> CONCATENATE(Расчёт!B26)</f>
        <v>МОЛОКО СВЕЖЕЕ</v>
      </c>
      <c r="C32" s="613" t="s">
        <v>163</v>
      </c>
      <c r="D32" s="640"/>
      <c r="E32" s="137"/>
      <c r="F32" s="137"/>
      <c r="G32" s="137"/>
      <c r="H32" s="137"/>
      <c r="I32" s="137"/>
      <c r="O32" s="154" t="e">
        <f>IF(#REF!&gt;0,1,0)</f>
        <v>#REF!</v>
      </c>
      <c r="S32" s="155" t="e">
        <f>D32*#REF!</f>
        <v>#REF!</v>
      </c>
    </row>
    <row r="33" spans="1:19" ht="15" customHeight="1" x14ac:dyDescent="0.2">
      <c r="B33" s="733" t="str">
        <f xml:space="preserve"> CONCATENATE(Расчёт!B27)</f>
        <v>СМЕТАНА</v>
      </c>
      <c r="C33" s="613" t="s">
        <v>163</v>
      </c>
      <c r="D33" s="640"/>
      <c r="E33" s="137"/>
      <c r="F33" s="137"/>
      <c r="G33" s="137"/>
      <c r="H33" s="137"/>
      <c r="I33" s="137"/>
      <c r="O33" s="154" t="e">
        <f>IF(#REF!&gt;0,1,0)</f>
        <v>#REF!</v>
      </c>
      <c r="S33" s="155" t="e">
        <f>D33*#REF!</f>
        <v>#REF!</v>
      </c>
    </row>
    <row r="34" spans="1:19" ht="15" customHeight="1" x14ac:dyDescent="0.2">
      <c r="B34" s="733" t="str">
        <f xml:space="preserve"> CONCATENATE(Расчёт!B28)</f>
        <v>ТВОРОГ</v>
      </c>
      <c r="C34" s="613" t="s">
        <v>163</v>
      </c>
      <c r="D34" s="640"/>
      <c r="E34" s="137"/>
      <c r="F34" s="137"/>
      <c r="G34" s="137"/>
      <c r="H34" s="137"/>
      <c r="I34" s="137"/>
      <c r="O34" s="154" t="e">
        <f>IF(#REF!&gt;0,1,0)</f>
        <v>#REF!</v>
      </c>
      <c r="S34" s="155" t="e">
        <f>D34*#REF!</f>
        <v>#REF!</v>
      </c>
    </row>
    <row r="35" spans="1:19" ht="15" customHeight="1" x14ac:dyDescent="0.2">
      <c r="B35" s="733" t="str">
        <f xml:space="preserve"> CONCATENATE(Расчёт!B29)</f>
        <v>МОЛОКО СУХОЕ</v>
      </c>
      <c r="C35" s="613" t="s">
        <v>163</v>
      </c>
      <c r="D35" s="640"/>
      <c r="E35" s="137"/>
      <c r="F35" s="137"/>
      <c r="G35" s="137"/>
      <c r="H35" s="137"/>
      <c r="I35" s="137"/>
      <c r="O35" s="154" t="e">
        <f>IF(#REF!&gt;0,1,0)</f>
        <v>#REF!</v>
      </c>
      <c r="S35" s="155" t="e">
        <f>D35*#REF!</f>
        <v>#REF!</v>
      </c>
    </row>
    <row r="36" spans="1:19" ht="15" customHeight="1" x14ac:dyDescent="0.2">
      <c r="B36" s="733" t="str">
        <f xml:space="preserve"> CONCATENATE(Расчёт!B30)</f>
        <v>СЫР ПЛАВЛЕНЫЙ</v>
      </c>
      <c r="C36" s="613" t="s">
        <v>163</v>
      </c>
      <c r="D36" s="640"/>
      <c r="E36" s="137"/>
      <c r="F36" s="137"/>
      <c r="G36" s="137"/>
      <c r="H36" s="137"/>
      <c r="I36" s="137"/>
      <c r="O36" s="154" t="e">
        <f>IF(#REF!&gt;0,1,0)</f>
        <v>#REF!</v>
      </c>
      <c r="S36" s="155" t="e">
        <f>D36*#REF!</f>
        <v>#REF!</v>
      </c>
    </row>
    <row r="37" spans="1:19" ht="15" customHeight="1" x14ac:dyDescent="0.2">
      <c r="A37" s="239"/>
      <c r="B37" s="733" t="str">
        <f xml:space="preserve"> CONCATENATE(Расчёт!B31)</f>
        <v>ЯЙЦА КУРИНЫЕ</v>
      </c>
      <c r="C37" s="613" t="str">
        <f>IF('Блок ввода'!G32=TRUE,"кг.","шт.")</f>
        <v>шт.</v>
      </c>
      <c r="D37" s="640"/>
      <c r="E37" s="137"/>
      <c r="F37" s="137"/>
      <c r="G37" s="137"/>
      <c r="H37" s="137"/>
      <c r="I37" s="137"/>
      <c r="O37" s="154" t="e">
        <f>IF(#REF!&gt;0,1,0)</f>
        <v>#REF!</v>
      </c>
      <c r="S37" s="155" t="e">
        <f>D37*#REF!</f>
        <v>#REF!</v>
      </c>
    </row>
    <row r="38" spans="1:19" ht="15" customHeight="1" x14ac:dyDescent="0.2">
      <c r="B38" s="736" t="str">
        <f xml:space="preserve"> CONCATENATE(Расчёт!B32)</f>
        <v>САХАР</v>
      </c>
      <c r="C38" s="618" t="s">
        <v>163</v>
      </c>
      <c r="D38" s="640"/>
      <c r="E38" s="137"/>
      <c r="F38" s="137"/>
      <c r="G38" s="137"/>
      <c r="H38" s="137"/>
      <c r="I38" s="137"/>
      <c r="O38" s="154" t="e">
        <f>IF(#REF!&gt;0,1,0)</f>
        <v>#REF!</v>
      </c>
      <c r="S38" s="155" t="e">
        <f>D38*#REF!</f>
        <v>#REF!</v>
      </c>
    </row>
    <row r="39" spans="1:19" ht="15" customHeight="1" x14ac:dyDescent="0.2">
      <c r="B39" s="736" t="str">
        <f xml:space="preserve"> CONCATENATE(Расчёт!B33)</f>
        <v>СОЛЬ ПИЩЕВАЯ</v>
      </c>
      <c r="C39" s="618" t="s">
        <v>163</v>
      </c>
      <c r="D39" s="640"/>
      <c r="E39" s="137"/>
      <c r="F39" s="137"/>
      <c r="G39" s="137"/>
      <c r="H39" s="137"/>
      <c r="I39" s="137"/>
      <c r="O39" s="154" t="e">
        <f>IF(#REF!&gt;0,1,0)</f>
        <v>#REF!</v>
      </c>
      <c r="S39" s="155" t="e">
        <f>D39*#REF!</f>
        <v>#REF!</v>
      </c>
    </row>
    <row r="40" spans="1:19" ht="15" customHeight="1" x14ac:dyDescent="0.2">
      <c r="B40" s="736" t="str">
        <f xml:space="preserve"> CONCATENATE(Расчёт!B34)</f>
        <v>ЧАЙ</v>
      </c>
      <c r="C40" s="618" t="s">
        <v>163</v>
      </c>
      <c r="D40" s="640"/>
      <c r="E40" s="137"/>
      <c r="F40" s="137"/>
      <c r="G40" s="137"/>
      <c r="H40" s="137"/>
      <c r="I40" s="137"/>
      <c r="O40" s="154" t="e">
        <f>IF(#REF!&gt;0,1,0)</f>
        <v>#REF!</v>
      </c>
      <c r="S40" s="155" t="e">
        <f>D40*#REF!</f>
        <v>#REF!</v>
      </c>
    </row>
    <row r="41" spans="1:19" ht="15" customHeight="1" x14ac:dyDescent="0.2">
      <c r="B41" s="736" t="str">
        <f xml:space="preserve"> CONCATENATE(Расчёт!B35)</f>
        <v>КОФЕ НАТУРАЛЬНЫЙ</v>
      </c>
      <c r="C41" s="618" t="s">
        <v>163</v>
      </c>
      <c r="D41" s="640"/>
      <c r="E41" s="137"/>
      <c r="F41" s="137"/>
      <c r="G41" s="137"/>
      <c r="H41" s="137"/>
      <c r="I41" s="137"/>
      <c r="O41" s="154" t="e">
        <f>IF(#REF!&gt;0,1,0)</f>
        <v>#REF!</v>
      </c>
      <c r="S41" s="155" t="e">
        <f>D41*#REF!</f>
        <v>#REF!</v>
      </c>
    </row>
    <row r="42" spans="1:19" ht="15" customHeight="1" x14ac:dyDescent="0.2">
      <c r="B42" s="736" t="str">
        <f xml:space="preserve"> CONCATENATE(Расчёт!B36)</f>
        <v>КОФЕЙНЫЙ НАПИТОК</v>
      </c>
      <c r="C42" s="618" t="s">
        <v>163</v>
      </c>
      <c r="D42" s="640"/>
      <c r="E42" s="137"/>
      <c r="F42" s="137"/>
      <c r="G42" s="137"/>
      <c r="H42" s="137"/>
      <c r="I42" s="137"/>
      <c r="O42" s="154"/>
      <c r="S42" s="155" t="e">
        <f>D42*#REF!</f>
        <v>#REF!</v>
      </c>
    </row>
    <row r="43" spans="1:19" ht="15" customHeight="1" x14ac:dyDescent="0.2">
      <c r="B43" s="736" t="str">
        <f xml:space="preserve"> CONCATENATE(Расчёт!B37)</f>
        <v>ЛАВРОВЫЙ ЛИСТ</v>
      </c>
      <c r="C43" s="618" t="s">
        <v>163</v>
      </c>
      <c r="D43" s="640"/>
      <c r="E43" s="137"/>
      <c r="F43" s="137"/>
      <c r="G43" s="137"/>
      <c r="H43" s="137"/>
      <c r="I43" s="137"/>
      <c r="O43" s="154" t="e">
        <f>IF(#REF!&gt;0,1,0)</f>
        <v>#REF!</v>
      </c>
      <c r="S43" s="155" t="e">
        <f>D43*#REF!</f>
        <v>#REF!</v>
      </c>
    </row>
    <row r="44" spans="1:19" ht="15" customHeight="1" x14ac:dyDescent="0.2">
      <c r="B44" s="736" t="str">
        <f xml:space="preserve"> CONCATENATE(Расчёт!B38)</f>
        <v>ПЕРЕЦ</v>
      </c>
      <c r="C44" s="618" t="s">
        <v>163</v>
      </c>
      <c r="D44" s="640"/>
      <c r="E44" s="137"/>
      <c r="F44" s="137"/>
      <c r="G44" s="137"/>
      <c r="H44" s="137"/>
      <c r="I44" s="137"/>
      <c r="O44" s="154" t="e">
        <f>IF(#REF!&gt;0,1,0)</f>
        <v>#REF!</v>
      </c>
      <c r="S44" s="155" t="e">
        <f>D44*#REF!</f>
        <v>#REF!</v>
      </c>
    </row>
    <row r="45" spans="1:19" ht="15" customHeight="1" x14ac:dyDescent="0.2">
      <c r="B45" s="736" t="str">
        <f xml:space="preserve"> CONCATENATE(Расчёт!B39)</f>
        <v>ГОРЧИЧНЫЙ ПОРОШОК</v>
      </c>
      <c r="C45" s="618" t="s">
        <v>163</v>
      </c>
      <c r="D45" s="640"/>
      <c r="E45" s="137"/>
      <c r="F45" s="137"/>
      <c r="G45" s="137"/>
      <c r="H45" s="137"/>
      <c r="I45" s="137"/>
      <c r="O45" s="154" t="e">
        <f>IF(#REF!&gt;0,1,0)</f>
        <v>#REF!</v>
      </c>
      <c r="S45" s="155" t="e">
        <f>D45*#REF!</f>
        <v>#REF!</v>
      </c>
    </row>
    <row r="46" spans="1:19" ht="15" customHeight="1" x14ac:dyDescent="0.2">
      <c r="B46" s="736" t="str">
        <f xml:space="preserve"> CONCATENATE(Расчёт!B40)</f>
        <v>УКСУС</v>
      </c>
      <c r="C46" s="618" t="s">
        <v>163</v>
      </c>
      <c r="D46" s="640"/>
      <c r="E46" s="137"/>
      <c r="F46" s="137"/>
      <c r="G46" s="137"/>
      <c r="H46" s="137"/>
      <c r="I46" s="137"/>
      <c r="O46" s="154" t="e">
        <f>IF(#REF!&gt;0,1,0)</f>
        <v>#REF!</v>
      </c>
      <c r="S46" s="155" t="e">
        <f>D46*#REF!</f>
        <v>#REF!</v>
      </c>
    </row>
    <row r="47" spans="1:19" ht="15" customHeight="1" x14ac:dyDescent="0.2">
      <c r="B47" s="736" t="str">
        <f xml:space="preserve"> CONCATENATE(Расчёт!B41)</f>
        <v>ТОМАТНАЯ ПАСТА</v>
      </c>
      <c r="C47" s="618" t="s">
        <v>163</v>
      </c>
      <c r="D47" s="640"/>
      <c r="E47" s="137"/>
      <c r="F47" s="137"/>
      <c r="G47" s="137"/>
      <c r="H47" s="137"/>
      <c r="I47" s="137"/>
      <c r="O47" s="154" t="e">
        <f>IF(#REF!&gt;0,1,0)</f>
        <v>#REF!</v>
      </c>
      <c r="S47" s="155" t="e">
        <f>D47*#REF!</f>
        <v>#REF!</v>
      </c>
    </row>
    <row r="48" spans="1:19" ht="15" customHeight="1" x14ac:dyDescent="0.2">
      <c r="B48" s="736" t="str">
        <f xml:space="preserve"> CONCATENATE(Расчёт!B42)</f>
        <v>КАРАМЕЛЬ</v>
      </c>
      <c r="C48" s="618" t="s">
        <v>163</v>
      </c>
      <c r="D48" s="640"/>
      <c r="E48" s="137"/>
      <c r="F48" s="137"/>
      <c r="G48" s="137"/>
      <c r="H48" s="137"/>
      <c r="I48" s="137"/>
      <c r="O48" s="154" t="e">
        <f>IF(#REF!&gt;0,1,0)</f>
        <v>#REF!</v>
      </c>
      <c r="S48" s="155" t="e">
        <f>D48*#REF!</f>
        <v>#REF!</v>
      </c>
    </row>
    <row r="49" spans="1:19" ht="15" customHeight="1" x14ac:dyDescent="0.2">
      <c r="B49" s="736" t="str">
        <f xml:space="preserve"> CONCATENATE(Расчёт!B43)</f>
        <v>ЖЕЛАТИН</v>
      </c>
      <c r="C49" s="618" t="s">
        <v>163</v>
      </c>
      <c r="D49" s="640"/>
      <c r="E49" s="137"/>
      <c r="F49" s="137"/>
      <c r="G49" s="137"/>
      <c r="H49" s="137"/>
      <c r="I49" s="137"/>
      <c r="O49" s="154" t="e">
        <f>IF(#REF!&gt;0,1,0)</f>
        <v>#REF!</v>
      </c>
      <c r="S49" s="155" t="e">
        <f>D49*#REF!</f>
        <v>#REF!</v>
      </c>
    </row>
    <row r="50" spans="1:19" ht="15" customHeight="1" thickBot="1" x14ac:dyDescent="0.25">
      <c r="A50" s="239"/>
      <c r="B50" s="737" t="str">
        <f xml:space="preserve"> CONCATENATE(Расчёт!B44)</f>
        <v>ДРОЖЖИ ПРЕСОВАННЫЕ</v>
      </c>
      <c r="C50" s="647" t="s">
        <v>163</v>
      </c>
      <c r="D50" s="648"/>
      <c r="E50" s="137"/>
      <c r="F50" s="137"/>
      <c r="G50" s="137"/>
      <c r="H50" s="137"/>
      <c r="I50" s="137"/>
      <c r="O50" s="154" t="e">
        <f>IF(#REF!&gt;0,1,0)</f>
        <v>#REF!</v>
      </c>
      <c r="S50" s="155" t="e">
        <f>D50*#REF!</f>
        <v>#REF!</v>
      </c>
    </row>
    <row r="51" spans="1:19" ht="15" customHeight="1" x14ac:dyDescent="0.2">
      <c r="B51" s="740" t="str">
        <f xml:space="preserve"> CONCATENATE(Расчёт!B45)</f>
        <v>КАРТОФЕЛЬ</v>
      </c>
      <c r="C51" s="741" t="s">
        <v>163</v>
      </c>
      <c r="D51" s="506"/>
      <c r="E51" s="137"/>
      <c r="F51" s="137"/>
      <c r="G51" s="137"/>
      <c r="H51" s="137"/>
      <c r="I51" s="137"/>
      <c r="O51" s="154" t="e">
        <f>IF(#REF!&gt;0,1,0)</f>
        <v>#REF!</v>
      </c>
      <c r="S51" s="155" t="e">
        <f>D51*#REF!</f>
        <v>#REF!</v>
      </c>
    </row>
    <row r="52" spans="1:19" ht="15" customHeight="1" x14ac:dyDescent="0.2">
      <c r="B52" s="730" t="str">
        <f xml:space="preserve"> CONCATENATE(Расчёт!B46)</f>
        <v xml:space="preserve">КАПУСТА  </v>
      </c>
      <c r="C52" s="745" t="s">
        <v>163</v>
      </c>
      <c r="D52" s="487"/>
      <c r="E52" s="137"/>
      <c r="F52" s="137"/>
      <c r="G52" s="137"/>
      <c r="H52" s="137"/>
      <c r="I52" s="137"/>
      <c r="O52" s="154" t="e">
        <f>IF(#REF!&gt;0,1,0)</f>
        <v>#REF!</v>
      </c>
      <c r="S52" s="155" t="e">
        <f>D52*#REF!</f>
        <v>#REF!</v>
      </c>
    </row>
    <row r="53" spans="1:19" ht="15" customHeight="1" x14ac:dyDescent="0.2">
      <c r="B53" s="730" t="str">
        <f xml:space="preserve"> CONCATENATE(Расчёт!B47)</f>
        <v>СВЕКЛА СВЕЖАЯ</v>
      </c>
      <c r="C53" s="745" t="s">
        <v>163</v>
      </c>
      <c r="D53" s="487"/>
      <c r="E53" s="137"/>
      <c r="F53" s="137"/>
      <c r="G53" s="137"/>
      <c r="H53" s="137"/>
      <c r="I53" s="137"/>
      <c r="O53" s="154" t="e">
        <f>IF(#REF!&gt;0,1,0)</f>
        <v>#REF!</v>
      </c>
      <c r="S53" s="155" t="e">
        <f>D53*#REF!</f>
        <v>#REF!</v>
      </c>
    </row>
    <row r="54" spans="1:19" ht="15" customHeight="1" x14ac:dyDescent="0.2">
      <c r="B54" s="730" t="str">
        <f xml:space="preserve"> CONCATENATE(Расчёт!B48)</f>
        <v>МОРКОВЬ</v>
      </c>
      <c r="C54" s="745" t="s">
        <v>163</v>
      </c>
      <c r="D54" s="487"/>
      <c r="E54" s="137"/>
      <c r="F54" s="137"/>
      <c r="G54" s="137"/>
      <c r="H54" s="137"/>
      <c r="I54" s="137"/>
      <c r="O54" s="154" t="e">
        <f>IF(#REF!&gt;0,1,0)</f>
        <v>#REF!</v>
      </c>
      <c r="S54" s="155" t="e">
        <f>D54*#REF!</f>
        <v>#REF!</v>
      </c>
    </row>
    <row r="55" spans="1:19" ht="15" customHeight="1" x14ac:dyDescent="0.2">
      <c r="B55" s="730" t="str">
        <f xml:space="preserve"> CONCATENATE(Расчёт!B49)</f>
        <v>ЛУК РЕПЧАТЫЙ</v>
      </c>
      <c r="C55" s="745" t="s">
        <v>163</v>
      </c>
      <c r="D55" s="487"/>
      <c r="E55" s="137"/>
      <c r="F55" s="137"/>
      <c r="G55" s="137"/>
      <c r="H55" s="137"/>
      <c r="I55" s="137"/>
      <c r="O55" s="154" t="e">
        <f>IF(#REF!&gt;0,1,0)</f>
        <v>#REF!</v>
      </c>
      <c r="S55" s="155" t="e">
        <f>D55*#REF!</f>
        <v>#REF!</v>
      </c>
    </row>
    <row r="56" spans="1:19" ht="15" customHeight="1" x14ac:dyDescent="0.2">
      <c r="B56" s="730" t="str">
        <f xml:space="preserve"> CONCATENATE(Расчёт!B50)</f>
        <v>ОГУРЦЫ СОЛЕНЫЕ</v>
      </c>
      <c r="C56" s="745" t="s">
        <v>163</v>
      </c>
      <c r="D56" s="487"/>
      <c r="E56" s="137"/>
      <c r="F56" s="137"/>
      <c r="G56" s="137"/>
      <c r="H56" s="137"/>
      <c r="I56" s="137"/>
      <c r="O56" s="154" t="e">
        <f>IF(#REF!&gt;0,1,0)</f>
        <v>#REF!</v>
      </c>
      <c r="S56" s="155" t="e">
        <f>D56*#REF!</f>
        <v>#REF!</v>
      </c>
    </row>
    <row r="57" spans="1:19" ht="15" customHeight="1" x14ac:dyDescent="0.2">
      <c r="B57" s="730" t="str">
        <f xml:space="preserve"> CONCATENATE(Расчёт!B51)</f>
        <v>ПОМИДОРЫ СОЛЁНЫЕ</v>
      </c>
      <c r="C57" s="745" t="s">
        <v>163</v>
      </c>
      <c r="D57" s="487"/>
      <c r="E57" s="137"/>
      <c r="F57" s="137"/>
      <c r="G57" s="137"/>
      <c r="H57" s="137"/>
      <c r="I57" s="137"/>
      <c r="O57" s="154" t="e">
        <f>IF(#REF!&gt;0,1,0)</f>
        <v>#REF!</v>
      </c>
      <c r="S57" s="155" t="e">
        <f>D57*#REF!</f>
        <v>#REF!</v>
      </c>
    </row>
    <row r="58" spans="1:19" ht="15" customHeight="1" thickBot="1" x14ac:dyDescent="0.25">
      <c r="B58" s="731" t="str">
        <f xml:space="preserve"> CONCATENATE(Расчёт!B52)</f>
        <v>КАБАЧКИ</v>
      </c>
      <c r="C58" s="752" t="s">
        <v>163</v>
      </c>
      <c r="D58" s="514"/>
      <c r="E58" s="137"/>
      <c r="F58" s="137"/>
      <c r="G58" s="137"/>
      <c r="H58" s="137"/>
      <c r="I58" s="137"/>
      <c r="O58" s="154"/>
      <c r="S58" s="155" t="e">
        <f>D58*#REF!</f>
        <v>#REF!</v>
      </c>
    </row>
    <row r="59" spans="1:19" ht="15" customHeight="1" x14ac:dyDescent="0.2">
      <c r="B59" s="598" t="str">
        <f xml:space="preserve"> CONCATENATE(Расчёт!B53)</f>
        <v>ФРУКТЫ СУШЁНЫЕ</v>
      </c>
      <c r="C59" s="603" t="s">
        <v>163</v>
      </c>
      <c r="D59" s="506"/>
      <c r="E59" s="137"/>
      <c r="F59" s="137"/>
      <c r="G59" s="137"/>
      <c r="H59" s="137"/>
      <c r="I59" s="137"/>
      <c r="O59" s="154" t="e">
        <f>IF(#REF!&gt;0,1,0)</f>
        <v>#REF!</v>
      </c>
      <c r="S59" s="155" t="e">
        <f>D59*#REF!</f>
        <v>#REF!</v>
      </c>
    </row>
    <row r="60" spans="1:19" ht="15" customHeight="1" x14ac:dyDescent="0.2">
      <c r="B60" s="733" t="str">
        <f xml:space="preserve"> CONCATENATE(Расчёт!B54)</f>
        <v>КИСЕЛЬ ПЛОДОВЫЙ ИЛИ ЯГОДНЫЙ</v>
      </c>
      <c r="C60" s="609" t="s">
        <v>163</v>
      </c>
      <c r="D60" s="487"/>
      <c r="E60" s="137"/>
      <c r="F60" s="137"/>
      <c r="G60" s="137"/>
      <c r="H60" s="137"/>
      <c r="I60" s="137"/>
      <c r="O60" s="154" t="e">
        <f>IF(#REF!&gt;0,1,0)</f>
        <v>#REF!</v>
      </c>
      <c r="S60" s="155" t="e">
        <f>D60*#REF!</f>
        <v>#REF!</v>
      </c>
    </row>
    <row r="61" spans="1:19" ht="15" customHeight="1" x14ac:dyDescent="0.2">
      <c r="B61" s="733" t="str">
        <f xml:space="preserve"> CONCATENATE(Расчёт!B55)</f>
        <v>АПЕЛЬСИНЫ</v>
      </c>
      <c r="C61" s="609" t="s">
        <v>163</v>
      </c>
      <c r="D61" s="487"/>
      <c r="E61" s="137"/>
      <c r="F61" s="137"/>
      <c r="G61" s="137"/>
      <c r="H61" s="137"/>
      <c r="I61" s="137"/>
      <c r="O61" s="154" t="e">
        <f>IF(#REF!&gt;0,1,0)</f>
        <v>#REF!</v>
      </c>
      <c r="S61" s="155" t="e">
        <f>D61*#REF!</f>
        <v>#REF!</v>
      </c>
    </row>
    <row r="62" spans="1:19" ht="15" customHeight="1" x14ac:dyDescent="0.2">
      <c r="B62" s="733" t="str">
        <f xml:space="preserve"> CONCATENATE(Расчёт!B56)</f>
        <v>СОК</v>
      </c>
      <c r="C62" s="609" t="s">
        <v>163</v>
      </c>
      <c r="D62" s="487"/>
      <c r="E62" s="137"/>
      <c r="F62" s="137"/>
      <c r="G62" s="137"/>
      <c r="H62" s="137"/>
      <c r="I62" s="137"/>
      <c r="O62" s="154" t="e">
        <f>IF(#REF!&gt;0,1,0)</f>
        <v>#REF!</v>
      </c>
      <c r="S62" s="155" t="e">
        <f>D62*#REF!</f>
        <v>#REF!</v>
      </c>
    </row>
    <row r="63" spans="1:19" ht="15" customHeight="1" x14ac:dyDescent="0.2">
      <c r="B63" s="733" t="str">
        <f xml:space="preserve"> CONCATENATE(Расчёт!B57)</f>
        <v>ПОВИДЛО, ВАРЕНЬЕ</v>
      </c>
      <c r="C63" s="609" t="s">
        <v>163</v>
      </c>
      <c r="D63" s="487"/>
      <c r="E63" s="137"/>
      <c r="F63" s="137"/>
      <c r="G63" s="137"/>
      <c r="H63" s="137"/>
      <c r="I63" s="137"/>
      <c r="O63" s="154" t="e">
        <f>IF(#REF!&gt;0,1,0)</f>
        <v>#REF!</v>
      </c>
      <c r="S63" s="155" t="e">
        <f>D63*#REF!</f>
        <v>#REF!</v>
      </c>
    </row>
    <row r="64" spans="1:19" ht="15" customHeight="1" x14ac:dyDescent="0.2">
      <c r="B64" s="736" t="str">
        <f xml:space="preserve"> CONCATENATE(Расчёт!B58)</f>
        <v>КОМПОТ КОНС.</v>
      </c>
      <c r="C64" s="638" t="s">
        <v>163</v>
      </c>
      <c r="D64" s="487"/>
      <c r="E64" s="137"/>
      <c r="F64" s="137"/>
      <c r="G64" s="137"/>
      <c r="H64" s="137"/>
      <c r="I64" s="137"/>
      <c r="O64" s="154" t="e">
        <f>IF(#REF!&gt;0,1,0)</f>
        <v>#REF!</v>
      </c>
      <c r="S64" s="155" t="e">
        <f>D64*#REF!</f>
        <v>#REF!</v>
      </c>
    </row>
    <row r="65" spans="2:19" ht="15" customHeight="1" thickBot="1" x14ac:dyDescent="0.25">
      <c r="B65" s="756" t="str">
        <f xml:space="preserve"> CONCATENATE(Расчёт!B59)</f>
        <v>КОНС. ОВ. ЗАКУС.</v>
      </c>
      <c r="C65" s="606" t="s">
        <v>163</v>
      </c>
      <c r="D65" s="514"/>
      <c r="E65" s="137"/>
      <c r="F65" s="137"/>
      <c r="G65" s="137"/>
      <c r="H65" s="137"/>
      <c r="I65" s="137"/>
      <c r="O65" s="154" t="e">
        <f>IF(#REF!&gt;0,1,0)</f>
        <v>#REF!</v>
      </c>
      <c r="S65" s="155" t="e">
        <f>D65*#REF!</f>
        <v>#REF!</v>
      </c>
    </row>
    <row r="66" spans="2:19" ht="15" customHeight="1" x14ac:dyDescent="0.2">
      <c r="B66" s="757"/>
      <c r="C66" s="603" t="s">
        <v>163</v>
      </c>
      <c r="D66" s="506"/>
      <c r="E66" s="143"/>
      <c r="F66" s="137"/>
      <c r="G66" s="137"/>
      <c r="H66" s="137"/>
      <c r="I66" s="137"/>
      <c r="O66" s="154" t="e">
        <f>IF(#REF!&gt;0,1,0)</f>
        <v>#REF!</v>
      </c>
      <c r="S66" s="155" t="e">
        <f>D66*#REF!</f>
        <v>#REF!</v>
      </c>
    </row>
    <row r="67" spans="2:19" ht="15" customHeight="1" thickBot="1" x14ac:dyDescent="0.25">
      <c r="B67" s="758"/>
      <c r="C67" s="634" t="s">
        <v>163</v>
      </c>
      <c r="D67" s="514"/>
      <c r="E67" s="143"/>
      <c r="F67" s="137"/>
      <c r="G67" s="137"/>
      <c r="H67" s="137"/>
      <c r="I67" s="137"/>
      <c r="O67" s="154" t="e">
        <f>IF(#REF!&gt;0,1,0)</f>
        <v>#REF!</v>
      </c>
      <c r="S67" s="155" t="e">
        <f>D67*#REF!</f>
        <v>#REF!</v>
      </c>
    </row>
    <row r="68" spans="2:19" ht="15" customHeight="1" x14ac:dyDescent="0.2">
      <c r="B68" s="658" t="str">
        <f xml:space="preserve"> CONCATENATE(Расчёт!B62)</f>
        <v>ЧЕСНОК</v>
      </c>
      <c r="C68" s="610" t="s">
        <v>163</v>
      </c>
      <c r="D68" s="487"/>
      <c r="E68" s="137"/>
      <c r="F68" s="137"/>
      <c r="G68" s="137"/>
      <c r="H68" s="137"/>
      <c r="I68" s="137"/>
      <c r="O68" s="154" t="e">
        <f>IF(#REF!&gt;0,1,0)</f>
        <v>#REF!</v>
      </c>
      <c r="S68" s="155" t="e">
        <f>D68*#REF!</f>
        <v>#REF!</v>
      </c>
    </row>
    <row r="69" spans="2:19" ht="15" customHeight="1" x14ac:dyDescent="0.2">
      <c r="B69" s="759" t="str">
        <f xml:space="preserve"> CONCATENATE(Расчёт!B63)</f>
        <v>ДРАЖЕ "ГЕКСАВИТ"</v>
      </c>
      <c r="C69" s="618" t="s">
        <v>163</v>
      </c>
      <c r="D69" s="487"/>
      <c r="E69" s="137"/>
      <c r="F69" s="137"/>
      <c r="G69" s="137"/>
      <c r="H69" s="137"/>
      <c r="I69" s="137"/>
      <c r="O69" s="154" t="e">
        <f>IF(#REF!&gt;0,1,0)</f>
        <v>#REF!</v>
      </c>
      <c r="S69" s="155" t="e">
        <f>D69*#REF!</f>
        <v>#REF!</v>
      </c>
    </row>
    <row r="70" spans="2:19" ht="15" customHeight="1" x14ac:dyDescent="0.2">
      <c r="B70" s="759" t="str">
        <f>Расчёт!B64</f>
        <v>КОНСЕРВЫ МЯСОРАСТИТЕЛЬНЫЕ</v>
      </c>
      <c r="C70" s="618" t="s">
        <v>164</v>
      </c>
      <c r="D70" s="487"/>
      <c r="E70" s="137"/>
      <c r="F70" s="137"/>
      <c r="G70" s="137"/>
      <c r="H70" s="137"/>
      <c r="I70" s="137"/>
      <c r="O70" s="154" t="e">
        <f>IF(#REF!&gt;0,1,0)</f>
        <v>#REF!</v>
      </c>
      <c r="S70" s="155" t="e">
        <f>D70*#REF!</f>
        <v>#REF!</v>
      </c>
    </row>
    <row r="71" spans="2:19" ht="15" customHeight="1" thickBot="1" x14ac:dyDescent="0.25">
      <c r="B71" s="760" t="str">
        <f>Расчёт!B65</f>
        <v>КОНСЕРВЫ 1 ОБ. БЛЮДА</v>
      </c>
      <c r="C71" s="719" t="s">
        <v>163</v>
      </c>
      <c r="D71" s="514"/>
      <c r="E71" s="137"/>
      <c r="F71" s="137"/>
      <c r="G71" s="137"/>
      <c r="H71" s="137"/>
      <c r="I71" s="137"/>
      <c r="O71" s="10" t="e">
        <f>SUM(O9:O70)</f>
        <v>#REF!</v>
      </c>
      <c r="S71" s="155" t="e">
        <f>D71*#REF!</f>
        <v>#REF!</v>
      </c>
    </row>
    <row r="72" spans="2:19" ht="18" x14ac:dyDescent="0.25">
      <c r="B72" s="185"/>
      <c r="C72" s="186"/>
      <c r="D72" s="187"/>
      <c r="E72" s="143"/>
      <c r="F72" s="137"/>
      <c r="G72" s="137"/>
      <c r="H72" s="137"/>
      <c r="I72" s="137"/>
      <c r="O72" s="10"/>
      <c r="S72" s="188" t="e">
        <f>SUM(S9:S71)</f>
        <v>#REF!</v>
      </c>
    </row>
    <row r="73" spans="2:19" ht="18" x14ac:dyDescent="0.25">
      <c r="B73" s="1560"/>
      <c r="C73" s="1560"/>
      <c r="D73" s="1560"/>
      <c r="E73" s="190"/>
      <c r="F73" s="137"/>
      <c r="G73" s="137"/>
      <c r="H73" s="137"/>
      <c r="I73" s="137"/>
    </row>
    <row r="74" spans="2:19" ht="18" x14ac:dyDescent="0.25">
      <c r="B74" s="1567"/>
      <c r="C74" s="1567"/>
      <c r="D74" s="1567"/>
      <c r="E74" s="143"/>
      <c r="F74" s="137"/>
      <c r="G74" s="137"/>
      <c r="H74" s="137"/>
      <c r="I74" s="137"/>
    </row>
    <row r="75" spans="2:19" x14ac:dyDescent="0.2">
      <c r="B75" s="2"/>
      <c r="C75" s="2"/>
      <c r="D75" s="2"/>
    </row>
    <row r="76" spans="2:19" x14ac:dyDescent="0.2">
      <c r="B76" s="2"/>
      <c r="C76" s="2"/>
      <c r="D76" s="2"/>
    </row>
    <row r="77" spans="2:19" x14ac:dyDescent="0.2">
      <c r="B77" s="2"/>
      <c r="C77" s="2"/>
      <c r="D77" s="2"/>
    </row>
    <row r="78" spans="2:19" x14ac:dyDescent="0.2">
      <c r="B78" s="2"/>
      <c r="C78" s="2"/>
      <c r="D78" s="2"/>
    </row>
    <row r="79" spans="2:19" x14ac:dyDescent="0.2">
      <c r="B79" s="2"/>
      <c r="C79" s="2"/>
      <c r="D79" s="2"/>
    </row>
    <row r="80" spans="2:19" x14ac:dyDescent="0.2">
      <c r="B80" s="2"/>
      <c r="C80" s="2"/>
      <c r="D80" s="2"/>
    </row>
    <row r="81" spans="2:4" x14ac:dyDescent="0.2">
      <c r="B81" s="2"/>
      <c r="C81" s="2"/>
      <c r="D81" s="2"/>
    </row>
    <row r="82" spans="2:4" x14ac:dyDescent="0.2">
      <c r="B82" s="2"/>
      <c r="C82" s="2"/>
      <c r="D82" s="2"/>
    </row>
    <row r="83" spans="2:4" x14ac:dyDescent="0.2">
      <c r="B83" s="2"/>
      <c r="C83" s="2"/>
      <c r="D83" s="2"/>
    </row>
    <row r="84" spans="2:4" x14ac:dyDescent="0.2">
      <c r="B84" s="2"/>
      <c r="C84" s="2"/>
      <c r="D84" s="2"/>
    </row>
    <row r="85" spans="2:4" x14ac:dyDescent="0.2">
      <c r="B85" s="2"/>
      <c r="C85" s="2"/>
      <c r="D85" s="2"/>
    </row>
    <row r="86" spans="2:4" x14ac:dyDescent="0.2">
      <c r="B86" s="2"/>
      <c r="C86" s="2"/>
      <c r="D86" s="2"/>
    </row>
    <row r="87" spans="2:4" x14ac:dyDescent="0.2">
      <c r="B87" s="2"/>
      <c r="C87" s="2"/>
      <c r="D87" s="2"/>
    </row>
    <row r="88" spans="2:4" x14ac:dyDescent="0.2">
      <c r="B88" s="2"/>
      <c r="C88" s="2"/>
      <c r="D88" s="2"/>
    </row>
    <row r="89" spans="2:4" x14ac:dyDescent="0.2">
      <c r="B89" s="2"/>
      <c r="C89" s="2"/>
      <c r="D89" s="2"/>
    </row>
  </sheetData>
  <sheetProtection selectLockedCells="1"/>
  <mergeCells count="17">
    <mergeCell ref="D7:D8"/>
    <mergeCell ref="A28:A30"/>
    <mergeCell ref="B73:D73"/>
    <mergeCell ref="M4:O4"/>
    <mergeCell ref="C6:D6"/>
    <mergeCell ref="B5:D5"/>
    <mergeCell ref="B74:D74"/>
    <mergeCell ref="A22:A23"/>
    <mergeCell ref="A24:A25"/>
    <mergeCell ref="B7:B8"/>
    <mergeCell ref="C7:C8"/>
    <mergeCell ref="B2:D2"/>
    <mergeCell ref="B3:D3"/>
    <mergeCell ref="M2:O2"/>
    <mergeCell ref="M3:O3"/>
    <mergeCell ref="M5:O5"/>
    <mergeCell ref="B4:D4"/>
  </mergeCells>
  <phoneticPr fontId="38" type="noConversion"/>
  <conditionalFormatting sqref="F2">
    <cfRule type="cellIs" dxfId="2" priority="1" stopIfTrue="1" operator="equal">
      <formula>0</formula>
    </cfRule>
  </conditionalFormatting>
  <conditionalFormatting sqref="F4">
    <cfRule type="cellIs" dxfId="1" priority="2" stopIfTrue="1" operator="equal">
      <formula>0</formula>
    </cfRule>
  </conditionalFormatting>
  <conditionalFormatting sqref="B7:D71">
    <cfRule type="expression" dxfId="0" priority="3" stopIfTrue="1">
      <formula>$R$1=0</formula>
    </cfRule>
  </conditionalFormatting>
  <dataValidations xWindow="1212" yWindow="111" count="2">
    <dataValidation type="decimal" allowBlank="1" showInputMessage="1" showErrorMessage="1" promptTitle="ВНИМАНИЕ" prompt="Введите количество личного состава по общевойсковому пайку!" sqref="F2">
      <formula1>0</formula1>
      <formula2>5000</formula2>
    </dataValidation>
    <dataValidation type="decimal" allowBlank="1" showInputMessage="1" showErrorMessage="1" promptTitle="ВНИМАНИЕ" prompt="Введите количество личного состава по лечебному пайку!" sqref="F4">
      <formula1>0</formula1>
      <formula2>5000</formula2>
    </dataValidation>
  </dataValidations>
  <pageMargins left="0.78740157480314965" right="0.19685039370078741" top="0.59055118110236227" bottom="0.59055118110236227" header="0" footer="0"/>
  <pageSetup paperSize="9" scale="69" orientation="portrait" horizontalDpi="120" verticalDpi="144" r:id="rId1"/>
  <headerFooter alignWithMargins="0"/>
  <rowBreaks count="1" manualBreakCount="1">
    <brk id="58" min="1" max="10" man="1"/>
  </rowBreak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Q212"/>
  <sheetViews>
    <sheetView topLeftCell="A168" workbookViewId="0">
      <selection activeCell="G195" sqref="G195"/>
    </sheetView>
  </sheetViews>
  <sheetFormatPr defaultRowHeight="12.75" outlineLevelRow="1" x14ac:dyDescent="0.2"/>
  <cols>
    <col min="1" max="1" width="30.42578125" customWidth="1"/>
    <col min="2" max="2" width="24.7109375" customWidth="1"/>
    <col min="3" max="3" width="12.140625" bestFit="1" customWidth="1"/>
    <col min="4" max="4" width="11.28515625" style="4" bestFit="1" customWidth="1"/>
    <col min="5" max="5" width="10.5703125" style="4" customWidth="1"/>
    <col min="6" max="6" width="12.28515625" style="4" customWidth="1"/>
    <col min="7" max="7" width="11.7109375" style="4" customWidth="1"/>
    <col min="8" max="8" width="11.28515625" style="4" bestFit="1" customWidth="1"/>
    <col min="9" max="10" width="9.140625" style="4"/>
  </cols>
  <sheetData>
    <row r="1" spans="1:10" s="98" customFormat="1" ht="12.75" customHeight="1" x14ac:dyDescent="0.2">
      <c r="A1" s="108">
        <f>Пн!D72</f>
        <v>0</v>
      </c>
      <c r="B1" s="109" t="s">
        <v>344</v>
      </c>
      <c r="C1" s="97"/>
      <c r="D1" s="113"/>
      <c r="E1" s="113" t="s">
        <v>189</v>
      </c>
      <c r="F1" s="113"/>
      <c r="G1" s="113"/>
      <c r="H1" s="113"/>
      <c r="I1" s="114"/>
      <c r="J1" s="114"/>
    </row>
    <row r="2" spans="1:10" s="98" customFormat="1" ht="12.75" customHeight="1" x14ac:dyDescent="0.2">
      <c r="A2" s="110" t="s">
        <v>387</v>
      </c>
      <c r="B2" s="109" t="s">
        <v>340</v>
      </c>
      <c r="C2" s="97"/>
      <c r="D2" s="113"/>
      <c r="E2" s="113"/>
      <c r="F2" s="113"/>
      <c r="G2" s="113"/>
      <c r="H2" s="113"/>
      <c r="I2" s="114"/>
      <c r="J2" s="114"/>
    </row>
    <row r="3" spans="1:10" s="98" customFormat="1" ht="12.75" customHeight="1" x14ac:dyDescent="0.2">
      <c r="A3" s="110" t="s">
        <v>388</v>
      </c>
      <c r="B3" s="109" t="s">
        <v>341</v>
      </c>
      <c r="C3" s="97"/>
      <c r="D3" s="113"/>
      <c r="E3" s="113"/>
      <c r="F3" s="113"/>
      <c r="G3" s="113"/>
      <c r="H3" s="113"/>
      <c r="I3" s="114"/>
      <c r="J3" s="114"/>
    </row>
    <row r="4" spans="1:10" s="98" customFormat="1" ht="12.75" customHeight="1" x14ac:dyDescent="0.2">
      <c r="A4" s="110" t="s">
        <v>389</v>
      </c>
      <c r="B4" s="109" t="s">
        <v>342</v>
      </c>
      <c r="C4" s="97"/>
      <c r="D4" s="113"/>
      <c r="E4" s="113"/>
      <c r="F4" s="113"/>
      <c r="G4" s="113"/>
      <c r="H4" s="113"/>
      <c r="I4" s="114"/>
      <c r="J4" s="114"/>
    </row>
    <row r="5" spans="1:10" s="98" customFormat="1" ht="12.75" customHeight="1" thickBot="1" x14ac:dyDescent="0.25">
      <c r="A5" s="111" t="s">
        <v>346</v>
      </c>
      <c r="B5" s="109" t="s">
        <v>345</v>
      </c>
      <c r="C5" s="97"/>
      <c r="D5" s="113"/>
      <c r="E5" s="113"/>
      <c r="F5" s="113"/>
      <c r="G5" s="113"/>
      <c r="H5" s="113"/>
      <c r="I5" s="114"/>
      <c r="J5" s="114"/>
    </row>
    <row r="6" spans="1:10" s="98" customFormat="1" ht="12.75" customHeight="1" thickBot="1" x14ac:dyDescent="0.3">
      <c r="A6" s="112" t="str">
        <f>REPLACE(A18,1,2,UPPER(LEFT(A18,2)))</f>
        <v xml:space="preserve"> Ноль ) наименований</v>
      </c>
      <c r="B6" s="109" t="s">
        <v>339</v>
      </c>
      <c r="C6" s="97"/>
      <c r="D6" s="115"/>
      <c r="E6" s="116"/>
      <c r="F6" s="116"/>
      <c r="G6" s="116"/>
      <c r="H6" s="116"/>
      <c r="I6" s="117"/>
      <c r="J6" s="118"/>
    </row>
    <row r="7" spans="1:10" s="98" customFormat="1" ht="12.75" hidden="1" customHeight="1" outlineLevel="1" x14ac:dyDescent="0.2">
      <c r="A7" s="94">
        <v>0</v>
      </c>
      <c r="B7" s="95" t="str">
        <f>""</f>
        <v/>
      </c>
      <c r="C7" s="96" t="s">
        <v>285</v>
      </c>
      <c r="D7" s="119" t="str">
        <f>""</f>
        <v/>
      </c>
      <c r="E7" s="120" t="str">
        <f>""</f>
        <v/>
      </c>
      <c r="F7" s="121" t="str">
        <f>" "&amp; A2</f>
        <v xml:space="preserve"> ) наименование</v>
      </c>
      <c r="G7" s="113" t="s">
        <v>286</v>
      </c>
      <c r="H7" s="113" t="s">
        <v>287</v>
      </c>
      <c r="I7" s="114" t="s">
        <v>288</v>
      </c>
      <c r="J7" s="114" t="s">
        <v>289</v>
      </c>
    </row>
    <row r="8" spans="1:10" s="98" customFormat="1" ht="12.75" hidden="1" customHeight="1" outlineLevel="1" x14ac:dyDescent="0.2">
      <c r="A8" s="94">
        <v>1</v>
      </c>
      <c r="B8" s="99" t="s">
        <v>290</v>
      </c>
      <c r="C8" s="100" t="s">
        <v>291</v>
      </c>
      <c r="D8" s="119" t="str">
        <f>""</f>
        <v/>
      </c>
      <c r="E8" s="120" t="s">
        <v>292</v>
      </c>
      <c r="F8" s="121" t="str">
        <f>" "&amp; A3</f>
        <v xml:space="preserve"> ) наименования</v>
      </c>
      <c r="G8" s="113" t="s">
        <v>293</v>
      </c>
      <c r="H8" s="113" t="s">
        <v>294</v>
      </c>
      <c r="I8" s="114" t="s">
        <v>295</v>
      </c>
      <c r="J8" s="114" t="s">
        <v>296</v>
      </c>
    </row>
    <row r="9" spans="1:10" s="98" customFormat="1" ht="12.75" hidden="1" customHeight="1" outlineLevel="1" x14ac:dyDescent="0.2">
      <c r="A9" s="94">
        <v>2</v>
      </c>
      <c r="B9" s="99" t="s">
        <v>297</v>
      </c>
      <c r="C9" s="100" t="s">
        <v>298</v>
      </c>
      <c r="D9" s="119" t="s">
        <v>299</v>
      </c>
      <c r="E9" s="120" t="s">
        <v>300</v>
      </c>
      <c r="F9" s="121" t="str">
        <f>" "&amp;A4</f>
        <v xml:space="preserve"> ) наименований</v>
      </c>
      <c r="G9" s="113" t="s">
        <v>301</v>
      </c>
      <c r="H9" s="113" t="s">
        <v>302</v>
      </c>
      <c r="I9" s="114" t="s">
        <v>303</v>
      </c>
      <c r="J9" s="114" t="s">
        <v>304</v>
      </c>
    </row>
    <row r="10" spans="1:10" s="98" customFormat="1" ht="12.75" hidden="1" customHeight="1" outlineLevel="1" x14ac:dyDescent="0.2">
      <c r="A10" s="94">
        <v>3</v>
      </c>
      <c r="B10" s="99" t="s">
        <v>305</v>
      </c>
      <c r="C10" s="100" t="s">
        <v>306</v>
      </c>
      <c r="D10" s="119" t="s">
        <v>307</v>
      </c>
      <c r="E10" s="120" t="s">
        <v>308</v>
      </c>
      <c r="F10" s="113">
        <f>IF(A5="Ж",2,IF(A5="С",3,1))</f>
        <v>3</v>
      </c>
      <c r="G10" s="113"/>
      <c r="H10" s="113"/>
      <c r="I10" s="114"/>
      <c r="J10" s="114"/>
    </row>
    <row r="11" spans="1:10" s="98" customFormat="1" ht="12.75" hidden="1" customHeight="1" outlineLevel="1" x14ac:dyDescent="0.2">
      <c r="A11" s="94">
        <v>4</v>
      </c>
      <c r="B11" s="99" t="s">
        <v>309</v>
      </c>
      <c r="C11" s="100" t="s">
        <v>310</v>
      </c>
      <c r="D11" s="119" t="s">
        <v>311</v>
      </c>
      <c r="E11" s="120" t="s">
        <v>312</v>
      </c>
      <c r="F11" s="113"/>
      <c r="G11" s="113"/>
      <c r="H11" s="113"/>
      <c r="I11" s="114"/>
      <c r="J11" s="114"/>
    </row>
    <row r="12" spans="1:10" s="98" customFormat="1" ht="12.75" hidden="1" customHeight="1" outlineLevel="1" x14ac:dyDescent="0.2">
      <c r="A12" s="94">
        <v>5</v>
      </c>
      <c r="B12" s="99" t="s">
        <v>313</v>
      </c>
      <c r="C12" s="100" t="s">
        <v>314</v>
      </c>
      <c r="D12" s="119" t="s">
        <v>315</v>
      </c>
      <c r="E12" s="120" t="s">
        <v>316</v>
      </c>
      <c r="F12" s="113" t="s">
        <v>317</v>
      </c>
      <c r="G12" s="113" t="s">
        <v>343</v>
      </c>
      <c r="H12" s="113"/>
      <c r="I12" s="114"/>
      <c r="J12" s="114"/>
    </row>
    <row r="13" spans="1:10" s="98" customFormat="1" ht="12.75" hidden="1" customHeight="1" outlineLevel="1" x14ac:dyDescent="0.2">
      <c r="A13" s="94">
        <v>6</v>
      </c>
      <c r="B13" s="99" t="s">
        <v>318</v>
      </c>
      <c r="C13" s="100" t="s">
        <v>319</v>
      </c>
      <c r="D13" s="119" t="s">
        <v>320</v>
      </c>
      <c r="E13" s="120" t="s">
        <v>321</v>
      </c>
      <c r="F13" s="113" t="s">
        <v>322</v>
      </c>
      <c r="G13" s="113" t="s">
        <v>297</v>
      </c>
      <c r="H13" s="113"/>
      <c r="I13" s="114"/>
      <c r="J13" s="114"/>
    </row>
    <row r="14" spans="1:10" s="98" customFormat="1" ht="12.75" hidden="1" customHeight="1" outlineLevel="1" x14ac:dyDescent="0.2">
      <c r="A14" s="94">
        <v>7</v>
      </c>
      <c r="B14" s="99" t="s">
        <v>323</v>
      </c>
      <c r="C14" s="100" t="s">
        <v>324</v>
      </c>
      <c r="D14" s="119" t="s">
        <v>325</v>
      </c>
      <c r="E14" s="120" t="s">
        <v>326</v>
      </c>
      <c r="F14" s="113"/>
      <c r="G14" s="113"/>
      <c r="H14" s="113"/>
      <c r="I14" s="114"/>
      <c r="J14" s="114"/>
    </row>
    <row r="15" spans="1:10" s="98" customFormat="1" ht="12.75" hidden="1" customHeight="1" outlineLevel="1" x14ac:dyDescent="0.2">
      <c r="A15" s="94">
        <v>8</v>
      </c>
      <c r="B15" s="99" t="s">
        <v>327</v>
      </c>
      <c r="C15" s="100" t="s">
        <v>328</v>
      </c>
      <c r="D15" s="119" t="s">
        <v>329</v>
      </c>
      <c r="E15" s="120" t="s">
        <v>330</v>
      </c>
      <c r="F15" s="113"/>
      <c r="G15" s="113"/>
      <c r="H15" s="113"/>
      <c r="I15" s="114"/>
      <c r="J15" s="114"/>
    </row>
    <row r="16" spans="1:10" s="98" customFormat="1" ht="12.75" hidden="1" customHeight="1" outlineLevel="1" x14ac:dyDescent="0.2">
      <c r="A16" s="94">
        <v>9</v>
      </c>
      <c r="B16" s="101" t="s">
        <v>331</v>
      </c>
      <c r="C16" s="102" t="s">
        <v>332</v>
      </c>
      <c r="D16" s="122" t="s">
        <v>333</v>
      </c>
      <c r="E16" s="123" t="s">
        <v>334</v>
      </c>
      <c r="F16" s="113"/>
      <c r="G16" s="113"/>
      <c r="H16" s="113"/>
      <c r="I16" s="114"/>
      <c r="J16" s="114"/>
    </row>
    <row r="17" spans="1:11" s="98" customFormat="1" ht="12.75" hidden="1" customHeight="1" outlineLevel="1" x14ac:dyDescent="0.2">
      <c r="A17" s="94"/>
      <c r="B17" s="97">
        <v>-1</v>
      </c>
      <c r="C17" s="103">
        <f>A1-POWER(10,B17)*INT(A1/POWER(10,B17))</f>
        <v>0</v>
      </c>
      <c r="D17" s="124">
        <f>C17</f>
        <v>0</v>
      </c>
      <c r="E17" s="125">
        <f>ROUND(D17/POWER(10,B17-1),0)</f>
        <v>0</v>
      </c>
      <c r="F17" s="113"/>
      <c r="G17" s="113"/>
      <c r="H17" s="113"/>
      <c r="I17" s="114"/>
      <c r="J17" s="114"/>
    </row>
    <row r="18" spans="1:11" s="98" customFormat="1" ht="12.75" hidden="1" customHeight="1" outlineLevel="1" x14ac:dyDescent="0.2">
      <c r="A18" s="104" t="str">
        <f>CONCATENATE(G30,G29,G28,H28,G27,G26,G25,H25,G24,G23,G22,H22,G21,G20,G19,H19)</f>
        <v xml:space="preserve"> ноль ) наименований</v>
      </c>
      <c r="B18" s="97">
        <v>0</v>
      </c>
      <c r="C18" s="103">
        <f>A1-POWER(10,B18)*INT(A1/POWER(10,B18))</f>
        <v>0</v>
      </c>
      <c r="D18" s="126">
        <f>C18-D17</f>
        <v>0</v>
      </c>
      <c r="E18" s="125">
        <f t="shared" ref="E18:E30" si="0">D18/POWER(10,B18-1)</f>
        <v>0</v>
      </c>
      <c r="F18" s="127" t="s">
        <v>335</v>
      </c>
      <c r="G18" s="127" t="s">
        <v>336</v>
      </c>
      <c r="H18" s="127" t="s">
        <v>337</v>
      </c>
      <c r="I18" s="128"/>
      <c r="J18" s="128"/>
      <c r="K18" s="105"/>
    </row>
    <row r="19" spans="1:11" s="98" customFormat="1" ht="12.75" hidden="1" customHeight="1" outlineLevel="1" x14ac:dyDescent="0.2">
      <c r="A19" s="94"/>
      <c r="B19" s="97">
        <v>1</v>
      </c>
      <c r="C19" s="106">
        <f>A1-POWER(10,B19)*INT(A1/POWER(10,B19))</f>
        <v>0</v>
      </c>
      <c r="D19" s="125">
        <f>C19-D18-D17</f>
        <v>0</v>
      </c>
      <c r="E19" s="113">
        <f t="shared" si="0"/>
        <v>0</v>
      </c>
      <c r="F19" s="113" t="str">
        <f>IF(E20&gt;=2,INDEX(B7:C16,E19+1,1),INDEX(B7:C16,E19+1,E20+1))</f>
        <v/>
      </c>
      <c r="G19" s="129" t="str">
        <f>IF(AND(E19=2,E20&lt;&gt;1),CHOOSE(F10,F19,F13,G13),IF(AND(E19=1,E20&lt;&gt;1),CHOOSE(F10,F19,F12,G12),F19))</f>
        <v/>
      </c>
      <c r="H19" s="113" t="str">
        <f>IF(SUM(E19:E30)=0," ноль ) наименований",IF(E20&lt;&gt;1,IF(OR(E19&gt;4,E19=0),F9,IF(E19=1,F7,F8)),F9))</f>
        <v xml:space="preserve"> ноль ) наименований</v>
      </c>
      <c r="I19" s="130"/>
      <c r="J19" s="113"/>
    </row>
    <row r="20" spans="1:11" s="98" customFormat="1" ht="12.75" hidden="1" customHeight="1" outlineLevel="1" x14ac:dyDescent="0.2">
      <c r="A20" s="107" t="s">
        <v>338</v>
      </c>
      <c r="B20" s="97">
        <v>2</v>
      </c>
      <c r="C20" s="106">
        <f>A1-POWER(10,B20)*INT(A1/POWER(10,B20))</f>
        <v>0</v>
      </c>
      <c r="D20" s="113">
        <f t="shared" ref="D20:D30" si="1">C20-C19</f>
        <v>0</v>
      </c>
      <c r="E20" s="113">
        <f t="shared" si="0"/>
        <v>0</v>
      </c>
      <c r="F20" s="113" t="str">
        <f>IF(E20&gt;=2,INDEX(D7:D16,E20+1),"")</f>
        <v/>
      </c>
      <c r="G20" s="113" t="str">
        <f>F20</f>
        <v/>
      </c>
      <c r="H20" s="113"/>
      <c r="I20" s="114"/>
      <c r="J20" s="114"/>
    </row>
    <row r="21" spans="1:11" s="98" customFormat="1" ht="12.75" hidden="1" customHeight="1" outlineLevel="1" x14ac:dyDescent="0.2">
      <c r="A21" s="94"/>
      <c r="B21" s="97">
        <v>3</v>
      </c>
      <c r="C21" s="106">
        <f>A1-POWER(10,B21)*INT(A1/POWER(10,B21))</f>
        <v>0</v>
      </c>
      <c r="D21" s="113">
        <f t="shared" si="1"/>
        <v>0</v>
      </c>
      <c r="E21" s="113">
        <f t="shared" si="0"/>
        <v>0</v>
      </c>
      <c r="F21" s="113" t="str">
        <f>INDEX(E7:E16,E21+1)</f>
        <v/>
      </c>
      <c r="G21" s="113" t="str">
        <f>F21</f>
        <v/>
      </c>
      <c r="H21" s="113"/>
      <c r="I21" s="114"/>
      <c r="J21" s="114"/>
    </row>
    <row r="22" spans="1:11" s="98" customFormat="1" ht="12.75" hidden="1" customHeight="1" outlineLevel="1" x14ac:dyDescent="0.2">
      <c r="A22" s="94"/>
      <c r="B22" s="97">
        <v>4</v>
      </c>
      <c r="C22" s="106">
        <f>A1-POWER(10,B22)*INT(A1/POWER(10,B22))</f>
        <v>0</v>
      </c>
      <c r="D22" s="113">
        <f t="shared" si="1"/>
        <v>0</v>
      </c>
      <c r="E22" s="113">
        <f t="shared" si="0"/>
        <v>0</v>
      </c>
      <c r="F22" s="113" t="str">
        <f>IF(E23&gt;=2,INDEX(B7:C16,E22+1,1),INDEX(B7:C16,E22+1,E23+1))</f>
        <v/>
      </c>
      <c r="G22" s="129" t="str">
        <f>IF(F22=" один",F12,IF(F22=" два",F13,F22))</f>
        <v/>
      </c>
      <c r="H22" s="113" t="str">
        <f>IF(OR(E24&lt;&gt;0,E23&lt;&gt;0,E22&lt;&gt;0),IF(E23&lt;&gt;1,IF(OR(E22&gt;4,E22=0),G9,IF(E22=1,G7,G8)),G9),"")</f>
        <v/>
      </c>
      <c r="I22" s="114"/>
      <c r="J22" s="114"/>
    </row>
    <row r="23" spans="1:11" s="98" customFormat="1" ht="12.75" hidden="1" customHeight="1" outlineLevel="1" x14ac:dyDescent="0.2">
      <c r="A23" s="94"/>
      <c r="B23" s="97">
        <v>5</v>
      </c>
      <c r="C23" s="106">
        <f>A1-POWER(10,B23)*INT(A1/POWER(10,B23))</f>
        <v>0</v>
      </c>
      <c r="D23" s="113">
        <f t="shared" si="1"/>
        <v>0</v>
      </c>
      <c r="E23" s="113">
        <f t="shared" si="0"/>
        <v>0</v>
      </c>
      <c r="F23" s="113" t="str">
        <f>IF(E23&gt;=2,INDEX(D7:D16,E23+1),"")</f>
        <v/>
      </c>
      <c r="G23" s="113" t="str">
        <f t="shared" ref="G23:G30" si="2">F23</f>
        <v/>
      </c>
      <c r="H23" s="113"/>
      <c r="I23" s="114"/>
      <c r="J23" s="114"/>
    </row>
    <row r="24" spans="1:11" s="98" customFormat="1" ht="12.75" hidden="1" customHeight="1" outlineLevel="1" x14ac:dyDescent="0.2">
      <c r="A24" s="94"/>
      <c r="B24" s="97">
        <v>6</v>
      </c>
      <c r="C24" s="106">
        <f>A1-POWER(10,B24)*INT(A1/POWER(10,B24))</f>
        <v>0</v>
      </c>
      <c r="D24" s="113">
        <f t="shared" si="1"/>
        <v>0</v>
      </c>
      <c r="E24" s="113">
        <f t="shared" si="0"/>
        <v>0</v>
      </c>
      <c r="F24" s="113" t="str">
        <f>INDEX(E7:E16,E24+1)</f>
        <v/>
      </c>
      <c r="G24" s="113" t="str">
        <f t="shared" si="2"/>
        <v/>
      </c>
      <c r="H24" s="113"/>
      <c r="I24" s="114"/>
      <c r="J24" s="114"/>
    </row>
    <row r="25" spans="1:11" s="98" customFormat="1" ht="12.75" hidden="1" customHeight="1" outlineLevel="1" x14ac:dyDescent="0.2">
      <c r="A25" s="94"/>
      <c r="B25" s="97">
        <v>7</v>
      </c>
      <c r="C25" s="106">
        <f>A1-POWER(10,B25)*INT(A1/POWER(10,B25))</f>
        <v>0</v>
      </c>
      <c r="D25" s="113">
        <f t="shared" si="1"/>
        <v>0</v>
      </c>
      <c r="E25" s="113">
        <f t="shared" si="0"/>
        <v>0</v>
      </c>
      <c r="F25" s="113" t="str">
        <f>IF(E26&gt;=2,INDEX(B7:C16,E25+1,1),INDEX(B7:C16,E25+1,E26+1))</f>
        <v/>
      </c>
      <c r="G25" s="113" t="str">
        <f t="shared" si="2"/>
        <v/>
      </c>
      <c r="H25" s="113" t="str">
        <f>IF(OR(E25&lt;&gt;0,E26&lt;&gt;0,E27&lt;&gt;0),IF(E26&lt;&gt;1,IF(OR(E25&gt;4,E25=0),H9,IF(E25=1,H7,H8)),H9),"")</f>
        <v/>
      </c>
      <c r="I25" s="114"/>
      <c r="J25" s="114"/>
    </row>
    <row r="26" spans="1:11" s="98" customFormat="1" ht="12.75" hidden="1" customHeight="1" outlineLevel="1" x14ac:dyDescent="0.2">
      <c r="A26" s="94"/>
      <c r="B26" s="97">
        <v>8</v>
      </c>
      <c r="C26" s="106">
        <f>A1-POWER(10,B26)*INT(A1/POWER(10,B26))</f>
        <v>0</v>
      </c>
      <c r="D26" s="113">
        <f t="shared" si="1"/>
        <v>0</v>
      </c>
      <c r="E26" s="113">
        <f t="shared" si="0"/>
        <v>0</v>
      </c>
      <c r="F26" s="113" t="str">
        <f>IF(E26&gt;=2,INDEX(D7:D16,E26+1),"")</f>
        <v/>
      </c>
      <c r="G26" s="113" t="str">
        <f t="shared" si="2"/>
        <v/>
      </c>
      <c r="H26" s="113"/>
      <c r="I26" s="114"/>
      <c r="J26" s="114"/>
    </row>
    <row r="27" spans="1:11" s="98" customFormat="1" ht="12.75" hidden="1" customHeight="1" outlineLevel="1" x14ac:dyDescent="0.2">
      <c r="A27" s="94"/>
      <c r="B27" s="97">
        <v>9</v>
      </c>
      <c r="C27" s="106">
        <f>A1-POWER(10,B27)*INT(A1/POWER(10,B27))</f>
        <v>0</v>
      </c>
      <c r="D27" s="113">
        <f t="shared" si="1"/>
        <v>0</v>
      </c>
      <c r="E27" s="113">
        <f t="shared" si="0"/>
        <v>0</v>
      </c>
      <c r="F27" s="113" t="str">
        <f>INDEX(E7:E16,E27+1)</f>
        <v/>
      </c>
      <c r="G27" s="113" t="str">
        <f t="shared" si="2"/>
        <v/>
      </c>
      <c r="H27" s="113"/>
      <c r="I27" s="114"/>
      <c r="J27" s="114"/>
    </row>
    <row r="28" spans="1:11" s="98" customFormat="1" ht="12.75" hidden="1" customHeight="1" outlineLevel="1" x14ac:dyDescent="0.2">
      <c r="A28" s="94"/>
      <c r="B28" s="97">
        <v>10</v>
      </c>
      <c r="C28" s="106">
        <f>A1-POWER(10,B28)*INT(A1/POWER(10,B28))</f>
        <v>0</v>
      </c>
      <c r="D28" s="113">
        <f t="shared" si="1"/>
        <v>0</v>
      </c>
      <c r="E28" s="113">
        <f t="shared" si="0"/>
        <v>0</v>
      </c>
      <c r="F28" s="113" t="str">
        <f>IF(E29&gt;=2,INDEX(B7:C16,E28+1,1),INDEX(B7:C16,E28+1,E29+1))</f>
        <v/>
      </c>
      <c r="G28" s="113" t="str">
        <f t="shared" si="2"/>
        <v/>
      </c>
      <c r="H28" s="113" t="str">
        <f>IF(OR(E28&lt;&gt;0,E29&lt;&gt;0,E30&lt;&gt;0),IF(E29&lt;&gt;1,IF(OR(E28&gt;4,E28=0),I9,IF(E28=1,I7,I8)),I9),"")</f>
        <v/>
      </c>
      <c r="I28" s="114"/>
      <c r="J28" s="114"/>
    </row>
    <row r="29" spans="1:11" s="98" customFormat="1" ht="12.75" hidden="1" customHeight="1" outlineLevel="1" x14ac:dyDescent="0.2">
      <c r="A29" s="94"/>
      <c r="B29" s="97">
        <v>11</v>
      </c>
      <c r="C29" s="106">
        <f>A1-POWER(10,B29)*INT(A1/POWER(10,B29))</f>
        <v>0</v>
      </c>
      <c r="D29" s="113">
        <f t="shared" si="1"/>
        <v>0</v>
      </c>
      <c r="E29" s="113">
        <f t="shared" si="0"/>
        <v>0</v>
      </c>
      <c r="F29" s="113" t="str">
        <f>IF(E29&gt;=2,INDEX(D7:D16,E29+1),"")</f>
        <v/>
      </c>
      <c r="G29" s="113" t="str">
        <f t="shared" si="2"/>
        <v/>
      </c>
      <c r="H29" s="113"/>
      <c r="I29" s="114"/>
      <c r="J29" s="114"/>
    </row>
    <row r="30" spans="1:11" s="98" customFormat="1" ht="12.75" hidden="1" customHeight="1" outlineLevel="1" thickBot="1" x14ac:dyDescent="0.25">
      <c r="A30" s="94"/>
      <c r="B30" s="97">
        <v>12</v>
      </c>
      <c r="C30" s="106">
        <f>A1-POWER(10,B30)*INT(A1/POWER(10,B30))</f>
        <v>0</v>
      </c>
      <c r="D30" s="113">
        <f t="shared" si="1"/>
        <v>0</v>
      </c>
      <c r="E30" s="113">
        <f t="shared" si="0"/>
        <v>0</v>
      </c>
      <c r="F30" s="113" t="str">
        <f>INDEX(E7:E16,E30+1)</f>
        <v/>
      </c>
      <c r="G30" s="113" t="str">
        <f t="shared" si="2"/>
        <v/>
      </c>
      <c r="H30" s="113"/>
      <c r="I30" s="114"/>
      <c r="J30" s="114"/>
    </row>
    <row r="31" spans="1:11" s="98" customFormat="1" ht="12.75" customHeight="1" collapsed="1" x14ac:dyDescent="0.2">
      <c r="A31" s="108">
        <f>Вт!D72</f>
        <v>0</v>
      </c>
      <c r="B31" s="109" t="s">
        <v>344</v>
      </c>
      <c r="C31" s="97"/>
      <c r="D31" s="113"/>
      <c r="E31" s="113" t="s">
        <v>190</v>
      </c>
      <c r="F31" s="113"/>
      <c r="G31" s="113"/>
      <c r="H31" s="113"/>
      <c r="I31" s="114"/>
      <c r="J31" s="114"/>
    </row>
    <row r="32" spans="1:11" s="98" customFormat="1" ht="12.75" customHeight="1" x14ac:dyDescent="0.2">
      <c r="A32" s="110" t="s">
        <v>387</v>
      </c>
      <c r="B32" s="109" t="s">
        <v>340</v>
      </c>
      <c r="C32" s="97"/>
      <c r="D32" s="113"/>
      <c r="E32" s="113"/>
      <c r="F32" s="113"/>
      <c r="G32" s="113"/>
      <c r="H32" s="113"/>
      <c r="I32" s="114"/>
      <c r="J32" s="114"/>
    </row>
    <row r="33" spans="1:11" s="98" customFormat="1" ht="12.75" customHeight="1" x14ac:dyDescent="0.2">
      <c r="A33" s="110" t="s">
        <v>388</v>
      </c>
      <c r="B33" s="109" t="s">
        <v>341</v>
      </c>
      <c r="C33" s="97"/>
      <c r="D33" s="113"/>
      <c r="E33" s="113"/>
      <c r="F33" s="113"/>
      <c r="G33" s="113"/>
      <c r="H33" s="113"/>
      <c r="I33" s="114"/>
      <c r="J33" s="114"/>
    </row>
    <row r="34" spans="1:11" s="98" customFormat="1" ht="12.75" customHeight="1" x14ac:dyDescent="0.2">
      <c r="A34" s="110" t="s">
        <v>389</v>
      </c>
      <c r="B34" s="109" t="s">
        <v>342</v>
      </c>
      <c r="C34" s="97"/>
      <c r="D34" s="113"/>
      <c r="E34" s="113"/>
      <c r="F34" s="113"/>
      <c r="G34" s="113"/>
      <c r="H34" s="113"/>
      <c r="I34" s="114"/>
      <c r="J34" s="114"/>
    </row>
    <row r="35" spans="1:11" s="98" customFormat="1" ht="12.75" customHeight="1" thickBot="1" x14ac:dyDescent="0.25">
      <c r="A35" s="111" t="s">
        <v>346</v>
      </c>
      <c r="B35" s="109" t="s">
        <v>345</v>
      </c>
      <c r="C35" s="97"/>
      <c r="D35" s="113"/>
      <c r="E35" s="113"/>
      <c r="F35" s="113"/>
      <c r="G35" s="113"/>
      <c r="H35" s="113"/>
      <c r="I35" s="114"/>
      <c r="J35" s="114"/>
    </row>
    <row r="36" spans="1:11" s="98" customFormat="1" ht="12.75" customHeight="1" thickBot="1" x14ac:dyDescent="0.3">
      <c r="A36" s="112" t="str">
        <f>REPLACE(A48,1,2,UPPER(LEFT(A48,2)))</f>
        <v xml:space="preserve"> Ноль ) наименований</v>
      </c>
      <c r="B36" s="109" t="s">
        <v>339</v>
      </c>
      <c r="C36" s="97"/>
      <c r="D36" s="115"/>
      <c r="E36" s="116"/>
      <c r="F36" s="116"/>
      <c r="G36" s="116"/>
      <c r="H36" s="116"/>
      <c r="I36" s="117"/>
      <c r="J36" s="118"/>
    </row>
    <row r="37" spans="1:11" s="98" customFormat="1" ht="12.75" hidden="1" customHeight="1" outlineLevel="1" x14ac:dyDescent="0.2">
      <c r="A37" s="94">
        <v>0</v>
      </c>
      <c r="B37" s="95" t="str">
        <f>""</f>
        <v/>
      </c>
      <c r="C37" s="96" t="s">
        <v>285</v>
      </c>
      <c r="D37" s="119" t="str">
        <f>""</f>
        <v/>
      </c>
      <c r="E37" s="120" t="str">
        <f>""</f>
        <v/>
      </c>
      <c r="F37" s="121" t="str">
        <f>" "&amp; A32</f>
        <v xml:space="preserve"> ) наименование</v>
      </c>
      <c r="G37" s="113" t="s">
        <v>286</v>
      </c>
      <c r="H37" s="113" t="s">
        <v>287</v>
      </c>
      <c r="I37" s="114" t="s">
        <v>288</v>
      </c>
      <c r="J37" s="114" t="s">
        <v>289</v>
      </c>
    </row>
    <row r="38" spans="1:11" s="98" customFormat="1" ht="12.75" hidden="1" customHeight="1" outlineLevel="1" x14ac:dyDescent="0.2">
      <c r="A38" s="94">
        <v>1</v>
      </c>
      <c r="B38" s="99" t="s">
        <v>290</v>
      </c>
      <c r="C38" s="100" t="s">
        <v>291</v>
      </c>
      <c r="D38" s="119" t="str">
        <f>""</f>
        <v/>
      </c>
      <c r="E38" s="120" t="s">
        <v>292</v>
      </c>
      <c r="F38" s="121" t="str">
        <f>" "&amp; A33</f>
        <v xml:space="preserve"> ) наименования</v>
      </c>
      <c r="G38" s="113" t="s">
        <v>293</v>
      </c>
      <c r="H38" s="113" t="s">
        <v>294</v>
      </c>
      <c r="I38" s="114" t="s">
        <v>295</v>
      </c>
      <c r="J38" s="114" t="s">
        <v>296</v>
      </c>
    </row>
    <row r="39" spans="1:11" s="98" customFormat="1" ht="12.75" hidden="1" customHeight="1" outlineLevel="1" x14ac:dyDescent="0.2">
      <c r="A39" s="94">
        <v>2</v>
      </c>
      <c r="B39" s="99" t="s">
        <v>297</v>
      </c>
      <c r="C39" s="100" t="s">
        <v>298</v>
      </c>
      <c r="D39" s="119" t="s">
        <v>299</v>
      </c>
      <c r="E39" s="120" t="s">
        <v>300</v>
      </c>
      <c r="F39" s="121" t="str">
        <f>" "&amp;A34</f>
        <v xml:space="preserve"> ) наименований</v>
      </c>
      <c r="G39" s="113" t="s">
        <v>301</v>
      </c>
      <c r="H39" s="113" t="s">
        <v>302</v>
      </c>
      <c r="I39" s="114" t="s">
        <v>303</v>
      </c>
      <c r="J39" s="114" t="s">
        <v>304</v>
      </c>
    </row>
    <row r="40" spans="1:11" s="98" customFormat="1" ht="12.75" hidden="1" customHeight="1" outlineLevel="1" x14ac:dyDescent="0.2">
      <c r="A40" s="94">
        <v>3</v>
      </c>
      <c r="B40" s="99" t="s">
        <v>305</v>
      </c>
      <c r="C40" s="100" t="s">
        <v>306</v>
      </c>
      <c r="D40" s="119" t="s">
        <v>307</v>
      </c>
      <c r="E40" s="120" t="s">
        <v>308</v>
      </c>
      <c r="F40" s="113">
        <f>IF(A35="Ж",2,IF(A35="С",3,1))</f>
        <v>3</v>
      </c>
      <c r="G40" s="113"/>
      <c r="H40" s="113"/>
      <c r="I40" s="114"/>
      <c r="J40" s="114"/>
    </row>
    <row r="41" spans="1:11" s="98" customFormat="1" ht="12.75" hidden="1" customHeight="1" outlineLevel="1" x14ac:dyDescent="0.2">
      <c r="A41" s="94">
        <v>4</v>
      </c>
      <c r="B41" s="99" t="s">
        <v>309</v>
      </c>
      <c r="C41" s="100" t="s">
        <v>310</v>
      </c>
      <c r="D41" s="119" t="s">
        <v>311</v>
      </c>
      <c r="E41" s="120" t="s">
        <v>312</v>
      </c>
      <c r="F41" s="113"/>
      <c r="G41" s="113"/>
      <c r="H41" s="113"/>
      <c r="I41" s="114"/>
      <c r="J41" s="114"/>
    </row>
    <row r="42" spans="1:11" s="98" customFormat="1" ht="12.75" hidden="1" customHeight="1" outlineLevel="1" x14ac:dyDescent="0.2">
      <c r="A42" s="94">
        <v>5</v>
      </c>
      <c r="B42" s="99" t="s">
        <v>313</v>
      </c>
      <c r="C42" s="100" t="s">
        <v>314</v>
      </c>
      <c r="D42" s="119" t="s">
        <v>315</v>
      </c>
      <c r="E42" s="120" t="s">
        <v>316</v>
      </c>
      <c r="F42" s="113" t="s">
        <v>317</v>
      </c>
      <c r="G42" s="113" t="s">
        <v>343</v>
      </c>
      <c r="H42" s="113"/>
      <c r="I42" s="114"/>
      <c r="J42" s="114"/>
    </row>
    <row r="43" spans="1:11" s="98" customFormat="1" ht="12.75" hidden="1" customHeight="1" outlineLevel="1" x14ac:dyDescent="0.2">
      <c r="A43" s="94">
        <v>6</v>
      </c>
      <c r="B43" s="99" t="s">
        <v>318</v>
      </c>
      <c r="C43" s="100" t="s">
        <v>319</v>
      </c>
      <c r="D43" s="119" t="s">
        <v>320</v>
      </c>
      <c r="E43" s="120" t="s">
        <v>321</v>
      </c>
      <c r="F43" s="113" t="s">
        <v>322</v>
      </c>
      <c r="G43" s="113" t="s">
        <v>297</v>
      </c>
      <c r="H43" s="113"/>
      <c r="I43" s="114"/>
      <c r="J43" s="114"/>
    </row>
    <row r="44" spans="1:11" s="98" customFormat="1" ht="12.75" hidden="1" customHeight="1" outlineLevel="1" x14ac:dyDescent="0.2">
      <c r="A44" s="94">
        <v>7</v>
      </c>
      <c r="B44" s="99" t="s">
        <v>323</v>
      </c>
      <c r="C44" s="100" t="s">
        <v>324</v>
      </c>
      <c r="D44" s="119" t="s">
        <v>325</v>
      </c>
      <c r="E44" s="120" t="s">
        <v>326</v>
      </c>
      <c r="F44" s="113"/>
      <c r="G44" s="113"/>
      <c r="H44" s="113"/>
      <c r="I44" s="114"/>
      <c r="J44" s="114"/>
    </row>
    <row r="45" spans="1:11" s="98" customFormat="1" ht="12.75" hidden="1" customHeight="1" outlineLevel="1" x14ac:dyDescent="0.2">
      <c r="A45" s="94">
        <v>8</v>
      </c>
      <c r="B45" s="99" t="s">
        <v>327</v>
      </c>
      <c r="C45" s="100" t="s">
        <v>328</v>
      </c>
      <c r="D45" s="119" t="s">
        <v>329</v>
      </c>
      <c r="E45" s="120" t="s">
        <v>330</v>
      </c>
      <c r="F45" s="113"/>
      <c r="G45" s="113"/>
      <c r="H45" s="113"/>
      <c r="I45" s="114"/>
      <c r="J45" s="114"/>
    </row>
    <row r="46" spans="1:11" s="98" customFormat="1" ht="12.75" hidden="1" customHeight="1" outlineLevel="1" x14ac:dyDescent="0.2">
      <c r="A46" s="94">
        <v>9</v>
      </c>
      <c r="B46" s="101" t="s">
        <v>331</v>
      </c>
      <c r="C46" s="102" t="s">
        <v>332</v>
      </c>
      <c r="D46" s="122" t="s">
        <v>333</v>
      </c>
      <c r="E46" s="123" t="s">
        <v>334</v>
      </c>
      <c r="F46" s="113"/>
      <c r="G46" s="113"/>
      <c r="H46" s="113"/>
      <c r="I46" s="114"/>
      <c r="J46" s="114"/>
    </row>
    <row r="47" spans="1:11" s="98" customFormat="1" ht="12.75" hidden="1" customHeight="1" outlineLevel="1" x14ac:dyDescent="0.2">
      <c r="A47" s="94"/>
      <c r="B47" s="97">
        <v>-1</v>
      </c>
      <c r="C47" s="103">
        <f>A31-POWER(10,B47)*INT(A31/POWER(10,B47))</f>
        <v>0</v>
      </c>
      <c r="D47" s="124">
        <f>C47</f>
        <v>0</v>
      </c>
      <c r="E47" s="125">
        <f>ROUND(D47/POWER(10,B47-1),0)</f>
        <v>0</v>
      </c>
      <c r="F47" s="113"/>
      <c r="G47" s="113"/>
      <c r="H47" s="113"/>
      <c r="I47" s="114"/>
      <c r="J47" s="114"/>
    </row>
    <row r="48" spans="1:11" s="98" customFormat="1" ht="12.75" hidden="1" customHeight="1" outlineLevel="1" x14ac:dyDescent="0.2">
      <c r="A48" s="104" t="str">
        <f>CONCATENATE(G60,G59,G58,H58,G57,G56,G55,H55,G54,G53,G52,H52,G51,G50,G49,H49)</f>
        <v xml:space="preserve"> ноль ) наименований</v>
      </c>
      <c r="B48" s="97">
        <v>0</v>
      </c>
      <c r="C48" s="103">
        <f>A31-POWER(10,B48)*INT(A31/POWER(10,B48))</f>
        <v>0</v>
      </c>
      <c r="D48" s="126">
        <f>C48-D47</f>
        <v>0</v>
      </c>
      <c r="E48" s="125">
        <f t="shared" ref="E48:E60" si="3">D48/POWER(10,B48-1)</f>
        <v>0</v>
      </c>
      <c r="F48" s="127" t="s">
        <v>335</v>
      </c>
      <c r="G48" s="127" t="s">
        <v>336</v>
      </c>
      <c r="H48" s="127" t="s">
        <v>337</v>
      </c>
      <c r="I48" s="128"/>
      <c r="J48" s="128"/>
      <c r="K48" s="105"/>
    </row>
    <row r="49" spans="1:10" s="98" customFormat="1" ht="12.75" hidden="1" customHeight="1" outlineLevel="1" x14ac:dyDescent="0.2">
      <c r="A49" s="94"/>
      <c r="B49" s="97">
        <v>1</v>
      </c>
      <c r="C49" s="106">
        <f>A31-POWER(10,B49)*INT(A31/POWER(10,B49))</f>
        <v>0</v>
      </c>
      <c r="D49" s="125">
        <f>C49-D48-D47</f>
        <v>0</v>
      </c>
      <c r="E49" s="113">
        <f t="shared" si="3"/>
        <v>0</v>
      </c>
      <c r="F49" s="113" t="str">
        <f>IF(E50&gt;=2,INDEX(B37:C46,E49+1,1),INDEX(B37:C46,E49+1,E50+1))</f>
        <v/>
      </c>
      <c r="G49" s="129" t="str">
        <f>IF(AND(E49=2,E50&lt;&gt;1),CHOOSE(F40,F49,F43,G43),IF(AND(E49=1,E50&lt;&gt;1),CHOOSE(F40,F49,F42,G42),F49))</f>
        <v/>
      </c>
      <c r="H49" s="113" t="str">
        <f>IF(SUM(E49:E60)=0," ноль ) наименований",IF(E50&lt;&gt;1,IF(OR(E49&gt;4,E49=0),F39,IF(E49=1,F37,F38)),F39))</f>
        <v xml:space="preserve"> ноль ) наименований</v>
      </c>
      <c r="I49" s="130"/>
      <c r="J49" s="113"/>
    </row>
    <row r="50" spans="1:10" s="98" customFormat="1" ht="12.75" hidden="1" customHeight="1" outlineLevel="1" x14ac:dyDescent="0.2">
      <c r="A50" s="107" t="s">
        <v>338</v>
      </c>
      <c r="B50" s="97">
        <v>2</v>
      </c>
      <c r="C50" s="106">
        <f>A31-POWER(10,B50)*INT(A31/POWER(10,B50))</f>
        <v>0</v>
      </c>
      <c r="D50" s="113">
        <f t="shared" ref="D50:D60" si="4">C50-C49</f>
        <v>0</v>
      </c>
      <c r="E50" s="113">
        <f t="shared" si="3"/>
        <v>0</v>
      </c>
      <c r="F50" s="113" t="str">
        <f>IF(E50&gt;=2,INDEX(D37:D46,E50+1),"")</f>
        <v/>
      </c>
      <c r="G50" s="113" t="str">
        <f>F50</f>
        <v/>
      </c>
      <c r="H50" s="113"/>
      <c r="I50" s="114"/>
      <c r="J50" s="114"/>
    </row>
    <row r="51" spans="1:10" s="98" customFormat="1" ht="12.75" hidden="1" customHeight="1" outlineLevel="1" x14ac:dyDescent="0.2">
      <c r="A51" s="94"/>
      <c r="B51" s="97">
        <v>3</v>
      </c>
      <c r="C51" s="106">
        <f>A31-POWER(10,B51)*INT(A31/POWER(10,B51))</f>
        <v>0</v>
      </c>
      <c r="D51" s="113">
        <f t="shared" si="4"/>
        <v>0</v>
      </c>
      <c r="E51" s="113">
        <f t="shared" si="3"/>
        <v>0</v>
      </c>
      <c r="F51" s="113" t="str">
        <f>INDEX(E37:E46,E51+1)</f>
        <v/>
      </c>
      <c r="G51" s="113" t="str">
        <f>F51</f>
        <v/>
      </c>
      <c r="H51" s="113"/>
      <c r="I51" s="114"/>
      <c r="J51" s="114"/>
    </row>
    <row r="52" spans="1:10" s="98" customFormat="1" ht="12.75" hidden="1" customHeight="1" outlineLevel="1" x14ac:dyDescent="0.2">
      <c r="A52" s="94"/>
      <c r="B52" s="97">
        <v>4</v>
      </c>
      <c r="C52" s="106">
        <f>A31-POWER(10,B52)*INT(A31/POWER(10,B52))</f>
        <v>0</v>
      </c>
      <c r="D52" s="113">
        <f t="shared" si="4"/>
        <v>0</v>
      </c>
      <c r="E52" s="113">
        <f t="shared" si="3"/>
        <v>0</v>
      </c>
      <c r="F52" s="113" t="str">
        <f>IF(E53&gt;=2,INDEX(B37:C46,E52+1,1),INDEX(B37:C46,E52+1,E53+1))</f>
        <v/>
      </c>
      <c r="G52" s="129" t="str">
        <f>IF(F52=" один",F42,IF(F52=" два",F43,F52))</f>
        <v/>
      </c>
      <c r="H52" s="113" t="str">
        <f>IF(OR(E54&lt;&gt;0,E53&lt;&gt;0,E52&lt;&gt;0),IF(E53&lt;&gt;1,IF(OR(E52&gt;4,E52=0),G39,IF(E52=1,G37,G38)),G39),"")</f>
        <v/>
      </c>
      <c r="I52" s="114"/>
      <c r="J52" s="114"/>
    </row>
    <row r="53" spans="1:10" s="98" customFormat="1" ht="12.75" hidden="1" customHeight="1" outlineLevel="1" x14ac:dyDescent="0.2">
      <c r="A53" s="94"/>
      <c r="B53" s="97">
        <v>5</v>
      </c>
      <c r="C53" s="106">
        <f>A31-POWER(10,B53)*INT(A31/POWER(10,B53))</f>
        <v>0</v>
      </c>
      <c r="D53" s="113">
        <f t="shared" si="4"/>
        <v>0</v>
      </c>
      <c r="E53" s="113">
        <f t="shared" si="3"/>
        <v>0</v>
      </c>
      <c r="F53" s="113" t="str">
        <f>IF(E53&gt;=2,INDEX(D37:D46,E53+1),"")</f>
        <v/>
      </c>
      <c r="G53" s="113" t="str">
        <f t="shared" ref="G53:G60" si="5">F53</f>
        <v/>
      </c>
      <c r="H53" s="113"/>
      <c r="I53" s="114"/>
      <c r="J53" s="114"/>
    </row>
    <row r="54" spans="1:10" s="98" customFormat="1" ht="12.75" hidden="1" customHeight="1" outlineLevel="1" x14ac:dyDescent="0.2">
      <c r="A54" s="94"/>
      <c r="B54" s="97">
        <v>6</v>
      </c>
      <c r="C54" s="106">
        <f>A31-POWER(10,B54)*INT(A31/POWER(10,B54))</f>
        <v>0</v>
      </c>
      <c r="D54" s="113">
        <f t="shared" si="4"/>
        <v>0</v>
      </c>
      <c r="E54" s="113">
        <f t="shared" si="3"/>
        <v>0</v>
      </c>
      <c r="F54" s="113" t="str">
        <f>INDEX(E37:E46,E54+1)</f>
        <v/>
      </c>
      <c r="G54" s="113" t="str">
        <f t="shared" si="5"/>
        <v/>
      </c>
      <c r="H54" s="113"/>
      <c r="I54" s="114"/>
      <c r="J54" s="114"/>
    </row>
    <row r="55" spans="1:10" s="98" customFormat="1" ht="12.75" hidden="1" customHeight="1" outlineLevel="1" x14ac:dyDescent="0.2">
      <c r="A55" s="94"/>
      <c r="B55" s="97">
        <v>7</v>
      </c>
      <c r="C55" s="106">
        <f>A31-POWER(10,B55)*INT(A31/POWER(10,B55))</f>
        <v>0</v>
      </c>
      <c r="D55" s="113">
        <f t="shared" si="4"/>
        <v>0</v>
      </c>
      <c r="E55" s="113">
        <f t="shared" si="3"/>
        <v>0</v>
      </c>
      <c r="F55" s="113" t="str">
        <f>IF(E56&gt;=2,INDEX(B37:C46,E55+1,1),INDEX(B37:C46,E55+1,E56+1))</f>
        <v/>
      </c>
      <c r="G55" s="113" t="str">
        <f t="shared" si="5"/>
        <v/>
      </c>
      <c r="H55" s="113" t="str">
        <f>IF(OR(E55&lt;&gt;0,E56&lt;&gt;0,E57&lt;&gt;0),IF(E56&lt;&gt;1,IF(OR(E55&gt;4,E55=0),H39,IF(E55=1,H37,H38)),H39),"")</f>
        <v/>
      </c>
      <c r="I55" s="114"/>
      <c r="J55" s="114"/>
    </row>
    <row r="56" spans="1:10" s="98" customFormat="1" ht="12.75" hidden="1" customHeight="1" outlineLevel="1" x14ac:dyDescent="0.2">
      <c r="A56" s="94"/>
      <c r="B56" s="97">
        <v>8</v>
      </c>
      <c r="C56" s="106">
        <f>A31-POWER(10,B56)*INT(A31/POWER(10,B56))</f>
        <v>0</v>
      </c>
      <c r="D56" s="113">
        <f t="shared" si="4"/>
        <v>0</v>
      </c>
      <c r="E56" s="113">
        <f t="shared" si="3"/>
        <v>0</v>
      </c>
      <c r="F56" s="113" t="str">
        <f>IF(E56&gt;=2,INDEX(D37:D46,E56+1),"")</f>
        <v/>
      </c>
      <c r="G56" s="113" t="str">
        <f t="shared" si="5"/>
        <v/>
      </c>
      <c r="H56" s="113"/>
      <c r="I56" s="114"/>
      <c r="J56" s="114"/>
    </row>
    <row r="57" spans="1:10" s="98" customFormat="1" ht="12.75" hidden="1" customHeight="1" outlineLevel="1" x14ac:dyDescent="0.2">
      <c r="A57" s="94"/>
      <c r="B57" s="97">
        <v>9</v>
      </c>
      <c r="C57" s="106">
        <f>A31-POWER(10,B57)*INT(A31/POWER(10,B57))</f>
        <v>0</v>
      </c>
      <c r="D57" s="113">
        <f t="shared" si="4"/>
        <v>0</v>
      </c>
      <c r="E57" s="113">
        <f t="shared" si="3"/>
        <v>0</v>
      </c>
      <c r="F57" s="113" t="str">
        <f>INDEX(E37:E46,E57+1)</f>
        <v/>
      </c>
      <c r="G57" s="113" t="str">
        <f t="shared" si="5"/>
        <v/>
      </c>
      <c r="H57" s="113"/>
      <c r="I57" s="114"/>
      <c r="J57" s="114"/>
    </row>
    <row r="58" spans="1:10" s="98" customFormat="1" ht="12.75" hidden="1" customHeight="1" outlineLevel="1" x14ac:dyDescent="0.2">
      <c r="A58" s="94"/>
      <c r="B58" s="97">
        <v>10</v>
      </c>
      <c r="C58" s="106">
        <f>A31-POWER(10,B58)*INT(A31/POWER(10,B58))</f>
        <v>0</v>
      </c>
      <c r="D58" s="113">
        <f t="shared" si="4"/>
        <v>0</v>
      </c>
      <c r="E58" s="113">
        <f t="shared" si="3"/>
        <v>0</v>
      </c>
      <c r="F58" s="113" t="str">
        <f>IF(E59&gt;=2,INDEX(B37:C46,E58+1,1),INDEX(B37:C46,E58+1,E59+1))</f>
        <v/>
      </c>
      <c r="G58" s="113" t="str">
        <f t="shared" si="5"/>
        <v/>
      </c>
      <c r="H58" s="113" t="str">
        <f>IF(OR(E58&lt;&gt;0,E59&lt;&gt;0,E60&lt;&gt;0),IF(E59&lt;&gt;1,IF(OR(E58&gt;4,E58=0),I39,IF(E58=1,I37,I38)),I39),"")</f>
        <v/>
      </c>
      <c r="I58" s="114"/>
      <c r="J58" s="114"/>
    </row>
    <row r="59" spans="1:10" s="98" customFormat="1" ht="12.75" hidden="1" customHeight="1" outlineLevel="1" x14ac:dyDescent="0.2">
      <c r="A59" s="94"/>
      <c r="B59" s="97">
        <v>11</v>
      </c>
      <c r="C59" s="106">
        <f>A31-POWER(10,B59)*INT(A31/POWER(10,B59))</f>
        <v>0</v>
      </c>
      <c r="D59" s="113">
        <f t="shared" si="4"/>
        <v>0</v>
      </c>
      <c r="E59" s="113">
        <f t="shared" si="3"/>
        <v>0</v>
      </c>
      <c r="F59" s="113" t="str">
        <f>IF(E59&gt;=2,INDEX(D37:D46,E59+1),"")</f>
        <v/>
      </c>
      <c r="G59" s="113" t="str">
        <f t="shared" si="5"/>
        <v/>
      </c>
      <c r="H59" s="113"/>
      <c r="I59" s="114"/>
      <c r="J59" s="114"/>
    </row>
    <row r="60" spans="1:10" s="98" customFormat="1" ht="12.75" hidden="1" customHeight="1" outlineLevel="1" thickBot="1" x14ac:dyDescent="0.25">
      <c r="A60" s="94"/>
      <c r="B60" s="97">
        <v>12</v>
      </c>
      <c r="C60" s="106">
        <f>A31-POWER(10,B60)*INT(A31/POWER(10,B60))</f>
        <v>0</v>
      </c>
      <c r="D60" s="113">
        <f t="shared" si="4"/>
        <v>0</v>
      </c>
      <c r="E60" s="113">
        <f t="shared" si="3"/>
        <v>0</v>
      </c>
      <c r="F60" s="113" t="str">
        <f>INDEX(E37:E46,E60+1)</f>
        <v/>
      </c>
      <c r="G60" s="113" t="str">
        <f t="shared" si="5"/>
        <v/>
      </c>
      <c r="H60" s="113"/>
      <c r="I60" s="114"/>
      <c r="J60" s="114"/>
    </row>
    <row r="61" spans="1:10" s="98" customFormat="1" ht="12.75" customHeight="1" collapsed="1" x14ac:dyDescent="0.2">
      <c r="A61" s="108">
        <f>Ср!D72</f>
        <v>0</v>
      </c>
      <c r="B61" s="109" t="s">
        <v>344</v>
      </c>
      <c r="C61" s="97"/>
      <c r="D61" s="113"/>
      <c r="E61" s="113" t="s">
        <v>191</v>
      </c>
      <c r="F61" s="113"/>
      <c r="G61" s="113"/>
      <c r="H61" s="113"/>
      <c r="I61" s="114"/>
      <c r="J61" s="114"/>
    </row>
    <row r="62" spans="1:10" s="98" customFormat="1" ht="12.75" customHeight="1" x14ac:dyDescent="0.2">
      <c r="A62" s="110" t="s">
        <v>387</v>
      </c>
      <c r="B62" s="109" t="s">
        <v>340</v>
      </c>
      <c r="C62" s="97"/>
      <c r="D62" s="113"/>
      <c r="E62" s="113"/>
      <c r="F62" s="113"/>
      <c r="G62" s="113"/>
      <c r="H62" s="113"/>
      <c r="I62" s="114"/>
      <c r="J62" s="114"/>
    </row>
    <row r="63" spans="1:10" s="98" customFormat="1" ht="12.75" customHeight="1" x14ac:dyDescent="0.2">
      <c r="A63" s="110" t="s">
        <v>388</v>
      </c>
      <c r="B63" s="109" t="s">
        <v>341</v>
      </c>
      <c r="C63" s="97"/>
      <c r="D63" s="113"/>
      <c r="E63" s="113"/>
      <c r="F63" s="113"/>
      <c r="G63" s="113"/>
      <c r="H63" s="113"/>
      <c r="I63" s="114"/>
      <c r="J63" s="114"/>
    </row>
    <row r="64" spans="1:10" s="98" customFormat="1" ht="12.75" customHeight="1" x14ac:dyDescent="0.2">
      <c r="A64" s="110" t="s">
        <v>389</v>
      </c>
      <c r="B64" s="109" t="s">
        <v>342</v>
      </c>
      <c r="C64" s="97"/>
      <c r="D64" s="113"/>
      <c r="E64" s="113"/>
      <c r="F64" s="113"/>
      <c r="G64" s="113"/>
      <c r="H64" s="113"/>
      <c r="I64" s="114"/>
      <c r="J64" s="114"/>
    </row>
    <row r="65" spans="1:11" s="98" customFormat="1" ht="12.75" customHeight="1" thickBot="1" x14ac:dyDescent="0.25">
      <c r="A65" s="111" t="s">
        <v>346</v>
      </c>
      <c r="B65" s="109" t="s">
        <v>345</v>
      </c>
      <c r="C65" s="97"/>
      <c r="D65" s="113"/>
      <c r="E65" s="113"/>
      <c r="F65" s="113"/>
      <c r="G65" s="113"/>
      <c r="H65" s="113"/>
      <c r="I65" s="114"/>
      <c r="J65" s="114"/>
    </row>
    <row r="66" spans="1:11" s="98" customFormat="1" ht="12.75" customHeight="1" thickBot="1" x14ac:dyDescent="0.3">
      <c r="A66" s="112" t="str">
        <f>REPLACE(A78,1,2,UPPER(LEFT(A78,2)))</f>
        <v xml:space="preserve"> Ноль ) наименований</v>
      </c>
      <c r="B66" s="109" t="s">
        <v>339</v>
      </c>
      <c r="C66" s="97"/>
      <c r="D66" s="115"/>
      <c r="E66" s="116"/>
      <c r="F66" s="116"/>
      <c r="G66" s="116"/>
      <c r="H66" s="116"/>
      <c r="I66" s="117"/>
      <c r="J66" s="118"/>
    </row>
    <row r="67" spans="1:11" s="98" customFormat="1" ht="12.75" hidden="1" customHeight="1" outlineLevel="1" x14ac:dyDescent="0.2">
      <c r="A67" s="94">
        <v>0</v>
      </c>
      <c r="B67" s="95" t="str">
        <f>""</f>
        <v/>
      </c>
      <c r="C67" s="96" t="s">
        <v>285</v>
      </c>
      <c r="D67" s="119" t="str">
        <f>""</f>
        <v/>
      </c>
      <c r="E67" s="120" t="str">
        <f>""</f>
        <v/>
      </c>
      <c r="F67" s="121" t="str">
        <f>" "&amp; A62</f>
        <v xml:space="preserve"> ) наименование</v>
      </c>
      <c r="G67" s="113" t="s">
        <v>286</v>
      </c>
      <c r="H67" s="113" t="s">
        <v>287</v>
      </c>
      <c r="I67" s="114" t="s">
        <v>288</v>
      </c>
      <c r="J67" s="114" t="s">
        <v>289</v>
      </c>
    </row>
    <row r="68" spans="1:11" s="98" customFormat="1" ht="12.75" hidden="1" customHeight="1" outlineLevel="1" x14ac:dyDescent="0.2">
      <c r="A68" s="94">
        <v>1</v>
      </c>
      <c r="B68" s="99" t="s">
        <v>290</v>
      </c>
      <c r="C68" s="100" t="s">
        <v>291</v>
      </c>
      <c r="D68" s="119" t="str">
        <f>""</f>
        <v/>
      </c>
      <c r="E68" s="120" t="s">
        <v>292</v>
      </c>
      <c r="F68" s="121" t="str">
        <f>" "&amp; A63</f>
        <v xml:space="preserve"> ) наименования</v>
      </c>
      <c r="G68" s="113" t="s">
        <v>293</v>
      </c>
      <c r="H68" s="113" t="s">
        <v>294</v>
      </c>
      <c r="I68" s="114" t="s">
        <v>295</v>
      </c>
      <c r="J68" s="114" t="s">
        <v>296</v>
      </c>
    </row>
    <row r="69" spans="1:11" s="98" customFormat="1" ht="12.75" hidden="1" customHeight="1" outlineLevel="1" x14ac:dyDescent="0.2">
      <c r="A69" s="94">
        <v>2</v>
      </c>
      <c r="B69" s="99" t="s">
        <v>297</v>
      </c>
      <c r="C69" s="100" t="s">
        <v>298</v>
      </c>
      <c r="D69" s="119" t="s">
        <v>299</v>
      </c>
      <c r="E69" s="120" t="s">
        <v>300</v>
      </c>
      <c r="F69" s="121" t="str">
        <f>" "&amp;A64</f>
        <v xml:space="preserve"> ) наименований</v>
      </c>
      <c r="G69" s="113" t="s">
        <v>301</v>
      </c>
      <c r="H69" s="113" t="s">
        <v>302</v>
      </c>
      <c r="I69" s="114" t="s">
        <v>303</v>
      </c>
      <c r="J69" s="114" t="s">
        <v>304</v>
      </c>
    </row>
    <row r="70" spans="1:11" s="98" customFormat="1" ht="12.75" hidden="1" customHeight="1" outlineLevel="1" x14ac:dyDescent="0.2">
      <c r="A70" s="94">
        <v>3</v>
      </c>
      <c r="B70" s="99" t="s">
        <v>305</v>
      </c>
      <c r="C70" s="100" t="s">
        <v>306</v>
      </c>
      <c r="D70" s="119" t="s">
        <v>307</v>
      </c>
      <c r="E70" s="120" t="s">
        <v>308</v>
      </c>
      <c r="F70" s="113">
        <f>IF(A65="Ж",2,IF(A65="С",3,1))</f>
        <v>3</v>
      </c>
      <c r="G70" s="113"/>
      <c r="H70" s="113"/>
      <c r="I70" s="114"/>
      <c r="J70" s="114"/>
    </row>
    <row r="71" spans="1:11" s="98" customFormat="1" ht="12.75" hidden="1" customHeight="1" outlineLevel="1" x14ac:dyDescent="0.2">
      <c r="A71" s="94">
        <v>4</v>
      </c>
      <c r="B71" s="99" t="s">
        <v>309</v>
      </c>
      <c r="C71" s="100" t="s">
        <v>310</v>
      </c>
      <c r="D71" s="119" t="s">
        <v>311</v>
      </c>
      <c r="E71" s="120" t="s">
        <v>312</v>
      </c>
      <c r="F71" s="113"/>
      <c r="G71" s="113"/>
      <c r="H71" s="113"/>
      <c r="I71" s="114"/>
      <c r="J71" s="114"/>
    </row>
    <row r="72" spans="1:11" s="98" customFormat="1" ht="12.75" hidden="1" customHeight="1" outlineLevel="1" x14ac:dyDescent="0.2">
      <c r="A72" s="94">
        <v>5</v>
      </c>
      <c r="B72" s="99" t="s">
        <v>313</v>
      </c>
      <c r="C72" s="100" t="s">
        <v>314</v>
      </c>
      <c r="D72" s="119" t="s">
        <v>315</v>
      </c>
      <c r="E72" s="120" t="s">
        <v>316</v>
      </c>
      <c r="F72" s="113" t="s">
        <v>317</v>
      </c>
      <c r="G72" s="113" t="s">
        <v>343</v>
      </c>
      <c r="H72" s="113"/>
      <c r="I72" s="114"/>
      <c r="J72" s="114"/>
    </row>
    <row r="73" spans="1:11" s="98" customFormat="1" ht="12.75" hidden="1" customHeight="1" outlineLevel="1" x14ac:dyDescent="0.2">
      <c r="A73" s="94">
        <v>6</v>
      </c>
      <c r="B73" s="99" t="s">
        <v>318</v>
      </c>
      <c r="C73" s="100" t="s">
        <v>319</v>
      </c>
      <c r="D73" s="119" t="s">
        <v>320</v>
      </c>
      <c r="E73" s="120" t="s">
        <v>321</v>
      </c>
      <c r="F73" s="113" t="s">
        <v>322</v>
      </c>
      <c r="G73" s="113" t="s">
        <v>297</v>
      </c>
      <c r="H73" s="113"/>
      <c r="I73" s="114"/>
      <c r="J73" s="114"/>
    </row>
    <row r="74" spans="1:11" s="98" customFormat="1" ht="12.75" hidden="1" customHeight="1" outlineLevel="1" x14ac:dyDescent="0.2">
      <c r="A74" s="94">
        <v>7</v>
      </c>
      <c r="B74" s="99" t="s">
        <v>323</v>
      </c>
      <c r="C74" s="100" t="s">
        <v>324</v>
      </c>
      <c r="D74" s="119" t="s">
        <v>325</v>
      </c>
      <c r="E74" s="120" t="s">
        <v>326</v>
      </c>
      <c r="F74" s="113"/>
      <c r="G74" s="113"/>
      <c r="H74" s="113"/>
      <c r="I74" s="114"/>
      <c r="J74" s="114"/>
    </row>
    <row r="75" spans="1:11" s="98" customFormat="1" ht="12.75" hidden="1" customHeight="1" outlineLevel="1" x14ac:dyDescent="0.2">
      <c r="A75" s="94">
        <v>8</v>
      </c>
      <c r="B75" s="99" t="s">
        <v>327</v>
      </c>
      <c r="C75" s="100" t="s">
        <v>328</v>
      </c>
      <c r="D75" s="119" t="s">
        <v>329</v>
      </c>
      <c r="E75" s="120" t="s">
        <v>330</v>
      </c>
      <c r="F75" s="113"/>
      <c r="G75" s="113"/>
      <c r="H75" s="113"/>
      <c r="I75" s="114"/>
      <c r="J75" s="114"/>
    </row>
    <row r="76" spans="1:11" s="98" customFormat="1" ht="12.75" hidden="1" customHeight="1" outlineLevel="1" x14ac:dyDescent="0.2">
      <c r="A76" s="94">
        <v>9</v>
      </c>
      <c r="B76" s="101" t="s">
        <v>331</v>
      </c>
      <c r="C76" s="102" t="s">
        <v>332</v>
      </c>
      <c r="D76" s="122" t="s">
        <v>333</v>
      </c>
      <c r="E76" s="123" t="s">
        <v>334</v>
      </c>
      <c r="F76" s="113"/>
      <c r="G76" s="113"/>
      <c r="H76" s="113"/>
      <c r="I76" s="114"/>
      <c r="J76" s="114"/>
    </row>
    <row r="77" spans="1:11" s="98" customFormat="1" ht="12.75" hidden="1" customHeight="1" outlineLevel="1" x14ac:dyDescent="0.2">
      <c r="A77" s="94"/>
      <c r="B77" s="97">
        <v>-1</v>
      </c>
      <c r="C77" s="103">
        <f>A61-POWER(10,B77)*INT(A61/POWER(10,B77))</f>
        <v>0</v>
      </c>
      <c r="D77" s="124">
        <f>C77</f>
        <v>0</v>
      </c>
      <c r="E77" s="125">
        <f>ROUND(D77/POWER(10,B77-1),0)</f>
        <v>0</v>
      </c>
      <c r="F77" s="113"/>
      <c r="G77" s="113"/>
      <c r="H77" s="113"/>
      <c r="I77" s="114"/>
      <c r="J77" s="114"/>
    </row>
    <row r="78" spans="1:11" s="98" customFormat="1" ht="12.75" hidden="1" customHeight="1" outlineLevel="1" x14ac:dyDescent="0.2">
      <c r="A78" s="104" t="str">
        <f>CONCATENATE(G90,G89,G88,H88,G87,G86,G85,H85,G84,G83,G82,H82,G81,G80,G79,H79)</f>
        <v xml:space="preserve"> ноль ) наименований</v>
      </c>
      <c r="B78" s="97">
        <v>0</v>
      </c>
      <c r="C78" s="103">
        <f>A61-POWER(10,B78)*INT(A61/POWER(10,B78))</f>
        <v>0</v>
      </c>
      <c r="D78" s="126">
        <f>C78-D77</f>
        <v>0</v>
      </c>
      <c r="E78" s="125">
        <f t="shared" ref="E78:E90" si="6">D78/POWER(10,B78-1)</f>
        <v>0</v>
      </c>
      <c r="F78" s="127" t="s">
        <v>335</v>
      </c>
      <c r="G78" s="127" t="s">
        <v>336</v>
      </c>
      <c r="H78" s="127" t="s">
        <v>337</v>
      </c>
      <c r="I78" s="128"/>
      <c r="J78" s="128"/>
      <c r="K78" s="105"/>
    </row>
    <row r="79" spans="1:11" s="98" customFormat="1" ht="12.75" hidden="1" customHeight="1" outlineLevel="1" x14ac:dyDescent="0.2">
      <c r="A79" s="94"/>
      <c r="B79" s="97">
        <v>1</v>
      </c>
      <c r="C79" s="106">
        <f>A61-POWER(10,B79)*INT(A61/POWER(10,B79))</f>
        <v>0</v>
      </c>
      <c r="D79" s="125">
        <f>C79-D78-D77</f>
        <v>0</v>
      </c>
      <c r="E79" s="113">
        <f t="shared" si="6"/>
        <v>0</v>
      </c>
      <c r="F79" s="113" t="str">
        <f>IF(E80&gt;=2,INDEX(B67:C76,E79+1,1),INDEX(B67:C76,E79+1,E80+1))</f>
        <v/>
      </c>
      <c r="G79" s="129" t="str">
        <f>IF(AND(E79=2,E80&lt;&gt;1),CHOOSE(F70,F79,F73,G73),IF(AND(E79=1,E80&lt;&gt;1),CHOOSE(F70,F79,F72,G72),F79))</f>
        <v/>
      </c>
      <c r="H79" s="113" t="str">
        <f>IF(SUM(E79:E90)=0," ноль ) наименований",IF(E80&lt;&gt;1,IF(OR(E79&gt;4,E79=0),F69,IF(E79=1,F67,F68)),F69))</f>
        <v xml:space="preserve"> ноль ) наименований</v>
      </c>
      <c r="I79" s="130"/>
      <c r="J79" s="113"/>
    </row>
    <row r="80" spans="1:11" s="98" customFormat="1" ht="12.75" hidden="1" customHeight="1" outlineLevel="1" x14ac:dyDescent="0.2">
      <c r="A80" s="107" t="s">
        <v>338</v>
      </c>
      <c r="B80" s="97">
        <v>2</v>
      </c>
      <c r="C80" s="106">
        <f>A61-POWER(10,B80)*INT(A61/POWER(10,B80))</f>
        <v>0</v>
      </c>
      <c r="D80" s="113">
        <f t="shared" ref="D80:D90" si="7">C80-C79</f>
        <v>0</v>
      </c>
      <c r="E80" s="113">
        <f t="shared" si="6"/>
        <v>0</v>
      </c>
      <c r="F80" s="113" t="str">
        <f>IF(E80&gt;=2,INDEX(D67:D76,E80+1),"")</f>
        <v/>
      </c>
      <c r="G80" s="113" t="str">
        <f>F80</f>
        <v/>
      </c>
      <c r="H80" s="113"/>
      <c r="I80" s="114"/>
      <c r="J80" s="114"/>
    </row>
    <row r="81" spans="1:10" s="98" customFormat="1" ht="12.75" hidden="1" customHeight="1" outlineLevel="1" x14ac:dyDescent="0.2">
      <c r="A81" s="94"/>
      <c r="B81" s="97">
        <v>3</v>
      </c>
      <c r="C81" s="106">
        <f>A61-POWER(10,B81)*INT(A61/POWER(10,B81))</f>
        <v>0</v>
      </c>
      <c r="D81" s="113">
        <f t="shared" si="7"/>
        <v>0</v>
      </c>
      <c r="E81" s="113">
        <f t="shared" si="6"/>
        <v>0</v>
      </c>
      <c r="F81" s="113" t="str">
        <f>INDEX(E67:E76,E81+1)</f>
        <v/>
      </c>
      <c r="G81" s="113" t="str">
        <f>F81</f>
        <v/>
      </c>
      <c r="H81" s="113"/>
      <c r="I81" s="114"/>
      <c r="J81" s="114"/>
    </row>
    <row r="82" spans="1:10" s="98" customFormat="1" ht="12.75" hidden="1" customHeight="1" outlineLevel="1" x14ac:dyDescent="0.2">
      <c r="A82" s="94"/>
      <c r="B82" s="97">
        <v>4</v>
      </c>
      <c r="C82" s="106">
        <f>A61-POWER(10,B82)*INT(A61/POWER(10,B82))</f>
        <v>0</v>
      </c>
      <c r="D82" s="113">
        <f t="shared" si="7"/>
        <v>0</v>
      </c>
      <c r="E82" s="113">
        <f t="shared" si="6"/>
        <v>0</v>
      </c>
      <c r="F82" s="113" t="str">
        <f>IF(E83&gt;=2,INDEX(B67:C76,E82+1,1),INDEX(B67:C76,E82+1,E83+1))</f>
        <v/>
      </c>
      <c r="G82" s="129" t="str">
        <f>IF(F82=" один",F72,IF(F82=" два",F73,F82))</f>
        <v/>
      </c>
      <c r="H82" s="113" t="str">
        <f>IF(OR(E84&lt;&gt;0,E83&lt;&gt;0,E82&lt;&gt;0),IF(E83&lt;&gt;1,IF(OR(E82&gt;4,E82=0),G69,IF(E82=1,G67,G68)),G69),"")</f>
        <v/>
      </c>
      <c r="I82" s="114"/>
      <c r="J82" s="114"/>
    </row>
    <row r="83" spans="1:10" s="98" customFormat="1" ht="12.75" hidden="1" customHeight="1" outlineLevel="1" x14ac:dyDescent="0.2">
      <c r="A83" s="94"/>
      <c r="B83" s="97">
        <v>5</v>
      </c>
      <c r="C83" s="106">
        <f>A61-POWER(10,B83)*INT(A61/POWER(10,B83))</f>
        <v>0</v>
      </c>
      <c r="D83" s="113">
        <f t="shared" si="7"/>
        <v>0</v>
      </c>
      <c r="E83" s="113">
        <f t="shared" si="6"/>
        <v>0</v>
      </c>
      <c r="F83" s="113" t="str">
        <f>IF(E83&gt;=2,INDEX(D67:D76,E83+1),"")</f>
        <v/>
      </c>
      <c r="G83" s="113" t="str">
        <f t="shared" ref="G83:G90" si="8">F83</f>
        <v/>
      </c>
      <c r="H83" s="113"/>
      <c r="I83" s="114"/>
      <c r="J83" s="114"/>
    </row>
    <row r="84" spans="1:10" s="98" customFormat="1" ht="12.75" hidden="1" customHeight="1" outlineLevel="1" x14ac:dyDescent="0.2">
      <c r="A84" s="94"/>
      <c r="B84" s="97">
        <v>6</v>
      </c>
      <c r="C84" s="106">
        <f>A61-POWER(10,B84)*INT(A61/POWER(10,B84))</f>
        <v>0</v>
      </c>
      <c r="D84" s="113">
        <f t="shared" si="7"/>
        <v>0</v>
      </c>
      <c r="E84" s="113">
        <f t="shared" si="6"/>
        <v>0</v>
      </c>
      <c r="F84" s="113" t="str">
        <f>INDEX(E67:E76,E84+1)</f>
        <v/>
      </c>
      <c r="G84" s="113" t="str">
        <f t="shared" si="8"/>
        <v/>
      </c>
      <c r="H84" s="113"/>
      <c r="I84" s="114"/>
      <c r="J84" s="114"/>
    </row>
    <row r="85" spans="1:10" s="98" customFormat="1" ht="12.75" hidden="1" customHeight="1" outlineLevel="1" x14ac:dyDescent="0.2">
      <c r="A85" s="94"/>
      <c r="B85" s="97">
        <v>7</v>
      </c>
      <c r="C85" s="106">
        <f>A61-POWER(10,B85)*INT(A61/POWER(10,B85))</f>
        <v>0</v>
      </c>
      <c r="D85" s="113">
        <f t="shared" si="7"/>
        <v>0</v>
      </c>
      <c r="E85" s="113">
        <f t="shared" si="6"/>
        <v>0</v>
      </c>
      <c r="F85" s="113" t="str">
        <f>IF(E86&gt;=2,INDEX(B67:C76,E85+1,1),INDEX(B67:C76,E85+1,E86+1))</f>
        <v/>
      </c>
      <c r="G85" s="113" t="str">
        <f t="shared" si="8"/>
        <v/>
      </c>
      <c r="H85" s="113" t="str">
        <f>IF(OR(E85&lt;&gt;0,E86&lt;&gt;0,E87&lt;&gt;0),IF(E86&lt;&gt;1,IF(OR(E85&gt;4,E85=0),H69,IF(E85=1,H67,H68)),H69),"")</f>
        <v/>
      </c>
      <c r="I85" s="114"/>
      <c r="J85" s="114"/>
    </row>
    <row r="86" spans="1:10" s="98" customFormat="1" ht="12.75" hidden="1" customHeight="1" outlineLevel="1" x14ac:dyDescent="0.2">
      <c r="A86" s="94"/>
      <c r="B86" s="97">
        <v>8</v>
      </c>
      <c r="C86" s="106">
        <f>A61-POWER(10,B86)*INT(A61/POWER(10,B86))</f>
        <v>0</v>
      </c>
      <c r="D86" s="113">
        <f t="shared" si="7"/>
        <v>0</v>
      </c>
      <c r="E86" s="113">
        <f t="shared" si="6"/>
        <v>0</v>
      </c>
      <c r="F86" s="113" t="str">
        <f>IF(E86&gt;=2,INDEX(D67:D76,E86+1),"")</f>
        <v/>
      </c>
      <c r="G86" s="113" t="str">
        <f t="shared" si="8"/>
        <v/>
      </c>
      <c r="H86" s="113"/>
      <c r="I86" s="114"/>
      <c r="J86" s="114"/>
    </row>
    <row r="87" spans="1:10" s="98" customFormat="1" ht="12.75" hidden="1" customHeight="1" outlineLevel="1" x14ac:dyDescent="0.2">
      <c r="A87" s="94"/>
      <c r="B87" s="97">
        <v>9</v>
      </c>
      <c r="C87" s="106">
        <f>A61-POWER(10,B87)*INT(A61/POWER(10,B87))</f>
        <v>0</v>
      </c>
      <c r="D87" s="113">
        <f t="shared" si="7"/>
        <v>0</v>
      </c>
      <c r="E87" s="113">
        <f t="shared" si="6"/>
        <v>0</v>
      </c>
      <c r="F87" s="113" t="str">
        <f>INDEX(E67:E76,E87+1)</f>
        <v/>
      </c>
      <c r="G87" s="113" t="str">
        <f t="shared" si="8"/>
        <v/>
      </c>
      <c r="H87" s="113"/>
      <c r="I87" s="114"/>
      <c r="J87" s="114"/>
    </row>
    <row r="88" spans="1:10" s="98" customFormat="1" ht="12.75" hidden="1" customHeight="1" outlineLevel="1" x14ac:dyDescent="0.2">
      <c r="A88" s="94"/>
      <c r="B88" s="97">
        <v>10</v>
      </c>
      <c r="C88" s="106">
        <f>A61-POWER(10,B88)*INT(A61/POWER(10,B88))</f>
        <v>0</v>
      </c>
      <c r="D88" s="113">
        <f t="shared" si="7"/>
        <v>0</v>
      </c>
      <c r="E88" s="113">
        <f t="shared" si="6"/>
        <v>0</v>
      </c>
      <c r="F88" s="113" t="str">
        <f>IF(E89&gt;=2,INDEX(B67:C76,E88+1,1),INDEX(B67:C76,E88+1,E89+1))</f>
        <v/>
      </c>
      <c r="G88" s="113" t="str">
        <f t="shared" si="8"/>
        <v/>
      </c>
      <c r="H88" s="113" t="str">
        <f>IF(OR(E88&lt;&gt;0,E89&lt;&gt;0,E90&lt;&gt;0),IF(E89&lt;&gt;1,IF(OR(E88&gt;4,E88=0),I69,IF(E88=1,I67,I68)),I69),"")</f>
        <v/>
      </c>
      <c r="I88" s="114"/>
      <c r="J88" s="114"/>
    </row>
    <row r="89" spans="1:10" s="98" customFormat="1" ht="12.75" hidden="1" customHeight="1" outlineLevel="1" x14ac:dyDescent="0.2">
      <c r="A89" s="94"/>
      <c r="B89" s="97">
        <v>11</v>
      </c>
      <c r="C89" s="106">
        <f>A61-POWER(10,B89)*INT(A61/POWER(10,B89))</f>
        <v>0</v>
      </c>
      <c r="D89" s="113">
        <f t="shared" si="7"/>
        <v>0</v>
      </c>
      <c r="E89" s="113">
        <f t="shared" si="6"/>
        <v>0</v>
      </c>
      <c r="F89" s="113" t="str">
        <f>IF(E89&gt;=2,INDEX(D67:D76,E89+1),"")</f>
        <v/>
      </c>
      <c r="G89" s="113" t="str">
        <f t="shared" si="8"/>
        <v/>
      </c>
      <c r="H89" s="113"/>
      <c r="I89" s="114"/>
      <c r="J89" s="114"/>
    </row>
    <row r="90" spans="1:10" s="98" customFormat="1" ht="12.75" hidden="1" customHeight="1" outlineLevel="1" thickBot="1" x14ac:dyDescent="0.25">
      <c r="A90" s="94"/>
      <c r="B90" s="97">
        <v>12</v>
      </c>
      <c r="C90" s="106">
        <f>A61-POWER(10,B90)*INT(A61/POWER(10,B90))</f>
        <v>0</v>
      </c>
      <c r="D90" s="113">
        <f t="shared" si="7"/>
        <v>0</v>
      </c>
      <c r="E90" s="113">
        <f t="shared" si="6"/>
        <v>0</v>
      </c>
      <c r="F90" s="113" t="str">
        <f>INDEX(E67:E76,E90+1)</f>
        <v/>
      </c>
      <c r="G90" s="113" t="str">
        <f t="shared" si="8"/>
        <v/>
      </c>
      <c r="H90" s="113"/>
      <c r="I90" s="114"/>
      <c r="J90" s="114"/>
    </row>
    <row r="91" spans="1:10" s="98" customFormat="1" ht="12.75" customHeight="1" collapsed="1" x14ac:dyDescent="0.2">
      <c r="A91" s="108">
        <f>Чт!D72</f>
        <v>0</v>
      </c>
      <c r="B91" s="109" t="s">
        <v>344</v>
      </c>
      <c r="C91" s="97"/>
      <c r="D91" s="113"/>
      <c r="E91" s="113" t="s">
        <v>192</v>
      </c>
      <c r="F91" s="113"/>
      <c r="G91" s="113"/>
      <c r="H91" s="113"/>
      <c r="I91" s="114"/>
      <c r="J91" s="114"/>
    </row>
    <row r="92" spans="1:10" s="98" customFormat="1" ht="12.75" customHeight="1" x14ac:dyDescent="0.2">
      <c r="A92" s="110" t="s">
        <v>387</v>
      </c>
      <c r="B92" s="109" t="s">
        <v>340</v>
      </c>
      <c r="C92" s="97"/>
      <c r="D92" s="113"/>
      <c r="E92" s="113"/>
      <c r="F92" s="113"/>
      <c r="G92" s="113"/>
      <c r="H92" s="113"/>
      <c r="I92" s="114"/>
      <c r="J92" s="114"/>
    </row>
    <row r="93" spans="1:10" s="98" customFormat="1" ht="12.75" customHeight="1" x14ac:dyDescent="0.2">
      <c r="A93" s="110" t="s">
        <v>388</v>
      </c>
      <c r="B93" s="109" t="s">
        <v>341</v>
      </c>
      <c r="C93" s="97"/>
      <c r="D93" s="113"/>
      <c r="E93" s="113"/>
      <c r="F93" s="113"/>
      <c r="G93" s="113"/>
      <c r="H93" s="113"/>
      <c r="I93" s="114"/>
      <c r="J93" s="114"/>
    </row>
    <row r="94" spans="1:10" s="98" customFormat="1" ht="12.75" customHeight="1" x14ac:dyDescent="0.2">
      <c r="A94" s="110" t="s">
        <v>389</v>
      </c>
      <c r="B94" s="109" t="s">
        <v>342</v>
      </c>
      <c r="C94" s="97"/>
      <c r="D94" s="113"/>
      <c r="E94" s="113"/>
      <c r="F94" s="113"/>
      <c r="G94" s="113"/>
      <c r="H94" s="113"/>
      <c r="I94" s="114"/>
      <c r="J94" s="114"/>
    </row>
    <row r="95" spans="1:10" s="98" customFormat="1" ht="12.75" customHeight="1" thickBot="1" x14ac:dyDescent="0.25">
      <c r="A95" s="111" t="s">
        <v>346</v>
      </c>
      <c r="B95" s="109" t="s">
        <v>345</v>
      </c>
      <c r="C95" s="97"/>
      <c r="D95" s="113"/>
      <c r="E95" s="113"/>
      <c r="F95" s="113"/>
      <c r="G95" s="113"/>
      <c r="H95" s="113"/>
      <c r="I95" s="114"/>
      <c r="J95" s="114"/>
    </row>
    <row r="96" spans="1:10" s="98" customFormat="1" ht="12.75" customHeight="1" thickBot="1" x14ac:dyDescent="0.3">
      <c r="A96" s="112" t="str">
        <f>REPLACE(A108,1,2,UPPER(LEFT(A108,2)))</f>
        <v xml:space="preserve"> Ноль ) наименований</v>
      </c>
      <c r="B96" s="109" t="s">
        <v>339</v>
      </c>
      <c r="C96" s="97"/>
      <c r="D96" s="115"/>
      <c r="E96" s="116"/>
      <c r="F96" s="116"/>
      <c r="G96" s="116"/>
      <c r="H96" s="116"/>
      <c r="I96" s="117"/>
      <c r="J96" s="118"/>
    </row>
    <row r="97" spans="1:11" s="98" customFormat="1" ht="12.75" hidden="1" customHeight="1" outlineLevel="1" x14ac:dyDescent="0.2">
      <c r="A97" s="94">
        <v>0</v>
      </c>
      <c r="B97" s="95" t="str">
        <f>""</f>
        <v/>
      </c>
      <c r="C97" s="96" t="s">
        <v>285</v>
      </c>
      <c r="D97" s="119" t="str">
        <f>""</f>
        <v/>
      </c>
      <c r="E97" s="120" t="str">
        <f>""</f>
        <v/>
      </c>
      <c r="F97" s="121" t="str">
        <f>" "&amp; A92</f>
        <v xml:space="preserve"> ) наименование</v>
      </c>
      <c r="G97" s="113" t="s">
        <v>286</v>
      </c>
      <c r="H97" s="113" t="s">
        <v>287</v>
      </c>
      <c r="I97" s="114" t="s">
        <v>288</v>
      </c>
      <c r="J97" s="114" t="s">
        <v>289</v>
      </c>
    </row>
    <row r="98" spans="1:11" s="98" customFormat="1" ht="12.75" hidden="1" customHeight="1" outlineLevel="1" x14ac:dyDescent="0.2">
      <c r="A98" s="94">
        <v>1</v>
      </c>
      <c r="B98" s="99" t="s">
        <v>290</v>
      </c>
      <c r="C98" s="100" t="s">
        <v>291</v>
      </c>
      <c r="D98" s="119" t="str">
        <f>""</f>
        <v/>
      </c>
      <c r="E98" s="120" t="s">
        <v>292</v>
      </c>
      <c r="F98" s="121" t="str">
        <f>" "&amp; A93</f>
        <v xml:space="preserve"> ) наименования</v>
      </c>
      <c r="G98" s="113" t="s">
        <v>293</v>
      </c>
      <c r="H98" s="113" t="s">
        <v>294</v>
      </c>
      <c r="I98" s="114" t="s">
        <v>295</v>
      </c>
      <c r="J98" s="114" t="s">
        <v>296</v>
      </c>
    </row>
    <row r="99" spans="1:11" s="98" customFormat="1" ht="12.75" hidden="1" customHeight="1" outlineLevel="1" x14ac:dyDescent="0.2">
      <c r="A99" s="94">
        <v>2</v>
      </c>
      <c r="B99" s="99" t="s">
        <v>297</v>
      </c>
      <c r="C99" s="100" t="s">
        <v>298</v>
      </c>
      <c r="D99" s="119" t="s">
        <v>299</v>
      </c>
      <c r="E99" s="120" t="s">
        <v>300</v>
      </c>
      <c r="F99" s="121" t="str">
        <f>" "&amp;A94</f>
        <v xml:space="preserve"> ) наименований</v>
      </c>
      <c r="G99" s="113" t="s">
        <v>301</v>
      </c>
      <c r="H99" s="113" t="s">
        <v>302</v>
      </c>
      <c r="I99" s="114" t="s">
        <v>303</v>
      </c>
      <c r="J99" s="114" t="s">
        <v>304</v>
      </c>
    </row>
    <row r="100" spans="1:11" s="98" customFormat="1" ht="12.75" hidden="1" customHeight="1" outlineLevel="1" x14ac:dyDescent="0.2">
      <c r="A100" s="94">
        <v>3</v>
      </c>
      <c r="B100" s="99" t="s">
        <v>305</v>
      </c>
      <c r="C100" s="100" t="s">
        <v>306</v>
      </c>
      <c r="D100" s="119" t="s">
        <v>307</v>
      </c>
      <c r="E100" s="120" t="s">
        <v>308</v>
      </c>
      <c r="F100" s="113">
        <f>IF(A95="Ж",2,IF(A95="С",3,1))</f>
        <v>3</v>
      </c>
      <c r="G100" s="113"/>
      <c r="H100" s="113"/>
      <c r="I100" s="114"/>
      <c r="J100" s="114"/>
    </row>
    <row r="101" spans="1:11" s="98" customFormat="1" ht="12.75" hidden="1" customHeight="1" outlineLevel="1" x14ac:dyDescent="0.2">
      <c r="A101" s="94">
        <v>4</v>
      </c>
      <c r="B101" s="99" t="s">
        <v>309</v>
      </c>
      <c r="C101" s="100" t="s">
        <v>310</v>
      </c>
      <c r="D101" s="119" t="s">
        <v>311</v>
      </c>
      <c r="E101" s="120" t="s">
        <v>312</v>
      </c>
      <c r="F101" s="113"/>
      <c r="G101" s="113"/>
      <c r="H101" s="113"/>
      <c r="I101" s="114"/>
      <c r="J101" s="114"/>
    </row>
    <row r="102" spans="1:11" s="98" customFormat="1" ht="12.75" hidden="1" customHeight="1" outlineLevel="1" x14ac:dyDescent="0.2">
      <c r="A102" s="94">
        <v>5</v>
      </c>
      <c r="B102" s="99" t="s">
        <v>313</v>
      </c>
      <c r="C102" s="100" t="s">
        <v>314</v>
      </c>
      <c r="D102" s="119" t="s">
        <v>315</v>
      </c>
      <c r="E102" s="120" t="s">
        <v>316</v>
      </c>
      <c r="F102" s="113" t="s">
        <v>317</v>
      </c>
      <c r="G102" s="113" t="s">
        <v>343</v>
      </c>
      <c r="H102" s="113"/>
      <c r="I102" s="114"/>
      <c r="J102" s="114"/>
    </row>
    <row r="103" spans="1:11" s="98" customFormat="1" ht="12.75" hidden="1" customHeight="1" outlineLevel="1" x14ac:dyDescent="0.2">
      <c r="A103" s="94">
        <v>6</v>
      </c>
      <c r="B103" s="99" t="s">
        <v>318</v>
      </c>
      <c r="C103" s="100" t="s">
        <v>319</v>
      </c>
      <c r="D103" s="119" t="s">
        <v>320</v>
      </c>
      <c r="E103" s="120" t="s">
        <v>321</v>
      </c>
      <c r="F103" s="113" t="s">
        <v>322</v>
      </c>
      <c r="G103" s="113" t="s">
        <v>297</v>
      </c>
      <c r="H103" s="113"/>
      <c r="I103" s="114"/>
      <c r="J103" s="114"/>
    </row>
    <row r="104" spans="1:11" s="98" customFormat="1" ht="12.75" hidden="1" customHeight="1" outlineLevel="1" x14ac:dyDescent="0.2">
      <c r="A104" s="94">
        <v>7</v>
      </c>
      <c r="B104" s="99" t="s">
        <v>323</v>
      </c>
      <c r="C104" s="100" t="s">
        <v>324</v>
      </c>
      <c r="D104" s="119" t="s">
        <v>325</v>
      </c>
      <c r="E104" s="120" t="s">
        <v>326</v>
      </c>
      <c r="F104" s="113"/>
      <c r="G104" s="113"/>
      <c r="H104" s="113"/>
      <c r="I104" s="114"/>
      <c r="J104" s="114"/>
    </row>
    <row r="105" spans="1:11" s="98" customFormat="1" ht="12.75" hidden="1" customHeight="1" outlineLevel="1" x14ac:dyDescent="0.2">
      <c r="A105" s="94">
        <v>8</v>
      </c>
      <c r="B105" s="99" t="s">
        <v>327</v>
      </c>
      <c r="C105" s="100" t="s">
        <v>328</v>
      </c>
      <c r="D105" s="119" t="s">
        <v>329</v>
      </c>
      <c r="E105" s="120" t="s">
        <v>330</v>
      </c>
      <c r="F105" s="113"/>
      <c r="G105" s="113"/>
      <c r="H105" s="113"/>
      <c r="I105" s="114"/>
      <c r="J105" s="114"/>
    </row>
    <row r="106" spans="1:11" s="98" customFormat="1" ht="12.75" hidden="1" customHeight="1" outlineLevel="1" x14ac:dyDescent="0.2">
      <c r="A106" s="94">
        <v>9</v>
      </c>
      <c r="B106" s="101" t="s">
        <v>331</v>
      </c>
      <c r="C106" s="102" t="s">
        <v>332</v>
      </c>
      <c r="D106" s="122" t="s">
        <v>333</v>
      </c>
      <c r="E106" s="123" t="s">
        <v>334</v>
      </c>
      <c r="F106" s="113"/>
      <c r="G106" s="113"/>
      <c r="H106" s="113"/>
      <c r="I106" s="114"/>
      <c r="J106" s="114"/>
    </row>
    <row r="107" spans="1:11" s="98" customFormat="1" ht="12.75" hidden="1" customHeight="1" outlineLevel="1" x14ac:dyDescent="0.2">
      <c r="A107" s="94"/>
      <c r="B107" s="97">
        <v>-1</v>
      </c>
      <c r="C107" s="103">
        <f>A91-POWER(10,B107)*INT(A91/POWER(10,B107))</f>
        <v>0</v>
      </c>
      <c r="D107" s="124">
        <f>C107</f>
        <v>0</v>
      </c>
      <c r="E107" s="125">
        <f>ROUND(D107/POWER(10,B107-1),0)</f>
        <v>0</v>
      </c>
      <c r="F107" s="113"/>
      <c r="G107" s="113"/>
      <c r="H107" s="113"/>
      <c r="I107" s="114"/>
      <c r="J107" s="114"/>
    </row>
    <row r="108" spans="1:11" s="98" customFormat="1" ht="12.75" hidden="1" customHeight="1" outlineLevel="1" x14ac:dyDescent="0.2">
      <c r="A108" s="104" t="str">
        <f>CONCATENATE(G120,G119,G118,H118,G117,G116,G115,H115,G114,G113,G112,H112,G111,G110,G109,H109)</f>
        <v xml:space="preserve"> ноль ) наименований</v>
      </c>
      <c r="B108" s="97">
        <v>0</v>
      </c>
      <c r="C108" s="103">
        <f>A91-POWER(10,B108)*INT(A91/POWER(10,B108))</f>
        <v>0</v>
      </c>
      <c r="D108" s="126">
        <f>C108-D107</f>
        <v>0</v>
      </c>
      <c r="E108" s="125">
        <f t="shared" ref="E108:E120" si="9">D108/POWER(10,B108-1)</f>
        <v>0</v>
      </c>
      <c r="F108" s="127" t="s">
        <v>335</v>
      </c>
      <c r="G108" s="127" t="s">
        <v>336</v>
      </c>
      <c r="H108" s="127" t="s">
        <v>337</v>
      </c>
      <c r="I108" s="128"/>
      <c r="J108" s="128"/>
      <c r="K108" s="105"/>
    </row>
    <row r="109" spans="1:11" s="98" customFormat="1" ht="12.75" hidden="1" customHeight="1" outlineLevel="1" x14ac:dyDescent="0.2">
      <c r="A109" s="94"/>
      <c r="B109" s="97">
        <v>1</v>
      </c>
      <c r="C109" s="106">
        <f>A91-POWER(10,B109)*INT(A91/POWER(10,B109))</f>
        <v>0</v>
      </c>
      <c r="D109" s="125">
        <f>C109-D108-D107</f>
        <v>0</v>
      </c>
      <c r="E109" s="113">
        <f t="shared" si="9"/>
        <v>0</v>
      </c>
      <c r="F109" s="113" t="str">
        <f>IF(E110&gt;=2,INDEX(B97:C106,E109+1,1),INDEX(B97:C106,E109+1,E110+1))</f>
        <v/>
      </c>
      <c r="G109" s="129" t="str">
        <f>IF(AND(E109=2,E110&lt;&gt;1),CHOOSE(F100,F109,F103,G103),IF(AND(E109=1,E110&lt;&gt;1),CHOOSE(F100,F109,F102,G102),F109))</f>
        <v/>
      </c>
      <c r="H109" s="113" t="str">
        <f>IF(SUM(E109:E120)=0," ноль ) наименований",IF(E110&lt;&gt;1,IF(OR(E109&gt;4,E109=0),F99,IF(E109=1,F97,F98)),F99))</f>
        <v xml:space="preserve"> ноль ) наименований</v>
      </c>
      <c r="I109" s="130"/>
      <c r="J109" s="113"/>
    </row>
    <row r="110" spans="1:11" s="98" customFormat="1" ht="12.75" hidden="1" customHeight="1" outlineLevel="1" x14ac:dyDescent="0.2">
      <c r="A110" s="107" t="s">
        <v>338</v>
      </c>
      <c r="B110" s="97">
        <v>2</v>
      </c>
      <c r="C110" s="106">
        <f>A91-POWER(10,B110)*INT(A91/POWER(10,B110))</f>
        <v>0</v>
      </c>
      <c r="D110" s="113">
        <f t="shared" ref="D110:D120" si="10">C110-C109</f>
        <v>0</v>
      </c>
      <c r="E110" s="113">
        <f t="shared" si="9"/>
        <v>0</v>
      </c>
      <c r="F110" s="113" t="str">
        <f>IF(E110&gt;=2,INDEX(D97:D106,E110+1),"")</f>
        <v/>
      </c>
      <c r="G110" s="113" t="str">
        <f>F110</f>
        <v/>
      </c>
      <c r="H110" s="113"/>
      <c r="I110" s="114"/>
      <c r="J110" s="114"/>
    </row>
    <row r="111" spans="1:11" s="98" customFormat="1" ht="12.75" hidden="1" customHeight="1" outlineLevel="1" x14ac:dyDescent="0.2">
      <c r="A111" s="94"/>
      <c r="B111" s="97">
        <v>3</v>
      </c>
      <c r="C111" s="106">
        <f>A91-POWER(10,B111)*INT(A91/POWER(10,B111))</f>
        <v>0</v>
      </c>
      <c r="D111" s="113">
        <f t="shared" si="10"/>
        <v>0</v>
      </c>
      <c r="E111" s="113">
        <f t="shared" si="9"/>
        <v>0</v>
      </c>
      <c r="F111" s="113" t="str">
        <f>INDEX(E97:E106,E111+1)</f>
        <v/>
      </c>
      <c r="G111" s="113" t="str">
        <f>F111</f>
        <v/>
      </c>
      <c r="H111" s="113"/>
      <c r="I111" s="114"/>
      <c r="J111" s="114"/>
    </row>
    <row r="112" spans="1:11" s="98" customFormat="1" ht="12.75" hidden="1" customHeight="1" outlineLevel="1" x14ac:dyDescent="0.2">
      <c r="A112" s="94"/>
      <c r="B112" s="97">
        <v>4</v>
      </c>
      <c r="C112" s="106">
        <f>A91-POWER(10,B112)*INT(A91/POWER(10,B112))</f>
        <v>0</v>
      </c>
      <c r="D112" s="113">
        <f t="shared" si="10"/>
        <v>0</v>
      </c>
      <c r="E112" s="113">
        <f t="shared" si="9"/>
        <v>0</v>
      </c>
      <c r="F112" s="113" t="str">
        <f>IF(E113&gt;=2,INDEX(B97:C106,E112+1,1),INDEX(B97:C106,E112+1,E113+1))</f>
        <v/>
      </c>
      <c r="G112" s="129" t="str">
        <f>IF(F112=" один",F102,IF(F112=" два",F103,F112))</f>
        <v/>
      </c>
      <c r="H112" s="113" t="str">
        <f>IF(OR(E114&lt;&gt;0,E113&lt;&gt;0,E112&lt;&gt;0),IF(E113&lt;&gt;1,IF(OR(E112&gt;4,E112=0),G99,IF(E112=1,G97,G98)),G99),"")</f>
        <v/>
      </c>
      <c r="I112" s="114"/>
      <c r="J112" s="114"/>
    </row>
    <row r="113" spans="1:10" s="98" customFormat="1" ht="12.75" hidden="1" customHeight="1" outlineLevel="1" x14ac:dyDescent="0.2">
      <c r="A113" s="94"/>
      <c r="B113" s="97">
        <v>5</v>
      </c>
      <c r="C113" s="106">
        <f>A91-POWER(10,B113)*INT(A91/POWER(10,B113))</f>
        <v>0</v>
      </c>
      <c r="D113" s="113">
        <f t="shared" si="10"/>
        <v>0</v>
      </c>
      <c r="E113" s="113">
        <f t="shared" si="9"/>
        <v>0</v>
      </c>
      <c r="F113" s="113" t="str">
        <f>IF(E113&gt;=2,INDEX(D97:D106,E113+1),"")</f>
        <v/>
      </c>
      <c r="G113" s="113" t="str">
        <f t="shared" ref="G113:G120" si="11">F113</f>
        <v/>
      </c>
      <c r="H113" s="113"/>
      <c r="I113" s="114"/>
      <c r="J113" s="114"/>
    </row>
    <row r="114" spans="1:10" s="98" customFormat="1" ht="12.75" hidden="1" customHeight="1" outlineLevel="1" x14ac:dyDescent="0.2">
      <c r="A114" s="94"/>
      <c r="B114" s="97">
        <v>6</v>
      </c>
      <c r="C114" s="106">
        <f>A91-POWER(10,B114)*INT(A91/POWER(10,B114))</f>
        <v>0</v>
      </c>
      <c r="D114" s="113">
        <f t="shared" si="10"/>
        <v>0</v>
      </c>
      <c r="E114" s="113">
        <f t="shared" si="9"/>
        <v>0</v>
      </c>
      <c r="F114" s="113" t="str">
        <f>INDEX(E97:E106,E114+1)</f>
        <v/>
      </c>
      <c r="G114" s="113" t="str">
        <f t="shared" si="11"/>
        <v/>
      </c>
      <c r="H114" s="113"/>
      <c r="I114" s="114"/>
      <c r="J114" s="114"/>
    </row>
    <row r="115" spans="1:10" s="98" customFormat="1" ht="12.75" hidden="1" customHeight="1" outlineLevel="1" x14ac:dyDescent="0.2">
      <c r="A115" s="94"/>
      <c r="B115" s="97">
        <v>7</v>
      </c>
      <c r="C115" s="106">
        <f>A91-POWER(10,B115)*INT(A91/POWER(10,B115))</f>
        <v>0</v>
      </c>
      <c r="D115" s="113">
        <f t="shared" si="10"/>
        <v>0</v>
      </c>
      <c r="E115" s="113">
        <f t="shared" si="9"/>
        <v>0</v>
      </c>
      <c r="F115" s="113" t="str">
        <f>IF(E116&gt;=2,INDEX(B97:C106,E115+1,1),INDEX(B97:C106,E115+1,E116+1))</f>
        <v/>
      </c>
      <c r="G115" s="113" t="str">
        <f t="shared" si="11"/>
        <v/>
      </c>
      <c r="H115" s="113" t="str">
        <f>IF(OR(E115&lt;&gt;0,E116&lt;&gt;0,E117&lt;&gt;0),IF(E116&lt;&gt;1,IF(OR(E115&gt;4,E115=0),H99,IF(E115=1,H97,H98)),H99),"")</f>
        <v/>
      </c>
      <c r="I115" s="114"/>
      <c r="J115" s="114"/>
    </row>
    <row r="116" spans="1:10" s="98" customFormat="1" ht="12.75" hidden="1" customHeight="1" outlineLevel="1" x14ac:dyDescent="0.2">
      <c r="A116" s="94"/>
      <c r="B116" s="97">
        <v>8</v>
      </c>
      <c r="C116" s="106">
        <f>A91-POWER(10,B116)*INT(A91/POWER(10,B116))</f>
        <v>0</v>
      </c>
      <c r="D116" s="113">
        <f t="shared" si="10"/>
        <v>0</v>
      </c>
      <c r="E116" s="113">
        <f t="shared" si="9"/>
        <v>0</v>
      </c>
      <c r="F116" s="113" t="str">
        <f>IF(E116&gt;=2,INDEX(D97:D106,E116+1),"")</f>
        <v/>
      </c>
      <c r="G116" s="113" t="str">
        <f t="shared" si="11"/>
        <v/>
      </c>
      <c r="H116" s="113"/>
      <c r="I116" s="114"/>
      <c r="J116" s="114"/>
    </row>
    <row r="117" spans="1:10" s="98" customFormat="1" ht="12.75" hidden="1" customHeight="1" outlineLevel="1" x14ac:dyDescent="0.2">
      <c r="A117" s="94"/>
      <c r="B117" s="97">
        <v>9</v>
      </c>
      <c r="C117" s="106">
        <f>A91-POWER(10,B117)*INT(A91/POWER(10,B117))</f>
        <v>0</v>
      </c>
      <c r="D117" s="113">
        <f t="shared" si="10"/>
        <v>0</v>
      </c>
      <c r="E117" s="113">
        <f t="shared" si="9"/>
        <v>0</v>
      </c>
      <c r="F117" s="113" t="str">
        <f>INDEX(E97:E106,E117+1)</f>
        <v/>
      </c>
      <c r="G117" s="113" t="str">
        <f t="shared" si="11"/>
        <v/>
      </c>
      <c r="H117" s="113"/>
      <c r="I117" s="114"/>
      <c r="J117" s="114"/>
    </row>
    <row r="118" spans="1:10" s="98" customFormat="1" ht="12.75" hidden="1" customHeight="1" outlineLevel="1" x14ac:dyDescent="0.2">
      <c r="A118" s="94"/>
      <c r="B118" s="97">
        <v>10</v>
      </c>
      <c r="C118" s="106">
        <f>A91-POWER(10,B118)*INT(A91/POWER(10,B118))</f>
        <v>0</v>
      </c>
      <c r="D118" s="113">
        <f t="shared" si="10"/>
        <v>0</v>
      </c>
      <c r="E118" s="113">
        <f t="shared" si="9"/>
        <v>0</v>
      </c>
      <c r="F118" s="113" t="str">
        <f>IF(E119&gt;=2,INDEX(B97:C106,E118+1,1),INDEX(B97:C106,E118+1,E119+1))</f>
        <v/>
      </c>
      <c r="G118" s="113" t="str">
        <f t="shared" si="11"/>
        <v/>
      </c>
      <c r="H118" s="113" t="str">
        <f>IF(OR(E118&lt;&gt;0,E119&lt;&gt;0,E120&lt;&gt;0),IF(E119&lt;&gt;1,IF(OR(E118&gt;4,E118=0),I99,IF(E118=1,I97,I98)),I99),"")</f>
        <v/>
      </c>
      <c r="I118" s="114"/>
      <c r="J118" s="114"/>
    </row>
    <row r="119" spans="1:10" s="98" customFormat="1" ht="12.75" hidden="1" customHeight="1" outlineLevel="1" x14ac:dyDescent="0.2">
      <c r="A119" s="94"/>
      <c r="B119" s="97">
        <v>11</v>
      </c>
      <c r="C119" s="106">
        <f>A91-POWER(10,B119)*INT(A91/POWER(10,B119))</f>
        <v>0</v>
      </c>
      <c r="D119" s="113">
        <f t="shared" si="10"/>
        <v>0</v>
      </c>
      <c r="E119" s="113">
        <f t="shared" si="9"/>
        <v>0</v>
      </c>
      <c r="F119" s="113" t="str">
        <f>IF(E119&gt;=2,INDEX(D97:D106,E119+1),"")</f>
        <v/>
      </c>
      <c r="G119" s="113" t="str">
        <f t="shared" si="11"/>
        <v/>
      </c>
      <c r="H119" s="113"/>
      <c r="I119" s="114"/>
      <c r="J119" s="114"/>
    </row>
    <row r="120" spans="1:10" s="98" customFormat="1" ht="12.75" hidden="1" customHeight="1" outlineLevel="1" thickBot="1" x14ac:dyDescent="0.25">
      <c r="A120" s="94"/>
      <c r="B120" s="97">
        <v>12</v>
      </c>
      <c r="C120" s="106">
        <f>A91-POWER(10,B120)*INT(A91/POWER(10,B120))</f>
        <v>0</v>
      </c>
      <c r="D120" s="113">
        <f t="shared" si="10"/>
        <v>0</v>
      </c>
      <c r="E120" s="113">
        <f t="shared" si="9"/>
        <v>0</v>
      </c>
      <c r="F120" s="113" t="str">
        <f>INDEX(E97:E106,E120+1)</f>
        <v/>
      </c>
      <c r="G120" s="113" t="str">
        <f t="shared" si="11"/>
        <v/>
      </c>
      <c r="H120" s="113"/>
      <c r="I120" s="114"/>
      <c r="J120" s="114"/>
    </row>
    <row r="121" spans="1:10" s="98" customFormat="1" ht="12.75" customHeight="1" collapsed="1" x14ac:dyDescent="0.2">
      <c r="A121" s="108">
        <f>Пт!D72</f>
        <v>0</v>
      </c>
      <c r="B121" s="109" t="s">
        <v>344</v>
      </c>
      <c r="C121" s="97"/>
      <c r="D121" s="113"/>
      <c r="E121" s="113" t="s">
        <v>193</v>
      </c>
      <c r="F121" s="113"/>
      <c r="G121" s="113"/>
      <c r="H121" s="113"/>
      <c r="I121" s="114"/>
      <c r="J121" s="114"/>
    </row>
    <row r="122" spans="1:10" s="98" customFormat="1" ht="12.75" customHeight="1" x14ac:dyDescent="0.2">
      <c r="A122" s="110" t="s">
        <v>387</v>
      </c>
      <c r="B122" s="109" t="s">
        <v>340</v>
      </c>
      <c r="C122" s="97"/>
      <c r="D122" s="113"/>
      <c r="E122" s="113"/>
      <c r="F122" s="113"/>
      <c r="G122" s="113"/>
      <c r="H122" s="113"/>
      <c r="I122" s="114"/>
      <c r="J122" s="114"/>
    </row>
    <row r="123" spans="1:10" s="98" customFormat="1" ht="12.75" customHeight="1" x14ac:dyDescent="0.2">
      <c r="A123" s="110" t="s">
        <v>388</v>
      </c>
      <c r="B123" s="109" t="s">
        <v>341</v>
      </c>
      <c r="C123" s="97"/>
      <c r="D123" s="113"/>
      <c r="E123" s="113"/>
      <c r="F123" s="113"/>
      <c r="G123" s="113"/>
      <c r="H123" s="113"/>
      <c r="I123" s="114"/>
      <c r="J123" s="114"/>
    </row>
    <row r="124" spans="1:10" s="98" customFormat="1" ht="12.75" customHeight="1" x14ac:dyDescent="0.2">
      <c r="A124" s="110" t="s">
        <v>389</v>
      </c>
      <c r="B124" s="109" t="s">
        <v>342</v>
      </c>
      <c r="C124" s="97"/>
      <c r="D124" s="113"/>
      <c r="E124" s="113"/>
      <c r="F124" s="113"/>
      <c r="G124" s="113"/>
      <c r="H124" s="113"/>
      <c r="I124" s="114"/>
      <c r="J124" s="114"/>
    </row>
    <row r="125" spans="1:10" s="98" customFormat="1" ht="12.75" customHeight="1" thickBot="1" x14ac:dyDescent="0.25">
      <c r="A125" s="111" t="s">
        <v>346</v>
      </c>
      <c r="B125" s="109" t="s">
        <v>345</v>
      </c>
      <c r="C125" s="97"/>
      <c r="D125" s="113"/>
      <c r="E125" s="113"/>
      <c r="F125" s="113"/>
      <c r="G125" s="113"/>
      <c r="H125" s="113"/>
      <c r="I125" s="114"/>
      <c r="J125" s="114"/>
    </row>
    <row r="126" spans="1:10" s="98" customFormat="1" ht="12.75" customHeight="1" thickBot="1" x14ac:dyDescent="0.3">
      <c r="A126" s="112" t="str">
        <f>REPLACE(A138,1,2,UPPER(LEFT(A138,2)))</f>
        <v xml:space="preserve"> Ноль ) наименований</v>
      </c>
      <c r="B126" s="109" t="s">
        <v>339</v>
      </c>
      <c r="C126" s="97"/>
      <c r="D126" s="115"/>
      <c r="E126" s="116"/>
      <c r="F126" s="116"/>
      <c r="G126" s="116"/>
      <c r="H126" s="116"/>
      <c r="I126" s="117"/>
      <c r="J126" s="118"/>
    </row>
    <row r="127" spans="1:10" s="98" customFormat="1" ht="12.75" hidden="1" customHeight="1" outlineLevel="1" x14ac:dyDescent="0.2">
      <c r="A127" s="94">
        <v>0</v>
      </c>
      <c r="B127" s="95" t="str">
        <f>""</f>
        <v/>
      </c>
      <c r="C127" s="96" t="s">
        <v>285</v>
      </c>
      <c r="D127" s="119" t="str">
        <f>""</f>
        <v/>
      </c>
      <c r="E127" s="120" t="str">
        <f>""</f>
        <v/>
      </c>
      <c r="F127" s="121" t="str">
        <f>" "&amp; A122</f>
        <v xml:space="preserve"> ) наименование</v>
      </c>
      <c r="G127" s="113" t="s">
        <v>286</v>
      </c>
      <c r="H127" s="113" t="s">
        <v>287</v>
      </c>
      <c r="I127" s="114" t="s">
        <v>288</v>
      </c>
      <c r="J127" s="114" t="s">
        <v>289</v>
      </c>
    </row>
    <row r="128" spans="1:10" s="98" customFormat="1" ht="12.75" hidden="1" customHeight="1" outlineLevel="1" x14ac:dyDescent="0.2">
      <c r="A128" s="94">
        <v>1</v>
      </c>
      <c r="B128" s="99" t="s">
        <v>290</v>
      </c>
      <c r="C128" s="100" t="s">
        <v>291</v>
      </c>
      <c r="D128" s="119" t="str">
        <f>""</f>
        <v/>
      </c>
      <c r="E128" s="120" t="s">
        <v>292</v>
      </c>
      <c r="F128" s="121" t="str">
        <f>" "&amp; A123</f>
        <v xml:space="preserve"> ) наименования</v>
      </c>
      <c r="G128" s="113" t="s">
        <v>293</v>
      </c>
      <c r="H128" s="113" t="s">
        <v>294</v>
      </c>
      <c r="I128" s="114" t="s">
        <v>295</v>
      </c>
      <c r="J128" s="114" t="s">
        <v>296</v>
      </c>
    </row>
    <row r="129" spans="1:11" s="98" customFormat="1" ht="12.75" hidden="1" customHeight="1" outlineLevel="1" x14ac:dyDescent="0.2">
      <c r="A129" s="94">
        <v>2</v>
      </c>
      <c r="B129" s="99" t="s">
        <v>297</v>
      </c>
      <c r="C129" s="100" t="s">
        <v>298</v>
      </c>
      <c r="D129" s="119" t="s">
        <v>299</v>
      </c>
      <c r="E129" s="120" t="s">
        <v>300</v>
      </c>
      <c r="F129" s="121" t="str">
        <f>" "&amp;A124</f>
        <v xml:space="preserve"> ) наименований</v>
      </c>
      <c r="G129" s="113" t="s">
        <v>301</v>
      </c>
      <c r="H129" s="113" t="s">
        <v>302</v>
      </c>
      <c r="I129" s="114" t="s">
        <v>303</v>
      </c>
      <c r="J129" s="114" t="s">
        <v>304</v>
      </c>
    </row>
    <row r="130" spans="1:11" s="98" customFormat="1" ht="12.75" hidden="1" customHeight="1" outlineLevel="1" x14ac:dyDescent="0.2">
      <c r="A130" s="94">
        <v>3</v>
      </c>
      <c r="B130" s="99" t="s">
        <v>305</v>
      </c>
      <c r="C130" s="100" t="s">
        <v>306</v>
      </c>
      <c r="D130" s="119" t="s">
        <v>307</v>
      </c>
      <c r="E130" s="120" t="s">
        <v>308</v>
      </c>
      <c r="F130" s="113">
        <f>IF(A125="Ж",2,IF(A125="С",3,1))</f>
        <v>3</v>
      </c>
      <c r="G130" s="113"/>
      <c r="H130" s="113"/>
      <c r="I130" s="114"/>
      <c r="J130" s="114"/>
    </row>
    <row r="131" spans="1:11" s="98" customFormat="1" ht="12.75" hidden="1" customHeight="1" outlineLevel="1" x14ac:dyDescent="0.2">
      <c r="A131" s="94">
        <v>4</v>
      </c>
      <c r="B131" s="99" t="s">
        <v>309</v>
      </c>
      <c r="C131" s="100" t="s">
        <v>310</v>
      </c>
      <c r="D131" s="119" t="s">
        <v>311</v>
      </c>
      <c r="E131" s="120" t="s">
        <v>312</v>
      </c>
      <c r="F131" s="113"/>
      <c r="G131" s="113"/>
      <c r="H131" s="113"/>
      <c r="I131" s="114"/>
      <c r="J131" s="114"/>
    </row>
    <row r="132" spans="1:11" s="98" customFormat="1" ht="12.75" hidden="1" customHeight="1" outlineLevel="1" x14ac:dyDescent="0.2">
      <c r="A132" s="94">
        <v>5</v>
      </c>
      <c r="B132" s="99" t="s">
        <v>313</v>
      </c>
      <c r="C132" s="100" t="s">
        <v>314</v>
      </c>
      <c r="D132" s="119" t="s">
        <v>315</v>
      </c>
      <c r="E132" s="120" t="s">
        <v>316</v>
      </c>
      <c r="F132" s="113" t="s">
        <v>317</v>
      </c>
      <c r="G132" s="113" t="s">
        <v>343</v>
      </c>
      <c r="H132" s="113"/>
      <c r="I132" s="114"/>
      <c r="J132" s="114"/>
    </row>
    <row r="133" spans="1:11" s="98" customFormat="1" ht="12.75" hidden="1" customHeight="1" outlineLevel="1" x14ac:dyDescent="0.2">
      <c r="A133" s="94">
        <v>6</v>
      </c>
      <c r="B133" s="99" t="s">
        <v>318</v>
      </c>
      <c r="C133" s="100" t="s">
        <v>319</v>
      </c>
      <c r="D133" s="119" t="s">
        <v>320</v>
      </c>
      <c r="E133" s="120" t="s">
        <v>321</v>
      </c>
      <c r="F133" s="113" t="s">
        <v>322</v>
      </c>
      <c r="G133" s="113" t="s">
        <v>297</v>
      </c>
      <c r="H133" s="113"/>
      <c r="I133" s="114"/>
      <c r="J133" s="114"/>
    </row>
    <row r="134" spans="1:11" s="98" customFormat="1" ht="12.75" hidden="1" customHeight="1" outlineLevel="1" x14ac:dyDescent="0.2">
      <c r="A134" s="94">
        <v>7</v>
      </c>
      <c r="B134" s="99" t="s">
        <v>323</v>
      </c>
      <c r="C134" s="100" t="s">
        <v>324</v>
      </c>
      <c r="D134" s="119" t="s">
        <v>325</v>
      </c>
      <c r="E134" s="120" t="s">
        <v>326</v>
      </c>
      <c r="F134" s="113"/>
      <c r="G134" s="113"/>
      <c r="H134" s="113"/>
      <c r="I134" s="114"/>
      <c r="J134" s="114"/>
    </row>
    <row r="135" spans="1:11" s="98" customFormat="1" ht="12.75" hidden="1" customHeight="1" outlineLevel="1" x14ac:dyDescent="0.2">
      <c r="A135" s="94">
        <v>8</v>
      </c>
      <c r="B135" s="99" t="s">
        <v>327</v>
      </c>
      <c r="C135" s="100" t="s">
        <v>328</v>
      </c>
      <c r="D135" s="119" t="s">
        <v>329</v>
      </c>
      <c r="E135" s="120" t="s">
        <v>330</v>
      </c>
      <c r="F135" s="113"/>
      <c r="G135" s="113"/>
      <c r="H135" s="113"/>
      <c r="I135" s="114"/>
      <c r="J135" s="114"/>
    </row>
    <row r="136" spans="1:11" s="98" customFormat="1" ht="12.75" hidden="1" customHeight="1" outlineLevel="1" x14ac:dyDescent="0.2">
      <c r="A136" s="94">
        <v>9</v>
      </c>
      <c r="B136" s="101" t="s">
        <v>331</v>
      </c>
      <c r="C136" s="102" t="s">
        <v>332</v>
      </c>
      <c r="D136" s="122" t="s">
        <v>333</v>
      </c>
      <c r="E136" s="123" t="s">
        <v>334</v>
      </c>
      <c r="F136" s="113"/>
      <c r="G136" s="113"/>
      <c r="H136" s="113"/>
      <c r="I136" s="114"/>
      <c r="J136" s="114"/>
    </row>
    <row r="137" spans="1:11" s="98" customFormat="1" ht="12.75" hidden="1" customHeight="1" outlineLevel="1" x14ac:dyDescent="0.2">
      <c r="A137" s="94"/>
      <c r="B137" s="97">
        <v>-1</v>
      </c>
      <c r="C137" s="103">
        <f>A121-POWER(10,B137)*INT(A121/POWER(10,B137))</f>
        <v>0</v>
      </c>
      <c r="D137" s="124">
        <f>C137</f>
        <v>0</v>
      </c>
      <c r="E137" s="125">
        <f>ROUND(D137/POWER(10,B137-1),0)</f>
        <v>0</v>
      </c>
      <c r="F137" s="113"/>
      <c r="G137" s="113"/>
      <c r="H137" s="113"/>
      <c r="I137" s="114"/>
      <c r="J137" s="114"/>
    </row>
    <row r="138" spans="1:11" s="98" customFormat="1" ht="12.75" hidden="1" customHeight="1" outlineLevel="1" x14ac:dyDescent="0.2">
      <c r="A138" s="104" t="str">
        <f>CONCATENATE(G150,G149,G148,H148,G147,G146,G145,H145,G144,G143,G142,H142,G141,G140,G139,H139)</f>
        <v xml:space="preserve"> ноль ) наименований</v>
      </c>
      <c r="B138" s="97">
        <v>0</v>
      </c>
      <c r="C138" s="103">
        <f>A121-POWER(10,B138)*INT(A121/POWER(10,B138))</f>
        <v>0</v>
      </c>
      <c r="D138" s="126">
        <f>C138-D137</f>
        <v>0</v>
      </c>
      <c r="E138" s="125">
        <f t="shared" ref="E138:E150" si="12">D138/POWER(10,B138-1)</f>
        <v>0</v>
      </c>
      <c r="F138" s="127" t="s">
        <v>335</v>
      </c>
      <c r="G138" s="127" t="s">
        <v>336</v>
      </c>
      <c r="H138" s="127" t="s">
        <v>337</v>
      </c>
      <c r="I138" s="128"/>
      <c r="J138" s="128"/>
      <c r="K138" s="105"/>
    </row>
    <row r="139" spans="1:11" s="98" customFormat="1" ht="12.75" hidden="1" customHeight="1" outlineLevel="1" x14ac:dyDescent="0.2">
      <c r="A139" s="94"/>
      <c r="B139" s="97">
        <v>1</v>
      </c>
      <c r="C139" s="106">
        <f>A121-POWER(10,B139)*INT(A121/POWER(10,B139))</f>
        <v>0</v>
      </c>
      <c r="D139" s="125">
        <f>C139-D138-D137</f>
        <v>0</v>
      </c>
      <c r="E139" s="113">
        <f t="shared" si="12"/>
        <v>0</v>
      </c>
      <c r="F139" s="113" t="str">
        <f>IF(E140&gt;=2,INDEX(B127:C136,E139+1,1),INDEX(B127:C136,E139+1,E140+1))</f>
        <v/>
      </c>
      <c r="G139" s="129" t="str">
        <f>IF(AND(E139=2,E140&lt;&gt;1),CHOOSE(F130,F139,F133,G133),IF(AND(E139=1,E140&lt;&gt;1),CHOOSE(F130,F139,F132,G132),F139))</f>
        <v/>
      </c>
      <c r="H139" s="113" t="str">
        <f>IF(SUM(E139:E150)=0," ноль ) наименований",IF(E140&lt;&gt;1,IF(OR(E139&gt;4,E139=0),F129,IF(E139=1,F127,F128)),F129))</f>
        <v xml:space="preserve"> ноль ) наименований</v>
      </c>
      <c r="I139" s="130"/>
      <c r="J139" s="113"/>
    </row>
    <row r="140" spans="1:11" s="98" customFormat="1" ht="12.75" hidden="1" customHeight="1" outlineLevel="1" x14ac:dyDescent="0.2">
      <c r="A140" s="107" t="s">
        <v>338</v>
      </c>
      <c r="B140" s="97">
        <v>2</v>
      </c>
      <c r="C140" s="106">
        <f>A121-POWER(10,B140)*INT(A121/POWER(10,B140))</f>
        <v>0</v>
      </c>
      <c r="D140" s="113">
        <f t="shared" ref="D140:D150" si="13">C140-C139</f>
        <v>0</v>
      </c>
      <c r="E140" s="113">
        <f t="shared" si="12"/>
        <v>0</v>
      </c>
      <c r="F140" s="113" t="str">
        <f>IF(E140&gt;=2,INDEX(D127:D136,E140+1),"")</f>
        <v/>
      </c>
      <c r="G140" s="113" t="str">
        <f>F140</f>
        <v/>
      </c>
      <c r="H140" s="113"/>
      <c r="I140" s="114"/>
      <c r="J140" s="114"/>
    </row>
    <row r="141" spans="1:11" s="98" customFormat="1" ht="12.75" hidden="1" customHeight="1" outlineLevel="1" x14ac:dyDescent="0.2">
      <c r="A141" s="94"/>
      <c r="B141" s="97">
        <v>3</v>
      </c>
      <c r="C141" s="106">
        <f>A121-POWER(10,B141)*INT(A121/POWER(10,B141))</f>
        <v>0</v>
      </c>
      <c r="D141" s="113">
        <f t="shared" si="13"/>
        <v>0</v>
      </c>
      <c r="E141" s="113">
        <f t="shared" si="12"/>
        <v>0</v>
      </c>
      <c r="F141" s="113" t="str">
        <f>INDEX(E127:E136,E141+1)</f>
        <v/>
      </c>
      <c r="G141" s="113" t="str">
        <f>F141</f>
        <v/>
      </c>
      <c r="H141" s="113"/>
      <c r="I141" s="114"/>
      <c r="J141" s="114"/>
    </row>
    <row r="142" spans="1:11" s="98" customFormat="1" ht="12.75" hidden="1" customHeight="1" outlineLevel="1" x14ac:dyDescent="0.2">
      <c r="A142" s="94"/>
      <c r="B142" s="97">
        <v>4</v>
      </c>
      <c r="C142" s="106">
        <f>A121-POWER(10,B142)*INT(A121/POWER(10,B142))</f>
        <v>0</v>
      </c>
      <c r="D142" s="113">
        <f t="shared" si="13"/>
        <v>0</v>
      </c>
      <c r="E142" s="113">
        <f t="shared" si="12"/>
        <v>0</v>
      </c>
      <c r="F142" s="113" t="str">
        <f>IF(E143&gt;=2,INDEX(B127:C136,E142+1,1),INDEX(B127:C136,E142+1,E143+1))</f>
        <v/>
      </c>
      <c r="G142" s="129" t="str">
        <f>IF(F142=" один",F132,IF(F142=" два",F133,F142))</f>
        <v/>
      </c>
      <c r="H142" s="113" t="str">
        <f>IF(OR(E144&lt;&gt;0,E143&lt;&gt;0,E142&lt;&gt;0),IF(E143&lt;&gt;1,IF(OR(E142&gt;4,E142=0),G129,IF(E142=1,G127,G128)),G129),"")</f>
        <v/>
      </c>
      <c r="I142" s="114"/>
      <c r="J142" s="114"/>
    </row>
    <row r="143" spans="1:11" s="98" customFormat="1" ht="12.75" hidden="1" customHeight="1" outlineLevel="1" x14ac:dyDescent="0.2">
      <c r="A143" s="94"/>
      <c r="B143" s="97">
        <v>5</v>
      </c>
      <c r="C143" s="106">
        <f>A121-POWER(10,B143)*INT(A121/POWER(10,B143))</f>
        <v>0</v>
      </c>
      <c r="D143" s="113">
        <f t="shared" si="13"/>
        <v>0</v>
      </c>
      <c r="E143" s="113">
        <f t="shared" si="12"/>
        <v>0</v>
      </c>
      <c r="F143" s="113" t="str">
        <f>IF(E143&gt;=2,INDEX(D127:D136,E143+1),"")</f>
        <v/>
      </c>
      <c r="G143" s="113" t="str">
        <f t="shared" ref="G143:G150" si="14">F143</f>
        <v/>
      </c>
      <c r="H143" s="113"/>
      <c r="I143" s="114"/>
      <c r="J143" s="114"/>
    </row>
    <row r="144" spans="1:11" s="98" customFormat="1" ht="12.75" hidden="1" customHeight="1" outlineLevel="1" x14ac:dyDescent="0.2">
      <c r="A144" s="94"/>
      <c r="B144" s="97">
        <v>6</v>
      </c>
      <c r="C144" s="106">
        <f>A121-POWER(10,B144)*INT(A121/POWER(10,B144))</f>
        <v>0</v>
      </c>
      <c r="D144" s="113">
        <f t="shared" si="13"/>
        <v>0</v>
      </c>
      <c r="E144" s="113">
        <f t="shared" si="12"/>
        <v>0</v>
      </c>
      <c r="F144" s="113" t="str">
        <f>INDEX(E127:E136,E144+1)</f>
        <v/>
      </c>
      <c r="G144" s="113" t="str">
        <f t="shared" si="14"/>
        <v/>
      </c>
      <c r="H144" s="113"/>
      <c r="I144" s="114"/>
      <c r="J144" s="114"/>
    </row>
    <row r="145" spans="1:10" s="98" customFormat="1" ht="12.75" hidden="1" customHeight="1" outlineLevel="1" x14ac:dyDescent="0.2">
      <c r="A145" s="94"/>
      <c r="B145" s="97">
        <v>7</v>
      </c>
      <c r="C145" s="106">
        <f>A121-POWER(10,B145)*INT(A121/POWER(10,B145))</f>
        <v>0</v>
      </c>
      <c r="D145" s="113">
        <f t="shared" si="13"/>
        <v>0</v>
      </c>
      <c r="E145" s="113">
        <f t="shared" si="12"/>
        <v>0</v>
      </c>
      <c r="F145" s="113" t="str">
        <f>IF(E146&gt;=2,INDEX(B127:C136,E145+1,1),INDEX(B127:C136,E145+1,E146+1))</f>
        <v/>
      </c>
      <c r="G145" s="113" t="str">
        <f t="shared" si="14"/>
        <v/>
      </c>
      <c r="H145" s="113" t="str">
        <f>IF(OR(E145&lt;&gt;0,E146&lt;&gt;0,E147&lt;&gt;0),IF(E146&lt;&gt;1,IF(OR(E145&gt;4,E145=0),H129,IF(E145=1,H127,H128)),H129),"")</f>
        <v/>
      </c>
      <c r="I145" s="114"/>
      <c r="J145" s="114"/>
    </row>
    <row r="146" spans="1:10" s="98" customFormat="1" ht="12.75" hidden="1" customHeight="1" outlineLevel="1" x14ac:dyDescent="0.2">
      <c r="A146" s="94"/>
      <c r="B146" s="97">
        <v>8</v>
      </c>
      <c r="C146" s="106">
        <f>A121-POWER(10,B146)*INT(A121/POWER(10,B146))</f>
        <v>0</v>
      </c>
      <c r="D146" s="113">
        <f t="shared" si="13"/>
        <v>0</v>
      </c>
      <c r="E146" s="113">
        <f t="shared" si="12"/>
        <v>0</v>
      </c>
      <c r="F146" s="113" t="str">
        <f>IF(E146&gt;=2,INDEX(D127:D136,E146+1),"")</f>
        <v/>
      </c>
      <c r="G146" s="113" t="str">
        <f t="shared" si="14"/>
        <v/>
      </c>
      <c r="H146" s="113"/>
      <c r="I146" s="114"/>
      <c r="J146" s="114"/>
    </row>
    <row r="147" spans="1:10" s="98" customFormat="1" ht="12.75" hidden="1" customHeight="1" outlineLevel="1" x14ac:dyDescent="0.2">
      <c r="A147" s="94"/>
      <c r="B147" s="97">
        <v>9</v>
      </c>
      <c r="C147" s="106">
        <f>A121-POWER(10,B147)*INT(A121/POWER(10,B147))</f>
        <v>0</v>
      </c>
      <c r="D147" s="113">
        <f t="shared" si="13"/>
        <v>0</v>
      </c>
      <c r="E147" s="113">
        <f t="shared" si="12"/>
        <v>0</v>
      </c>
      <c r="F147" s="113" t="str">
        <f>INDEX(E127:E136,E147+1)</f>
        <v/>
      </c>
      <c r="G147" s="113" t="str">
        <f t="shared" si="14"/>
        <v/>
      </c>
      <c r="H147" s="113"/>
      <c r="I147" s="114"/>
      <c r="J147" s="114"/>
    </row>
    <row r="148" spans="1:10" s="98" customFormat="1" ht="12.75" hidden="1" customHeight="1" outlineLevel="1" x14ac:dyDescent="0.2">
      <c r="A148" s="94"/>
      <c r="B148" s="97">
        <v>10</v>
      </c>
      <c r="C148" s="106">
        <f>A121-POWER(10,B148)*INT(A121/POWER(10,B148))</f>
        <v>0</v>
      </c>
      <c r="D148" s="113">
        <f t="shared" si="13"/>
        <v>0</v>
      </c>
      <c r="E148" s="113">
        <f t="shared" si="12"/>
        <v>0</v>
      </c>
      <c r="F148" s="113" t="str">
        <f>IF(E149&gt;=2,INDEX(B127:C136,E148+1,1),INDEX(B127:C136,E148+1,E149+1))</f>
        <v/>
      </c>
      <c r="G148" s="113" t="str">
        <f t="shared" si="14"/>
        <v/>
      </c>
      <c r="H148" s="113" t="str">
        <f>IF(OR(E148&lt;&gt;0,E149&lt;&gt;0,E150&lt;&gt;0),IF(E149&lt;&gt;1,IF(OR(E148&gt;4,E148=0),I129,IF(E148=1,I127,I128)),I129),"")</f>
        <v/>
      </c>
      <c r="I148" s="114"/>
      <c r="J148" s="114"/>
    </row>
    <row r="149" spans="1:10" s="98" customFormat="1" ht="12.75" hidden="1" customHeight="1" outlineLevel="1" x14ac:dyDescent="0.2">
      <c r="A149" s="94"/>
      <c r="B149" s="97">
        <v>11</v>
      </c>
      <c r="C149" s="106">
        <f>A121-POWER(10,B149)*INT(A121/POWER(10,B149))</f>
        <v>0</v>
      </c>
      <c r="D149" s="113">
        <f t="shared" si="13"/>
        <v>0</v>
      </c>
      <c r="E149" s="113">
        <f t="shared" si="12"/>
        <v>0</v>
      </c>
      <c r="F149" s="113" t="str">
        <f>IF(E149&gt;=2,INDEX(D127:D136,E149+1),"")</f>
        <v/>
      </c>
      <c r="G149" s="113" t="str">
        <f t="shared" si="14"/>
        <v/>
      </c>
      <c r="H149" s="113"/>
      <c r="I149" s="114"/>
      <c r="J149" s="114"/>
    </row>
    <row r="150" spans="1:10" s="98" customFormat="1" ht="12.75" hidden="1" customHeight="1" outlineLevel="1" thickBot="1" x14ac:dyDescent="0.25">
      <c r="A150" s="94"/>
      <c r="B150" s="97">
        <v>12</v>
      </c>
      <c r="C150" s="106">
        <f>A121-POWER(10,B150)*INT(A121/POWER(10,B150))</f>
        <v>0</v>
      </c>
      <c r="D150" s="113">
        <f t="shared" si="13"/>
        <v>0</v>
      </c>
      <c r="E150" s="113">
        <f t="shared" si="12"/>
        <v>0</v>
      </c>
      <c r="F150" s="113" t="str">
        <f>INDEX(E127:E136,E150+1)</f>
        <v/>
      </c>
      <c r="G150" s="113" t="str">
        <f t="shared" si="14"/>
        <v/>
      </c>
      <c r="H150" s="113"/>
      <c r="I150" s="114"/>
      <c r="J150" s="114"/>
    </row>
    <row r="151" spans="1:10" s="98" customFormat="1" ht="12.75" customHeight="1" collapsed="1" x14ac:dyDescent="0.2">
      <c r="A151" s="108">
        <f>Сб!D72</f>
        <v>0</v>
      </c>
      <c r="B151" s="109" t="s">
        <v>344</v>
      </c>
      <c r="C151" s="97"/>
      <c r="D151" s="113"/>
      <c r="E151" s="113" t="s">
        <v>194</v>
      </c>
      <c r="F151" s="113"/>
      <c r="G151" s="113"/>
      <c r="H151" s="113"/>
      <c r="I151" s="114"/>
      <c r="J151" s="114"/>
    </row>
    <row r="152" spans="1:10" s="98" customFormat="1" ht="12.75" customHeight="1" x14ac:dyDescent="0.2">
      <c r="A152" s="110" t="s">
        <v>387</v>
      </c>
      <c r="B152" s="109" t="s">
        <v>340</v>
      </c>
      <c r="C152" s="97"/>
      <c r="D152" s="113"/>
      <c r="E152" s="113"/>
      <c r="F152" s="113"/>
      <c r="G152" s="113"/>
      <c r="H152" s="113"/>
      <c r="I152" s="114"/>
      <c r="J152" s="114"/>
    </row>
    <row r="153" spans="1:10" s="98" customFormat="1" ht="12.75" customHeight="1" x14ac:dyDescent="0.2">
      <c r="A153" s="110" t="s">
        <v>388</v>
      </c>
      <c r="B153" s="109" t="s">
        <v>341</v>
      </c>
      <c r="C153" s="97"/>
      <c r="D153" s="113"/>
      <c r="E153" s="113"/>
      <c r="F153" s="113"/>
      <c r="G153" s="113"/>
      <c r="H153" s="113"/>
      <c r="I153" s="114"/>
      <c r="J153" s="114"/>
    </row>
    <row r="154" spans="1:10" s="98" customFormat="1" ht="12.75" customHeight="1" x14ac:dyDescent="0.2">
      <c r="A154" s="110" t="s">
        <v>389</v>
      </c>
      <c r="B154" s="109" t="s">
        <v>342</v>
      </c>
      <c r="C154" s="97"/>
      <c r="D154" s="113"/>
      <c r="E154" s="113"/>
      <c r="F154" s="113"/>
      <c r="G154" s="113"/>
      <c r="H154" s="113"/>
      <c r="I154" s="114"/>
      <c r="J154" s="114"/>
    </row>
    <row r="155" spans="1:10" s="98" customFormat="1" ht="12.75" customHeight="1" thickBot="1" x14ac:dyDescent="0.25">
      <c r="A155" s="111" t="s">
        <v>346</v>
      </c>
      <c r="B155" s="109" t="s">
        <v>345</v>
      </c>
      <c r="C155" s="97"/>
      <c r="D155" s="113"/>
      <c r="E155" s="113"/>
      <c r="F155" s="113"/>
      <c r="G155" s="113"/>
      <c r="H155" s="113"/>
      <c r="I155" s="114"/>
      <c r="J155" s="114"/>
    </row>
    <row r="156" spans="1:10" s="98" customFormat="1" ht="12.75" customHeight="1" x14ac:dyDescent="0.25">
      <c r="A156" s="112" t="str">
        <f>REPLACE(A168,1,2,UPPER(LEFT(A168,2)))</f>
        <v xml:space="preserve"> Ноль ) наименований</v>
      </c>
      <c r="B156" s="109" t="s">
        <v>339</v>
      </c>
      <c r="C156" s="97"/>
      <c r="D156" s="115"/>
      <c r="E156" s="116"/>
      <c r="F156" s="116"/>
      <c r="G156" s="116"/>
      <c r="H156" s="116"/>
      <c r="I156" s="117"/>
      <c r="J156" s="118"/>
    </row>
    <row r="157" spans="1:10" s="98" customFormat="1" ht="12.75" customHeight="1" outlineLevel="1" x14ac:dyDescent="0.2">
      <c r="A157" s="94">
        <v>0</v>
      </c>
      <c r="B157" s="95" t="str">
        <f>""</f>
        <v/>
      </c>
      <c r="C157" s="96" t="s">
        <v>285</v>
      </c>
      <c r="D157" s="119" t="str">
        <f>""</f>
        <v/>
      </c>
      <c r="E157" s="120" t="str">
        <f>""</f>
        <v/>
      </c>
      <c r="F157" s="121" t="str">
        <f>" "&amp; A152</f>
        <v xml:space="preserve"> ) наименование</v>
      </c>
      <c r="G157" s="113" t="s">
        <v>286</v>
      </c>
      <c r="H157" s="113" t="s">
        <v>287</v>
      </c>
      <c r="I157" s="114" t="s">
        <v>288</v>
      </c>
      <c r="J157" s="114" t="s">
        <v>289</v>
      </c>
    </row>
    <row r="158" spans="1:10" s="98" customFormat="1" ht="12.75" customHeight="1" outlineLevel="1" x14ac:dyDescent="0.2">
      <c r="A158" s="94">
        <v>1</v>
      </c>
      <c r="B158" s="99" t="s">
        <v>290</v>
      </c>
      <c r="C158" s="100" t="s">
        <v>291</v>
      </c>
      <c r="D158" s="119" t="str">
        <f>""</f>
        <v/>
      </c>
      <c r="E158" s="120" t="s">
        <v>292</v>
      </c>
      <c r="F158" s="121" t="str">
        <f>" "&amp; A153</f>
        <v xml:space="preserve"> ) наименования</v>
      </c>
      <c r="G158" s="113" t="s">
        <v>293</v>
      </c>
      <c r="H158" s="113" t="s">
        <v>294</v>
      </c>
      <c r="I158" s="114" t="s">
        <v>295</v>
      </c>
      <c r="J158" s="114" t="s">
        <v>296</v>
      </c>
    </row>
    <row r="159" spans="1:10" s="98" customFormat="1" ht="12.75" customHeight="1" outlineLevel="1" x14ac:dyDescent="0.2">
      <c r="A159" s="94">
        <v>2</v>
      </c>
      <c r="B159" s="99" t="s">
        <v>297</v>
      </c>
      <c r="C159" s="100" t="s">
        <v>298</v>
      </c>
      <c r="D159" s="119" t="s">
        <v>299</v>
      </c>
      <c r="E159" s="120" t="s">
        <v>300</v>
      </c>
      <c r="F159" s="121" t="str">
        <f>" "&amp;A154</f>
        <v xml:space="preserve"> ) наименований</v>
      </c>
      <c r="G159" s="113" t="s">
        <v>301</v>
      </c>
      <c r="H159" s="113" t="s">
        <v>302</v>
      </c>
      <c r="I159" s="114" t="s">
        <v>303</v>
      </c>
      <c r="J159" s="114" t="s">
        <v>304</v>
      </c>
    </row>
    <row r="160" spans="1:10" s="98" customFormat="1" ht="12.75" customHeight="1" outlineLevel="1" x14ac:dyDescent="0.2">
      <c r="A160" s="94">
        <v>3</v>
      </c>
      <c r="B160" s="99" t="s">
        <v>305</v>
      </c>
      <c r="C160" s="100" t="s">
        <v>306</v>
      </c>
      <c r="D160" s="119" t="s">
        <v>307</v>
      </c>
      <c r="E160" s="120" t="s">
        <v>308</v>
      </c>
      <c r="F160" s="113">
        <f>IF(A155="Ж",2,IF(A155="С",3,1))</f>
        <v>3</v>
      </c>
      <c r="G160" s="113"/>
      <c r="H160" s="113"/>
      <c r="I160" s="114"/>
      <c r="J160" s="114"/>
    </row>
    <row r="161" spans="1:11" s="98" customFormat="1" ht="12.75" customHeight="1" outlineLevel="1" x14ac:dyDescent="0.2">
      <c r="A161" s="94">
        <v>4</v>
      </c>
      <c r="B161" s="99" t="s">
        <v>309</v>
      </c>
      <c r="C161" s="100" t="s">
        <v>310</v>
      </c>
      <c r="D161" s="119" t="s">
        <v>311</v>
      </c>
      <c r="E161" s="120" t="s">
        <v>312</v>
      </c>
      <c r="F161" s="113"/>
      <c r="G161" s="113"/>
      <c r="H161" s="113"/>
      <c r="I161" s="114"/>
      <c r="J161" s="114"/>
    </row>
    <row r="162" spans="1:11" s="98" customFormat="1" ht="12.75" customHeight="1" outlineLevel="1" x14ac:dyDescent="0.2">
      <c r="A162" s="94">
        <v>5</v>
      </c>
      <c r="B162" s="99" t="s">
        <v>313</v>
      </c>
      <c r="C162" s="100" t="s">
        <v>314</v>
      </c>
      <c r="D162" s="119" t="s">
        <v>315</v>
      </c>
      <c r="E162" s="120" t="s">
        <v>316</v>
      </c>
      <c r="F162" s="113" t="s">
        <v>317</v>
      </c>
      <c r="G162" s="113" t="s">
        <v>343</v>
      </c>
      <c r="H162" s="113"/>
      <c r="I162" s="114"/>
      <c r="J162" s="114"/>
    </row>
    <row r="163" spans="1:11" s="98" customFormat="1" ht="12.75" customHeight="1" outlineLevel="1" x14ac:dyDescent="0.2">
      <c r="A163" s="94">
        <v>6</v>
      </c>
      <c r="B163" s="99" t="s">
        <v>318</v>
      </c>
      <c r="C163" s="100" t="s">
        <v>319</v>
      </c>
      <c r="D163" s="119" t="s">
        <v>320</v>
      </c>
      <c r="E163" s="120" t="s">
        <v>321</v>
      </c>
      <c r="F163" s="113" t="s">
        <v>322</v>
      </c>
      <c r="G163" s="113" t="s">
        <v>297</v>
      </c>
      <c r="H163" s="113"/>
      <c r="I163" s="114"/>
      <c r="J163" s="114"/>
    </row>
    <row r="164" spans="1:11" s="98" customFormat="1" ht="12.75" customHeight="1" outlineLevel="1" x14ac:dyDescent="0.2">
      <c r="A164" s="94">
        <v>7</v>
      </c>
      <c r="B164" s="99" t="s">
        <v>323</v>
      </c>
      <c r="C164" s="100" t="s">
        <v>324</v>
      </c>
      <c r="D164" s="119" t="s">
        <v>325</v>
      </c>
      <c r="E164" s="120" t="s">
        <v>326</v>
      </c>
      <c r="F164" s="113"/>
      <c r="G164" s="113"/>
      <c r="H164" s="113"/>
      <c r="I164" s="114"/>
      <c r="J164" s="114"/>
    </row>
    <row r="165" spans="1:11" s="98" customFormat="1" ht="12.75" customHeight="1" outlineLevel="1" x14ac:dyDescent="0.2">
      <c r="A165" s="94">
        <v>8</v>
      </c>
      <c r="B165" s="99" t="s">
        <v>327</v>
      </c>
      <c r="C165" s="100" t="s">
        <v>328</v>
      </c>
      <c r="D165" s="119" t="s">
        <v>329</v>
      </c>
      <c r="E165" s="120" t="s">
        <v>330</v>
      </c>
      <c r="F165" s="113"/>
      <c r="G165" s="113"/>
      <c r="H165" s="113"/>
      <c r="I165" s="114"/>
      <c r="J165" s="114"/>
    </row>
    <row r="166" spans="1:11" s="98" customFormat="1" ht="12.75" customHeight="1" outlineLevel="1" x14ac:dyDescent="0.2">
      <c r="A166" s="94">
        <v>9</v>
      </c>
      <c r="B166" s="101" t="s">
        <v>331</v>
      </c>
      <c r="C166" s="102" t="s">
        <v>332</v>
      </c>
      <c r="D166" s="122" t="s">
        <v>333</v>
      </c>
      <c r="E166" s="123" t="s">
        <v>334</v>
      </c>
      <c r="F166" s="113"/>
      <c r="G166" s="113"/>
      <c r="H166" s="113"/>
      <c r="I166" s="114"/>
      <c r="J166" s="114"/>
    </row>
    <row r="167" spans="1:11" s="98" customFormat="1" ht="12.75" customHeight="1" outlineLevel="1" x14ac:dyDescent="0.2">
      <c r="A167" s="94"/>
      <c r="B167" s="97">
        <v>-1</v>
      </c>
      <c r="C167" s="103">
        <f>A151-POWER(10,B167)*INT(A151/POWER(10,B167))</f>
        <v>0</v>
      </c>
      <c r="D167" s="124">
        <f>C167</f>
        <v>0</v>
      </c>
      <c r="E167" s="125">
        <f>ROUND(D167/POWER(10,B167-1),0)</f>
        <v>0</v>
      </c>
      <c r="F167" s="113"/>
      <c r="G167" s="113"/>
      <c r="H167" s="113"/>
      <c r="I167" s="114"/>
      <c r="J167" s="114"/>
    </row>
    <row r="168" spans="1:11" s="98" customFormat="1" ht="12.75" customHeight="1" outlineLevel="1" x14ac:dyDescent="0.2">
      <c r="A168" s="104" t="str">
        <f>CONCATENATE(G180,G179,G178,H178,G177,G176,G175,H175,G174,G173,G172,H172,G171,G170,G169,H169)</f>
        <v xml:space="preserve"> ноль ) наименований</v>
      </c>
      <c r="B168" s="97">
        <v>0</v>
      </c>
      <c r="C168" s="103">
        <f>A151-POWER(10,B168)*INT(A151/POWER(10,B168))</f>
        <v>0</v>
      </c>
      <c r="D168" s="126">
        <f>C168-D167</f>
        <v>0</v>
      </c>
      <c r="E168" s="125">
        <f t="shared" ref="E168:E180" si="15">D168/POWER(10,B168-1)</f>
        <v>0</v>
      </c>
      <c r="F168" s="127" t="s">
        <v>335</v>
      </c>
      <c r="G168" s="127" t="s">
        <v>336</v>
      </c>
      <c r="H168" s="127" t="s">
        <v>337</v>
      </c>
      <c r="I168" s="128"/>
      <c r="J168" s="128"/>
      <c r="K168" s="105"/>
    </row>
    <row r="169" spans="1:11" s="98" customFormat="1" ht="12.75" customHeight="1" outlineLevel="1" x14ac:dyDescent="0.2">
      <c r="A169" s="94"/>
      <c r="B169" s="97">
        <v>1</v>
      </c>
      <c r="C169" s="106">
        <f>A151-POWER(10,B169)*INT(A151/POWER(10,B169))</f>
        <v>0</v>
      </c>
      <c r="D169" s="125">
        <f>C169-D168-D167</f>
        <v>0</v>
      </c>
      <c r="E169" s="113">
        <f t="shared" si="15"/>
        <v>0</v>
      </c>
      <c r="F169" s="113" t="str">
        <f>IF(E170&gt;=2,INDEX(B157:C166,E169+1,1),INDEX(B157:C166,E169+1,E170+1))</f>
        <v/>
      </c>
      <c r="G169" s="129" t="str">
        <f>IF(AND(E169=2,E170&lt;&gt;1),CHOOSE(F160,F169,F163,G163),IF(AND(E169=1,E170&lt;&gt;1),CHOOSE(F160,F169,F162,G162),F169))</f>
        <v/>
      </c>
      <c r="H169" s="113" t="str">
        <f>IF(SUM(E169:E180)=0," ноль ) наименований",IF(E170&lt;&gt;1,IF(OR(E169&gt;4,E169=0),F159,IF(E169=1,F157,F158)),F159))</f>
        <v xml:space="preserve"> ноль ) наименований</v>
      </c>
      <c r="I169" s="130"/>
      <c r="J169" s="113"/>
    </row>
    <row r="170" spans="1:11" s="98" customFormat="1" ht="12.75" customHeight="1" outlineLevel="1" x14ac:dyDescent="0.2">
      <c r="A170" s="107" t="s">
        <v>338</v>
      </c>
      <c r="B170" s="97">
        <v>2</v>
      </c>
      <c r="C170" s="106">
        <f>A151-POWER(10,B170)*INT(A151/POWER(10,B170))</f>
        <v>0</v>
      </c>
      <c r="D170" s="113">
        <f t="shared" ref="D170:D180" si="16">C170-C169</f>
        <v>0</v>
      </c>
      <c r="E170" s="113">
        <f t="shared" si="15"/>
        <v>0</v>
      </c>
      <c r="F170" s="113" t="str">
        <f>IF(E170&gt;=2,INDEX(D157:D166,E170+1),"")</f>
        <v/>
      </c>
      <c r="G170" s="113" t="str">
        <f>F170</f>
        <v/>
      </c>
      <c r="H170" s="113"/>
      <c r="I170" s="114"/>
      <c r="J170" s="114"/>
    </row>
    <row r="171" spans="1:11" s="98" customFormat="1" ht="12.75" customHeight="1" outlineLevel="1" x14ac:dyDescent="0.2">
      <c r="A171" s="94"/>
      <c r="B171" s="97">
        <v>3</v>
      </c>
      <c r="C171" s="106">
        <f>A151-POWER(10,B171)*INT(A151/POWER(10,B171))</f>
        <v>0</v>
      </c>
      <c r="D171" s="113">
        <f t="shared" si="16"/>
        <v>0</v>
      </c>
      <c r="E171" s="113">
        <f t="shared" si="15"/>
        <v>0</v>
      </c>
      <c r="F171" s="113" t="str">
        <f>INDEX(E157:E166,E171+1)</f>
        <v/>
      </c>
      <c r="G171" s="113" t="str">
        <f>F171</f>
        <v/>
      </c>
      <c r="H171" s="113"/>
      <c r="I171" s="114"/>
      <c r="J171" s="114"/>
    </row>
    <row r="172" spans="1:11" s="98" customFormat="1" ht="12.75" customHeight="1" outlineLevel="1" x14ac:dyDescent="0.2">
      <c r="A172" s="94"/>
      <c r="B172" s="97">
        <v>4</v>
      </c>
      <c r="C172" s="106">
        <f>A151-POWER(10,B172)*INT(A151/POWER(10,B172))</f>
        <v>0</v>
      </c>
      <c r="D172" s="113">
        <f t="shared" si="16"/>
        <v>0</v>
      </c>
      <c r="E172" s="113">
        <f t="shared" si="15"/>
        <v>0</v>
      </c>
      <c r="F172" s="113" t="str">
        <f>IF(E173&gt;=2,INDEX(B157:C166,E172+1,1),INDEX(B157:C166,E172+1,E173+1))</f>
        <v/>
      </c>
      <c r="G172" s="129" t="str">
        <f>IF(F172=" один",F162,IF(F172=" два",F163,F172))</f>
        <v/>
      </c>
      <c r="H172" s="113" t="str">
        <f>IF(OR(E174&lt;&gt;0,E173&lt;&gt;0,E172&lt;&gt;0),IF(E173&lt;&gt;1,IF(OR(E172&gt;4,E172=0),G159,IF(E172=1,G157,G158)),G159),"")</f>
        <v/>
      </c>
      <c r="I172" s="114"/>
      <c r="J172" s="114"/>
    </row>
    <row r="173" spans="1:11" s="98" customFormat="1" ht="12.75" customHeight="1" outlineLevel="1" x14ac:dyDescent="0.2">
      <c r="A173" s="94"/>
      <c r="B173" s="97">
        <v>5</v>
      </c>
      <c r="C173" s="106">
        <f>A151-POWER(10,B173)*INT(A151/POWER(10,B173))</f>
        <v>0</v>
      </c>
      <c r="D173" s="113">
        <f t="shared" si="16"/>
        <v>0</v>
      </c>
      <c r="E173" s="113">
        <f t="shared" si="15"/>
        <v>0</v>
      </c>
      <c r="F173" s="113" t="str">
        <f>IF(E173&gt;=2,INDEX(D157:D166,E173+1),"")</f>
        <v/>
      </c>
      <c r="G173" s="113" t="str">
        <f t="shared" ref="G173:G180" si="17">F173</f>
        <v/>
      </c>
      <c r="H173" s="113"/>
      <c r="I173" s="114"/>
      <c r="J173" s="114"/>
    </row>
    <row r="174" spans="1:11" s="98" customFormat="1" ht="12.75" customHeight="1" outlineLevel="1" x14ac:dyDescent="0.2">
      <c r="A174" s="94"/>
      <c r="B174" s="97">
        <v>6</v>
      </c>
      <c r="C174" s="106">
        <f>A151-POWER(10,B174)*INT(A151/POWER(10,B174))</f>
        <v>0</v>
      </c>
      <c r="D174" s="113">
        <f t="shared" si="16"/>
        <v>0</v>
      </c>
      <c r="E174" s="113">
        <f t="shared" si="15"/>
        <v>0</v>
      </c>
      <c r="F174" s="113" t="str">
        <f>INDEX(E157:E166,E174+1)</f>
        <v/>
      </c>
      <c r="G174" s="113" t="str">
        <f t="shared" si="17"/>
        <v/>
      </c>
      <c r="H174" s="113"/>
      <c r="I174" s="114"/>
      <c r="J174" s="114"/>
    </row>
    <row r="175" spans="1:11" s="98" customFormat="1" ht="12.75" customHeight="1" outlineLevel="1" x14ac:dyDescent="0.2">
      <c r="A175" s="94"/>
      <c r="B175" s="97">
        <v>7</v>
      </c>
      <c r="C175" s="106">
        <f>A151-POWER(10,B175)*INT(A151/POWER(10,B175))</f>
        <v>0</v>
      </c>
      <c r="D175" s="113">
        <f t="shared" si="16"/>
        <v>0</v>
      </c>
      <c r="E175" s="113">
        <f t="shared" si="15"/>
        <v>0</v>
      </c>
      <c r="F175" s="113" t="str">
        <f>IF(E176&gt;=2,INDEX(B157:C166,E175+1,1),INDEX(B157:C166,E175+1,E176+1))</f>
        <v/>
      </c>
      <c r="G175" s="113" t="str">
        <f t="shared" si="17"/>
        <v/>
      </c>
      <c r="H175" s="113" t="str">
        <f>IF(OR(E175&lt;&gt;0,E176&lt;&gt;0,E177&lt;&gt;0),IF(E176&lt;&gt;1,IF(OR(E175&gt;4,E175=0),H159,IF(E175=1,H157,H158)),H159),"")</f>
        <v/>
      </c>
      <c r="I175" s="114"/>
      <c r="J175" s="114"/>
    </row>
    <row r="176" spans="1:11" s="98" customFormat="1" ht="12.75" customHeight="1" outlineLevel="1" x14ac:dyDescent="0.2">
      <c r="A176" s="94"/>
      <c r="B176" s="97">
        <v>8</v>
      </c>
      <c r="C176" s="106">
        <f>A151-POWER(10,B176)*INT(A151/POWER(10,B176))</f>
        <v>0</v>
      </c>
      <c r="D176" s="113">
        <f t="shared" si="16"/>
        <v>0</v>
      </c>
      <c r="E176" s="113">
        <f t="shared" si="15"/>
        <v>0</v>
      </c>
      <c r="F176" s="113" t="str">
        <f>IF(E176&gt;=2,INDEX(D157:D166,E176+1),"")</f>
        <v/>
      </c>
      <c r="G176" s="113" t="str">
        <f t="shared" si="17"/>
        <v/>
      </c>
      <c r="H176" s="113"/>
      <c r="I176" s="114"/>
      <c r="J176" s="114"/>
    </row>
    <row r="177" spans="1:10" s="98" customFormat="1" ht="12.75" customHeight="1" outlineLevel="1" x14ac:dyDescent="0.2">
      <c r="A177" s="94"/>
      <c r="B177" s="97">
        <v>9</v>
      </c>
      <c r="C177" s="106">
        <f>A151-POWER(10,B177)*INT(A151/POWER(10,B177))</f>
        <v>0</v>
      </c>
      <c r="D177" s="113">
        <f t="shared" si="16"/>
        <v>0</v>
      </c>
      <c r="E177" s="113">
        <f t="shared" si="15"/>
        <v>0</v>
      </c>
      <c r="F177" s="113" t="str">
        <f>INDEX(E157:E166,E177+1)</f>
        <v/>
      </c>
      <c r="G177" s="113" t="str">
        <f t="shared" si="17"/>
        <v/>
      </c>
      <c r="H177" s="113"/>
      <c r="I177" s="114"/>
      <c r="J177" s="114"/>
    </row>
    <row r="178" spans="1:10" s="98" customFormat="1" ht="12.75" customHeight="1" outlineLevel="1" x14ac:dyDescent="0.2">
      <c r="A178" s="94"/>
      <c r="B178" s="97">
        <v>10</v>
      </c>
      <c r="C178" s="106">
        <f>A151-POWER(10,B178)*INT(A151/POWER(10,B178))</f>
        <v>0</v>
      </c>
      <c r="D178" s="113">
        <f t="shared" si="16"/>
        <v>0</v>
      </c>
      <c r="E178" s="113">
        <f t="shared" si="15"/>
        <v>0</v>
      </c>
      <c r="F178" s="113" t="str">
        <f>IF(E179&gt;=2,INDEX(B157:C166,E178+1,1),INDEX(B157:C166,E178+1,E179+1))</f>
        <v/>
      </c>
      <c r="G178" s="113" t="str">
        <f t="shared" si="17"/>
        <v/>
      </c>
      <c r="H178" s="113" t="str">
        <f>IF(OR(E178&lt;&gt;0,E179&lt;&gt;0,E180&lt;&gt;0),IF(E179&lt;&gt;1,IF(OR(E178&gt;4,E178=0),I159,IF(E178=1,I157,I158)),I159),"")</f>
        <v/>
      </c>
      <c r="I178" s="114"/>
      <c r="J178" s="114"/>
    </row>
    <row r="179" spans="1:10" s="98" customFormat="1" ht="12.75" customHeight="1" outlineLevel="1" x14ac:dyDescent="0.2">
      <c r="A179" s="94"/>
      <c r="B179" s="97">
        <v>11</v>
      </c>
      <c r="C179" s="106">
        <f>A151-POWER(10,B179)*INT(A151/POWER(10,B179))</f>
        <v>0</v>
      </c>
      <c r="D179" s="113">
        <f t="shared" si="16"/>
        <v>0</v>
      </c>
      <c r="E179" s="113">
        <f t="shared" si="15"/>
        <v>0</v>
      </c>
      <c r="F179" s="113" t="str">
        <f>IF(E179&gt;=2,INDEX(D157:D166,E179+1),"")</f>
        <v/>
      </c>
      <c r="G179" s="113" t="str">
        <f t="shared" si="17"/>
        <v/>
      </c>
      <c r="H179" s="113"/>
      <c r="I179" s="114"/>
      <c r="J179" s="114"/>
    </row>
    <row r="180" spans="1:10" s="98" customFormat="1" ht="12.75" customHeight="1" outlineLevel="1" thickBot="1" x14ac:dyDescent="0.25">
      <c r="A180" s="94"/>
      <c r="B180" s="97">
        <v>12</v>
      </c>
      <c r="C180" s="106">
        <f>A151-POWER(10,B180)*INT(A151/POWER(10,B180))</f>
        <v>0</v>
      </c>
      <c r="D180" s="113">
        <f t="shared" si="16"/>
        <v>0</v>
      </c>
      <c r="E180" s="113">
        <f t="shared" si="15"/>
        <v>0</v>
      </c>
      <c r="F180" s="113" t="str">
        <f>INDEX(E157:E166,E180+1)</f>
        <v/>
      </c>
      <c r="G180" s="113" t="str">
        <f t="shared" si="17"/>
        <v/>
      </c>
      <c r="H180" s="113"/>
      <c r="I180" s="114"/>
      <c r="J180" s="114"/>
    </row>
    <row r="181" spans="1:10" s="98" customFormat="1" ht="12.75" customHeight="1" x14ac:dyDescent="0.2">
      <c r="A181" s="108">
        <f>Вс!D72</f>
        <v>0</v>
      </c>
      <c r="B181" s="109" t="s">
        <v>344</v>
      </c>
      <c r="C181" s="97"/>
      <c r="D181" s="113"/>
      <c r="E181" s="113" t="s">
        <v>195</v>
      </c>
      <c r="F181" s="113"/>
      <c r="G181" s="113"/>
      <c r="H181" s="113"/>
      <c r="I181" s="114"/>
      <c r="J181" s="114"/>
    </row>
    <row r="182" spans="1:10" s="98" customFormat="1" ht="12.75" customHeight="1" x14ac:dyDescent="0.2">
      <c r="A182" s="110" t="s">
        <v>387</v>
      </c>
      <c r="B182" s="109" t="s">
        <v>340</v>
      </c>
      <c r="C182" s="97"/>
      <c r="D182" s="113"/>
      <c r="E182" s="113"/>
      <c r="F182" s="113"/>
      <c r="G182" s="113"/>
      <c r="H182" s="113"/>
      <c r="I182" s="114"/>
      <c r="J182" s="114"/>
    </row>
    <row r="183" spans="1:10" s="98" customFormat="1" ht="12.75" customHeight="1" x14ac:dyDescent="0.2">
      <c r="A183" s="110" t="s">
        <v>388</v>
      </c>
      <c r="B183" s="109" t="s">
        <v>341</v>
      </c>
      <c r="C183" s="97"/>
      <c r="D183" s="113"/>
      <c r="E183" s="113"/>
      <c r="F183" s="113"/>
      <c r="G183" s="113"/>
      <c r="H183" s="113"/>
      <c r="I183" s="114"/>
      <c r="J183" s="114"/>
    </row>
    <row r="184" spans="1:10" s="98" customFormat="1" ht="12.75" customHeight="1" x14ac:dyDescent="0.2">
      <c r="A184" s="110" t="s">
        <v>389</v>
      </c>
      <c r="B184" s="109" t="s">
        <v>342</v>
      </c>
      <c r="C184" s="97"/>
      <c r="D184" s="113"/>
      <c r="E184" s="113"/>
      <c r="F184" s="113"/>
      <c r="G184" s="113"/>
      <c r="H184" s="113"/>
      <c r="I184" s="114"/>
      <c r="J184" s="114"/>
    </row>
    <row r="185" spans="1:10" s="98" customFormat="1" ht="12.75" customHeight="1" thickBot="1" x14ac:dyDescent="0.25">
      <c r="A185" s="111" t="s">
        <v>346</v>
      </c>
      <c r="B185" s="109" t="s">
        <v>345</v>
      </c>
      <c r="C185" s="97"/>
      <c r="D185" s="113"/>
      <c r="E185" s="113"/>
      <c r="F185" s="113"/>
      <c r="G185" s="113"/>
      <c r="H185" s="113"/>
      <c r="I185" s="114"/>
      <c r="J185" s="114"/>
    </row>
    <row r="186" spans="1:10" s="98" customFormat="1" ht="12.75" customHeight="1" x14ac:dyDescent="0.25">
      <c r="A186" s="112" t="str">
        <f>REPLACE(A198,1,2,UPPER(LEFT(A198,2)))</f>
        <v xml:space="preserve"> Ноль ) наименований</v>
      </c>
      <c r="B186" s="109" t="s">
        <v>339</v>
      </c>
      <c r="C186" s="97"/>
      <c r="D186" s="115"/>
      <c r="E186" s="116"/>
      <c r="F186" s="116"/>
      <c r="G186" s="116"/>
      <c r="H186" s="116"/>
      <c r="I186" s="117"/>
      <c r="J186" s="118"/>
    </row>
    <row r="187" spans="1:10" s="98" customFormat="1" ht="11.25" outlineLevel="1" x14ac:dyDescent="0.2">
      <c r="A187" s="94">
        <v>0</v>
      </c>
      <c r="B187" s="95" t="str">
        <f>""</f>
        <v/>
      </c>
      <c r="C187" s="96" t="s">
        <v>285</v>
      </c>
      <c r="D187" s="119" t="str">
        <f>""</f>
        <v/>
      </c>
      <c r="E187" s="120" t="str">
        <f>""</f>
        <v/>
      </c>
      <c r="F187" s="121" t="str">
        <f>" "&amp; A182</f>
        <v xml:space="preserve"> ) наименование</v>
      </c>
      <c r="G187" s="113" t="s">
        <v>286</v>
      </c>
      <c r="H187" s="113" t="s">
        <v>287</v>
      </c>
      <c r="I187" s="114" t="s">
        <v>288</v>
      </c>
      <c r="J187" s="114" t="s">
        <v>289</v>
      </c>
    </row>
    <row r="188" spans="1:10" s="98" customFormat="1" ht="22.5" outlineLevel="1" x14ac:dyDescent="0.2">
      <c r="A188" s="94">
        <v>1</v>
      </c>
      <c r="B188" s="99" t="s">
        <v>290</v>
      </c>
      <c r="C188" s="100" t="s">
        <v>291</v>
      </c>
      <c r="D188" s="119" t="str">
        <f>""</f>
        <v/>
      </c>
      <c r="E188" s="120" t="s">
        <v>292</v>
      </c>
      <c r="F188" s="121" t="str">
        <f>" "&amp; A183</f>
        <v xml:space="preserve"> ) наименования</v>
      </c>
      <c r="G188" s="113" t="s">
        <v>293</v>
      </c>
      <c r="H188" s="113" t="s">
        <v>294</v>
      </c>
      <c r="I188" s="114" t="s">
        <v>295</v>
      </c>
      <c r="J188" s="114" t="s">
        <v>296</v>
      </c>
    </row>
    <row r="189" spans="1:10" s="98" customFormat="1" ht="10.15" customHeight="1" outlineLevel="1" x14ac:dyDescent="0.2">
      <c r="A189" s="94">
        <v>2</v>
      </c>
      <c r="B189" s="99" t="s">
        <v>297</v>
      </c>
      <c r="C189" s="100" t="s">
        <v>298</v>
      </c>
      <c r="D189" s="119" t="s">
        <v>299</v>
      </c>
      <c r="E189" s="120" t="s">
        <v>300</v>
      </c>
      <c r="F189" s="121" t="str">
        <f>" "&amp;A184</f>
        <v xml:space="preserve"> ) наименований</v>
      </c>
      <c r="G189" s="113" t="s">
        <v>301</v>
      </c>
      <c r="H189" s="113" t="s">
        <v>302</v>
      </c>
      <c r="I189" s="114" t="s">
        <v>303</v>
      </c>
      <c r="J189" s="114" t="s">
        <v>304</v>
      </c>
    </row>
    <row r="190" spans="1:10" s="98" customFormat="1" ht="11.25" outlineLevel="1" x14ac:dyDescent="0.2">
      <c r="A190" s="94">
        <v>3</v>
      </c>
      <c r="B190" s="99" t="s">
        <v>305</v>
      </c>
      <c r="C190" s="100" t="s">
        <v>306</v>
      </c>
      <c r="D190" s="119" t="s">
        <v>307</v>
      </c>
      <c r="E190" s="120" t="s">
        <v>308</v>
      </c>
      <c r="F190" s="113">
        <f>IF(A185="Ж",2,IF(A185="С",3,1))</f>
        <v>3</v>
      </c>
      <c r="G190" s="113"/>
      <c r="H190" s="113"/>
      <c r="I190" s="114"/>
      <c r="J190" s="114"/>
    </row>
    <row r="191" spans="1:10" s="98" customFormat="1" ht="11.25" outlineLevel="1" x14ac:dyDescent="0.2">
      <c r="A191" s="94">
        <v>4</v>
      </c>
      <c r="B191" s="99" t="s">
        <v>309</v>
      </c>
      <c r="C191" s="100" t="s">
        <v>310</v>
      </c>
      <c r="D191" s="119" t="s">
        <v>311</v>
      </c>
      <c r="E191" s="120" t="s">
        <v>312</v>
      </c>
      <c r="F191" s="113"/>
      <c r="G191" s="113"/>
      <c r="H191" s="113"/>
      <c r="I191" s="114"/>
      <c r="J191" s="114"/>
    </row>
    <row r="192" spans="1:10" s="98" customFormat="1" ht="11.25" outlineLevel="1" x14ac:dyDescent="0.2">
      <c r="A192" s="94">
        <v>5</v>
      </c>
      <c r="B192" s="99" t="s">
        <v>313</v>
      </c>
      <c r="C192" s="100" t="s">
        <v>314</v>
      </c>
      <c r="D192" s="119" t="s">
        <v>315</v>
      </c>
      <c r="E192" s="120" t="s">
        <v>316</v>
      </c>
      <c r="F192" s="113" t="s">
        <v>317</v>
      </c>
      <c r="G192" s="113" t="s">
        <v>343</v>
      </c>
      <c r="H192" s="113"/>
      <c r="I192" s="114"/>
      <c r="J192" s="114"/>
    </row>
    <row r="193" spans="1:11" s="98" customFormat="1" ht="11.25" outlineLevel="1" x14ac:dyDescent="0.2">
      <c r="A193" s="94">
        <v>6</v>
      </c>
      <c r="B193" s="99" t="s">
        <v>318</v>
      </c>
      <c r="C193" s="100" t="s">
        <v>319</v>
      </c>
      <c r="D193" s="119" t="s">
        <v>320</v>
      </c>
      <c r="E193" s="120" t="s">
        <v>321</v>
      </c>
      <c r="F193" s="113" t="s">
        <v>322</v>
      </c>
      <c r="G193" s="113" t="s">
        <v>297</v>
      </c>
      <c r="H193" s="113"/>
      <c r="I193" s="114"/>
      <c r="J193" s="114"/>
    </row>
    <row r="194" spans="1:11" s="98" customFormat="1" ht="11.25" outlineLevel="1" x14ac:dyDescent="0.2">
      <c r="A194" s="94">
        <v>7</v>
      </c>
      <c r="B194" s="99" t="s">
        <v>323</v>
      </c>
      <c r="C194" s="100" t="s">
        <v>324</v>
      </c>
      <c r="D194" s="119" t="s">
        <v>325</v>
      </c>
      <c r="E194" s="120" t="s">
        <v>326</v>
      </c>
      <c r="F194" s="113"/>
      <c r="G194" s="113"/>
      <c r="H194" s="113"/>
      <c r="I194" s="114"/>
      <c r="J194" s="114"/>
    </row>
    <row r="195" spans="1:11" s="98" customFormat="1" ht="11.25" outlineLevel="1" x14ac:dyDescent="0.2">
      <c r="A195" s="94">
        <v>8</v>
      </c>
      <c r="B195" s="99" t="s">
        <v>327</v>
      </c>
      <c r="C195" s="100" t="s">
        <v>328</v>
      </c>
      <c r="D195" s="119" t="s">
        <v>329</v>
      </c>
      <c r="E195" s="120" t="s">
        <v>330</v>
      </c>
      <c r="F195" s="113"/>
      <c r="G195" s="113"/>
      <c r="H195" s="113"/>
      <c r="I195" s="114"/>
      <c r="J195" s="114"/>
    </row>
    <row r="196" spans="1:11" s="98" customFormat="1" ht="11.25" outlineLevel="1" x14ac:dyDescent="0.2">
      <c r="A196" s="94">
        <v>9</v>
      </c>
      <c r="B196" s="101" t="s">
        <v>331</v>
      </c>
      <c r="C196" s="102" t="s">
        <v>332</v>
      </c>
      <c r="D196" s="122" t="s">
        <v>333</v>
      </c>
      <c r="E196" s="123" t="s">
        <v>334</v>
      </c>
      <c r="F196" s="113"/>
      <c r="G196" s="113"/>
      <c r="H196" s="113"/>
      <c r="I196" s="114"/>
      <c r="J196" s="114"/>
    </row>
    <row r="197" spans="1:11" s="98" customFormat="1" ht="11.25" outlineLevel="1" x14ac:dyDescent="0.2">
      <c r="A197" s="94"/>
      <c r="B197" s="97">
        <v>-1</v>
      </c>
      <c r="C197" s="103">
        <f>A181-POWER(10,B197)*INT(A181/POWER(10,B197))</f>
        <v>0</v>
      </c>
      <c r="D197" s="124">
        <f>C197</f>
        <v>0</v>
      </c>
      <c r="E197" s="125">
        <f>ROUND(D197/POWER(10,B197-1),0)</f>
        <v>0</v>
      </c>
      <c r="F197" s="113"/>
      <c r="G197" s="113"/>
      <c r="H197" s="113"/>
      <c r="I197" s="114"/>
      <c r="J197" s="114"/>
    </row>
    <row r="198" spans="1:11" s="98" customFormat="1" ht="27.95" customHeight="1" outlineLevel="1" x14ac:dyDescent="0.2">
      <c r="A198" s="104" t="str">
        <f>CONCATENATE(G210,G209,G208,H208,G207,G206,G205,H205,G204,G203,G202,H202,G201,G200,G199,H199)</f>
        <v xml:space="preserve"> ноль ) наименований</v>
      </c>
      <c r="B198" s="97">
        <v>0</v>
      </c>
      <c r="C198" s="103">
        <f>A181-POWER(10,B198)*INT(A181/POWER(10,B198))</f>
        <v>0</v>
      </c>
      <c r="D198" s="126">
        <f>C198-D197</f>
        <v>0</v>
      </c>
      <c r="E198" s="125">
        <f t="shared" ref="E198:E210" si="18">D198/POWER(10,B198-1)</f>
        <v>0</v>
      </c>
      <c r="F198" s="127" t="s">
        <v>335</v>
      </c>
      <c r="G198" s="127" t="s">
        <v>336</v>
      </c>
      <c r="H198" s="127" t="s">
        <v>337</v>
      </c>
      <c r="I198" s="128"/>
      <c r="J198" s="128"/>
      <c r="K198" s="105"/>
    </row>
    <row r="199" spans="1:11" s="98" customFormat="1" ht="11.25" outlineLevel="1" x14ac:dyDescent="0.2">
      <c r="A199" s="94"/>
      <c r="B199" s="97">
        <v>1</v>
      </c>
      <c r="C199" s="106">
        <f>A181-POWER(10,B199)*INT(A181/POWER(10,B199))</f>
        <v>0</v>
      </c>
      <c r="D199" s="125">
        <f>C199-D198-D197</f>
        <v>0</v>
      </c>
      <c r="E199" s="113">
        <f t="shared" si="18"/>
        <v>0</v>
      </c>
      <c r="F199" s="113" t="str">
        <f>IF(E200&gt;=2,INDEX(B187:C196,E199+1,1),INDEX(B187:C196,E199+1,E200+1))</f>
        <v/>
      </c>
      <c r="G199" s="129" t="str">
        <f>IF(AND(E199=2,E200&lt;&gt;1),CHOOSE(F190,F199,F193,G193),IF(AND(E199=1,E200&lt;&gt;1),CHOOSE(F190,F199,F192,G192),F199))</f>
        <v/>
      </c>
      <c r="H199" s="113" t="str">
        <f>IF(SUM(E199:E210)=0," ноль ) наименований",IF(E200&lt;&gt;1,IF(OR(E199&gt;4,E199=0),F189,IF(E199=1,F187,F188)),F189))</f>
        <v xml:space="preserve"> ноль ) наименований</v>
      </c>
      <c r="I199" s="130"/>
      <c r="J199" s="113"/>
    </row>
    <row r="200" spans="1:11" s="98" customFormat="1" ht="11.25" outlineLevel="1" x14ac:dyDescent="0.2">
      <c r="A200" s="107" t="s">
        <v>338</v>
      </c>
      <c r="B200" s="97">
        <v>2</v>
      </c>
      <c r="C200" s="106">
        <f>A181-POWER(10,B200)*INT(A181/POWER(10,B200))</f>
        <v>0</v>
      </c>
      <c r="D200" s="113">
        <f t="shared" ref="D200:D210" si="19">C200-C199</f>
        <v>0</v>
      </c>
      <c r="E200" s="113">
        <f t="shared" si="18"/>
        <v>0</v>
      </c>
      <c r="F200" s="113" t="str">
        <f>IF(E200&gt;=2,INDEX(D187:D196,E200+1),"")</f>
        <v/>
      </c>
      <c r="G200" s="113" t="str">
        <f>F200</f>
        <v/>
      </c>
      <c r="H200" s="113"/>
      <c r="I200" s="114"/>
      <c r="J200" s="114"/>
    </row>
    <row r="201" spans="1:11" s="98" customFormat="1" ht="11.25" outlineLevel="1" x14ac:dyDescent="0.2">
      <c r="A201" s="94"/>
      <c r="B201" s="97">
        <v>3</v>
      </c>
      <c r="C201" s="106">
        <f>A181-POWER(10,B201)*INT(A181/POWER(10,B201))</f>
        <v>0</v>
      </c>
      <c r="D201" s="113">
        <f t="shared" si="19"/>
        <v>0</v>
      </c>
      <c r="E201" s="113">
        <f t="shared" si="18"/>
        <v>0</v>
      </c>
      <c r="F201" s="113" t="str">
        <f>INDEX(E187:E196,E201+1)</f>
        <v/>
      </c>
      <c r="G201" s="113" t="str">
        <f>F201</f>
        <v/>
      </c>
      <c r="H201" s="113"/>
      <c r="I201" s="114"/>
      <c r="J201" s="114"/>
    </row>
    <row r="202" spans="1:11" s="98" customFormat="1" ht="11.25" outlineLevel="1" x14ac:dyDescent="0.2">
      <c r="A202" s="94"/>
      <c r="B202" s="97">
        <v>4</v>
      </c>
      <c r="C202" s="106">
        <f>A181-POWER(10,B202)*INT(A181/POWER(10,B202))</f>
        <v>0</v>
      </c>
      <c r="D202" s="113">
        <f t="shared" si="19"/>
        <v>0</v>
      </c>
      <c r="E202" s="113">
        <f t="shared" si="18"/>
        <v>0</v>
      </c>
      <c r="F202" s="113" t="str">
        <f>IF(E203&gt;=2,INDEX(B187:C196,E202+1,1),INDEX(B187:C196,E202+1,E203+1))</f>
        <v/>
      </c>
      <c r="G202" s="129" t="str">
        <f>IF(F202=" один",F192,IF(F202=" два",F193,F202))</f>
        <v/>
      </c>
      <c r="H202" s="113" t="str">
        <f>IF(OR(E204&lt;&gt;0,E203&lt;&gt;0,E202&lt;&gt;0),IF(E203&lt;&gt;1,IF(OR(E202&gt;4,E202=0),G189,IF(E202=1,G187,G188)),G189),"")</f>
        <v/>
      </c>
      <c r="I202" s="114"/>
      <c r="J202" s="114"/>
    </row>
    <row r="203" spans="1:11" s="98" customFormat="1" ht="11.25" outlineLevel="1" x14ac:dyDescent="0.2">
      <c r="A203" s="94"/>
      <c r="B203" s="97">
        <v>5</v>
      </c>
      <c r="C203" s="106">
        <f>A181-POWER(10,B203)*INT(A181/POWER(10,B203))</f>
        <v>0</v>
      </c>
      <c r="D203" s="113">
        <f t="shared" si="19"/>
        <v>0</v>
      </c>
      <c r="E203" s="113">
        <f t="shared" si="18"/>
        <v>0</v>
      </c>
      <c r="F203" s="113" t="str">
        <f>IF(E203&gt;=2,INDEX(D187:D196,E203+1),"")</f>
        <v/>
      </c>
      <c r="G203" s="113" t="str">
        <f t="shared" ref="G203:G210" si="20">F203</f>
        <v/>
      </c>
      <c r="H203" s="113"/>
      <c r="I203" s="114"/>
      <c r="J203" s="114"/>
    </row>
    <row r="204" spans="1:11" s="98" customFormat="1" ht="11.25" outlineLevel="1" x14ac:dyDescent="0.2">
      <c r="A204" s="94"/>
      <c r="B204" s="97">
        <v>6</v>
      </c>
      <c r="C204" s="106">
        <f>A181-POWER(10,B204)*INT(A181/POWER(10,B204))</f>
        <v>0</v>
      </c>
      <c r="D204" s="113">
        <f t="shared" si="19"/>
        <v>0</v>
      </c>
      <c r="E204" s="113">
        <f t="shared" si="18"/>
        <v>0</v>
      </c>
      <c r="F204" s="113" t="str">
        <f>INDEX(E187:E196,E204+1)</f>
        <v/>
      </c>
      <c r="G204" s="113" t="str">
        <f t="shared" si="20"/>
        <v/>
      </c>
      <c r="H204" s="113"/>
      <c r="I204" s="114"/>
      <c r="J204" s="114"/>
    </row>
    <row r="205" spans="1:11" s="98" customFormat="1" ht="11.25" outlineLevel="1" x14ac:dyDescent="0.2">
      <c r="A205" s="94"/>
      <c r="B205" s="97">
        <v>7</v>
      </c>
      <c r="C205" s="106">
        <f>A181-POWER(10,B205)*INT(A181/POWER(10,B205))</f>
        <v>0</v>
      </c>
      <c r="D205" s="113">
        <f t="shared" si="19"/>
        <v>0</v>
      </c>
      <c r="E205" s="113">
        <f t="shared" si="18"/>
        <v>0</v>
      </c>
      <c r="F205" s="113" t="str">
        <f>IF(E206&gt;=2,INDEX(B187:C196,E205+1,1),INDEX(B187:C196,E205+1,E206+1))</f>
        <v/>
      </c>
      <c r="G205" s="113" t="str">
        <f t="shared" si="20"/>
        <v/>
      </c>
      <c r="H205" s="113" t="str">
        <f>IF(OR(E205&lt;&gt;0,E206&lt;&gt;0,E207&lt;&gt;0),IF(E206&lt;&gt;1,IF(OR(E205&gt;4,E205=0),H189,IF(E205=1,H187,H188)),H189),"")</f>
        <v/>
      </c>
      <c r="I205" s="114"/>
      <c r="J205" s="114"/>
    </row>
    <row r="206" spans="1:11" s="98" customFormat="1" ht="14.25" customHeight="1" outlineLevel="1" x14ac:dyDescent="0.2">
      <c r="A206" s="94"/>
      <c r="B206" s="97">
        <v>8</v>
      </c>
      <c r="C206" s="106">
        <f>A181-POWER(10,B206)*INT(A181/POWER(10,B206))</f>
        <v>0</v>
      </c>
      <c r="D206" s="113">
        <f t="shared" si="19"/>
        <v>0</v>
      </c>
      <c r="E206" s="113">
        <f t="shared" si="18"/>
        <v>0</v>
      </c>
      <c r="F206" s="113" t="str">
        <f>IF(E206&gt;=2,INDEX(D187:D196,E206+1),"")</f>
        <v/>
      </c>
      <c r="G206" s="113" t="str">
        <f t="shared" si="20"/>
        <v/>
      </c>
      <c r="H206" s="113"/>
      <c r="I206" s="114"/>
      <c r="J206" s="114"/>
    </row>
    <row r="207" spans="1:11" s="98" customFormat="1" ht="14.25" customHeight="1" outlineLevel="1" x14ac:dyDescent="0.2">
      <c r="A207" s="94"/>
      <c r="B207" s="97">
        <v>9</v>
      </c>
      <c r="C207" s="106">
        <f>A181-POWER(10,B207)*INT(A181/POWER(10,B207))</f>
        <v>0</v>
      </c>
      <c r="D207" s="113">
        <f t="shared" si="19"/>
        <v>0</v>
      </c>
      <c r="E207" s="113">
        <f t="shared" si="18"/>
        <v>0</v>
      </c>
      <c r="F207" s="113" t="str">
        <f>INDEX(E187:E196,E207+1)</f>
        <v/>
      </c>
      <c r="G207" s="113" t="str">
        <f t="shared" si="20"/>
        <v/>
      </c>
      <c r="H207" s="113"/>
      <c r="I207" s="114"/>
      <c r="J207" s="114"/>
    </row>
    <row r="208" spans="1:11" s="98" customFormat="1" ht="12.75" hidden="1" customHeight="1" outlineLevel="1" x14ac:dyDescent="0.2">
      <c r="A208" s="94"/>
      <c r="B208" s="97">
        <v>10</v>
      </c>
      <c r="C208" s="106">
        <f>A181-POWER(10,B208)*INT(A181/POWER(10,B208))</f>
        <v>0</v>
      </c>
      <c r="D208" s="113">
        <f t="shared" si="19"/>
        <v>0</v>
      </c>
      <c r="E208" s="113">
        <f t="shared" si="18"/>
        <v>0</v>
      </c>
      <c r="F208" s="113" t="str">
        <f>IF(E209&gt;=2,INDEX(B187:C196,E208+1,1),INDEX(B187:C196,E208+1,E209+1))</f>
        <v/>
      </c>
      <c r="G208" s="113" t="str">
        <f t="shared" si="20"/>
        <v/>
      </c>
      <c r="H208" s="113" t="str">
        <f>IF(OR(E208&lt;&gt;0,E209&lt;&gt;0,E210&lt;&gt;0),IF(E209&lt;&gt;1,IF(OR(E208&gt;4,E208=0),I189,IF(E208=1,I187,I188)),I189),"")</f>
        <v/>
      </c>
      <c r="I208" s="114"/>
      <c r="J208" s="114"/>
    </row>
    <row r="209" spans="1:17" s="98" customFormat="1" ht="16.5" customHeight="1" outlineLevel="1" x14ac:dyDescent="0.2">
      <c r="A209" s="94"/>
      <c r="B209" s="97">
        <v>11</v>
      </c>
      <c r="C209" s="106">
        <f>A181-POWER(10,B209)*INT(A181/POWER(10,B209))</f>
        <v>0</v>
      </c>
      <c r="D209" s="113">
        <f t="shared" si="19"/>
        <v>0</v>
      </c>
      <c r="E209" s="113">
        <f t="shared" si="18"/>
        <v>0</v>
      </c>
      <c r="F209" s="113" t="str">
        <f>IF(E209&gt;=2,INDEX(D187:D196,E209+1),"")</f>
        <v/>
      </c>
      <c r="G209" s="113" t="str">
        <f t="shared" si="20"/>
        <v/>
      </c>
      <c r="H209" s="113"/>
      <c r="I209" s="114"/>
      <c r="J209" s="114"/>
    </row>
    <row r="210" spans="1:17" s="98" customFormat="1" ht="20.25" customHeight="1" outlineLevel="1" x14ac:dyDescent="0.2">
      <c r="A210" s="94"/>
      <c r="B210" s="97">
        <v>12</v>
      </c>
      <c r="C210" s="106">
        <f>A181-POWER(10,B210)*INT(A181/POWER(10,B210))</f>
        <v>0</v>
      </c>
      <c r="D210" s="113">
        <f t="shared" si="19"/>
        <v>0</v>
      </c>
      <c r="E210" s="113">
        <f t="shared" si="18"/>
        <v>0</v>
      </c>
      <c r="F210" s="113" t="str">
        <f>INDEX(E187:E196,E210+1)</f>
        <v/>
      </c>
      <c r="G210" s="113" t="str">
        <f t="shared" si="20"/>
        <v/>
      </c>
      <c r="H210" s="113"/>
      <c r="I210" s="114"/>
      <c r="J210" s="114"/>
    </row>
    <row r="211" spans="1:17" ht="13.5" thickBot="1" x14ac:dyDescent="0.25"/>
    <row r="212" spans="1:17" ht="13.5" thickBot="1" x14ac:dyDescent="0.25">
      <c r="B212" s="1693"/>
      <c r="C212" s="1694"/>
      <c r="D212" s="1694"/>
      <c r="E212" s="1694"/>
      <c r="F212" s="1694"/>
      <c r="G212" s="1694"/>
      <c r="H212" s="1694"/>
      <c r="I212" s="1694"/>
      <c r="J212" s="1694"/>
      <c r="K212" s="1694"/>
      <c r="L212" s="1694"/>
      <c r="M212" s="1694"/>
      <c r="N212" s="1694"/>
      <c r="O212" s="1694"/>
      <c r="P212" s="1694"/>
      <c r="Q212" s="1695"/>
    </row>
  </sheetData>
  <mergeCells count="1">
    <mergeCell ref="B212:Q212"/>
  </mergeCells>
  <phoneticPr fontId="38" type="noConversion"/>
  <printOptions gridLines="1" gridLinesSet="0"/>
  <pageMargins left="0.75" right="0.75" top="1" bottom="1" header="0.5" footer="0.5"/>
  <pageSetup paperSize="9" orientation="portrait" horizontalDpi="360" verticalDpi="360" r:id="rId1"/>
  <headerFooter alignWithMargins="0">
    <oddHeader>&amp;A</oddHeader>
    <oddFooter>Стр.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Spinner 1">
              <controlPr defaultSize="0" autoPict="0">
                <anchor moveWithCells="1" sizeWithCells="1">
                  <from>
                    <xdr:col>0</xdr:col>
                    <xdr:colOff>409575</xdr:colOff>
                    <xdr:row>262</xdr:row>
                    <xdr:rowOff>28575</xdr:rowOff>
                  </from>
                  <to>
                    <xdr:col>0</xdr:col>
                    <xdr:colOff>809625</xdr:colOff>
                    <xdr:row>264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18</vt:i4>
      </vt:variant>
    </vt:vector>
  </HeadingPairs>
  <TitlesOfParts>
    <vt:vector size="29" baseType="lpstr">
      <vt:lpstr>Раскладка продуктов</vt:lpstr>
      <vt:lpstr>Пн</vt:lpstr>
      <vt:lpstr>Вт</vt:lpstr>
      <vt:lpstr>Ср</vt:lpstr>
      <vt:lpstr>Чт</vt:lpstr>
      <vt:lpstr>Пт</vt:lpstr>
      <vt:lpstr>Сб</vt:lpstr>
      <vt:lpstr>Вс</vt:lpstr>
      <vt:lpstr>КПВ</vt:lpstr>
      <vt:lpstr>Ведомость</vt:lpstr>
      <vt:lpstr>Цены</vt:lpstr>
      <vt:lpstr>Ведомость!Область_печати</vt:lpstr>
      <vt:lpstr>Вс!Область_печати</vt:lpstr>
      <vt:lpstr>Вт!Область_печати</vt:lpstr>
      <vt:lpstr>КПВ!Область_печати</vt:lpstr>
      <vt:lpstr>Пн!Область_печати</vt:lpstr>
      <vt:lpstr>Пт!Область_печати</vt:lpstr>
      <vt:lpstr>'Раскладка продуктов'!Область_печати</vt:lpstr>
      <vt:lpstr>Расчёт!Область_печати</vt:lpstr>
      <vt:lpstr>Сб!Область_печати</vt:lpstr>
      <vt:lpstr>Ср!Область_печати</vt:lpstr>
      <vt:lpstr>Цены!Область_печати</vt:lpstr>
      <vt:lpstr>Чт!Область_печати</vt:lpstr>
      <vt:lpstr>ОКГ</vt:lpstr>
      <vt:lpstr>ОКГВ</vt:lpstr>
      <vt:lpstr>ОКГЗ</vt:lpstr>
      <vt:lpstr>ОКГП</vt:lpstr>
      <vt:lpstr>ОКГУ</vt:lpstr>
      <vt:lpstr>ОКГХ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Раскладка продуктов</dc:title>
  <dc:subject>Продовольственная служба</dc:subject>
  <dc:creator>http://nachprodanet.narod.ru</dc:creator>
  <cp:keywords/>
  <cp:lastModifiedBy>Olga</cp:lastModifiedBy>
  <cp:lastPrinted>2008-03-10T09:46:01Z</cp:lastPrinted>
  <dcterms:created xsi:type="dcterms:W3CDTF">1998-03-05T11:00:59Z</dcterms:created>
  <dcterms:modified xsi:type="dcterms:W3CDTF">2023-07-09T16:52:19Z</dcterms:modified>
  <cp:category/>
</cp:coreProperties>
</file>